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area\Elecciones\2021\Oaxaca 2021\Memoria\USB\excel\"/>
    </mc:Choice>
  </mc:AlternateContent>
  <bookViews>
    <workbookView xWindow="0" yWindow="0" windowWidth="28800" windowHeight="12432"/>
  </bookViews>
  <sheets>
    <sheet name="OAX_AYUN_2021" sheetId="1" r:id="rId1"/>
  </sheets>
  <definedNames>
    <definedName name="_xlnm._FilterDatabase" localSheetId="0" hidden="1">OAX_AYUN_2021!$A$6:$BL$3636</definedName>
  </definedNames>
  <calcPr calcId="0"/>
</workbook>
</file>

<file path=xl/calcChain.xml><?xml version="1.0" encoding="utf-8"?>
<calcChain xmlns="http://schemas.openxmlformats.org/spreadsheetml/2006/main">
  <c r="E4" i="1" l="1"/>
  <c r="G4" i="1"/>
  <c r="H4" i="1"/>
  <c r="M4" i="1"/>
  <c r="A7" i="1"/>
  <c r="B7" i="1"/>
  <c r="C7" i="1"/>
  <c r="E7" i="1"/>
  <c r="G7" i="1"/>
  <c r="H7" i="1"/>
  <c r="A8" i="1"/>
  <c r="B8" i="1"/>
  <c r="C8" i="1"/>
  <c r="E8" i="1"/>
  <c r="G8" i="1"/>
  <c r="H8" i="1"/>
  <c r="A9" i="1"/>
  <c r="B9" i="1"/>
  <c r="C9" i="1"/>
  <c r="E9" i="1"/>
  <c r="G9" i="1"/>
  <c r="H9" i="1"/>
  <c r="A10" i="1"/>
  <c r="B10" i="1"/>
  <c r="C10" i="1"/>
  <c r="E10" i="1"/>
  <c r="G10" i="1"/>
  <c r="H10" i="1"/>
  <c r="A11" i="1"/>
  <c r="B11" i="1"/>
  <c r="C11" i="1"/>
  <c r="E11" i="1"/>
  <c r="G11" i="1"/>
  <c r="H11" i="1"/>
  <c r="A12" i="1"/>
  <c r="B12" i="1"/>
  <c r="C12" i="1"/>
  <c r="E12" i="1"/>
  <c r="G12" i="1"/>
  <c r="H12" i="1"/>
  <c r="A13" i="1"/>
  <c r="B13" i="1"/>
  <c r="C13" i="1"/>
  <c r="E13" i="1"/>
  <c r="G13" i="1"/>
  <c r="H13" i="1"/>
  <c r="A14" i="1"/>
  <c r="B14" i="1"/>
  <c r="C14" i="1"/>
  <c r="E14" i="1"/>
  <c r="G14" i="1"/>
  <c r="H14" i="1"/>
  <c r="A15" i="1"/>
  <c r="B15" i="1"/>
  <c r="C15" i="1"/>
  <c r="E15" i="1"/>
  <c r="G15" i="1"/>
  <c r="H15" i="1"/>
  <c r="A16" i="1"/>
  <c r="B16" i="1"/>
  <c r="C16" i="1"/>
  <c r="E16" i="1"/>
  <c r="G16" i="1"/>
  <c r="H16" i="1"/>
  <c r="A17" i="1"/>
  <c r="B17" i="1"/>
  <c r="C17" i="1"/>
  <c r="E17" i="1"/>
  <c r="G17" i="1"/>
  <c r="H17" i="1"/>
  <c r="A18" i="1"/>
  <c r="B18" i="1"/>
  <c r="C18" i="1"/>
  <c r="E18" i="1"/>
  <c r="G18" i="1"/>
  <c r="H18" i="1"/>
  <c r="A19" i="1"/>
  <c r="B19" i="1"/>
  <c r="C19" i="1"/>
  <c r="E19" i="1"/>
  <c r="G19" i="1"/>
  <c r="H19" i="1"/>
  <c r="A20" i="1"/>
  <c r="B20" i="1"/>
  <c r="C20" i="1"/>
  <c r="E20" i="1"/>
  <c r="G20" i="1"/>
  <c r="H20" i="1"/>
  <c r="A21" i="1"/>
  <c r="B21" i="1"/>
  <c r="C21" i="1"/>
  <c r="E21" i="1"/>
  <c r="G21" i="1"/>
  <c r="H21" i="1"/>
  <c r="A22" i="1"/>
  <c r="B22" i="1"/>
  <c r="C22" i="1"/>
  <c r="E22" i="1"/>
  <c r="G22" i="1"/>
  <c r="H22" i="1"/>
  <c r="A23" i="1"/>
  <c r="B23" i="1"/>
  <c r="C23" i="1"/>
  <c r="E23" i="1"/>
  <c r="G23" i="1"/>
  <c r="H23" i="1"/>
  <c r="A24" i="1"/>
  <c r="B24" i="1"/>
  <c r="C24" i="1"/>
  <c r="E24" i="1"/>
  <c r="G24" i="1"/>
  <c r="H24" i="1"/>
  <c r="A25" i="1"/>
  <c r="B25" i="1"/>
  <c r="C25" i="1"/>
  <c r="E25" i="1"/>
  <c r="G25" i="1"/>
  <c r="H25" i="1"/>
  <c r="A26" i="1"/>
  <c r="B26" i="1"/>
  <c r="C26" i="1"/>
  <c r="E26" i="1"/>
  <c r="G26" i="1"/>
  <c r="H26" i="1"/>
  <c r="A27" i="1"/>
  <c r="B27" i="1"/>
  <c r="C27" i="1"/>
  <c r="E27" i="1"/>
  <c r="G27" i="1"/>
  <c r="H27" i="1"/>
  <c r="A28" i="1"/>
  <c r="B28" i="1"/>
  <c r="C28" i="1"/>
  <c r="E28" i="1"/>
  <c r="G28" i="1"/>
  <c r="H28" i="1"/>
  <c r="A29" i="1"/>
  <c r="B29" i="1"/>
  <c r="C29" i="1"/>
  <c r="E29" i="1"/>
  <c r="G29" i="1"/>
  <c r="H29" i="1"/>
  <c r="A30" i="1"/>
  <c r="B30" i="1"/>
  <c r="C30" i="1"/>
  <c r="E30" i="1"/>
  <c r="G30" i="1"/>
  <c r="H30" i="1"/>
  <c r="A31" i="1"/>
  <c r="B31" i="1"/>
  <c r="C31" i="1"/>
  <c r="E31" i="1"/>
  <c r="G31" i="1"/>
  <c r="H31" i="1"/>
  <c r="A32" i="1"/>
  <c r="B32" i="1"/>
  <c r="C32" i="1"/>
  <c r="E32" i="1"/>
  <c r="G32" i="1"/>
  <c r="H32" i="1"/>
  <c r="A33" i="1"/>
  <c r="B33" i="1"/>
  <c r="C33" i="1"/>
  <c r="E33" i="1"/>
  <c r="G33" i="1"/>
  <c r="H33" i="1"/>
  <c r="A34" i="1"/>
  <c r="B34" i="1"/>
  <c r="C34" i="1"/>
  <c r="E34" i="1"/>
  <c r="G34" i="1"/>
  <c r="H34" i="1"/>
  <c r="A35" i="1"/>
  <c r="B35" i="1"/>
  <c r="C35" i="1"/>
  <c r="E35" i="1"/>
  <c r="G35" i="1"/>
  <c r="H35" i="1"/>
  <c r="A36" i="1"/>
  <c r="B36" i="1"/>
  <c r="C36" i="1"/>
  <c r="E36" i="1"/>
  <c r="G36" i="1"/>
  <c r="H36" i="1"/>
  <c r="A37" i="1"/>
  <c r="B37" i="1"/>
  <c r="C37" i="1"/>
  <c r="E37" i="1"/>
  <c r="G37" i="1"/>
  <c r="H37" i="1"/>
  <c r="A38" i="1"/>
  <c r="B38" i="1"/>
  <c r="C38" i="1"/>
  <c r="E38" i="1"/>
  <c r="G38" i="1"/>
  <c r="H38" i="1"/>
  <c r="A39" i="1"/>
  <c r="B39" i="1"/>
  <c r="C39" i="1"/>
  <c r="E39" i="1"/>
  <c r="G39" i="1"/>
  <c r="H39" i="1"/>
  <c r="A40" i="1"/>
  <c r="B40" i="1"/>
  <c r="C40" i="1"/>
  <c r="E40" i="1"/>
  <c r="G40" i="1"/>
  <c r="H40" i="1"/>
  <c r="A41" i="1"/>
  <c r="B41" i="1"/>
  <c r="C41" i="1"/>
  <c r="E41" i="1"/>
  <c r="G41" i="1"/>
  <c r="H41" i="1"/>
  <c r="A42" i="1"/>
  <c r="B42" i="1"/>
  <c r="C42" i="1"/>
  <c r="E42" i="1"/>
  <c r="G42" i="1"/>
  <c r="H42" i="1"/>
  <c r="A43" i="1"/>
  <c r="B43" i="1"/>
  <c r="C43" i="1"/>
  <c r="E43" i="1"/>
  <c r="G43" i="1"/>
  <c r="H43" i="1"/>
  <c r="A44" i="1"/>
  <c r="B44" i="1"/>
  <c r="C44" i="1"/>
  <c r="E44" i="1"/>
  <c r="G44" i="1"/>
  <c r="H44" i="1"/>
  <c r="A45" i="1"/>
  <c r="B45" i="1"/>
  <c r="C45" i="1"/>
  <c r="E45" i="1"/>
  <c r="G45" i="1"/>
  <c r="H45" i="1"/>
  <c r="A46" i="1"/>
  <c r="B46" i="1"/>
  <c r="C46" i="1"/>
  <c r="E46" i="1"/>
  <c r="G46" i="1"/>
  <c r="H46" i="1"/>
  <c r="A47" i="1"/>
  <c r="B47" i="1"/>
  <c r="C47" i="1"/>
  <c r="E47" i="1"/>
  <c r="G47" i="1"/>
  <c r="H47" i="1"/>
  <c r="A48" i="1"/>
  <c r="B48" i="1"/>
  <c r="C48" i="1"/>
  <c r="E48" i="1"/>
  <c r="G48" i="1"/>
  <c r="H48" i="1"/>
  <c r="A49" i="1"/>
  <c r="B49" i="1"/>
  <c r="C49" i="1"/>
  <c r="E49" i="1"/>
  <c r="G49" i="1"/>
  <c r="H49" i="1"/>
  <c r="A50" i="1"/>
  <c r="B50" i="1"/>
  <c r="C50" i="1"/>
  <c r="E50" i="1"/>
  <c r="G50" i="1"/>
  <c r="H50" i="1"/>
  <c r="A51" i="1"/>
  <c r="B51" i="1"/>
  <c r="C51" i="1"/>
  <c r="E51" i="1"/>
  <c r="G51" i="1"/>
  <c r="H51" i="1"/>
  <c r="A52" i="1"/>
  <c r="B52" i="1"/>
  <c r="C52" i="1"/>
  <c r="E52" i="1"/>
  <c r="G52" i="1"/>
  <c r="H52" i="1"/>
  <c r="A53" i="1"/>
  <c r="B53" i="1"/>
  <c r="C53" i="1"/>
  <c r="E53" i="1"/>
  <c r="G53" i="1"/>
  <c r="H53" i="1"/>
  <c r="A54" i="1"/>
  <c r="B54" i="1"/>
  <c r="C54" i="1"/>
  <c r="E54" i="1"/>
  <c r="G54" i="1"/>
  <c r="H54" i="1"/>
  <c r="A55" i="1"/>
  <c r="B55" i="1"/>
  <c r="C55" i="1"/>
  <c r="E55" i="1"/>
  <c r="G55" i="1"/>
  <c r="H55" i="1"/>
  <c r="A56" i="1"/>
  <c r="B56" i="1"/>
  <c r="C56" i="1"/>
  <c r="E56" i="1"/>
  <c r="G56" i="1"/>
  <c r="H56" i="1"/>
  <c r="A57" i="1"/>
  <c r="B57" i="1"/>
  <c r="C57" i="1"/>
  <c r="E57" i="1"/>
  <c r="G57" i="1"/>
  <c r="H57" i="1"/>
  <c r="A58" i="1"/>
  <c r="B58" i="1"/>
  <c r="C58" i="1"/>
  <c r="E58" i="1"/>
  <c r="G58" i="1"/>
  <c r="H58" i="1"/>
  <c r="A59" i="1"/>
  <c r="B59" i="1"/>
  <c r="C59" i="1"/>
  <c r="E59" i="1"/>
  <c r="G59" i="1"/>
  <c r="H59" i="1"/>
  <c r="A60" i="1"/>
  <c r="B60" i="1"/>
  <c r="C60" i="1"/>
  <c r="E60" i="1"/>
  <c r="G60" i="1"/>
  <c r="H60" i="1"/>
  <c r="A61" i="1"/>
  <c r="B61" i="1"/>
  <c r="C61" i="1"/>
  <c r="E61" i="1"/>
  <c r="G61" i="1"/>
  <c r="H61" i="1"/>
  <c r="A62" i="1"/>
  <c r="B62" i="1"/>
  <c r="C62" i="1"/>
  <c r="E62" i="1"/>
  <c r="G62" i="1"/>
  <c r="H62" i="1"/>
  <c r="A63" i="1"/>
  <c r="B63" i="1"/>
  <c r="C63" i="1"/>
  <c r="E63" i="1"/>
  <c r="G63" i="1"/>
  <c r="H63" i="1"/>
  <c r="A64" i="1"/>
  <c r="B64" i="1"/>
  <c r="C64" i="1"/>
  <c r="E64" i="1"/>
  <c r="G64" i="1"/>
  <c r="H64" i="1"/>
  <c r="A65" i="1"/>
  <c r="B65" i="1"/>
  <c r="C65" i="1"/>
  <c r="E65" i="1"/>
  <c r="G65" i="1"/>
  <c r="H65" i="1"/>
  <c r="A66" i="1"/>
  <c r="B66" i="1"/>
  <c r="C66" i="1"/>
  <c r="E66" i="1"/>
  <c r="G66" i="1"/>
  <c r="H66" i="1"/>
  <c r="A67" i="1"/>
  <c r="B67" i="1"/>
  <c r="C67" i="1"/>
  <c r="E67" i="1"/>
  <c r="G67" i="1"/>
  <c r="H67" i="1"/>
  <c r="A68" i="1"/>
  <c r="B68" i="1"/>
  <c r="C68" i="1"/>
  <c r="E68" i="1"/>
  <c r="G68" i="1"/>
  <c r="H68" i="1"/>
  <c r="A69" i="1"/>
  <c r="B69" i="1"/>
  <c r="C69" i="1"/>
  <c r="E69" i="1"/>
  <c r="G69" i="1"/>
  <c r="H69" i="1"/>
  <c r="A70" i="1"/>
  <c r="B70" i="1"/>
  <c r="C70" i="1"/>
  <c r="E70" i="1"/>
  <c r="G70" i="1"/>
  <c r="H70" i="1"/>
  <c r="A71" i="1"/>
  <c r="B71" i="1"/>
  <c r="C71" i="1"/>
  <c r="E71" i="1"/>
  <c r="G71" i="1"/>
  <c r="H71" i="1"/>
  <c r="A72" i="1"/>
  <c r="B72" i="1"/>
  <c r="C72" i="1"/>
  <c r="E72" i="1"/>
  <c r="G72" i="1"/>
  <c r="H72" i="1"/>
  <c r="A73" i="1"/>
  <c r="B73" i="1"/>
  <c r="C73" i="1"/>
  <c r="E73" i="1"/>
  <c r="G73" i="1"/>
  <c r="H73" i="1"/>
  <c r="A74" i="1"/>
  <c r="B74" i="1"/>
  <c r="C74" i="1"/>
  <c r="E74" i="1"/>
  <c r="G74" i="1"/>
  <c r="H74" i="1"/>
  <c r="A75" i="1"/>
  <c r="B75" i="1"/>
  <c r="C75" i="1"/>
  <c r="E75" i="1"/>
  <c r="G75" i="1"/>
  <c r="H75" i="1"/>
  <c r="A76" i="1"/>
  <c r="B76" i="1"/>
  <c r="C76" i="1"/>
  <c r="E76" i="1"/>
  <c r="G76" i="1"/>
  <c r="H76" i="1"/>
  <c r="A77" i="1"/>
  <c r="B77" i="1"/>
  <c r="C77" i="1"/>
  <c r="E77" i="1"/>
  <c r="G77" i="1"/>
  <c r="H77" i="1"/>
  <c r="A78" i="1"/>
  <c r="B78" i="1"/>
  <c r="C78" i="1"/>
  <c r="E78" i="1"/>
  <c r="G78" i="1"/>
  <c r="H78" i="1"/>
  <c r="A79" i="1"/>
  <c r="B79" i="1"/>
  <c r="C79" i="1"/>
  <c r="E79" i="1"/>
  <c r="G79" i="1"/>
  <c r="H79" i="1"/>
  <c r="A80" i="1"/>
  <c r="B80" i="1"/>
  <c r="C80" i="1"/>
  <c r="E80" i="1"/>
  <c r="G80" i="1"/>
  <c r="H80" i="1"/>
  <c r="A81" i="1"/>
  <c r="B81" i="1"/>
  <c r="C81" i="1"/>
  <c r="E81" i="1"/>
  <c r="G81" i="1"/>
  <c r="H81" i="1"/>
  <c r="A82" i="1"/>
  <c r="B82" i="1"/>
  <c r="C82" i="1"/>
  <c r="E82" i="1"/>
  <c r="G82" i="1"/>
  <c r="H82" i="1"/>
  <c r="A83" i="1"/>
  <c r="B83" i="1"/>
  <c r="C83" i="1"/>
  <c r="E83" i="1"/>
  <c r="G83" i="1"/>
  <c r="H83" i="1"/>
  <c r="A84" i="1"/>
  <c r="B84" i="1"/>
  <c r="C84" i="1"/>
  <c r="E84" i="1"/>
  <c r="G84" i="1"/>
  <c r="H84" i="1"/>
  <c r="A85" i="1"/>
  <c r="B85" i="1"/>
  <c r="C85" i="1"/>
  <c r="E85" i="1"/>
  <c r="G85" i="1"/>
  <c r="H85" i="1"/>
  <c r="A86" i="1"/>
  <c r="B86" i="1"/>
  <c r="C86" i="1"/>
  <c r="E86" i="1"/>
  <c r="G86" i="1"/>
  <c r="H86" i="1"/>
  <c r="A87" i="1"/>
  <c r="B87" i="1"/>
  <c r="C87" i="1"/>
  <c r="E87" i="1"/>
  <c r="G87" i="1"/>
  <c r="H87" i="1"/>
  <c r="A88" i="1"/>
  <c r="B88" i="1"/>
  <c r="C88" i="1"/>
  <c r="E88" i="1"/>
  <c r="G88" i="1"/>
  <c r="H88" i="1"/>
  <c r="A89" i="1"/>
  <c r="B89" i="1"/>
  <c r="C89" i="1"/>
  <c r="E89" i="1"/>
  <c r="G89" i="1"/>
  <c r="H89" i="1"/>
  <c r="A90" i="1"/>
  <c r="B90" i="1"/>
  <c r="C90" i="1"/>
  <c r="E90" i="1"/>
  <c r="G90" i="1"/>
  <c r="H90" i="1"/>
  <c r="A91" i="1"/>
  <c r="B91" i="1"/>
  <c r="C91" i="1"/>
  <c r="E91" i="1"/>
  <c r="G91" i="1"/>
  <c r="H91" i="1"/>
  <c r="A92" i="1"/>
  <c r="B92" i="1"/>
  <c r="C92" i="1"/>
  <c r="E92" i="1"/>
  <c r="G92" i="1"/>
  <c r="H92" i="1"/>
  <c r="A93" i="1"/>
  <c r="B93" i="1"/>
  <c r="C93" i="1"/>
  <c r="E93" i="1"/>
  <c r="G93" i="1"/>
  <c r="H93" i="1"/>
  <c r="A94" i="1"/>
  <c r="B94" i="1"/>
  <c r="C94" i="1"/>
  <c r="E94" i="1"/>
  <c r="G94" i="1"/>
  <c r="H94" i="1"/>
  <c r="A95" i="1"/>
  <c r="B95" i="1"/>
  <c r="C95" i="1"/>
  <c r="E95" i="1"/>
  <c r="G95" i="1"/>
  <c r="H95" i="1"/>
  <c r="A96" i="1"/>
  <c r="B96" i="1"/>
  <c r="C96" i="1"/>
  <c r="E96" i="1"/>
  <c r="G96" i="1"/>
  <c r="H96" i="1"/>
  <c r="A97" i="1"/>
  <c r="B97" i="1"/>
  <c r="C97" i="1"/>
  <c r="E97" i="1"/>
  <c r="G97" i="1"/>
  <c r="H97" i="1"/>
  <c r="A98" i="1"/>
  <c r="B98" i="1"/>
  <c r="C98" i="1"/>
  <c r="E98" i="1"/>
  <c r="G98" i="1"/>
  <c r="H98" i="1"/>
  <c r="A99" i="1"/>
  <c r="B99" i="1"/>
  <c r="C99" i="1"/>
  <c r="E99" i="1"/>
  <c r="G99" i="1"/>
  <c r="H99" i="1"/>
  <c r="A100" i="1"/>
  <c r="B100" i="1"/>
  <c r="C100" i="1"/>
  <c r="E100" i="1"/>
  <c r="G100" i="1"/>
  <c r="H100" i="1"/>
  <c r="A101" i="1"/>
  <c r="B101" i="1"/>
  <c r="C101" i="1"/>
  <c r="E101" i="1"/>
  <c r="G101" i="1"/>
  <c r="H101" i="1"/>
  <c r="A102" i="1"/>
  <c r="B102" i="1"/>
  <c r="C102" i="1"/>
  <c r="E102" i="1"/>
  <c r="G102" i="1"/>
  <c r="H102" i="1"/>
  <c r="A103" i="1"/>
  <c r="B103" i="1"/>
  <c r="C103" i="1"/>
  <c r="E103" i="1"/>
  <c r="G103" i="1"/>
  <c r="H103" i="1"/>
  <c r="A104" i="1"/>
  <c r="B104" i="1"/>
  <c r="C104" i="1"/>
  <c r="E104" i="1"/>
  <c r="G104" i="1"/>
  <c r="H104" i="1"/>
  <c r="A105" i="1"/>
  <c r="B105" i="1"/>
  <c r="C105" i="1"/>
  <c r="E105" i="1"/>
  <c r="G105" i="1"/>
  <c r="H105" i="1"/>
  <c r="A106" i="1"/>
  <c r="B106" i="1"/>
  <c r="C106" i="1"/>
  <c r="E106" i="1"/>
  <c r="G106" i="1"/>
  <c r="H106" i="1"/>
  <c r="A107" i="1"/>
  <c r="B107" i="1"/>
  <c r="C107" i="1"/>
  <c r="E107" i="1"/>
  <c r="G107" i="1"/>
  <c r="H107" i="1"/>
  <c r="A108" i="1"/>
  <c r="B108" i="1"/>
  <c r="C108" i="1"/>
  <c r="E108" i="1"/>
  <c r="G108" i="1"/>
  <c r="H108" i="1"/>
  <c r="A109" i="1"/>
  <c r="B109" i="1"/>
  <c r="C109" i="1"/>
  <c r="E109" i="1"/>
  <c r="G109" i="1"/>
  <c r="H109" i="1"/>
  <c r="A110" i="1"/>
  <c r="B110" i="1"/>
  <c r="C110" i="1"/>
  <c r="E110" i="1"/>
  <c r="G110" i="1"/>
  <c r="H110" i="1"/>
  <c r="A111" i="1"/>
  <c r="B111" i="1"/>
  <c r="C111" i="1"/>
  <c r="E111" i="1"/>
  <c r="G111" i="1"/>
  <c r="H111" i="1"/>
  <c r="A112" i="1"/>
  <c r="B112" i="1"/>
  <c r="C112" i="1"/>
  <c r="E112" i="1"/>
  <c r="G112" i="1"/>
  <c r="H112" i="1"/>
  <c r="A113" i="1"/>
  <c r="B113" i="1"/>
  <c r="C113" i="1"/>
  <c r="E113" i="1"/>
  <c r="G113" i="1"/>
  <c r="H113" i="1"/>
  <c r="A114" i="1"/>
  <c r="B114" i="1"/>
  <c r="C114" i="1"/>
  <c r="E114" i="1"/>
  <c r="G114" i="1"/>
  <c r="H114" i="1"/>
  <c r="A115" i="1"/>
  <c r="B115" i="1"/>
  <c r="C115" i="1"/>
  <c r="E115" i="1"/>
  <c r="G115" i="1"/>
  <c r="H115" i="1"/>
  <c r="A116" i="1"/>
  <c r="B116" i="1"/>
  <c r="C116" i="1"/>
  <c r="E116" i="1"/>
  <c r="G116" i="1"/>
  <c r="H116" i="1"/>
  <c r="A117" i="1"/>
  <c r="B117" i="1"/>
  <c r="C117" i="1"/>
  <c r="E117" i="1"/>
  <c r="G117" i="1"/>
  <c r="H117" i="1"/>
  <c r="A118" i="1"/>
  <c r="B118" i="1"/>
  <c r="C118" i="1"/>
  <c r="E118" i="1"/>
  <c r="G118" i="1"/>
  <c r="H118" i="1"/>
  <c r="A119" i="1"/>
  <c r="B119" i="1"/>
  <c r="C119" i="1"/>
  <c r="E119" i="1"/>
  <c r="G119" i="1"/>
  <c r="H119" i="1"/>
  <c r="A120" i="1"/>
  <c r="B120" i="1"/>
  <c r="C120" i="1"/>
  <c r="E120" i="1"/>
  <c r="G120" i="1"/>
  <c r="H120" i="1"/>
  <c r="A121" i="1"/>
  <c r="B121" i="1"/>
  <c r="C121" i="1"/>
  <c r="E121" i="1"/>
  <c r="G121" i="1"/>
  <c r="H121" i="1"/>
  <c r="A122" i="1"/>
  <c r="B122" i="1"/>
  <c r="C122" i="1"/>
  <c r="E122" i="1"/>
  <c r="G122" i="1"/>
  <c r="H122" i="1"/>
  <c r="A123" i="1"/>
  <c r="B123" i="1"/>
  <c r="C123" i="1"/>
  <c r="E123" i="1"/>
  <c r="G123" i="1"/>
  <c r="H123" i="1"/>
  <c r="A124" i="1"/>
  <c r="B124" i="1"/>
  <c r="C124" i="1"/>
  <c r="E124" i="1"/>
  <c r="G124" i="1"/>
  <c r="H124" i="1"/>
  <c r="A125" i="1"/>
  <c r="B125" i="1"/>
  <c r="C125" i="1"/>
  <c r="E125" i="1"/>
  <c r="G125" i="1"/>
  <c r="H125" i="1"/>
  <c r="A126" i="1"/>
  <c r="B126" i="1"/>
  <c r="C126" i="1"/>
  <c r="E126" i="1"/>
  <c r="G126" i="1"/>
  <c r="H126" i="1"/>
  <c r="A127" i="1"/>
  <c r="B127" i="1"/>
  <c r="C127" i="1"/>
  <c r="E127" i="1"/>
  <c r="G127" i="1"/>
  <c r="H127" i="1"/>
  <c r="A128" i="1"/>
  <c r="B128" i="1"/>
  <c r="C128" i="1"/>
  <c r="E128" i="1"/>
  <c r="G128" i="1"/>
  <c r="H128" i="1"/>
  <c r="A129" i="1"/>
  <c r="B129" i="1"/>
  <c r="C129" i="1"/>
  <c r="E129" i="1"/>
  <c r="G129" i="1"/>
  <c r="H129" i="1"/>
  <c r="A130" i="1"/>
  <c r="B130" i="1"/>
  <c r="C130" i="1"/>
  <c r="E130" i="1"/>
  <c r="G130" i="1"/>
  <c r="H130" i="1"/>
  <c r="A131" i="1"/>
  <c r="B131" i="1"/>
  <c r="C131" i="1"/>
  <c r="E131" i="1"/>
  <c r="G131" i="1"/>
  <c r="H131" i="1"/>
  <c r="A132" i="1"/>
  <c r="B132" i="1"/>
  <c r="C132" i="1"/>
  <c r="E132" i="1"/>
  <c r="G132" i="1"/>
  <c r="H132" i="1"/>
  <c r="A133" i="1"/>
  <c r="B133" i="1"/>
  <c r="C133" i="1"/>
  <c r="E133" i="1"/>
  <c r="G133" i="1"/>
  <c r="H133" i="1"/>
  <c r="A134" i="1"/>
  <c r="B134" i="1"/>
  <c r="C134" i="1"/>
  <c r="E134" i="1"/>
  <c r="G134" i="1"/>
  <c r="H134" i="1"/>
  <c r="A135" i="1"/>
  <c r="B135" i="1"/>
  <c r="C135" i="1"/>
  <c r="E135" i="1"/>
  <c r="G135" i="1"/>
  <c r="H135" i="1"/>
  <c r="A136" i="1"/>
  <c r="B136" i="1"/>
  <c r="C136" i="1"/>
  <c r="E136" i="1"/>
  <c r="G136" i="1"/>
  <c r="H136" i="1"/>
  <c r="A137" i="1"/>
  <c r="B137" i="1"/>
  <c r="C137" i="1"/>
  <c r="E137" i="1"/>
  <c r="G137" i="1"/>
  <c r="H137" i="1"/>
  <c r="A138" i="1"/>
  <c r="B138" i="1"/>
  <c r="C138" i="1"/>
  <c r="E138" i="1"/>
  <c r="G138" i="1"/>
  <c r="H138" i="1"/>
  <c r="A139" i="1"/>
  <c r="B139" i="1"/>
  <c r="C139" i="1"/>
  <c r="E139" i="1"/>
  <c r="G139" i="1"/>
  <c r="H139" i="1"/>
  <c r="A140" i="1"/>
  <c r="B140" i="1"/>
  <c r="C140" i="1"/>
  <c r="E140" i="1"/>
  <c r="G140" i="1"/>
  <c r="H140" i="1"/>
  <c r="A141" i="1"/>
  <c r="B141" i="1"/>
  <c r="C141" i="1"/>
  <c r="E141" i="1"/>
  <c r="G141" i="1"/>
  <c r="H141" i="1"/>
  <c r="A142" i="1"/>
  <c r="B142" i="1"/>
  <c r="C142" i="1"/>
  <c r="E142" i="1"/>
  <c r="G142" i="1"/>
  <c r="H142" i="1"/>
  <c r="A143" i="1"/>
  <c r="B143" i="1"/>
  <c r="C143" i="1"/>
  <c r="E143" i="1"/>
  <c r="G143" i="1"/>
  <c r="H143" i="1"/>
  <c r="A144" i="1"/>
  <c r="B144" i="1"/>
  <c r="C144" i="1"/>
  <c r="E144" i="1"/>
  <c r="G144" i="1"/>
  <c r="H144" i="1"/>
  <c r="A145" i="1"/>
  <c r="B145" i="1"/>
  <c r="C145" i="1"/>
  <c r="E145" i="1"/>
  <c r="G145" i="1"/>
  <c r="H145" i="1"/>
  <c r="A146" i="1"/>
  <c r="B146" i="1"/>
  <c r="C146" i="1"/>
  <c r="E146" i="1"/>
  <c r="G146" i="1"/>
  <c r="H146" i="1"/>
  <c r="A147" i="1"/>
  <c r="B147" i="1"/>
  <c r="C147" i="1"/>
  <c r="E147" i="1"/>
  <c r="G147" i="1"/>
  <c r="H147" i="1"/>
  <c r="A148" i="1"/>
  <c r="B148" i="1"/>
  <c r="C148" i="1"/>
  <c r="E148" i="1"/>
  <c r="G148" i="1"/>
  <c r="H148" i="1"/>
  <c r="A149" i="1"/>
  <c r="B149" i="1"/>
  <c r="C149" i="1"/>
  <c r="E149" i="1"/>
  <c r="G149" i="1"/>
  <c r="H149" i="1"/>
  <c r="A150" i="1"/>
  <c r="B150" i="1"/>
  <c r="C150" i="1"/>
  <c r="E150" i="1"/>
  <c r="G150" i="1"/>
  <c r="H150" i="1"/>
  <c r="A151" i="1"/>
  <c r="B151" i="1"/>
  <c r="C151" i="1"/>
  <c r="E151" i="1"/>
  <c r="G151" i="1"/>
  <c r="H151" i="1"/>
  <c r="A152" i="1"/>
  <c r="B152" i="1"/>
  <c r="C152" i="1"/>
  <c r="E152" i="1"/>
  <c r="G152" i="1"/>
  <c r="H152" i="1"/>
  <c r="A153" i="1"/>
  <c r="B153" i="1"/>
  <c r="C153" i="1"/>
  <c r="E153" i="1"/>
  <c r="G153" i="1"/>
  <c r="H153" i="1"/>
  <c r="A154" i="1"/>
  <c r="B154" i="1"/>
  <c r="C154" i="1"/>
  <c r="E154" i="1"/>
  <c r="G154" i="1"/>
  <c r="H154" i="1"/>
  <c r="A155" i="1"/>
  <c r="B155" i="1"/>
  <c r="C155" i="1"/>
  <c r="E155" i="1"/>
  <c r="G155" i="1"/>
  <c r="H155" i="1"/>
  <c r="A156" i="1"/>
  <c r="B156" i="1"/>
  <c r="C156" i="1"/>
  <c r="E156" i="1"/>
  <c r="G156" i="1"/>
  <c r="H156" i="1"/>
  <c r="A157" i="1"/>
  <c r="B157" i="1"/>
  <c r="C157" i="1"/>
  <c r="E157" i="1"/>
  <c r="G157" i="1"/>
  <c r="H157" i="1"/>
  <c r="A158" i="1"/>
  <c r="B158" i="1"/>
  <c r="C158" i="1"/>
  <c r="E158" i="1"/>
  <c r="G158" i="1"/>
  <c r="H158" i="1"/>
  <c r="A159" i="1"/>
  <c r="B159" i="1"/>
  <c r="C159" i="1"/>
  <c r="E159" i="1"/>
  <c r="G159" i="1"/>
  <c r="H159" i="1"/>
  <c r="A160" i="1"/>
  <c r="B160" i="1"/>
  <c r="C160" i="1"/>
  <c r="E160" i="1"/>
  <c r="G160" i="1"/>
  <c r="H160" i="1"/>
  <c r="A161" i="1"/>
  <c r="B161" i="1"/>
  <c r="C161" i="1"/>
  <c r="E161" i="1"/>
  <c r="G161" i="1"/>
  <c r="H161" i="1"/>
  <c r="A162" i="1"/>
  <c r="B162" i="1"/>
  <c r="C162" i="1"/>
  <c r="E162" i="1"/>
  <c r="G162" i="1"/>
  <c r="H162" i="1"/>
  <c r="A163" i="1"/>
  <c r="B163" i="1"/>
  <c r="C163" i="1"/>
  <c r="E163" i="1"/>
  <c r="G163" i="1"/>
  <c r="H163" i="1"/>
  <c r="A164" i="1"/>
  <c r="B164" i="1"/>
  <c r="C164" i="1"/>
  <c r="E164" i="1"/>
  <c r="G164" i="1"/>
  <c r="H164" i="1"/>
  <c r="A165" i="1"/>
  <c r="B165" i="1"/>
  <c r="C165" i="1"/>
  <c r="E165" i="1"/>
  <c r="G165" i="1"/>
  <c r="H165" i="1"/>
  <c r="A166" i="1"/>
  <c r="B166" i="1"/>
  <c r="C166" i="1"/>
  <c r="E166" i="1"/>
  <c r="G166" i="1"/>
  <c r="H166" i="1"/>
  <c r="A167" i="1"/>
  <c r="B167" i="1"/>
  <c r="C167" i="1"/>
  <c r="E167" i="1"/>
  <c r="G167" i="1"/>
  <c r="H167" i="1"/>
  <c r="A168" i="1"/>
  <c r="B168" i="1"/>
  <c r="C168" i="1"/>
  <c r="E168" i="1"/>
  <c r="G168" i="1"/>
  <c r="H168" i="1"/>
  <c r="A169" i="1"/>
  <c r="B169" i="1"/>
  <c r="C169" i="1"/>
  <c r="E169" i="1"/>
  <c r="G169" i="1"/>
  <c r="H169" i="1"/>
  <c r="A170" i="1"/>
  <c r="B170" i="1"/>
  <c r="C170" i="1"/>
  <c r="E170" i="1"/>
  <c r="G170" i="1"/>
  <c r="H170" i="1"/>
  <c r="A171" i="1"/>
  <c r="B171" i="1"/>
  <c r="C171" i="1"/>
  <c r="E171" i="1"/>
  <c r="G171" i="1"/>
  <c r="H171" i="1"/>
  <c r="A172" i="1"/>
  <c r="B172" i="1"/>
  <c r="C172" i="1"/>
  <c r="E172" i="1"/>
  <c r="G172" i="1"/>
  <c r="H172" i="1"/>
  <c r="A173" i="1"/>
  <c r="B173" i="1"/>
  <c r="C173" i="1"/>
  <c r="E173" i="1"/>
  <c r="G173" i="1"/>
  <c r="H173" i="1"/>
  <c r="A174" i="1"/>
  <c r="B174" i="1"/>
  <c r="C174" i="1"/>
  <c r="E174" i="1"/>
  <c r="G174" i="1"/>
  <c r="H174" i="1"/>
  <c r="A175" i="1"/>
  <c r="B175" i="1"/>
  <c r="C175" i="1"/>
  <c r="E175" i="1"/>
  <c r="G175" i="1"/>
  <c r="H175" i="1"/>
  <c r="A176" i="1"/>
  <c r="B176" i="1"/>
  <c r="C176" i="1"/>
  <c r="E176" i="1"/>
  <c r="G176" i="1"/>
  <c r="H176" i="1"/>
  <c r="A177" i="1"/>
  <c r="B177" i="1"/>
  <c r="C177" i="1"/>
  <c r="E177" i="1"/>
  <c r="G177" i="1"/>
  <c r="H177" i="1"/>
  <c r="A178" i="1"/>
  <c r="B178" i="1"/>
  <c r="C178" i="1"/>
  <c r="E178" i="1"/>
  <c r="G178" i="1"/>
  <c r="H178" i="1"/>
  <c r="A179" i="1"/>
  <c r="B179" i="1"/>
  <c r="C179" i="1"/>
  <c r="E179" i="1"/>
  <c r="G179" i="1"/>
  <c r="H179" i="1"/>
  <c r="A180" i="1"/>
  <c r="B180" i="1"/>
  <c r="C180" i="1"/>
  <c r="E180" i="1"/>
  <c r="G180" i="1"/>
  <c r="H180" i="1"/>
  <c r="A181" i="1"/>
  <c r="B181" i="1"/>
  <c r="C181" i="1"/>
  <c r="E181" i="1"/>
  <c r="G181" i="1"/>
  <c r="H181" i="1"/>
  <c r="A182" i="1"/>
  <c r="B182" i="1"/>
  <c r="C182" i="1"/>
  <c r="E182" i="1"/>
  <c r="G182" i="1"/>
  <c r="H182" i="1"/>
  <c r="A183" i="1"/>
  <c r="B183" i="1"/>
  <c r="C183" i="1"/>
  <c r="E183" i="1"/>
  <c r="G183" i="1"/>
  <c r="H183" i="1"/>
  <c r="A184" i="1"/>
  <c r="B184" i="1"/>
  <c r="C184" i="1"/>
  <c r="E184" i="1"/>
  <c r="G184" i="1"/>
  <c r="H184" i="1"/>
  <c r="A185" i="1"/>
  <c r="B185" i="1"/>
  <c r="C185" i="1"/>
  <c r="E185" i="1"/>
  <c r="G185" i="1"/>
  <c r="H185" i="1"/>
  <c r="A186" i="1"/>
  <c r="B186" i="1"/>
  <c r="C186" i="1"/>
  <c r="E186" i="1"/>
  <c r="G186" i="1"/>
  <c r="H186" i="1"/>
  <c r="A187" i="1"/>
  <c r="B187" i="1"/>
  <c r="C187" i="1"/>
  <c r="E187" i="1"/>
  <c r="G187" i="1"/>
  <c r="H187" i="1"/>
  <c r="A188" i="1"/>
  <c r="B188" i="1"/>
  <c r="C188" i="1"/>
  <c r="E188" i="1"/>
  <c r="G188" i="1"/>
  <c r="H188" i="1"/>
  <c r="A189" i="1"/>
  <c r="B189" i="1"/>
  <c r="C189" i="1"/>
  <c r="E189" i="1"/>
  <c r="G189" i="1"/>
  <c r="H189" i="1"/>
  <c r="A190" i="1"/>
  <c r="B190" i="1"/>
  <c r="C190" i="1"/>
  <c r="E190" i="1"/>
  <c r="G190" i="1"/>
  <c r="H190" i="1"/>
  <c r="A191" i="1"/>
  <c r="B191" i="1"/>
  <c r="C191" i="1"/>
  <c r="E191" i="1"/>
  <c r="G191" i="1"/>
  <c r="H191" i="1"/>
  <c r="A192" i="1"/>
  <c r="B192" i="1"/>
  <c r="C192" i="1"/>
  <c r="E192" i="1"/>
  <c r="G192" i="1"/>
  <c r="H192" i="1"/>
  <c r="A193" i="1"/>
  <c r="B193" i="1"/>
  <c r="C193" i="1"/>
  <c r="E193" i="1"/>
  <c r="G193" i="1"/>
  <c r="H193" i="1"/>
  <c r="A194" i="1"/>
  <c r="B194" i="1"/>
  <c r="C194" i="1"/>
  <c r="E194" i="1"/>
  <c r="G194" i="1"/>
  <c r="H194" i="1"/>
  <c r="A195" i="1"/>
  <c r="B195" i="1"/>
  <c r="C195" i="1"/>
  <c r="E195" i="1"/>
  <c r="G195" i="1"/>
  <c r="H195" i="1"/>
  <c r="A196" i="1"/>
  <c r="B196" i="1"/>
  <c r="C196" i="1"/>
  <c r="E196" i="1"/>
  <c r="G196" i="1"/>
  <c r="H196" i="1"/>
  <c r="A197" i="1"/>
  <c r="B197" i="1"/>
  <c r="C197" i="1"/>
  <c r="E197" i="1"/>
  <c r="G197" i="1"/>
  <c r="H197" i="1"/>
  <c r="A198" i="1"/>
  <c r="B198" i="1"/>
  <c r="C198" i="1"/>
  <c r="E198" i="1"/>
  <c r="G198" i="1"/>
  <c r="H198" i="1"/>
  <c r="A199" i="1"/>
  <c r="B199" i="1"/>
  <c r="C199" i="1"/>
  <c r="E199" i="1"/>
  <c r="G199" i="1"/>
  <c r="H199" i="1"/>
  <c r="A200" i="1"/>
  <c r="B200" i="1"/>
  <c r="C200" i="1"/>
  <c r="E200" i="1"/>
  <c r="G200" i="1"/>
  <c r="H200" i="1"/>
  <c r="A201" i="1"/>
  <c r="B201" i="1"/>
  <c r="C201" i="1"/>
  <c r="E201" i="1"/>
  <c r="G201" i="1"/>
  <c r="H201" i="1"/>
  <c r="A202" i="1"/>
  <c r="B202" i="1"/>
  <c r="C202" i="1"/>
  <c r="E202" i="1"/>
  <c r="G202" i="1"/>
  <c r="H202" i="1"/>
  <c r="A203" i="1"/>
  <c r="B203" i="1"/>
  <c r="C203" i="1"/>
  <c r="E203" i="1"/>
  <c r="G203" i="1"/>
  <c r="H203" i="1"/>
  <c r="A204" i="1"/>
  <c r="B204" i="1"/>
  <c r="C204" i="1"/>
  <c r="E204" i="1"/>
  <c r="G204" i="1"/>
  <c r="H204" i="1"/>
  <c r="A205" i="1"/>
  <c r="B205" i="1"/>
  <c r="C205" i="1"/>
  <c r="E205" i="1"/>
  <c r="G205" i="1"/>
  <c r="H205" i="1"/>
  <c r="A206" i="1"/>
  <c r="B206" i="1"/>
  <c r="C206" i="1"/>
  <c r="E206" i="1"/>
  <c r="G206" i="1"/>
  <c r="H206" i="1"/>
  <c r="A207" i="1"/>
  <c r="B207" i="1"/>
  <c r="C207" i="1"/>
  <c r="E207" i="1"/>
  <c r="G207" i="1"/>
  <c r="H207" i="1"/>
  <c r="A208" i="1"/>
  <c r="B208" i="1"/>
  <c r="C208" i="1"/>
  <c r="E208" i="1"/>
  <c r="G208" i="1"/>
  <c r="H208" i="1"/>
  <c r="A209" i="1"/>
  <c r="B209" i="1"/>
  <c r="C209" i="1"/>
  <c r="E209" i="1"/>
  <c r="G209" i="1"/>
  <c r="H209" i="1"/>
  <c r="A210" i="1"/>
  <c r="B210" i="1"/>
  <c r="C210" i="1"/>
  <c r="E210" i="1"/>
  <c r="G210" i="1"/>
  <c r="H210" i="1"/>
  <c r="A211" i="1"/>
  <c r="B211" i="1"/>
  <c r="C211" i="1"/>
  <c r="E211" i="1"/>
  <c r="G211" i="1"/>
  <c r="H211" i="1"/>
  <c r="A212" i="1"/>
  <c r="B212" i="1"/>
  <c r="C212" i="1"/>
  <c r="E212" i="1"/>
  <c r="G212" i="1"/>
  <c r="H212" i="1"/>
  <c r="A213" i="1"/>
  <c r="B213" i="1"/>
  <c r="C213" i="1"/>
  <c r="E213" i="1"/>
  <c r="G213" i="1"/>
  <c r="H213" i="1"/>
  <c r="A214" i="1"/>
  <c r="B214" i="1"/>
  <c r="C214" i="1"/>
  <c r="E214" i="1"/>
  <c r="G214" i="1"/>
  <c r="H214" i="1"/>
  <c r="A215" i="1"/>
  <c r="B215" i="1"/>
  <c r="C215" i="1"/>
  <c r="E215" i="1"/>
  <c r="G215" i="1"/>
  <c r="H215" i="1"/>
  <c r="A216" i="1"/>
  <c r="B216" i="1"/>
  <c r="C216" i="1"/>
  <c r="E216" i="1"/>
  <c r="G216" i="1"/>
  <c r="H216" i="1"/>
  <c r="A217" i="1"/>
  <c r="B217" i="1"/>
  <c r="C217" i="1"/>
  <c r="E217" i="1"/>
  <c r="G217" i="1"/>
  <c r="H217" i="1"/>
  <c r="A218" i="1"/>
  <c r="B218" i="1"/>
  <c r="C218" i="1"/>
  <c r="E218" i="1"/>
  <c r="G218" i="1"/>
  <c r="H218" i="1"/>
  <c r="A219" i="1"/>
  <c r="B219" i="1"/>
  <c r="C219" i="1"/>
  <c r="E219" i="1"/>
  <c r="G219" i="1"/>
  <c r="H219" i="1"/>
  <c r="A220" i="1"/>
  <c r="B220" i="1"/>
  <c r="C220" i="1"/>
  <c r="E220" i="1"/>
  <c r="G220" i="1"/>
  <c r="H220" i="1"/>
  <c r="A221" i="1"/>
  <c r="B221" i="1"/>
  <c r="C221" i="1"/>
  <c r="E221" i="1"/>
  <c r="G221" i="1"/>
  <c r="H221" i="1"/>
  <c r="A222" i="1"/>
  <c r="B222" i="1"/>
  <c r="C222" i="1"/>
  <c r="E222" i="1"/>
  <c r="G222" i="1"/>
  <c r="H222" i="1"/>
  <c r="A223" i="1"/>
  <c r="B223" i="1"/>
  <c r="C223" i="1"/>
  <c r="E223" i="1"/>
  <c r="G223" i="1"/>
  <c r="H223" i="1"/>
  <c r="A224" i="1"/>
  <c r="B224" i="1"/>
  <c r="C224" i="1"/>
  <c r="E224" i="1"/>
  <c r="G224" i="1"/>
  <c r="H224" i="1"/>
  <c r="A225" i="1"/>
  <c r="B225" i="1"/>
  <c r="C225" i="1"/>
  <c r="E225" i="1"/>
  <c r="G225" i="1"/>
  <c r="H225" i="1"/>
  <c r="A226" i="1"/>
  <c r="B226" i="1"/>
  <c r="C226" i="1"/>
  <c r="E226" i="1"/>
  <c r="G226" i="1"/>
  <c r="H226" i="1"/>
  <c r="A227" i="1"/>
  <c r="B227" i="1"/>
  <c r="C227" i="1"/>
  <c r="E227" i="1"/>
  <c r="G227" i="1"/>
  <c r="H227" i="1"/>
  <c r="A228" i="1"/>
  <c r="B228" i="1"/>
  <c r="C228" i="1"/>
  <c r="E228" i="1"/>
  <c r="G228" i="1"/>
  <c r="H228" i="1"/>
  <c r="A229" i="1"/>
  <c r="B229" i="1"/>
  <c r="C229" i="1"/>
  <c r="E229" i="1"/>
  <c r="G229" i="1"/>
  <c r="H229" i="1"/>
  <c r="A230" i="1"/>
  <c r="B230" i="1"/>
  <c r="C230" i="1"/>
  <c r="E230" i="1"/>
  <c r="G230" i="1"/>
  <c r="H230" i="1"/>
  <c r="A231" i="1"/>
  <c r="B231" i="1"/>
  <c r="C231" i="1"/>
  <c r="E231" i="1"/>
  <c r="G231" i="1"/>
  <c r="H231" i="1"/>
  <c r="A232" i="1"/>
  <c r="B232" i="1"/>
  <c r="C232" i="1"/>
  <c r="E232" i="1"/>
  <c r="G232" i="1"/>
  <c r="H232" i="1"/>
  <c r="A233" i="1"/>
  <c r="B233" i="1"/>
  <c r="C233" i="1"/>
  <c r="E233" i="1"/>
  <c r="G233" i="1"/>
  <c r="H233" i="1"/>
  <c r="A234" i="1"/>
  <c r="B234" i="1"/>
  <c r="C234" i="1"/>
  <c r="E234" i="1"/>
  <c r="G234" i="1"/>
  <c r="H234" i="1"/>
  <c r="A235" i="1"/>
  <c r="B235" i="1"/>
  <c r="C235" i="1"/>
  <c r="E235" i="1"/>
  <c r="G235" i="1"/>
  <c r="H235" i="1"/>
  <c r="A236" i="1"/>
  <c r="B236" i="1"/>
  <c r="C236" i="1"/>
  <c r="E236" i="1"/>
  <c r="G236" i="1"/>
  <c r="H236" i="1"/>
  <c r="A237" i="1"/>
  <c r="B237" i="1"/>
  <c r="C237" i="1"/>
  <c r="E237" i="1"/>
  <c r="G237" i="1"/>
  <c r="H237" i="1"/>
  <c r="A238" i="1"/>
  <c r="B238" i="1"/>
  <c r="C238" i="1"/>
  <c r="E238" i="1"/>
  <c r="G238" i="1"/>
  <c r="H238" i="1"/>
  <c r="A239" i="1"/>
  <c r="B239" i="1"/>
  <c r="C239" i="1"/>
  <c r="E239" i="1"/>
  <c r="G239" i="1"/>
  <c r="H239" i="1"/>
  <c r="A240" i="1"/>
  <c r="B240" i="1"/>
  <c r="C240" i="1"/>
  <c r="E240" i="1"/>
  <c r="G240" i="1"/>
  <c r="H240" i="1"/>
  <c r="A241" i="1"/>
  <c r="B241" i="1"/>
  <c r="C241" i="1"/>
  <c r="E241" i="1"/>
  <c r="G241" i="1"/>
  <c r="H241" i="1"/>
  <c r="A242" i="1"/>
  <c r="B242" i="1"/>
  <c r="C242" i="1"/>
  <c r="E242" i="1"/>
  <c r="G242" i="1"/>
  <c r="H242" i="1"/>
  <c r="A243" i="1"/>
  <c r="B243" i="1"/>
  <c r="C243" i="1"/>
  <c r="E243" i="1"/>
  <c r="G243" i="1"/>
  <c r="H243" i="1"/>
  <c r="A244" i="1"/>
  <c r="B244" i="1"/>
  <c r="C244" i="1"/>
  <c r="E244" i="1"/>
  <c r="G244" i="1"/>
  <c r="H244" i="1"/>
  <c r="A245" i="1"/>
  <c r="B245" i="1"/>
  <c r="C245" i="1"/>
  <c r="E245" i="1"/>
  <c r="G245" i="1"/>
  <c r="H245" i="1"/>
  <c r="A246" i="1"/>
  <c r="B246" i="1"/>
  <c r="C246" i="1"/>
  <c r="E246" i="1"/>
  <c r="G246" i="1"/>
  <c r="H246" i="1"/>
  <c r="A247" i="1"/>
  <c r="B247" i="1"/>
  <c r="C247" i="1"/>
  <c r="E247" i="1"/>
  <c r="G247" i="1"/>
  <c r="H247" i="1"/>
  <c r="A248" i="1"/>
  <c r="B248" i="1"/>
  <c r="C248" i="1"/>
  <c r="E248" i="1"/>
  <c r="G248" i="1"/>
  <c r="H248" i="1"/>
  <c r="A249" i="1"/>
  <c r="B249" i="1"/>
  <c r="C249" i="1"/>
  <c r="E249" i="1"/>
  <c r="G249" i="1"/>
  <c r="H249" i="1"/>
  <c r="A250" i="1"/>
  <c r="B250" i="1"/>
  <c r="C250" i="1"/>
  <c r="E250" i="1"/>
  <c r="G250" i="1"/>
  <c r="H250" i="1"/>
  <c r="A251" i="1"/>
  <c r="B251" i="1"/>
  <c r="C251" i="1"/>
  <c r="E251" i="1"/>
  <c r="G251" i="1"/>
  <c r="H251" i="1"/>
  <c r="A252" i="1"/>
  <c r="B252" i="1"/>
  <c r="C252" i="1"/>
  <c r="E252" i="1"/>
  <c r="G252" i="1"/>
  <c r="H252" i="1"/>
  <c r="A253" i="1"/>
  <c r="B253" i="1"/>
  <c r="C253" i="1"/>
  <c r="E253" i="1"/>
  <c r="G253" i="1"/>
  <c r="H253" i="1"/>
  <c r="A254" i="1"/>
  <c r="B254" i="1"/>
  <c r="C254" i="1"/>
  <c r="E254" i="1"/>
  <c r="G254" i="1"/>
  <c r="H254" i="1"/>
  <c r="A255" i="1"/>
  <c r="B255" i="1"/>
  <c r="C255" i="1"/>
  <c r="E255" i="1"/>
  <c r="G255" i="1"/>
  <c r="H255" i="1"/>
  <c r="A256" i="1"/>
  <c r="B256" i="1"/>
  <c r="C256" i="1"/>
  <c r="E256" i="1"/>
  <c r="G256" i="1"/>
  <c r="H256" i="1"/>
  <c r="A257" i="1"/>
  <c r="B257" i="1"/>
  <c r="C257" i="1"/>
  <c r="E257" i="1"/>
  <c r="G257" i="1"/>
  <c r="H257" i="1"/>
  <c r="A258" i="1"/>
  <c r="B258" i="1"/>
  <c r="C258" i="1"/>
  <c r="E258" i="1"/>
  <c r="G258" i="1"/>
  <c r="H258" i="1"/>
  <c r="A259" i="1"/>
  <c r="B259" i="1"/>
  <c r="C259" i="1"/>
  <c r="E259" i="1"/>
  <c r="G259" i="1"/>
  <c r="H259" i="1"/>
  <c r="A260" i="1"/>
  <c r="B260" i="1"/>
  <c r="C260" i="1"/>
  <c r="E260" i="1"/>
  <c r="G260" i="1"/>
  <c r="H260" i="1"/>
  <c r="A261" i="1"/>
  <c r="B261" i="1"/>
  <c r="C261" i="1"/>
  <c r="E261" i="1"/>
  <c r="G261" i="1"/>
  <c r="H261" i="1"/>
  <c r="A262" i="1"/>
  <c r="B262" i="1"/>
  <c r="C262" i="1"/>
  <c r="E262" i="1"/>
  <c r="G262" i="1"/>
  <c r="H262" i="1"/>
  <c r="A263" i="1"/>
  <c r="B263" i="1"/>
  <c r="C263" i="1"/>
  <c r="E263" i="1"/>
  <c r="G263" i="1"/>
  <c r="H263" i="1"/>
  <c r="A264" i="1"/>
  <c r="B264" i="1"/>
  <c r="C264" i="1"/>
  <c r="E264" i="1"/>
  <c r="G264" i="1"/>
  <c r="H264" i="1"/>
  <c r="A265" i="1"/>
  <c r="B265" i="1"/>
  <c r="C265" i="1"/>
  <c r="E265" i="1"/>
  <c r="G265" i="1"/>
  <c r="H265" i="1"/>
  <c r="A266" i="1"/>
  <c r="B266" i="1"/>
  <c r="C266" i="1"/>
  <c r="E266" i="1"/>
  <c r="G266" i="1"/>
  <c r="H266" i="1"/>
  <c r="A267" i="1"/>
  <c r="B267" i="1"/>
  <c r="C267" i="1"/>
  <c r="E267" i="1"/>
  <c r="G267" i="1"/>
  <c r="H267" i="1"/>
  <c r="A268" i="1"/>
  <c r="B268" i="1"/>
  <c r="C268" i="1"/>
  <c r="E268" i="1"/>
  <c r="G268" i="1"/>
  <c r="H268" i="1"/>
  <c r="A269" i="1"/>
  <c r="B269" i="1"/>
  <c r="C269" i="1"/>
  <c r="E269" i="1"/>
  <c r="G269" i="1"/>
  <c r="H269" i="1"/>
  <c r="A270" i="1"/>
  <c r="B270" i="1"/>
  <c r="C270" i="1"/>
  <c r="E270" i="1"/>
  <c r="G270" i="1"/>
  <c r="H270" i="1"/>
  <c r="A271" i="1"/>
  <c r="B271" i="1"/>
  <c r="C271" i="1"/>
  <c r="E271" i="1"/>
  <c r="G271" i="1"/>
  <c r="H271" i="1"/>
  <c r="A272" i="1"/>
  <c r="B272" i="1"/>
  <c r="C272" i="1"/>
  <c r="E272" i="1"/>
  <c r="G272" i="1"/>
  <c r="H272" i="1"/>
  <c r="A273" i="1"/>
  <c r="B273" i="1"/>
  <c r="C273" i="1"/>
  <c r="E273" i="1"/>
  <c r="G273" i="1"/>
  <c r="H273" i="1"/>
  <c r="A274" i="1"/>
  <c r="B274" i="1"/>
  <c r="C274" i="1"/>
  <c r="E274" i="1"/>
  <c r="G274" i="1"/>
  <c r="H274" i="1"/>
  <c r="A275" i="1"/>
  <c r="B275" i="1"/>
  <c r="C275" i="1"/>
  <c r="E275" i="1"/>
  <c r="G275" i="1"/>
  <c r="H275" i="1"/>
  <c r="A276" i="1"/>
  <c r="B276" i="1"/>
  <c r="C276" i="1"/>
  <c r="E276" i="1"/>
  <c r="G276" i="1"/>
  <c r="H276" i="1"/>
  <c r="A277" i="1"/>
  <c r="B277" i="1"/>
  <c r="C277" i="1"/>
  <c r="E277" i="1"/>
  <c r="G277" i="1"/>
  <c r="H277" i="1"/>
  <c r="A278" i="1"/>
  <c r="B278" i="1"/>
  <c r="C278" i="1"/>
  <c r="E278" i="1"/>
  <c r="G278" i="1"/>
  <c r="H278" i="1"/>
  <c r="A279" i="1"/>
  <c r="B279" i="1"/>
  <c r="C279" i="1"/>
  <c r="E279" i="1"/>
  <c r="G279" i="1"/>
  <c r="H279" i="1"/>
  <c r="A280" i="1"/>
  <c r="B280" i="1"/>
  <c r="C280" i="1"/>
  <c r="E280" i="1"/>
  <c r="G280" i="1"/>
  <c r="H280" i="1"/>
  <c r="A281" i="1"/>
  <c r="B281" i="1"/>
  <c r="C281" i="1"/>
  <c r="E281" i="1"/>
  <c r="G281" i="1"/>
  <c r="H281" i="1"/>
  <c r="A282" i="1"/>
  <c r="B282" i="1"/>
  <c r="C282" i="1"/>
  <c r="E282" i="1"/>
  <c r="G282" i="1"/>
  <c r="H282" i="1"/>
  <c r="A283" i="1"/>
  <c r="B283" i="1"/>
  <c r="C283" i="1"/>
  <c r="E283" i="1"/>
  <c r="G283" i="1"/>
  <c r="H283" i="1"/>
  <c r="A284" i="1"/>
  <c r="B284" i="1"/>
  <c r="C284" i="1"/>
  <c r="E284" i="1"/>
  <c r="G284" i="1"/>
  <c r="H284" i="1"/>
  <c r="A285" i="1"/>
  <c r="B285" i="1"/>
  <c r="C285" i="1"/>
  <c r="E285" i="1"/>
  <c r="G285" i="1"/>
  <c r="H285" i="1"/>
  <c r="A286" i="1"/>
  <c r="B286" i="1"/>
  <c r="C286" i="1"/>
  <c r="E286" i="1"/>
  <c r="G286" i="1"/>
  <c r="H286" i="1"/>
  <c r="A287" i="1"/>
  <c r="B287" i="1"/>
  <c r="C287" i="1"/>
  <c r="E287" i="1"/>
  <c r="G287" i="1"/>
  <c r="H287" i="1"/>
  <c r="A288" i="1"/>
  <c r="B288" i="1"/>
  <c r="C288" i="1"/>
  <c r="E288" i="1"/>
  <c r="G288" i="1"/>
  <c r="H288" i="1"/>
  <c r="A289" i="1"/>
  <c r="B289" i="1"/>
  <c r="C289" i="1"/>
  <c r="E289" i="1"/>
  <c r="G289" i="1"/>
  <c r="H289" i="1"/>
  <c r="A290" i="1"/>
  <c r="B290" i="1"/>
  <c r="C290" i="1"/>
  <c r="E290" i="1"/>
  <c r="G290" i="1"/>
  <c r="H290" i="1"/>
  <c r="A291" i="1"/>
  <c r="B291" i="1"/>
  <c r="C291" i="1"/>
  <c r="E291" i="1"/>
  <c r="G291" i="1"/>
  <c r="H291" i="1"/>
  <c r="A292" i="1"/>
  <c r="B292" i="1"/>
  <c r="C292" i="1"/>
  <c r="E292" i="1"/>
  <c r="G292" i="1"/>
  <c r="H292" i="1"/>
  <c r="A293" i="1"/>
  <c r="B293" i="1"/>
  <c r="C293" i="1"/>
  <c r="E293" i="1"/>
  <c r="G293" i="1"/>
  <c r="H293" i="1"/>
  <c r="A294" i="1"/>
  <c r="B294" i="1"/>
  <c r="C294" i="1"/>
  <c r="E294" i="1"/>
  <c r="G294" i="1"/>
  <c r="H294" i="1"/>
  <c r="A295" i="1"/>
  <c r="B295" i="1"/>
  <c r="C295" i="1"/>
  <c r="E295" i="1"/>
  <c r="G295" i="1"/>
  <c r="H295" i="1"/>
  <c r="A296" i="1"/>
  <c r="B296" i="1"/>
  <c r="C296" i="1"/>
  <c r="E296" i="1"/>
  <c r="G296" i="1"/>
  <c r="H296" i="1"/>
  <c r="A297" i="1"/>
  <c r="B297" i="1"/>
  <c r="C297" i="1"/>
  <c r="E297" i="1"/>
  <c r="G297" i="1"/>
  <c r="H297" i="1"/>
  <c r="A298" i="1"/>
  <c r="B298" i="1"/>
  <c r="C298" i="1"/>
  <c r="E298" i="1"/>
  <c r="G298" i="1"/>
  <c r="H298" i="1"/>
  <c r="A299" i="1"/>
  <c r="B299" i="1"/>
  <c r="C299" i="1"/>
  <c r="E299" i="1"/>
  <c r="G299" i="1"/>
  <c r="H299" i="1"/>
  <c r="A300" i="1"/>
  <c r="B300" i="1"/>
  <c r="C300" i="1"/>
  <c r="E300" i="1"/>
  <c r="G300" i="1"/>
  <c r="H300" i="1"/>
  <c r="A301" i="1"/>
  <c r="B301" i="1"/>
  <c r="C301" i="1"/>
  <c r="E301" i="1"/>
  <c r="G301" i="1"/>
  <c r="H301" i="1"/>
  <c r="A302" i="1"/>
  <c r="B302" i="1"/>
  <c r="C302" i="1"/>
  <c r="E302" i="1"/>
  <c r="G302" i="1"/>
  <c r="H302" i="1"/>
  <c r="A303" i="1"/>
  <c r="B303" i="1"/>
  <c r="C303" i="1"/>
  <c r="E303" i="1"/>
  <c r="G303" i="1"/>
  <c r="H303" i="1"/>
  <c r="A304" i="1"/>
  <c r="B304" i="1"/>
  <c r="C304" i="1"/>
  <c r="E304" i="1"/>
  <c r="G304" i="1"/>
  <c r="H304" i="1"/>
  <c r="A305" i="1"/>
  <c r="B305" i="1"/>
  <c r="C305" i="1"/>
  <c r="E305" i="1"/>
  <c r="G305" i="1"/>
  <c r="H305" i="1"/>
  <c r="A306" i="1"/>
  <c r="B306" i="1"/>
  <c r="C306" i="1"/>
  <c r="E306" i="1"/>
  <c r="G306" i="1"/>
  <c r="H306" i="1"/>
  <c r="A307" i="1"/>
  <c r="B307" i="1"/>
  <c r="C307" i="1"/>
  <c r="E307" i="1"/>
  <c r="G307" i="1"/>
  <c r="H307" i="1"/>
  <c r="A308" i="1"/>
  <c r="B308" i="1"/>
  <c r="C308" i="1"/>
  <c r="E308" i="1"/>
  <c r="G308" i="1"/>
  <c r="H308" i="1"/>
  <c r="A309" i="1"/>
  <c r="B309" i="1"/>
  <c r="C309" i="1"/>
  <c r="E309" i="1"/>
  <c r="G309" i="1"/>
  <c r="H309" i="1"/>
  <c r="A310" i="1"/>
  <c r="B310" i="1"/>
  <c r="C310" i="1"/>
  <c r="E310" i="1"/>
  <c r="G310" i="1"/>
  <c r="H310" i="1"/>
  <c r="A311" i="1"/>
  <c r="B311" i="1"/>
  <c r="C311" i="1"/>
  <c r="E311" i="1"/>
  <c r="G311" i="1"/>
  <c r="H311" i="1"/>
  <c r="A312" i="1"/>
  <c r="B312" i="1"/>
  <c r="C312" i="1"/>
  <c r="E312" i="1"/>
  <c r="G312" i="1"/>
  <c r="H312" i="1"/>
  <c r="A313" i="1"/>
  <c r="B313" i="1"/>
  <c r="C313" i="1"/>
  <c r="E313" i="1"/>
  <c r="G313" i="1"/>
  <c r="H313" i="1"/>
  <c r="A314" i="1"/>
  <c r="B314" i="1"/>
  <c r="C314" i="1"/>
  <c r="E314" i="1"/>
  <c r="G314" i="1"/>
  <c r="H314" i="1"/>
  <c r="A315" i="1"/>
  <c r="B315" i="1"/>
  <c r="C315" i="1"/>
  <c r="E315" i="1"/>
  <c r="G315" i="1"/>
  <c r="H315" i="1"/>
  <c r="A316" i="1"/>
  <c r="B316" i="1"/>
  <c r="C316" i="1"/>
  <c r="E316" i="1"/>
  <c r="G316" i="1"/>
  <c r="H316" i="1"/>
  <c r="A317" i="1"/>
  <c r="B317" i="1"/>
  <c r="C317" i="1"/>
  <c r="E317" i="1"/>
  <c r="G317" i="1"/>
  <c r="H317" i="1"/>
  <c r="A318" i="1"/>
  <c r="B318" i="1"/>
  <c r="C318" i="1"/>
  <c r="E318" i="1"/>
  <c r="G318" i="1"/>
  <c r="H318" i="1"/>
  <c r="A319" i="1"/>
  <c r="B319" i="1"/>
  <c r="C319" i="1"/>
  <c r="E319" i="1"/>
  <c r="G319" i="1"/>
  <c r="H319" i="1"/>
  <c r="A320" i="1"/>
  <c r="B320" i="1"/>
  <c r="C320" i="1"/>
  <c r="E320" i="1"/>
  <c r="G320" i="1"/>
  <c r="H320" i="1"/>
  <c r="A321" i="1"/>
  <c r="B321" i="1"/>
  <c r="C321" i="1"/>
  <c r="E321" i="1"/>
  <c r="G321" i="1"/>
  <c r="H321" i="1"/>
  <c r="A322" i="1"/>
  <c r="B322" i="1"/>
  <c r="C322" i="1"/>
  <c r="E322" i="1"/>
  <c r="G322" i="1"/>
  <c r="H322" i="1"/>
  <c r="A323" i="1"/>
  <c r="B323" i="1"/>
  <c r="C323" i="1"/>
  <c r="E323" i="1"/>
  <c r="G323" i="1"/>
  <c r="H323" i="1"/>
  <c r="A324" i="1"/>
  <c r="B324" i="1"/>
  <c r="C324" i="1"/>
  <c r="E324" i="1"/>
  <c r="G324" i="1"/>
  <c r="H324" i="1"/>
  <c r="A325" i="1"/>
  <c r="B325" i="1"/>
  <c r="C325" i="1"/>
  <c r="E325" i="1"/>
  <c r="G325" i="1"/>
  <c r="H325" i="1"/>
  <c r="A326" i="1"/>
  <c r="B326" i="1"/>
  <c r="C326" i="1"/>
  <c r="E326" i="1"/>
  <c r="G326" i="1"/>
  <c r="H326" i="1"/>
  <c r="A327" i="1"/>
  <c r="B327" i="1"/>
  <c r="C327" i="1"/>
  <c r="E327" i="1"/>
  <c r="G327" i="1"/>
  <c r="H327" i="1"/>
  <c r="A328" i="1"/>
  <c r="B328" i="1"/>
  <c r="C328" i="1"/>
  <c r="E328" i="1"/>
  <c r="G328" i="1"/>
  <c r="H328" i="1"/>
  <c r="A329" i="1"/>
  <c r="B329" i="1"/>
  <c r="C329" i="1"/>
  <c r="E329" i="1"/>
  <c r="G329" i="1"/>
  <c r="H329" i="1"/>
  <c r="A330" i="1"/>
  <c r="B330" i="1"/>
  <c r="C330" i="1"/>
  <c r="E330" i="1"/>
  <c r="G330" i="1"/>
  <c r="H330" i="1"/>
  <c r="A331" i="1"/>
  <c r="B331" i="1"/>
  <c r="C331" i="1"/>
  <c r="E331" i="1"/>
  <c r="G331" i="1"/>
  <c r="H331" i="1"/>
  <c r="A332" i="1"/>
  <c r="B332" i="1"/>
  <c r="C332" i="1"/>
  <c r="E332" i="1"/>
  <c r="G332" i="1"/>
  <c r="H332" i="1"/>
  <c r="A333" i="1"/>
  <c r="B333" i="1"/>
  <c r="C333" i="1"/>
  <c r="E333" i="1"/>
  <c r="G333" i="1"/>
  <c r="H333" i="1"/>
  <c r="A334" i="1"/>
  <c r="B334" i="1"/>
  <c r="C334" i="1"/>
  <c r="E334" i="1"/>
  <c r="G334" i="1"/>
  <c r="H334" i="1"/>
  <c r="A335" i="1"/>
  <c r="B335" i="1"/>
  <c r="C335" i="1"/>
  <c r="E335" i="1"/>
  <c r="G335" i="1"/>
  <c r="H335" i="1"/>
  <c r="A336" i="1"/>
  <c r="B336" i="1"/>
  <c r="C336" i="1"/>
  <c r="E336" i="1"/>
  <c r="G336" i="1"/>
  <c r="H336" i="1"/>
  <c r="A337" i="1"/>
  <c r="B337" i="1"/>
  <c r="C337" i="1"/>
  <c r="E337" i="1"/>
  <c r="G337" i="1"/>
  <c r="H337" i="1"/>
  <c r="A338" i="1"/>
  <c r="B338" i="1"/>
  <c r="C338" i="1"/>
  <c r="E338" i="1"/>
  <c r="G338" i="1"/>
  <c r="H338" i="1"/>
  <c r="A339" i="1"/>
  <c r="B339" i="1"/>
  <c r="C339" i="1"/>
  <c r="E339" i="1"/>
  <c r="G339" i="1"/>
  <c r="H339" i="1"/>
  <c r="A340" i="1"/>
  <c r="B340" i="1"/>
  <c r="C340" i="1"/>
  <c r="E340" i="1"/>
  <c r="G340" i="1"/>
  <c r="H340" i="1"/>
  <c r="A341" i="1"/>
  <c r="B341" i="1"/>
  <c r="C341" i="1"/>
  <c r="E341" i="1"/>
  <c r="G341" i="1"/>
  <c r="H341" i="1"/>
  <c r="A342" i="1"/>
  <c r="B342" i="1"/>
  <c r="C342" i="1"/>
  <c r="E342" i="1"/>
  <c r="G342" i="1"/>
  <c r="H342" i="1"/>
  <c r="A343" i="1"/>
  <c r="B343" i="1"/>
  <c r="C343" i="1"/>
  <c r="E343" i="1"/>
  <c r="G343" i="1"/>
  <c r="H343" i="1"/>
  <c r="A344" i="1"/>
  <c r="B344" i="1"/>
  <c r="C344" i="1"/>
  <c r="E344" i="1"/>
  <c r="G344" i="1"/>
  <c r="H344" i="1"/>
  <c r="A345" i="1"/>
  <c r="B345" i="1"/>
  <c r="C345" i="1"/>
  <c r="E345" i="1"/>
  <c r="G345" i="1"/>
  <c r="H345" i="1"/>
  <c r="A346" i="1"/>
  <c r="B346" i="1"/>
  <c r="C346" i="1"/>
  <c r="E346" i="1"/>
  <c r="G346" i="1"/>
  <c r="H346" i="1"/>
  <c r="A347" i="1"/>
  <c r="B347" i="1"/>
  <c r="C347" i="1"/>
  <c r="E347" i="1"/>
  <c r="G347" i="1"/>
  <c r="H347" i="1"/>
  <c r="A348" i="1"/>
  <c r="B348" i="1"/>
  <c r="C348" i="1"/>
  <c r="E348" i="1"/>
  <c r="G348" i="1"/>
  <c r="H348" i="1"/>
  <c r="A349" i="1"/>
  <c r="B349" i="1"/>
  <c r="C349" i="1"/>
  <c r="E349" i="1"/>
  <c r="G349" i="1"/>
  <c r="H349" i="1"/>
  <c r="A350" i="1"/>
  <c r="B350" i="1"/>
  <c r="C350" i="1"/>
  <c r="E350" i="1"/>
  <c r="G350" i="1"/>
  <c r="H350" i="1"/>
  <c r="A351" i="1"/>
  <c r="B351" i="1"/>
  <c r="C351" i="1"/>
  <c r="E351" i="1"/>
  <c r="G351" i="1"/>
  <c r="H351" i="1"/>
  <c r="A352" i="1"/>
  <c r="B352" i="1"/>
  <c r="C352" i="1"/>
  <c r="E352" i="1"/>
  <c r="G352" i="1"/>
  <c r="H352" i="1"/>
  <c r="A353" i="1"/>
  <c r="B353" i="1"/>
  <c r="C353" i="1"/>
  <c r="E353" i="1"/>
  <c r="G353" i="1"/>
  <c r="H353" i="1"/>
  <c r="A354" i="1"/>
  <c r="B354" i="1"/>
  <c r="C354" i="1"/>
  <c r="E354" i="1"/>
  <c r="G354" i="1"/>
  <c r="H354" i="1"/>
  <c r="A355" i="1"/>
  <c r="B355" i="1"/>
  <c r="C355" i="1"/>
  <c r="E355" i="1"/>
  <c r="G355" i="1"/>
  <c r="H355" i="1"/>
  <c r="A356" i="1"/>
  <c r="B356" i="1"/>
  <c r="C356" i="1"/>
  <c r="E356" i="1"/>
  <c r="G356" i="1"/>
  <c r="H356" i="1"/>
  <c r="A357" i="1"/>
  <c r="B357" i="1"/>
  <c r="C357" i="1"/>
  <c r="E357" i="1"/>
  <c r="G357" i="1"/>
  <c r="H357" i="1"/>
  <c r="A358" i="1"/>
  <c r="B358" i="1"/>
  <c r="C358" i="1"/>
  <c r="E358" i="1"/>
  <c r="G358" i="1"/>
  <c r="H358" i="1"/>
  <c r="A359" i="1"/>
  <c r="B359" i="1"/>
  <c r="C359" i="1"/>
  <c r="E359" i="1"/>
  <c r="G359" i="1"/>
  <c r="H359" i="1"/>
  <c r="A360" i="1"/>
  <c r="B360" i="1"/>
  <c r="C360" i="1"/>
  <c r="E360" i="1"/>
  <c r="G360" i="1"/>
  <c r="H360" i="1"/>
  <c r="A361" i="1"/>
  <c r="B361" i="1"/>
  <c r="C361" i="1"/>
  <c r="E361" i="1"/>
  <c r="G361" i="1"/>
  <c r="H361" i="1"/>
  <c r="A362" i="1"/>
  <c r="B362" i="1"/>
  <c r="C362" i="1"/>
  <c r="E362" i="1"/>
  <c r="G362" i="1"/>
  <c r="H362" i="1"/>
  <c r="A363" i="1"/>
  <c r="B363" i="1"/>
  <c r="C363" i="1"/>
  <c r="E363" i="1"/>
  <c r="G363" i="1"/>
  <c r="H363" i="1"/>
  <c r="A364" i="1"/>
  <c r="B364" i="1"/>
  <c r="C364" i="1"/>
  <c r="E364" i="1"/>
  <c r="G364" i="1"/>
  <c r="H364" i="1"/>
  <c r="A365" i="1"/>
  <c r="B365" i="1"/>
  <c r="C365" i="1"/>
  <c r="E365" i="1"/>
  <c r="G365" i="1"/>
  <c r="H365" i="1"/>
  <c r="A366" i="1"/>
  <c r="B366" i="1"/>
  <c r="C366" i="1"/>
  <c r="E366" i="1"/>
  <c r="G366" i="1"/>
  <c r="H366" i="1"/>
  <c r="A367" i="1"/>
  <c r="B367" i="1"/>
  <c r="C367" i="1"/>
  <c r="E367" i="1"/>
  <c r="G367" i="1"/>
  <c r="H367" i="1"/>
  <c r="A368" i="1"/>
  <c r="B368" i="1"/>
  <c r="C368" i="1"/>
  <c r="E368" i="1"/>
  <c r="G368" i="1"/>
  <c r="H368" i="1"/>
  <c r="A369" i="1"/>
  <c r="B369" i="1"/>
  <c r="C369" i="1"/>
  <c r="E369" i="1"/>
  <c r="G369" i="1"/>
  <c r="H369" i="1"/>
  <c r="A370" i="1"/>
  <c r="B370" i="1"/>
  <c r="C370" i="1"/>
  <c r="E370" i="1"/>
  <c r="G370" i="1"/>
  <c r="H370" i="1"/>
  <c r="A371" i="1"/>
  <c r="B371" i="1"/>
  <c r="C371" i="1"/>
  <c r="E371" i="1"/>
  <c r="G371" i="1"/>
  <c r="H371" i="1"/>
  <c r="A372" i="1"/>
  <c r="B372" i="1"/>
  <c r="C372" i="1"/>
  <c r="E372" i="1"/>
  <c r="G372" i="1"/>
  <c r="H372" i="1"/>
  <c r="A373" i="1"/>
  <c r="B373" i="1"/>
  <c r="C373" i="1"/>
  <c r="E373" i="1"/>
  <c r="G373" i="1"/>
  <c r="H373" i="1"/>
  <c r="A374" i="1"/>
  <c r="B374" i="1"/>
  <c r="C374" i="1"/>
  <c r="E374" i="1"/>
  <c r="G374" i="1"/>
  <c r="H374" i="1"/>
  <c r="A375" i="1"/>
  <c r="B375" i="1"/>
  <c r="C375" i="1"/>
  <c r="E375" i="1"/>
  <c r="G375" i="1"/>
  <c r="H375" i="1"/>
  <c r="A376" i="1"/>
  <c r="B376" i="1"/>
  <c r="C376" i="1"/>
  <c r="E376" i="1"/>
  <c r="G376" i="1"/>
  <c r="H376" i="1"/>
  <c r="A377" i="1"/>
  <c r="B377" i="1"/>
  <c r="C377" i="1"/>
  <c r="E377" i="1"/>
  <c r="G377" i="1"/>
  <c r="H377" i="1"/>
  <c r="A378" i="1"/>
  <c r="B378" i="1"/>
  <c r="C378" i="1"/>
  <c r="E378" i="1"/>
  <c r="G378" i="1"/>
  <c r="H378" i="1"/>
  <c r="A379" i="1"/>
  <c r="B379" i="1"/>
  <c r="C379" i="1"/>
  <c r="E379" i="1"/>
  <c r="G379" i="1"/>
  <c r="H379" i="1"/>
  <c r="A380" i="1"/>
  <c r="B380" i="1"/>
  <c r="C380" i="1"/>
  <c r="E380" i="1"/>
  <c r="G380" i="1"/>
  <c r="H380" i="1"/>
  <c r="A381" i="1"/>
  <c r="B381" i="1"/>
  <c r="C381" i="1"/>
  <c r="E381" i="1"/>
  <c r="G381" i="1"/>
  <c r="H381" i="1"/>
  <c r="A382" i="1"/>
  <c r="B382" i="1"/>
  <c r="C382" i="1"/>
  <c r="E382" i="1"/>
  <c r="G382" i="1"/>
  <c r="H382" i="1"/>
  <c r="A383" i="1"/>
  <c r="B383" i="1"/>
  <c r="C383" i="1"/>
  <c r="E383" i="1"/>
  <c r="G383" i="1"/>
  <c r="H383" i="1"/>
  <c r="A384" i="1"/>
  <c r="B384" i="1"/>
  <c r="C384" i="1"/>
  <c r="E384" i="1"/>
  <c r="G384" i="1"/>
  <c r="H384" i="1"/>
  <c r="A385" i="1"/>
  <c r="B385" i="1"/>
  <c r="C385" i="1"/>
  <c r="E385" i="1"/>
  <c r="G385" i="1"/>
  <c r="H385" i="1"/>
  <c r="A386" i="1"/>
  <c r="B386" i="1"/>
  <c r="C386" i="1"/>
  <c r="E386" i="1"/>
  <c r="G386" i="1"/>
  <c r="H386" i="1"/>
  <c r="A387" i="1"/>
  <c r="B387" i="1"/>
  <c r="C387" i="1"/>
  <c r="E387" i="1"/>
  <c r="G387" i="1"/>
  <c r="H387" i="1"/>
  <c r="A388" i="1"/>
  <c r="B388" i="1"/>
  <c r="C388" i="1"/>
  <c r="E388" i="1"/>
  <c r="G388" i="1"/>
  <c r="H388" i="1"/>
  <c r="A389" i="1"/>
  <c r="B389" i="1"/>
  <c r="C389" i="1"/>
  <c r="E389" i="1"/>
  <c r="G389" i="1"/>
  <c r="H389" i="1"/>
  <c r="A390" i="1"/>
  <c r="B390" i="1"/>
  <c r="C390" i="1"/>
  <c r="E390" i="1"/>
  <c r="G390" i="1"/>
  <c r="H390" i="1"/>
  <c r="A391" i="1"/>
  <c r="B391" i="1"/>
  <c r="C391" i="1"/>
  <c r="E391" i="1"/>
  <c r="G391" i="1"/>
  <c r="H391" i="1"/>
  <c r="A392" i="1"/>
  <c r="B392" i="1"/>
  <c r="C392" i="1"/>
  <c r="E392" i="1"/>
  <c r="G392" i="1"/>
  <c r="H392" i="1"/>
  <c r="A393" i="1"/>
  <c r="B393" i="1"/>
  <c r="C393" i="1"/>
  <c r="E393" i="1"/>
  <c r="G393" i="1"/>
  <c r="H393" i="1"/>
  <c r="A394" i="1"/>
  <c r="B394" i="1"/>
  <c r="C394" i="1"/>
  <c r="E394" i="1"/>
  <c r="G394" i="1"/>
  <c r="H394" i="1"/>
  <c r="A395" i="1"/>
  <c r="B395" i="1"/>
  <c r="C395" i="1"/>
  <c r="E395" i="1"/>
  <c r="G395" i="1"/>
  <c r="H395" i="1"/>
  <c r="A396" i="1"/>
  <c r="B396" i="1"/>
  <c r="C396" i="1"/>
  <c r="E396" i="1"/>
  <c r="G396" i="1"/>
  <c r="H396" i="1"/>
  <c r="A397" i="1"/>
  <c r="B397" i="1"/>
  <c r="C397" i="1"/>
  <c r="E397" i="1"/>
  <c r="G397" i="1"/>
  <c r="H397" i="1"/>
  <c r="A398" i="1"/>
  <c r="B398" i="1"/>
  <c r="C398" i="1"/>
  <c r="E398" i="1"/>
  <c r="G398" i="1"/>
  <c r="H398" i="1"/>
  <c r="A399" i="1"/>
  <c r="B399" i="1"/>
  <c r="C399" i="1"/>
  <c r="E399" i="1"/>
  <c r="G399" i="1"/>
  <c r="H399" i="1"/>
  <c r="A400" i="1"/>
  <c r="B400" i="1"/>
  <c r="C400" i="1"/>
  <c r="E400" i="1"/>
  <c r="G400" i="1"/>
  <c r="H400" i="1"/>
  <c r="A401" i="1"/>
  <c r="B401" i="1"/>
  <c r="C401" i="1"/>
  <c r="E401" i="1"/>
  <c r="G401" i="1"/>
  <c r="H401" i="1"/>
  <c r="A402" i="1"/>
  <c r="B402" i="1"/>
  <c r="C402" i="1"/>
  <c r="E402" i="1"/>
  <c r="G402" i="1"/>
  <c r="H402" i="1"/>
  <c r="A403" i="1"/>
  <c r="B403" i="1"/>
  <c r="C403" i="1"/>
  <c r="E403" i="1"/>
  <c r="G403" i="1"/>
  <c r="H403" i="1"/>
  <c r="A404" i="1"/>
  <c r="B404" i="1"/>
  <c r="C404" i="1"/>
  <c r="E404" i="1"/>
  <c r="G404" i="1"/>
  <c r="H404" i="1"/>
  <c r="A405" i="1"/>
  <c r="B405" i="1"/>
  <c r="C405" i="1"/>
  <c r="E405" i="1"/>
  <c r="G405" i="1"/>
  <c r="H405" i="1"/>
  <c r="A406" i="1"/>
  <c r="B406" i="1"/>
  <c r="C406" i="1"/>
  <c r="E406" i="1"/>
  <c r="G406" i="1"/>
  <c r="H406" i="1"/>
  <c r="A407" i="1"/>
  <c r="B407" i="1"/>
  <c r="C407" i="1"/>
  <c r="E407" i="1"/>
  <c r="G407" i="1"/>
  <c r="H407" i="1"/>
  <c r="A408" i="1"/>
  <c r="B408" i="1"/>
  <c r="C408" i="1"/>
  <c r="E408" i="1"/>
  <c r="G408" i="1"/>
  <c r="H408" i="1"/>
  <c r="A409" i="1"/>
  <c r="B409" i="1"/>
  <c r="C409" i="1"/>
  <c r="E409" i="1"/>
  <c r="G409" i="1"/>
  <c r="H409" i="1"/>
  <c r="A410" i="1"/>
  <c r="B410" i="1"/>
  <c r="C410" i="1"/>
  <c r="E410" i="1"/>
  <c r="G410" i="1"/>
  <c r="H410" i="1"/>
  <c r="A411" i="1"/>
  <c r="B411" i="1"/>
  <c r="C411" i="1"/>
  <c r="E411" i="1"/>
  <c r="G411" i="1"/>
  <c r="H411" i="1"/>
  <c r="A412" i="1"/>
  <c r="B412" i="1"/>
  <c r="C412" i="1"/>
  <c r="E412" i="1"/>
  <c r="G412" i="1"/>
  <c r="H412" i="1"/>
  <c r="A413" i="1"/>
  <c r="B413" i="1"/>
  <c r="C413" i="1"/>
  <c r="E413" i="1"/>
  <c r="G413" i="1"/>
  <c r="H413" i="1"/>
  <c r="A414" i="1"/>
  <c r="B414" i="1"/>
  <c r="C414" i="1"/>
  <c r="E414" i="1"/>
  <c r="G414" i="1"/>
  <c r="H414" i="1"/>
  <c r="A415" i="1"/>
  <c r="B415" i="1"/>
  <c r="C415" i="1"/>
  <c r="E415" i="1"/>
  <c r="G415" i="1"/>
  <c r="H415" i="1"/>
  <c r="A416" i="1"/>
  <c r="B416" i="1"/>
  <c r="C416" i="1"/>
  <c r="E416" i="1"/>
  <c r="G416" i="1"/>
  <c r="H416" i="1"/>
  <c r="A417" i="1"/>
  <c r="B417" i="1"/>
  <c r="C417" i="1"/>
  <c r="E417" i="1"/>
  <c r="G417" i="1"/>
  <c r="H417" i="1"/>
  <c r="A418" i="1"/>
  <c r="B418" i="1"/>
  <c r="C418" i="1"/>
  <c r="E418" i="1"/>
  <c r="G418" i="1"/>
  <c r="H418" i="1"/>
  <c r="A419" i="1"/>
  <c r="B419" i="1"/>
  <c r="C419" i="1"/>
  <c r="E419" i="1"/>
  <c r="G419" i="1"/>
  <c r="H419" i="1"/>
  <c r="A420" i="1"/>
  <c r="B420" i="1"/>
  <c r="C420" i="1"/>
  <c r="E420" i="1"/>
  <c r="G420" i="1"/>
  <c r="H420" i="1"/>
  <c r="A421" i="1"/>
  <c r="B421" i="1"/>
  <c r="C421" i="1"/>
  <c r="E421" i="1"/>
  <c r="G421" i="1"/>
  <c r="H421" i="1"/>
  <c r="A422" i="1"/>
  <c r="B422" i="1"/>
  <c r="C422" i="1"/>
  <c r="E422" i="1"/>
  <c r="G422" i="1"/>
  <c r="H422" i="1"/>
  <c r="A423" i="1"/>
  <c r="B423" i="1"/>
  <c r="C423" i="1"/>
  <c r="E423" i="1"/>
  <c r="G423" i="1"/>
  <c r="H423" i="1"/>
  <c r="A424" i="1"/>
  <c r="B424" i="1"/>
  <c r="C424" i="1"/>
  <c r="E424" i="1"/>
  <c r="G424" i="1"/>
  <c r="H424" i="1"/>
  <c r="A425" i="1"/>
  <c r="B425" i="1"/>
  <c r="C425" i="1"/>
  <c r="E425" i="1"/>
  <c r="G425" i="1"/>
  <c r="H425" i="1"/>
  <c r="A426" i="1"/>
  <c r="B426" i="1"/>
  <c r="C426" i="1"/>
  <c r="E426" i="1"/>
  <c r="G426" i="1"/>
  <c r="H426" i="1"/>
  <c r="A427" i="1"/>
  <c r="B427" i="1"/>
  <c r="C427" i="1"/>
  <c r="E427" i="1"/>
  <c r="G427" i="1"/>
  <c r="H427" i="1"/>
  <c r="A428" i="1"/>
  <c r="B428" i="1"/>
  <c r="C428" i="1"/>
  <c r="E428" i="1"/>
  <c r="G428" i="1"/>
  <c r="H428" i="1"/>
  <c r="A429" i="1"/>
  <c r="B429" i="1"/>
  <c r="C429" i="1"/>
  <c r="E429" i="1"/>
  <c r="G429" i="1"/>
  <c r="H429" i="1"/>
  <c r="A430" i="1"/>
  <c r="B430" i="1"/>
  <c r="C430" i="1"/>
  <c r="E430" i="1"/>
  <c r="G430" i="1"/>
  <c r="H430" i="1"/>
  <c r="A431" i="1"/>
  <c r="B431" i="1"/>
  <c r="C431" i="1"/>
  <c r="E431" i="1"/>
  <c r="G431" i="1"/>
  <c r="H431" i="1"/>
  <c r="A432" i="1"/>
  <c r="B432" i="1"/>
  <c r="C432" i="1"/>
  <c r="E432" i="1"/>
  <c r="G432" i="1"/>
  <c r="H432" i="1"/>
  <c r="A433" i="1"/>
  <c r="B433" i="1"/>
  <c r="C433" i="1"/>
  <c r="E433" i="1"/>
  <c r="G433" i="1"/>
  <c r="H433" i="1"/>
  <c r="A434" i="1"/>
  <c r="B434" i="1"/>
  <c r="C434" i="1"/>
  <c r="E434" i="1"/>
  <c r="G434" i="1"/>
  <c r="H434" i="1"/>
  <c r="A435" i="1"/>
  <c r="B435" i="1"/>
  <c r="C435" i="1"/>
  <c r="E435" i="1"/>
  <c r="G435" i="1"/>
  <c r="H435" i="1"/>
  <c r="A436" i="1"/>
  <c r="B436" i="1"/>
  <c r="C436" i="1"/>
  <c r="E436" i="1"/>
  <c r="G436" i="1"/>
  <c r="H436" i="1"/>
  <c r="A437" i="1"/>
  <c r="B437" i="1"/>
  <c r="C437" i="1"/>
  <c r="E437" i="1"/>
  <c r="G437" i="1"/>
  <c r="H437" i="1"/>
  <c r="A438" i="1"/>
  <c r="B438" i="1"/>
  <c r="C438" i="1"/>
  <c r="E438" i="1"/>
  <c r="G438" i="1"/>
  <c r="H438" i="1"/>
  <c r="A439" i="1"/>
  <c r="B439" i="1"/>
  <c r="C439" i="1"/>
  <c r="E439" i="1"/>
  <c r="G439" i="1"/>
  <c r="H439" i="1"/>
  <c r="A440" i="1"/>
  <c r="B440" i="1"/>
  <c r="C440" i="1"/>
  <c r="E440" i="1"/>
  <c r="G440" i="1"/>
  <c r="H440" i="1"/>
  <c r="A441" i="1"/>
  <c r="B441" i="1"/>
  <c r="C441" i="1"/>
  <c r="E441" i="1"/>
  <c r="G441" i="1"/>
  <c r="H441" i="1"/>
  <c r="A442" i="1"/>
  <c r="B442" i="1"/>
  <c r="C442" i="1"/>
  <c r="E442" i="1"/>
  <c r="G442" i="1"/>
  <c r="H442" i="1"/>
  <c r="A443" i="1"/>
  <c r="B443" i="1"/>
  <c r="C443" i="1"/>
  <c r="E443" i="1"/>
  <c r="G443" i="1"/>
  <c r="H443" i="1"/>
  <c r="A444" i="1"/>
  <c r="B444" i="1"/>
  <c r="C444" i="1"/>
  <c r="E444" i="1"/>
  <c r="G444" i="1"/>
  <c r="H444" i="1"/>
  <c r="A445" i="1"/>
  <c r="B445" i="1"/>
  <c r="C445" i="1"/>
  <c r="E445" i="1"/>
  <c r="G445" i="1"/>
  <c r="H445" i="1"/>
  <c r="A446" i="1"/>
  <c r="B446" i="1"/>
  <c r="C446" i="1"/>
  <c r="E446" i="1"/>
  <c r="G446" i="1"/>
  <c r="H446" i="1"/>
  <c r="A447" i="1"/>
  <c r="B447" i="1"/>
  <c r="C447" i="1"/>
  <c r="E447" i="1"/>
  <c r="G447" i="1"/>
  <c r="H447" i="1"/>
  <c r="A448" i="1"/>
  <c r="B448" i="1"/>
  <c r="C448" i="1"/>
  <c r="E448" i="1"/>
  <c r="G448" i="1"/>
  <c r="H448" i="1"/>
  <c r="A449" i="1"/>
  <c r="B449" i="1"/>
  <c r="C449" i="1"/>
  <c r="E449" i="1"/>
  <c r="G449" i="1"/>
  <c r="H449" i="1"/>
  <c r="A450" i="1"/>
  <c r="B450" i="1"/>
  <c r="C450" i="1"/>
  <c r="E450" i="1"/>
  <c r="G450" i="1"/>
  <c r="H450" i="1"/>
  <c r="A451" i="1"/>
  <c r="B451" i="1"/>
  <c r="C451" i="1"/>
  <c r="E451" i="1"/>
  <c r="G451" i="1"/>
  <c r="H451" i="1"/>
  <c r="A452" i="1"/>
  <c r="B452" i="1"/>
  <c r="C452" i="1"/>
  <c r="E452" i="1"/>
  <c r="G452" i="1"/>
  <c r="H452" i="1"/>
  <c r="A453" i="1"/>
  <c r="B453" i="1"/>
  <c r="C453" i="1"/>
  <c r="E453" i="1"/>
  <c r="G453" i="1"/>
  <c r="H453" i="1"/>
  <c r="A454" i="1"/>
  <c r="B454" i="1"/>
  <c r="C454" i="1"/>
  <c r="E454" i="1"/>
  <c r="G454" i="1"/>
  <c r="H454" i="1"/>
  <c r="A455" i="1"/>
  <c r="B455" i="1"/>
  <c r="C455" i="1"/>
  <c r="E455" i="1"/>
  <c r="G455" i="1"/>
  <c r="H455" i="1"/>
  <c r="A456" i="1"/>
  <c r="B456" i="1"/>
  <c r="C456" i="1"/>
  <c r="E456" i="1"/>
  <c r="G456" i="1"/>
  <c r="H456" i="1"/>
  <c r="A457" i="1"/>
  <c r="B457" i="1"/>
  <c r="C457" i="1"/>
  <c r="E457" i="1"/>
  <c r="G457" i="1"/>
  <c r="H457" i="1"/>
  <c r="A458" i="1"/>
  <c r="B458" i="1"/>
  <c r="C458" i="1"/>
  <c r="E458" i="1"/>
  <c r="G458" i="1"/>
  <c r="H458" i="1"/>
  <c r="A459" i="1"/>
  <c r="B459" i="1"/>
  <c r="C459" i="1"/>
  <c r="E459" i="1"/>
  <c r="G459" i="1"/>
  <c r="H459" i="1"/>
  <c r="A460" i="1"/>
  <c r="B460" i="1"/>
  <c r="C460" i="1"/>
  <c r="E460" i="1"/>
  <c r="G460" i="1"/>
  <c r="H460" i="1"/>
  <c r="A461" i="1"/>
  <c r="B461" i="1"/>
  <c r="C461" i="1"/>
  <c r="E461" i="1"/>
  <c r="G461" i="1"/>
  <c r="H461" i="1"/>
  <c r="A462" i="1"/>
  <c r="B462" i="1"/>
  <c r="C462" i="1"/>
  <c r="E462" i="1"/>
  <c r="G462" i="1"/>
  <c r="H462" i="1"/>
  <c r="A463" i="1"/>
  <c r="B463" i="1"/>
  <c r="C463" i="1"/>
  <c r="E463" i="1"/>
  <c r="G463" i="1"/>
  <c r="H463" i="1"/>
  <c r="A464" i="1"/>
  <c r="B464" i="1"/>
  <c r="C464" i="1"/>
  <c r="E464" i="1"/>
  <c r="G464" i="1"/>
  <c r="H464" i="1"/>
  <c r="A465" i="1"/>
  <c r="B465" i="1"/>
  <c r="C465" i="1"/>
  <c r="E465" i="1"/>
  <c r="G465" i="1"/>
  <c r="H465" i="1"/>
  <c r="A466" i="1"/>
  <c r="B466" i="1"/>
  <c r="C466" i="1"/>
  <c r="E466" i="1"/>
  <c r="G466" i="1"/>
  <c r="H466" i="1"/>
  <c r="A467" i="1"/>
  <c r="B467" i="1"/>
  <c r="C467" i="1"/>
  <c r="E467" i="1"/>
  <c r="G467" i="1"/>
  <c r="H467" i="1"/>
  <c r="A468" i="1"/>
  <c r="B468" i="1"/>
  <c r="C468" i="1"/>
  <c r="E468" i="1"/>
  <c r="G468" i="1"/>
  <c r="H468" i="1"/>
  <c r="A469" i="1"/>
  <c r="B469" i="1"/>
  <c r="C469" i="1"/>
  <c r="E469" i="1"/>
  <c r="G469" i="1"/>
  <c r="H469" i="1"/>
  <c r="A470" i="1"/>
  <c r="B470" i="1"/>
  <c r="C470" i="1"/>
  <c r="E470" i="1"/>
  <c r="G470" i="1"/>
  <c r="H470" i="1"/>
  <c r="A471" i="1"/>
  <c r="B471" i="1"/>
  <c r="C471" i="1"/>
  <c r="E471" i="1"/>
  <c r="G471" i="1"/>
  <c r="H471" i="1"/>
  <c r="A472" i="1"/>
  <c r="B472" i="1"/>
  <c r="C472" i="1"/>
  <c r="E472" i="1"/>
  <c r="G472" i="1"/>
  <c r="H472" i="1"/>
  <c r="A473" i="1"/>
  <c r="B473" i="1"/>
  <c r="C473" i="1"/>
  <c r="E473" i="1"/>
  <c r="G473" i="1"/>
  <c r="H473" i="1"/>
  <c r="A474" i="1"/>
  <c r="B474" i="1"/>
  <c r="C474" i="1"/>
  <c r="E474" i="1"/>
  <c r="G474" i="1"/>
  <c r="H474" i="1"/>
  <c r="A475" i="1"/>
  <c r="B475" i="1"/>
  <c r="C475" i="1"/>
  <c r="E475" i="1"/>
  <c r="G475" i="1"/>
  <c r="H475" i="1"/>
  <c r="A476" i="1"/>
  <c r="B476" i="1"/>
  <c r="C476" i="1"/>
  <c r="E476" i="1"/>
  <c r="G476" i="1"/>
  <c r="H476" i="1"/>
  <c r="A477" i="1"/>
  <c r="B477" i="1"/>
  <c r="C477" i="1"/>
  <c r="E477" i="1"/>
  <c r="G477" i="1"/>
  <c r="H477" i="1"/>
  <c r="A478" i="1"/>
  <c r="B478" i="1"/>
  <c r="C478" i="1"/>
  <c r="E478" i="1"/>
  <c r="G478" i="1"/>
  <c r="H478" i="1"/>
  <c r="A479" i="1"/>
  <c r="B479" i="1"/>
  <c r="C479" i="1"/>
  <c r="E479" i="1"/>
  <c r="G479" i="1"/>
  <c r="H479" i="1"/>
  <c r="A480" i="1"/>
  <c r="B480" i="1"/>
  <c r="C480" i="1"/>
  <c r="E480" i="1"/>
  <c r="G480" i="1"/>
  <c r="H480" i="1"/>
  <c r="A481" i="1"/>
  <c r="B481" i="1"/>
  <c r="C481" i="1"/>
  <c r="E481" i="1"/>
  <c r="G481" i="1"/>
  <c r="H481" i="1"/>
  <c r="A482" i="1"/>
  <c r="B482" i="1"/>
  <c r="C482" i="1"/>
  <c r="E482" i="1"/>
  <c r="G482" i="1"/>
  <c r="H482" i="1"/>
  <c r="A483" i="1"/>
  <c r="B483" i="1"/>
  <c r="C483" i="1"/>
  <c r="E483" i="1"/>
  <c r="G483" i="1"/>
  <c r="H483" i="1"/>
  <c r="A484" i="1"/>
  <c r="B484" i="1"/>
  <c r="C484" i="1"/>
  <c r="E484" i="1"/>
  <c r="G484" i="1"/>
  <c r="H484" i="1"/>
  <c r="A485" i="1"/>
  <c r="B485" i="1"/>
  <c r="C485" i="1"/>
  <c r="E485" i="1"/>
  <c r="G485" i="1"/>
  <c r="H485" i="1"/>
  <c r="A486" i="1"/>
  <c r="B486" i="1"/>
  <c r="C486" i="1"/>
  <c r="E486" i="1"/>
  <c r="G486" i="1"/>
  <c r="H486" i="1"/>
  <c r="A487" i="1"/>
  <c r="B487" i="1"/>
  <c r="C487" i="1"/>
  <c r="E487" i="1"/>
  <c r="G487" i="1"/>
  <c r="H487" i="1"/>
  <c r="A488" i="1"/>
  <c r="B488" i="1"/>
  <c r="C488" i="1"/>
  <c r="E488" i="1"/>
  <c r="G488" i="1"/>
  <c r="H488" i="1"/>
  <c r="A489" i="1"/>
  <c r="B489" i="1"/>
  <c r="C489" i="1"/>
  <c r="E489" i="1"/>
  <c r="G489" i="1"/>
  <c r="H489" i="1"/>
  <c r="A490" i="1"/>
  <c r="B490" i="1"/>
  <c r="C490" i="1"/>
  <c r="E490" i="1"/>
  <c r="G490" i="1"/>
  <c r="H490" i="1"/>
  <c r="A491" i="1"/>
  <c r="B491" i="1"/>
  <c r="C491" i="1"/>
  <c r="E491" i="1"/>
  <c r="G491" i="1"/>
  <c r="H491" i="1"/>
  <c r="A492" i="1"/>
  <c r="B492" i="1"/>
  <c r="C492" i="1"/>
  <c r="E492" i="1"/>
  <c r="G492" i="1"/>
  <c r="H492" i="1"/>
  <c r="A493" i="1"/>
  <c r="B493" i="1"/>
  <c r="C493" i="1"/>
  <c r="E493" i="1"/>
  <c r="G493" i="1"/>
  <c r="H493" i="1"/>
  <c r="A494" i="1"/>
  <c r="B494" i="1"/>
  <c r="C494" i="1"/>
  <c r="E494" i="1"/>
  <c r="G494" i="1"/>
  <c r="H494" i="1"/>
  <c r="A495" i="1"/>
  <c r="B495" i="1"/>
  <c r="C495" i="1"/>
  <c r="E495" i="1"/>
  <c r="G495" i="1"/>
  <c r="H495" i="1"/>
  <c r="A496" i="1"/>
  <c r="B496" i="1"/>
  <c r="C496" i="1"/>
  <c r="E496" i="1"/>
  <c r="G496" i="1"/>
  <c r="H496" i="1"/>
  <c r="A497" i="1"/>
  <c r="B497" i="1"/>
  <c r="C497" i="1"/>
  <c r="E497" i="1"/>
  <c r="G497" i="1"/>
  <c r="H497" i="1"/>
  <c r="A498" i="1"/>
  <c r="B498" i="1"/>
  <c r="C498" i="1"/>
  <c r="E498" i="1"/>
  <c r="G498" i="1"/>
  <c r="H498" i="1"/>
  <c r="A499" i="1"/>
  <c r="B499" i="1"/>
  <c r="C499" i="1"/>
  <c r="E499" i="1"/>
  <c r="G499" i="1"/>
  <c r="H499" i="1"/>
  <c r="A500" i="1"/>
  <c r="B500" i="1"/>
  <c r="C500" i="1"/>
  <c r="E500" i="1"/>
  <c r="G500" i="1"/>
  <c r="H500" i="1"/>
  <c r="A501" i="1"/>
  <c r="B501" i="1"/>
  <c r="C501" i="1"/>
  <c r="E501" i="1"/>
  <c r="G501" i="1"/>
  <c r="H501" i="1"/>
  <c r="A502" i="1"/>
  <c r="B502" i="1"/>
  <c r="C502" i="1"/>
  <c r="E502" i="1"/>
  <c r="G502" i="1"/>
  <c r="H502" i="1"/>
  <c r="A503" i="1"/>
  <c r="B503" i="1"/>
  <c r="C503" i="1"/>
  <c r="E503" i="1"/>
  <c r="G503" i="1"/>
  <c r="H503" i="1"/>
  <c r="A504" i="1"/>
  <c r="B504" i="1"/>
  <c r="C504" i="1"/>
  <c r="E504" i="1"/>
  <c r="G504" i="1"/>
  <c r="H504" i="1"/>
  <c r="A505" i="1"/>
  <c r="B505" i="1"/>
  <c r="C505" i="1"/>
  <c r="E505" i="1"/>
  <c r="G505" i="1"/>
  <c r="H505" i="1"/>
  <c r="A506" i="1"/>
  <c r="B506" i="1"/>
  <c r="C506" i="1"/>
  <c r="E506" i="1"/>
  <c r="G506" i="1"/>
  <c r="H506" i="1"/>
  <c r="A507" i="1"/>
  <c r="B507" i="1"/>
  <c r="C507" i="1"/>
  <c r="E507" i="1"/>
  <c r="G507" i="1"/>
  <c r="H507" i="1"/>
  <c r="A508" i="1"/>
  <c r="B508" i="1"/>
  <c r="C508" i="1"/>
  <c r="E508" i="1"/>
  <c r="G508" i="1"/>
  <c r="H508" i="1"/>
  <c r="A509" i="1"/>
  <c r="B509" i="1"/>
  <c r="C509" i="1"/>
  <c r="E509" i="1"/>
  <c r="G509" i="1"/>
  <c r="H509" i="1"/>
  <c r="A510" i="1"/>
  <c r="B510" i="1"/>
  <c r="C510" i="1"/>
  <c r="E510" i="1"/>
  <c r="G510" i="1"/>
  <c r="H510" i="1"/>
  <c r="A511" i="1"/>
  <c r="B511" i="1"/>
  <c r="C511" i="1"/>
  <c r="E511" i="1"/>
  <c r="G511" i="1"/>
  <c r="H511" i="1"/>
  <c r="A512" i="1"/>
  <c r="B512" i="1"/>
  <c r="C512" i="1"/>
  <c r="E512" i="1"/>
  <c r="G512" i="1"/>
  <c r="H512" i="1"/>
  <c r="A513" i="1"/>
  <c r="B513" i="1"/>
  <c r="C513" i="1"/>
  <c r="E513" i="1"/>
  <c r="G513" i="1"/>
  <c r="H513" i="1"/>
  <c r="A514" i="1"/>
  <c r="B514" i="1"/>
  <c r="C514" i="1"/>
  <c r="E514" i="1"/>
  <c r="G514" i="1"/>
  <c r="H514" i="1"/>
  <c r="A515" i="1"/>
  <c r="B515" i="1"/>
  <c r="C515" i="1"/>
  <c r="E515" i="1"/>
  <c r="G515" i="1"/>
  <c r="H515" i="1"/>
  <c r="A516" i="1"/>
  <c r="B516" i="1"/>
  <c r="C516" i="1"/>
  <c r="E516" i="1"/>
  <c r="G516" i="1"/>
  <c r="H516" i="1"/>
  <c r="A517" i="1"/>
  <c r="B517" i="1"/>
  <c r="C517" i="1"/>
  <c r="E517" i="1"/>
  <c r="G517" i="1"/>
  <c r="H517" i="1"/>
  <c r="A518" i="1"/>
  <c r="B518" i="1"/>
  <c r="C518" i="1"/>
  <c r="E518" i="1"/>
  <c r="G518" i="1"/>
  <c r="H518" i="1"/>
  <c r="A519" i="1"/>
  <c r="B519" i="1"/>
  <c r="C519" i="1"/>
  <c r="E519" i="1"/>
  <c r="G519" i="1"/>
  <c r="H519" i="1"/>
  <c r="A520" i="1"/>
  <c r="B520" i="1"/>
  <c r="C520" i="1"/>
  <c r="E520" i="1"/>
  <c r="G520" i="1"/>
  <c r="H520" i="1"/>
  <c r="A521" i="1"/>
  <c r="B521" i="1"/>
  <c r="C521" i="1"/>
  <c r="E521" i="1"/>
  <c r="G521" i="1"/>
  <c r="H521" i="1"/>
  <c r="A522" i="1"/>
  <c r="B522" i="1"/>
  <c r="C522" i="1"/>
  <c r="E522" i="1"/>
  <c r="G522" i="1"/>
  <c r="H522" i="1"/>
  <c r="A523" i="1"/>
  <c r="B523" i="1"/>
  <c r="C523" i="1"/>
  <c r="E523" i="1"/>
  <c r="G523" i="1"/>
  <c r="H523" i="1"/>
  <c r="A524" i="1"/>
  <c r="B524" i="1"/>
  <c r="C524" i="1"/>
  <c r="E524" i="1"/>
  <c r="G524" i="1"/>
  <c r="H524" i="1"/>
  <c r="A525" i="1"/>
  <c r="B525" i="1"/>
  <c r="C525" i="1"/>
  <c r="E525" i="1"/>
  <c r="G525" i="1"/>
  <c r="H525" i="1"/>
  <c r="A526" i="1"/>
  <c r="B526" i="1"/>
  <c r="C526" i="1"/>
  <c r="E526" i="1"/>
  <c r="G526" i="1"/>
  <c r="H526" i="1"/>
  <c r="A527" i="1"/>
  <c r="B527" i="1"/>
  <c r="C527" i="1"/>
  <c r="E527" i="1"/>
  <c r="G527" i="1"/>
  <c r="H527" i="1"/>
  <c r="A528" i="1"/>
  <c r="B528" i="1"/>
  <c r="C528" i="1"/>
  <c r="E528" i="1"/>
  <c r="G528" i="1"/>
  <c r="H528" i="1"/>
  <c r="A529" i="1"/>
  <c r="B529" i="1"/>
  <c r="C529" i="1"/>
  <c r="E529" i="1"/>
  <c r="G529" i="1"/>
  <c r="H529" i="1"/>
  <c r="A530" i="1"/>
  <c r="B530" i="1"/>
  <c r="C530" i="1"/>
  <c r="E530" i="1"/>
  <c r="G530" i="1"/>
  <c r="H530" i="1"/>
  <c r="A531" i="1"/>
  <c r="B531" i="1"/>
  <c r="C531" i="1"/>
  <c r="E531" i="1"/>
  <c r="G531" i="1"/>
  <c r="H531" i="1"/>
  <c r="A532" i="1"/>
  <c r="B532" i="1"/>
  <c r="C532" i="1"/>
  <c r="E532" i="1"/>
  <c r="G532" i="1"/>
  <c r="H532" i="1"/>
  <c r="A533" i="1"/>
  <c r="B533" i="1"/>
  <c r="C533" i="1"/>
  <c r="E533" i="1"/>
  <c r="G533" i="1"/>
  <c r="H533" i="1"/>
  <c r="A534" i="1"/>
  <c r="B534" i="1"/>
  <c r="C534" i="1"/>
  <c r="E534" i="1"/>
  <c r="G534" i="1"/>
  <c r="H534" i="1"/>
  <c r="A535" i="1"/>
  <c r="B535" i="1"/>
  <c r="C535" i="1"/>
  <c r="E535" i="1"/>
  <c r="G535" i="1"/>
  <c r="H535" i="1"/>
  <c r="A536" i="1"/>
  <c r="B536" i="1"/>
  <c r="C536" i="1"/>
  <c r="E536" i="1"/>
  <c r="G536" i="1"/>
  <c r="H536" i="1"/>
  <c r="A537" i="1"/>
  <c r="B537" i="1"/>
  <c r="C537" i="1"/>
  <c r="E537" i="1"/>
  <c r="G537" i="1"/>
  <c r="H537" i="1"/>
  <c r="A538" i="1"/>
  <c r="B538" i="1"/>
  <c r="C538" i="1"/>
  <c r="E538" i="1"/>
  <c r="G538" i="1"/>
  <c r="H538" i="1"/>
  <c r="A539" i="1"/>
  <c r="B539" i="1"/>
  <c r="C539" i="1"/>
  <c r="E539" i="1"/>
  <c r="G539" i="1"/>
  <c r="H539" i="1"/>
  <c r="A540" i="1"/>
  <c r="B540" i="1"/>
  <c r="C540" i="1"/>
  <c r="E540" i="1"/>
  <c r="G540" i="1"/>
  <c r="H540" i="1"/>
  <c r="A541" i="1"/>
  <c r="B541" i="1"/>
  <c r="C541" i="1"/>
  <c r="E541" i="1"/>
  <c r="G541" i="1"/>
  <c r="H541" i="1"/>
  <c r="A542" i="1"/>
  <c r="B542" i="1"/>
  <c r="C542" i="1"/>
  <c r="E542" i="1"/>
  <c r="G542" i="1"/>
  <c r="H542" i="1"/>
  <c r="A543" i="1"/>
  <c r="B543" i="1"/>
  <c r="C543" i="1"/>
  <c r="E543" i="1"/>
  <c r="G543" i="1"/>
  <c r="H543" i="1"/>
  <c r="A544" i="1"/>
  <c r="B544" i="1"/>
  <c r="C544" i="1"/>
  <c r="E544" i="1"/>
  <c r="G544" i="1"/>
  <c r="H544" i="1"/>
  <c r="A545" i="1"/>
  <c r="B545" i="1"/>
  <c r="C545" i="1"/>
  <c r="E545" i="1"/>
  <c r="G545" i="1"/>
  <c r="H545" i="1"/>
  <c r="A546" i="1"/>
  <c r="B546" i="1"/>
  <c r="C546" i="1"/>
  <c r="E546" i="1"/>
  <c r="G546" i="1"/>
  <c r="H546" i="1"/>
  <c r="A547" i="1"/>
  <c r="B547" i="1"/>
  <c r="C547" i="1"/>
  <c r="E547" i="1"/>
  <c r="G547" i="1"/>
  <c r="H547" i="1"/>
  <c r="A548" i="1"/>
  <c r="B548" i="1"/>
  <c r="C548" i="1"/>
  <c r="E548" i="1"/>
  <c r="G548" i="1"/>
  <c r="H548" i="1"/>
  <c r="A549" i="1"/>
  <c r="B549" i="1"/>
  <c r="C549" i="1"/>
  <c r="E549" i="1"/>
  <c r="G549" i="1"/>
  <c r="H549" i="1"/>
  <c r="A550" i="1"/>
  <c r="B550" i="1"/>
  <c r="C550" i="1"/>
  <c r="E550" i="1"/>
  <c r="G550" i="1"/>
  <c r="H550" i="1"/>
  <c r="A551" i="1"/>
  <c r="B551" i="1"/>
  <c r="C551" i="1"/>
  <c r="E551" i="1"/>
  <c r="G551" i="1"/>
  <c r="H551" i="1"/>
  <c r="A552" i="1"/>
  <c r="B552" i="1"/>
  <c r="C552" i="1"/>
  <c r="E552" i="1"/>
  <c r="G552" i="1"/>
  <c r="H552" i="1"/>
  <c r="A553" i="1"/>
  <c r="B553" i="1"/>
  <c r="C553" i="1"/>
  <c r="E553" i="1"/>
  <c r="G553" i="1"/>
  <c r="H553" i="1"/>
  <c r="A554" i="1"/>
  <c r="B554" i="1"/>
  <c r="C554" i="1"/>
  <c r="E554" i="1"/>
  <c r="G554" i="1"/>
  <c r="H554" i="1"/>
  <c r="A555" i="1"/>
  <c r="B555" i="1"/>
  <c r="C555" i="1"/>
  <c r="E555" i="1"/>
  <c r="G555" i="1"/>
  <c r="H555" i="1"/>
  <c r="A556" i="1"/>
  <c r="B556" i="1"/>
  <c r="C556" i="1"/>
  <c r="E556" i="1"/>
  <c r="G556" i="1"/>
  <c r="H556" i="1"/>
  <c r="A557" i="1"/>
  <c r="B557" i="1"/>
  <c r="C557" i="1"/>
  <c r="E557" i="1"/>
  <c r="G557" i="1"/>
  <c r="H557" i="1"/>
  <c r="A558" i="1"/>
  <c r="B558" i="1"/>
  <c r="C558" i="1"/>
  <c r="E558" i="1"/>
  <c r="G558" i="1"/>
  <c r="H558" i="1"/>
  <c r="A559" i="1"/>
  <c r="B559" i="1"/>
  <c r="C559" i="1"/>
  <c r="E559" i="1"/>
  <c r="G559" i="1"/>
  <c r="H559" i="1"/>
  <c r="A560" i="1"/>
  <c r="B560" i="1"/>
  <c r="C560" i="1"/>
  <c r="E560" i="1"/>
  <c r="G560" i="1"/>
  <c r="H560" i="1"/>
  <c r="A561" i="1"/>
  <c r="B561" i="1"/>
  <c r="C561" i="1"/>
  <c r="E561" i="1"/>
  <c r="G561" i="1"/>
  <c r="H561" i="1"/>
  <c r="A562" i="1"/>
  <c r="B562" i="1"/>
  <c r="C562" i="1"/>
  <c r="E562" i="1"/>
  <c r="G562" i="1"/>
  <c r="H562" i="1"/>
  <c r="A563" i="1"/>
  <c r="B563" i="1"/>
  <c r="C563" i="1"/>
  <c r="E563" i="1"/>
  <c r="G563" i="1"/>
  <c r="H563" i="1"/>
  <c r="A564" i="1"/>
  <c r="B564" i="1"/>
  <c r="C564" i="1"/>
  <c r="E564" i="1"/>
  <c r="G564" i="1"/>
  <c r="H564" i="1"/>
  <c r="A565" i="1"/>
  <c r="B565" i="1"/>
  <c r="C565" i="1"/>
  <c r="E565" i="1"/>
  <c r="G565" i="1"/>
  <c r="H565" i="1"/>
  <c r="A566" i="1"/>
  <c r="B566" i="1"/>
  <c r="C566" i="1"/>
  <c r="E566" i="1"/>
  <c r="G566" i="1"/>
  <c r="H566" i="1"/>
  <c r="A567" i="1"/>
  <c r="B567" i="1"/>
  <c r="C567" i="1"/>
  <c r="E567" i="1"/>
  <c r="G567" i="1"/>
  <c r="H567" i="1"/>
  <c r="A568" i="1"/>
  <c r="B568" i="1"/>
  <c r="C568" i="1"/>
  <c r="E568" i="1"/>
  <c r="G568" i="1"/>
  <c r="H568" i="1"/>
  <c r="A569" i="1"/>
  <c r="B569" i="1"/>
  <c r="C569" i="1"/>
  <c r="E569" i="1"/>
  <c r="G569" i="1"/>
  <c r="H569" i="1"/>
  <c r="A570" i="1"/>
  <c r="B570" i="1"/>
  <c r="C570" i="1"/>
  <c r="E570" i="1"/>
  <c r="G570" i="1"/>
  <c r="H570" i="1"/>
  <c r="A571" i="1"/>
  <c r="B571" i="1"/>
  <c r="C571" i="1"/>
  <c r="E571" i="1"/>
  <c r="G571" i="1"/>
  <c r="H571" i="1"/>
  <c r="A572" i="1"/>
  <c r="B572" i="1"/>
  <c r="C572" i="1"/>
  <c r="E572" i="1"/>
  <c r="G572" i="1"/>
  <c r="H572" i="1"/>
  <c r="A573" i="1"/>
  <c r="B573" i="1"/>
  <c r="C573" i="1"/>
  <c r="E573" i="1"/>
  <c r="G573" i="1"/>
  <c r="H573" i="1"/>
  <c r="A574" i="1"/>
  <c r="B574" i="1"/>
  <c r="C574" i="1"/>
  <c r="E574" i="1"/>
  <c r="G574" i="1"/>
  <c r="H574" i="1"/>
  <c r="A575" i="1"/>
  <c r="B575" i="1"/>
  <c r="C575" i="1"/>
  <c r="E575" i="1"/>
  <c r="G575" i="1"/>
  <c r="H575" i="1"/>
  <c r="A576" i="1"/>
  <c r="B576" i="1"/>
  <c r="C576" i="1"/>
  <c r="E576" i="1"/>
  <c r="G576" i="1"/>
  <c r="H576" i="1"/>
  <c r="A577" i="1"/>
  <c r="B577" i="1"/>
  <c r="C577" i="1"/>
  <c r="E577" i="1"/>
  <c r="G577" i="1"/>
  <c r="H577" i="1"/>
  <c r="A578" i="1"/>
  <c r="B578" i="1"/>
  <c r="C578" i="1"/>
  <c r="E578" i="1"/>
  <c r="G578" i="1"/>
  <c r="H578" i="1"/>
  <c r="A579" i="1"/>
  <c r="B579" i="1"/>
  <c r="C579" i="1"/>
  <c r="E579" i="1"/>
  <c r="G579" i="1"/>
  <c r="H579" i="1"/>
  <c r="A580" i="1"/>
  <c r="B580" i="1"/>
  <c r="C580" i="1"/>
  <c r="E580" i="1"/>
  <c r="G580" i="1"/>
  <c r="H580" i="1"/>
  <c r="A581" i="1"/>
  <c r="B581" i="1"/>
  <c r="C581" i="1"/>
  <c r="E581" i="1"/>
  <c r="G581" i="1"/>
  <c r="H581" i="1"/>
  <c r="A582" i="1"/>
  <c r="B582" i="1"/>
  <c r="C582" i="1"/>
  <c r="E582" i="1"/>
  <c r="G582" i="1"/>
  <c r="H582" i="1"/>
  <c r="A583" i="1"/>
  <c r="B583" i="1"/>
  <c r="C583" i="1"/>
  <c r="E583" i="1"/>
  <c r="G583" i="1"/>
  <c r="H583" i="1"/>
  <c r="A584" i="1"/>
  <c r="B584" i="1"/>
  <c r="C584" i="1"/>
  <c r="E584" i="1"/>
  <c r="G584" i="1"/>
  <c r="H584" i="1"/>
  <c r="A585" i="1"/>
  <c r="B585" i="1"/>
  <c r="C585" i="1"/>
  <c r="E585" i="1"/>
  <c r="G585" i="1"/>
  <c r="H585" i="1"/>
  <c r="A586" i="1"/>
  <c r="B586" i="1"/>
  <c r="C586" i="1"/>
  <c r="E586" i="1"/>
  <c r="G586" i="1"/>
  <c r="H586" i="1"/>
  <c r="A587" i="1"/>
  <c r="B587" i="1"/>
  <c r="C587" i="1"/>
  <c r="E587" i="1"/>
  <c r="G587" i="1"/>
  <c r="H587" i="1"/>
  <c r="A588" i="1"/>
  <c r="B588" i="1"/>
  <c r="C588" i="1"/>
  <c r="E588" i="1"/>
  <c r="G588" i="1"/>
  <c r="H588" i="1"/>
  <c r="A589" i="1"/>
  <c r="B589" i="1"/>
  <c r="C589" i="1"/>
  <c r="E589" i="1"/>
  <c r="G589" i="1"/>
  <c r="H589" i="1"/>
  <c r="A590" i="1"/>
  <c r="B590" i="1"/>
  <c r="C590" i="1"/>
  <c r="E590" i="1"/>
  <c r="G590" i="1"/>
  <c r="H590" i="1"/>
  <c r="A591" i="1"/>
  <c r="B591" i="1"/>
  <c r="C591" i="1"/>
  <c r="E591" i="1"/>
  <c r="G591" i="1"/>
  <c r="H591" i="1"/>
  <c r="A592" i="1"/>
  <c r="B592" i="1"/>
  <c r="C592" i="1"/>
  <c r="E592" i="1"/>
  <c r="G592" i="1"/>
  <c r="H592" i="1"/>
  <c r="A593" i="1"/>
  <c r="B593" i="1"/>
  <c r="C593" i="1"/>
  <c r="E593" i="1"/>
  <c r="G593" i="1"/>
  <c r="H593" i="1"/>
  <c r="A594" i="1"/>
  <c r="B594" i="1"/>
  <c r="C594" i="1"/>
  <c r="E594" i="1"/>
  <c r="G594" i="1"/>
  <c r="H594" i="1"/>
  <c r="A595" i="1"/>
  <c r="B595" i="1"/>
  <c r="C595" i="1"/>
  <c r="E595" i="1"/>
  <c r="G595" i="1"/>
  <c r="H595" i="1"/>
  <c r="A596" i="1"/>
  <c r="B596" i="1"/>
  <c r="C596" i="1"/>
  <c r="E596" i="1"/>
  <c r="G596" i="1"/>
  <c r="H596" i="1"/>
  <c r="A597" i="1"/>
  <c r="B597" i="1"/>
  <c r="C597" i="1"/>
  <c r="E597" i="1"/>
  <c r="G597" i="1"/>
  <c r="H597" i="1"/>
  <c r="A598" i="1"/>
  <c r="B598" i="1"/>
  <c r="C598" i="1"/>
  <c r="E598" i="1"/>
  <c r="G598" i="1"/>
  <c r="H598" i="1"/>
  <c r="A599" i="1"/>
  <c r="B599" i="1"/>
  <c r="C599" i="1"/>
  <c r="E599" i="1"/>
  <c r="G599" i="1"/>
  <c r="H599" i="1"/>
  <c r="A600" i="1"/>
  <c r="B600" i="1"/>
  <c r="C600" i="1"/>
  <c r="E600" i="1"/>
  <c r="G600" i="1"/>
  <c r="H600" i="1"/>
  <c r="A601" i="1"/>
  <c r="B601" i="1"/>
  <c r="C601" i="1"/>
  <c r="E601" i="1"/>
  <c r="G601" i="1"/>
  <c r="H601" i="1"/>
  <c r="A602" i="1"/>
  <c r="B602" i="1"/>
  <c r="C602" i="1"/>
  <c r="E602" i="1"/>
  <c r="G602" i="1"/>
  <c r="H602" i="1"/>
  <c r="A603" i="1"/>
  <c r="B603" i="1"/>
  <c r="C603" i="1"/>
  <c r="E603" i="1"/>
  <c r="G603" i="1"/>
  <c r="H603" i="1"/>
  <c r="A604" i="1"/>
  <c r="B604" i="1"/>
  <c r="C604" i="1"/>
  <c r="E604" i="1"/>
  <c r="G604" i="1"/>
  <c r="H604" i="1"/>
  <c r="A605" i="1"/>
  <c r="B605" i="1"/>
  <c r="C605" i="1"/>
  <c r="E605" i="1"/>
  <c r="G605" i="1"/>
  <c r="H605" i="1"/>
  <c r="A606" i="1"/>
  <c r="B606" i="1"/>
  <c r="C606" i="1"/>
  <c r="E606" i="1"/>
  <c r="G606" i="1"/>
  <c r="H606" i="1"/>
  <c r="A607" i="1"/>
  <c r="B607" i="1"/>
  <c r="C607" i="1"/>
  <c r="E607" i="1"/>
  <c r="G607" i="1"/>
  <c r="H607" i="1"/>
  <c r="A608" i="1"/>
  <c r="B608" i="1"/>
  <c r="C608" i="1"/>
  <c r="E608" i="1"/>
  <c r="G608" i="1"/>
  <c r="H608" i="1"/>
  <c r="A609" i="1"/>
  <c r="B609" i="1"/>
  <c r="C609" i="1"/>
  <c r="E609" i="1"/>
  <c r="G609" i="1"/>
  <c r="H609" i="1"/>
  <c r="A610" i="1"/>
  <c r="B610" i="1"/>
  <c r="C610" i="1"/>
  <c r="E610" i="1"/>
  <c r="G610" i="1"/>
  <c r="H610" i="1"/>
  <c r="A611" i="1"/>
  <c r="B611" i="1"/>
  <c r="C611" i="1"/>
  <c r="E611" i="1"/>
  <c r="G611" i="1"/>
  <c r="H611" i="1"/>
  <c r="A612" i="1"/>
  <c r="B612" i="1"/>
  <c r="C612" i="1"/>
  <c r="E612" i="1"/>
  <c r="G612" i="1"/>
  <c r="H612" i="1"/>
  <c r="A613" i="1"/>
  <c r="B613" i="1"/>
  <c r="C613" i="1"/>
  <c r="E613" i="1"/>
  <c r="G613" i="1"/>
  <c r="H613" i="1"/>
  <c r="A614" i="1"/>
  <c r="B614" i="1"/>
  <c r="C614" i="1"/>
  <c r="E614" i="1"/>
  <c r="G614" i="1"/>
  <c r="H614" i="1"/>
  <c r="A615" i="1"/>
  <c r="B615" i="1"/>
  <c r="C615" i="1"/>
  <c r="E615" i="1"/>
  <c r="G615" i="1"/>
  <c r="H615" i="1"/>
  <c r="A616" i="1"/>
  <c r="B616" i="1"/>
  <c r="C616" i="1"/>
  <c r="E616" i="1"/>
  <c r="G616" i="1"/>
  <c r="H616" i="1"/>
  <c r="A617" i="1"/>
  <c r="B617" i="1"/>
  <c r="C617" i="1"/>
  <c r="E617" i="1"/>
  <c r="G617" i="1"/>
  <c r="H617" i="1"/>
  <c r="A618" i="1"/>
  <c r="B618" i="1"/>
  <c r="C618" i="1"/>
  <c r="E618" i="1"/>
  <c r="G618" i="1"/>
  <c r="H618" i="1"/>
  <c r="A619" i="1"/>
  <c r="B619" i="1"/>
  <c r="C619" i="1"/>
  <c r="E619" i="1"/>
  <c r="G619" i="1"/>
  <c r="H619" i="1"/>
  <c r="A620" i="1"/>
  <c r="B620" i="1"/>
  <c r="C620" i="1"/>
  <c r="E620" i="1"/>
  <c r="G620" i="1"/>
  <c r="H620" i="1"/>
  <c r="A621" i="1"/>
  <c r="B621" i="1"/>
  <c r="C621" i="1"/>
  <c r="E621" i="1"/>
  <c r="G621" i="1"/>
  <c r="H621" i="1"/>
  <c r="A622" i="1"/>
  <c r="B622" i="1"/>
  <c r="C622" i="1"/>
  <c r="E622" i="1"/>
  <c r="G622" i="1"/>
  <c r="H622" i="1"/>
  <c r="A623" i="1"/>
  <c r="B623" i="1"/>
  <c r="C623" i="1"/>
  <c r="E623" i="1"/>
  <c r="G623" i="1"/>
  <c r="H623" i="1"/>
  <c r="A624" i="1"/>
  <c r="B624" i="1"/>
  <c r="C624" i="1"/>
  <c r="E624" i="1"/>
  <c r="G624" i="1"/>
  <c r="H624" i="1"/>
  <c r="A625" i="1"/>
  <c r="B625" i="1"/>
  <c r="C625" i="1"/>
  <c r="E625" i="1"/>
  <c r="G625" i="1"/>
  <c r="H625" i="1"/>
  <c r="A626" i="1"/>
  <c r="B626" i="1"/>
  <c r="C626" i="1"/>
  <c r="E626" i="1"/>
  <c r="G626" i="1"/>
  <c r="H626" i="1"/>
  <c r="A627" i="1"/>
  <c r="B627" i="1"/>
  <c r="C627" i="1"/>
  <c r="E627" i="1"/>
  <c r="G627" i="1"/>
  <c r="H627" i="1"/>
  <c r="A628" i="1"/>
  <c r="B628" i="1"/>
  <c r="C628" i="1"/>
  <c r="E628" i="1"/>
  <c r="G628" i="1"/>
  <c r="H628" i="1"/>
  <c r="A629" i="1"/>
  <c r="B629" i="1"/>
  <c r="C629" i="1"/>
  <c r="E629" i="1"/>
  <c r="G629" i="1"/>
  <c r="H629" i="1"/>
  <c r="A630" i="1"/>
  <c r="B630" i="1"/>
  <c r="C630" i="1"/>
  <c r="E630" i="1"/>
  <c r="G630" i="1"/>
  <c r="H630" i="1"/>
  <c r="A631" i="1"/>
  <c r="B631" i="1"/>
  <c r="C631" i="1"/>
  <c r="E631" i="1"/>
  <c r="G631" i="1"/>
  <c r="H631" i="1"/>
  <c r="A632" i="1"/>
  <c r="B632" i="1"/>
  <c r="C632" i="1"/>
  <c r="E632" i="1"/>
  <c r="G632" i="1"/>
  <c r="H632" i="1"/>
  <c r="A633" i="1"/>
  <c r="B633" i="1"/>
  <c r="C633" i="1"/>
  <c r="E633" i="1"/>
  <c r="G633" i="1"/>
  <c r="H633" i="1"/>
  <c r="A634" i="1"/>
  <c r="B634" i="1"/>
  <c r="C634" i="1"/>
  <c r="E634" i="1"/>
  <c r="G634" i="1"/>
  <c r="H634" i="1"/>
  <c r="A635" i="1"/>
  <c r="B635" i="1"/>
  <c r="C635" i="1"/>
  <c r="E635" i="1"/>
  <c r="G635" i="1"/>
  <c r="H635" i="1"/>
  <c r="A636" i="1"/>
  <c r="B636" i="1"/>
  <c r="C636" i="1"/>
  <c r="E636" i="1"/>
  <c r="G636" i="1"/>
  <c r="H636" i="1"/>
  <c r="A637" i="1"/>
  <c r="B637" i="1"/>
  <c r="C637" i="1"/>
  <c r="E637" i="1"/>
  <c r="G637" i="1"/>
  <c r="H637" i="1"/>
  <c r="A638" i="1"/>
  <c r="B638" i="1"/>
  <c r="C638" i="1"/>
  <c r="E638" i="1"/>
  <c r="G638" i="1"/>
  <c r="H638" i="1"/>
  <c r="A639" i="1"/>
  <c r="B639" i="1"/>
  <c r="C639" i="1"/>
  <c r="E639" i="1"/>
  <c r="G639" i="1"/>
  <c r="H639" i="1"/>
  <c r="A640" i="1"/>
  <c r="B640" i="1"/>
  <c r="C640" i="1"/>
  <c r="E640" i="1"/>
  <c r="G640" i="1"/>
  <c r="H640" i="1"/>
  <c r="A641" i="1"/>
  <c r="B641" i="1"/>
  <c r="C641" i="1"/>
  <c r="E641" i="1"/>
  <c r="G641" i="1"/>
  <c r="H641" i="1"/>
  <c r="A642" i="1"/>
  <c r="B642" i="1"/>
  <c r="C642" i="1"/>
  <c r="E642" i="1"/>
  <c r="G642" i="1"/>
  <c r="H642" i="1"/>
  <c r="A643" i="1"/>
  <c r="B643" i="1"/>
  <c r="C643" i="1"/>
  <c r="E643" i="1"/>
  <c r="G643" i="1"/>
  <c r="H643" i="1"/>
  <c r="A644" i="1"/>
  <c r="B644" i="1"/>
  <c r="C644" i="1"/>
  <c r="E644" i="1"/>
  <c r="G644" i="1"/>
  <c r="H644" i="1"/>
  <c r="A645" i="1"/>
  <c r="B645" i="1"/>
  <c r="C645" i="1"/>
  <c r="E645" i="1"/>
  <c r="G645" i="1"/>
  <c r="H645" i="1"/>
  <c r="A646" i="1"/>
  <c r="B646" i="1"/>
  <c r="C646" i="1"/>
  <c r="E646" i="1"/>
  <c r="G646" i="1"/>
  <c r="H646" i="1"/>
  <c r="A647" i="1"/>
  <c r="B647" i="1"/>
  <c r="C647" i="1"/>
  <c r="E647" i="1"/>
  <c r="G647" i="1"/>
  <c r="H647" i="1"/>
  <c r="A648" i="1"/>
  <c r="B648" i="1"/>
  <c r="C648" i="1"/>
  <c r="E648" i="1"/>
  <c r="G648" i="1"/>
  <c r="H648" i="1"/>
  <c r="A649" i="1"/>
  <c r="B649" i="1"/>
  <c r="C649" i="1"/>
  <c r="E649" i="1"/>
  <c r="G649" i="1"/>
  <c r="H649" i="1"/>
  <c r="A650" i="1"/>
  <c r="B650" i="1"/>
  <c r="C650" i="1"/>
  <c r="E650" i="1"/>
  <c r="G650" i="1"/>
  <c r="H650" i="1"/>
  <c r="A651" i="1"/>
  <c r="B651" i="1"/>
  <c r="C651" i="1"/>
  <c r="E651" i="1"/>
  <c r="G651" i="1"/>
  <c r="H651" i="1"/>
  <c r="A652" i="1"/>
  <c r="B652" i="1"/>
  <c r="C652" i="1"/>
  <c r="E652" i="1"/>
  <c r="G652" i="1"/>
  <c r="H652" i="1"/>
  <c r="A653" i="1"/>
  <c r="B653" i="1"/>
  <c r="C653" i="1"/>
  <c r="E653" i="1"/>
  <c r="G653" i="1"/>
  <c r="H653" i="1"/>
  <c r="A654" i="1"/>
  <c r="B654" i="1"/>
  <c r="C654" i="1"/>
  <c r="E654" i="1"/>
  <c r="G654" i="1"/>
  <c r="H654" i="1"/>
  <c r="A655" i="1"/>
  <c r="B655" i="1"/>
  <c r="C655" i="1"/>
  <c r="E655" i="1"/>
  <c r="G655" i="1"/>
  <c r="H655" i="1"/>
  <c r="A656" i="1"/>
  <c r="B656" i="1"/>
  <c r="C656" i="1"/>
  <c r="E656" i="1"/>
  <c r="G656" i="1"/>
  <c r="H656" i="1"/>
  <c r="A657" i="1"/>
  <c r="B657" i="1"/>
  <c r="C657" i="1"/>
  <c r="E657" i="1"/>
  <c r="G657" i="1"/>
  <c r="H657" i="1"/>
  <c r="A658" i="1"/>
  <c r="B658" i="1"/>
  <c r="C658" i="1"/>
  <c r="E658" i="1"/>
  <c r="G658" i="1"/>
  <c r="H658" i="1"/>
  <c r="A659" i="1"/>
  <c r="B659" i="1"/>
  <c r="C659" i="1"/>
  <c r="E659" i="1"/>
  <c r="G659" i="1"/>
  <c r="H659" i="1"/>
  <c r="A660" i="1"/>
  <c r="B660" i="1"/>
  <c r="C660" i="1"/>
  <c r="E660" i="1"/>
  <c r="G660" i="1"/>
  <c r="H660" i="1"/>
  <c r="A661" i="1"/>
  <c r="B661" i="1"/>
  <c r="C661" i="1"/>
  <c r="E661" i="1"/>
  <c r="G661" i="1"/>
  <c r="H661" i="1"/>
  <c r="A662" i="1"/>
  <c r="B662" i="1"/>
  <c r="C662" i="1"/>
  <c r="E662" i="1"/>
  <c r="G662" i="1"/>
  <c r="H662" i="1"/>
  <c r="A663" i="1"/>
  <c r="B663" i="1"/>
  <c r="C663" i="1"/>
  <c r="E663" i="1"/>
  <c r="G663" i="1"/>
  <c r="H663" i="1"/>
  <c r="A664" i="1"/>
  <c r="B664" i="1"/>
  <c r="C664" i="1"/>
  <c r="E664" i="1"/>
  <c r="G664" i="1"/>
  <c r="H664" i="1"/>
  <c r="A665" i="1"/>
  <c r="B665" i="1"/>
  <c r="C665" i="1"/>
  <c r="E665" i="1"/>
  <c r="G665" i="1"/>
  <c r="H665" i="1"/>
  <c r="A666" i="1"/>
  <c r="B666" i="1"/>
  <c r="C666" i="1"/>
  <c r="E666" i="1"/>
  <c r="G666" i="1"/>
  <c r="H666" i="1"/>
  <c r="A667" i="1"/>
  <c r="B667" i="1"/>
  <c r="C667" i="1"/>
  <c r="E667" i="1"/>
  <c r="G667" i="1"/>
  <c r="H667" i="1"/>
  <c r="A668" i="1"/>
  <c r="B668" i="1"/>
  <c r="C668" i="1"/>
  <c r="E668" i="1"/>
  <c r="G668" i="1"/>
  <c r="H668" i="1"/>
  <c r="A669" i="1"/>
  <c r="B669" i="1"/>
  <c r="C669" i="1"/>
  <c r="E669" i="1"/>
  <c r="G669" i="1"/>
  <c r="H669" i="1"/>
  <c r="A670" i="1"/>
  <c r="B670" i="1"/>
  <c r="C670" i="1"/>
  <c r="E670" i="1"/>
  <c r="G670" i="1"/>
  <c r="H670" i="1"/>
  <c r="A671" i="1"/>
  <c r="B671" i="1"/>
  <c r="C671" i="1"/>
  <c r="E671" i="1"/>
  <c r="G671" i="1"/>
  <c r="H671" i="1"/>
  <c r="A672" i="1"/>
  <c r="B672" i="1"/>
  <c r="C672" i="1"/>
  <c r="E672" i="1"/>
  <c r="G672" i="1"/>
  <c r="H672" i="1"/>
  <c r="A673" i="1"/>
  <c r="B673" i="1"/>
  <c r="C673" i="1"/>
  <c r="E673" i="1"/>
  <c r="G673" i="1"/>
  <c r="H673" i="1"/>
  <c r="A674" i="1"/>
  <c r="B674" i="1"/>
  <c r="C674" i="1"/>
  <c r="E674" i="1"/>
  <c r="G674" i="1"/>
  <c r="H674" i="1"/>
  <c r="A675" i="1"/>
  <c r="B675" i="1"/>
  <c r="C675" i="1"/>
  <c r="E675" i="1"/>
  <c r="G675" i="1"/>
  <c r="H675" i="1"/>
  <c r="A676" i="1"/>
  <c r="B676" i="1"/>
  <c r="C676" i="1"/>
  <c r="E676" i="1"/>
  <c r="G676" i="1"/>
  <c r="H676" i="1"/>
  <c r="A677" i="1"/>
  <c r="B677" i="1"/>
  <c r="C677" i="1"/>
  <c r="E677" i="1"/>
  <c r="G677" i="1"/>
  <c r="H677" i="1"/>
  <c r="A678" i="1"/>
  <c r="B678" i="1"/>
  <c r="C678" i="1"/>
  <c r="E678" i="1"/>
  <c r="G678" i="1"/>
  <c r="H678" i="1"/>
  <c r="A679" i="1"/>
  <c r="B679" i="1"/>
  <c r="C679" i="1"/>
  <c r="E679" i="1"/>
  <c r="G679" i="1"/>
  <c r="H679" i="1"/>
  <c r="A680" i="1"/>
  <c r="B680" i="1"/>
  <c r="C680" i="1"/>
  <c r="E680" i="1"/>
  <c r="G680" i="1"/>
  <c r="H680" i="1"/>
  <c r="A681" i="1"/>
  <c r="B681" i="1"/>
  <c r="C681" i="1"/>
  <c r="E681" i="1"/>
  <c r="G681" i="1"/>
  <c r="H681" i="1"/>
  <c r="A682" i="1"/>
  <c r="B682" i="1"/>
  <c r="C682" i="1"/>
  <c r="E682" i="1"/>
  <c r="G682" i="1"/>
  <c r="H682" i="1"/>
  <c r="A683" i="1"/>
  <c r="B683" i="1"/>
  <c r="C683" i="1"/>
  <c r="E683" i="1"/>
  <c r="G683" i="1"/>
  <c r="H683" i="1"/>
  <c r="A684" i="1"/>
  <c r="B684" i="1"/>
  <c r="C684" i="1"/>
  <c r="E684" i="1"/>
  <c r="G684" i="1"/>
  <c r="H684" i="1"/>
  <c r="A685" i="1"/>
  <c r="B685" i="1"/>
  <c r="C685" i="1"/>
  <c r="E685" i="1"/>
  <c r="G685" i="1"/>
  <c r="H685" i="1"/>
  <c r="A686" i="1"/>
  <c r="B686" i="1"/>
  <c r="C686" i="1"/>
  <c r="E686" i="1"/>
  <c r="G686" i="1"/>
  <c r="H686" i="1"/>
  <c r="A687" i="1"/>
  <c r="B687" i="1"/>
  <c r="C687" i="1"/>
  <c r="E687" i="1"/>
  <c r="G687" i="1"/>
  <c r="H687" i="1"/>
  <c r="A688" i="1"/>
  <c r="B688" i="1"/>
  <c r="C688" i="1"/>
  <c r="E688" i="1"/>
  <c r="G688" i="1"/>
  <c r="H688" i="1"/>
  <c r="A689" i="1"/>
  <c r="B689" i="1"/>
  <c r="C689" i="1"/>
  <c r="E689" i="1"/>
  <c r="G689" i="1"/>
  <c r="H689" i="1"/>
  <c r="A690" i="1"/>
  <c r="B690" i="1"/>
  <c r="C690" i="1"/>
  <c r="E690" i="1"/>
  <c r="G690" i="1"/>
  <c r="H690" i="1"/>
  <c r="A691" i="1"/>
  <c r="B691" i="1"/>
  <c r="C691" i="1"/>
  <c r="E691" i="1"/>
  <c r="G691" i="1"/>
  <c r="H691" i="1"/>
  <c r="A692" i="1"/>
  <c r="B692" i="1"/>
  <c r="C692" i="1"/>
  <c r="E692" i="1"/>
  <c r="G692" i="1"/>
  <c r="H692" i="1"/>
  <c r="A693" i="1"/>
  <c r="B693" i="1"/>
  <c r="C693" i="1"/>
  <c r="E693" i="1"/>
  <c r="G693" i="1"/>
  <c r="H693" i="1"/>
  <c r="A694" i="1"/>
  <c r="B694" i="1"/>
  <c r="C694" i="1"/>
  <c r="E694" i="1"/>
  <c r="G694" i="1"/>
  <c r="H694" i="1"/>
  <c r="A695" i="1"/>
  <c r="B695" i="1"/>
  <c r="C695" i="1"/>
  <c r="E695" i="1"/>
  <c r="G695" i="1"/>
  <c r="H695" i="1"/>
  <c r="A696" i="1"/>
  <c r="B696" i="1"/>
  <c r="C696" i="1"/>
  <c r="E696" i="1"/>
  <c r="G696" i="1"/>
  <c r="H696" i="1"/>
  <c r="A697" i="1"/>
  <c r="B697" i="1"/>
  <c r="C697" i="1"/>
  <c r="E697" i="1"/>
  <c r="G697" i="1"/>
  <c r="H697" i="1"/>
  <c r="A698" i="1"/>
  <c r="B698" i="1"/>
  <c r="C698" i="1"/>
  <c r="E698" i="1"/>
  <c r="G698" i="1"/>
  <c r="H698" i="1"/>
  <c r="A699" i="1"/>
  <c r="B699" i="1"/>
  <c r="C699" i="1"/>
  <c r="E699" i="1"/>
  <c r="G699" i="1"/>
  <c r="H699" i="1"/>
  <c r="A700" i="1"/>
  <c r="B700" i="1"/>
  <c r="C700" i="1"/>
  <c r="E700" i="1"/>
  <c r="G700" i="1"/>
  <c r="H700" i="1"/>
  <c r="A701" i="1"/>
  <c r="B701" i="1"/>
  <c r="C701" i="1"/>
  <c r="E701" i="1"/>
  <c r="G701" i="1"/>
  <c r="H701" i="1"/>
  <c r="A702" i="1"/>
  <c r="B702" i="1"/>
  <c r="C702" i="1"/>
  <c r="E702" i="1"/>
  <c r="G702" i="1"/>
  <c r="H702" i="1"/>
  <c r="A703" i="1"/>
  <c r="B703" i="1"/>
  <c r="C703" i="1"/>
  <c r="E703" i="1"/>
  <c r="G703" i="1"/>
  <c r="H703" i="1"/>
  <c r="A704" i="1"/>
  <c r="B704" i="1"/>
  <c r="C704" i="1"/>
  <c r="E704" i="1"/>
  <c r="G704" i="1"/>
  <c r="H704" i="1"/>
  <c r="A705" i="1"/>
  <c r="B705" i="1"/>
  <c r="C705" i="1"/>
  <c r="E705" i="1"/>
  <c r="G705" i="1"/>
  <c r="H705" i="1"/>
  <c r="A706" i="1"/>
  <c r="B706" i="1"/>
  <c r="C706" i="1"/>
  <c r="E706" i="1"/>
  <c r="G706" i="1"/>
  <c r="H706" i="1"/>
  <c r="A707" i="1"/>
  <c r="B707" i="1"/>
  <c r="C707" i="1"/>
  <c r="E707" i="1"/>
  <c r="G707" i="1"/>
  <c r="H707" i="1"/>
  <c r="A708" i="1"/>
  <c r="B708" i="1"/>
  <c r="C708" i="1"/>
  <c r="E708" i="1"/>
  <c r="G708" i="1"/>
  <c r="H708" i="1"/>
  <c r="A709" i="1"/>
  <c r="B709" i="1"/>
  <c r="C709" i="1"/>
  <c r="E709" i="1"/>
  <c r="G709" i="1"/>
  <c r="H709" i="1"/>
  <c r="A710" i="1"/>
  <c r="B710" i="1"/>
  <c r="C710" i="1"/>
  <c r="E710" i="1"/>
  <c r="G710" i="1"/>
  <c r="H710" i="1"/>
  <c r="A711" i="1"/>
  <c r="B711" i="1"/>
  <c r="C711" i="1"/>
  <c r="E711" i="1"/>
  <c r="G711" i="1"/>
  <c r="H711" i="1"/>
  <c r="A712" i="1"/>
  <c r="B712" i="1"/>
  <c r="C712" i="1"/>
  <c r="E712" i="1"/>
  <c r="G712" i="1"/>
  <c r="H712" i="1"/>
  <c r="A713" i="1"/>
  <c r="B713" i="1"/>
  <c r="C713" i="1"/>
  <c r="E713" i="1"/>
  <c r="G713" i="1"/>
  <c r="H713" i="1"/>
  <c r="A714" i="1"/>
  <c r="B714" i="1"/>
  <c r="C714" i="1"/>
  <c r="E714" i="1"/>
  <c r="G714" i="1"/>
  <c r="H714" i="1"/>
  <c r="A715" i="1"/>
  <c r="B715" i="1"/>
  <c r="C715" i="1"/>
  <c r="E715" i="1"/>
  <c r="G715" i="1"/>
  <c r="H715" i="1"/>
  <c r="A716" i="1"/>
  <c r="B716" i="1"/>
  <c r="C716" i="1"/>
  <c r="E716" i="1"/>
  <c r="G716" i="1"/>
  <c r="H716" i="1"/>
  <c r="A717" i="1"/>
  <c r="B717" i="1"/>
  <c r="C717" i="1"/>
  <c r="E717" i="1"/>
  <c r="G717" i="1"/>
  <c r="H717" i="1"/>
  <c r="A718" i="1"/>
  <c r="B718" i="1"/>
  <c r="C718" i="1"/>
  <c r="E718" i="1"/>
  <c r="G718" i="1"/>
  <c r="H718" i="1"/>
  <c r="A719" i="1"/>
  <c r="B719" i="1"/>
  <c r="C719" i="1"/>
  <c r="E719" i="1"/>
  <c r="G719" i="1"/>
  <c r="H719" i="1"/>
  <c r="A720" i="1"/>
  <c r="B720" i="1"/>
  <c r="C720" i="1"/>
  <c r="E720" i="1"/>
  <c r="G720" i="1"/>
  <c r="H720" i="1"/>
  <c r="A721" i="1"/>
  <c r="B721" i="1"/>
  <c r="C721" i="1"/>
  <c r="E721" i="1"/>
  <c r="G721" i="1"/>
  <c r="H721" i="1"/>
  <c r="A722" i="1"/>
  <c r="B722" i="1"/>
  <c r="C722" i="1"/>
  <c r="E722" i="1"/>
  <c r="G722" i="1"/>
  <c r="H722" i="1"/>
  <c r="A723" i="1"/>
  <c r="B723" i="1"/>
  <c r="C723" i="1"/>
  <c r="E723" i="1"/>
  <c r="G723" i="1"/>
  <c r="H723" i="1"/>
  <c r="A724" i="1"/>
  <c r="B724" i="1"/>
  <c r="C724" i="1"/>
  <c r="E724" i="1"/>
  <c r="G724" i="1"/>
  <c r="H724" i="1"/>
  <c r="A725" i="1"/>
  <c r="B725" i="1"/>
  <c r="C725" i="1"/>
  <c r="E725" i="1"/>
  <c r="G725" i="1"/>
  <c r="H725" i="1"/>
  <c r="A726" i="1"/>
  <c r="B726" i="1"/>
  <c r="C726" i="1"/>
  <c r="E726" i="1"/>
  <c r="G726" i="1"/>
  <c r="H726" i="1"/>
  <c r="A727" i="1"/>
  <c r="B727" i="1"/>
  <c r="C727" i="1"/>
  <c r="E727" i="1"/>
  <c r="G727" i="1"/>
  <c r="H727" i="1"/>
  <c r="A728" i="1"/>
  <c r="B728" i="1"/>
  <c r="C728" i="1"/>
  <c r="E728" i="1"/>
  <c r="G728" i="1"/>
  <c r="H728" i="1"/>
  <c r="A729" i="1"/>
  <c r="B729" i="1"/>
  <c r="C729" i="1"/>
  <c r="E729" i="1"/>
  <c r="G729" i="1"/>
  <c r="H729" i="1"/>
  <c r="A730" i="1"/>
  <c r="B730" i="1"/>
  <c r="C730" i="1"/>
  <c r="E730" i="1"/>
  <c r="G730" i="1"/>
  <c r="H730" i="1"/>
  <c r="A731" i="1"/>
  <c r="B731" i="1"/>
  <c r="C731" i="1"/>
  <c r="E731" i="1"/>
  <c r="G731" i="1"/>
  <c r="H731" i="1"/>
  <c r="A732" i="1"/>
  <c r="B732" i="1"/>
  <c r="C732" i="1"/>
  <c r="E732" i="1"/>
  <c r="G732" i="1"/>
  <c r="H732" i="1"/>
  <c r="A733" i="1"/>
  <c r="B733" i="1"/>
  <c r="C733" i="1"/>
  <c r="E733" i="1"/>
  <c r="G733" i="1"/>
  <c r="H733" i="1"/>
  <c r="A734" i="1"/>
  <c r="B734" i="1"/>
  <c r="C734" i="1"/>
  <c r="E734" i="1"/>
  <c r="G734" i="1"/>
  <c r="H734" i="1"/>
  <c r="A735" i="1"/>
  <c r="B735" i="1"/>
  <c r="C735" i="1"/>
  <c r="E735" i="1"/>
  <c r="G735" i="1"/>
  <c r="H735" i="1"/>
  <c r="A736" i="1"/>
  <c r="B736" i="1"/>
  <c r="C736" i="1"/>
  <c r="E736" i="1"/>
  <c r="G736" i="1"/>
  <c r="H736" i="1"/>
  <c r="A737" i="1"/>
  <c r="B737" i="1"/>
  <c r="C737" i="1"/>
  <c r="E737" i="1"/>
  <c r="G737" i="1"/>
  <c r="H737" i="1"/>
  <c r="A738" i="1"/>
  <c r="B738" i="1"/>
  <c r="C738" i="1"/>
  <c r="E738" i="1"/>
  <c r="G738" i="1"/>
  <c r="H738" i="1"/>
  <c r="A739" i="1"/>
  <c r="B739" i="1"/>
  <c r="C739" i="1"/>
  <c r="E739" i="1"/>
  <c r="G739" i="1"/>
  <c r="H739" i="1"/>
  <c r="A740" i="1"/>
  <c r="B740" i="1"/>
  <c r="C740" i="1"/>
  <c r="E740" i="1"/>
  <c r="G740" i="1"/>
  <c r="H740" i="1"/>
  <c r="A741" i="1"/>
  <c r="B741" i="1"/>
  <c r="C741" i="1"/>
  <c r="E741" i="1"/>
  <c r="G741" i="1"/>
  <c r="H741" i="1"/>
  <c r="A742" i="1"/>
  <c r="B742" i="1"/>
  <c r="C742" i="1"/>
  <c r="E742" i="1"/>
  <c r="G742" i="1"/>
  <c r="H742" i="1"/>
  <c r="A743" i="1"/>
  <c r="B743" i="1"/>
  <c r="C743" i="1"/>
  <c r="E743" i="1"/>
  <c r="G743" i="1"/>
  <c r="H743" i="1"/>
  <c r="A744" i="1"/>
  <c r="B744" i="1"/>
  <c r="C744" i="1"/>
  <c r="E744" i="1"/>
  <c r="G744" i="1"/>
  <c r="H744" i="1"/>
  <c r="A745" i="1"/>
  <c r="B745" i="1"/>
  <c r="C745" i="1"/>
  <c r="E745" i="1"/>
  <c r="G745" i="1"/>
  <c r="H745" i="1"/>
  <c r="A746" i="1"/>
  <c r="B746" i="1"/>
  <c r="C746" i="1"/>
  <c r="E746" i="1"/>
  <c r="G746" i="1"/>
  <c r="H746" i="1"/>
  <c r="A747" i="1"/>
  <c r="B747" i="1"/>
  <c r="C747" i="1"/>
  <c r="E747" i="1"/>
  <c r="G747" i="1"/>
  <c r="H747" i="1"/>
  <c r="A748" i="1"/>
  <c r="B748" i="1"/>
  <c r="C748" i="1"/>
  <c r="E748" i="1"/>
  <c r="G748" i="1"/>
  <c r="H748" i="1"/>
  <c r="A749" i="1"/>
  <c r="B749" i="1"/>
  <c r="C749" i="1"/>
  <c r="E749" i="1"/>
  <c r="G749" i="1"/>
  <c r="H749" i="1"/>
  <c r="A750" i="1"/>
  <c r="B750" i="1"/>
  <c r="C750" i="1"/>
  <c r="E750" i="1"/>
  <c r="G750" i="1"/>
  <c r="H750" i="1"/>
  <c r="A751" i="1"/>
  <c r="B751" i="1"/>
  <c r="C751" i="1"/>
  <c r="E751" i="1"/>
  <c r="G751" i="1"/>
  <c r="H751" i="1"/>
  <c r="A752" i="1"/>
  <c r="B752" i="1"/>
  <c r="C752" i="1"/>
  <c r="E752" i="1"/>
  <c r="G752" i="1"/>
  <c r="H752" i="1"/>
  <c r="A753" i="1"/>
  <c r="B753" i="1"/>
  <c r="C753" i="1"/>
  <c r="E753" i="1"/>
  <c r="G753" i="1"/>
  <c r="H753" i="1"/>
  <c r="A754" i="1"/>
  <c r="B754" i="1"/>
  <c r="C754" i="1"/>
  <c r="E754" i="1"/>
  <c r="G754" i="1"/>
  <c r="H754" i="1"/>
  <c r="A755" i="1"/>
  <c r="B755" i="1"/>
  <c r="C755" i="1"/>
  <c r="E755" i="1"/>
  <c r="G755" i="1"/>
  <c r="H755" i="1"/>
  <c r="A756" i="1"/>
  <c r="B756" i="1"/>
  <c r="C756" i="1"/>
  <c r="E756" i="1"/>
  <c r="G756" i="1"/>
  <c r="H756" i="1"/>
  <c r="A757" i="1"/>
  <c r="B757" i="1"/>
  <c r="C757" i="1"/>
  <c r="E757" i="1"/>
  <c r="G757" i="1"/>
  <c r="H757" i="1"/>
  <c r="A758" i="1"/>
  <c r="B758" i="1"/>
  <c r="C758" i="1"/>
  <c r="E758" i="1"/>
  <c r="G758" i="1"/>
  <c r="H758" i="1"/>
  <c r="A759" i="1"/>
  <c r="B759" i="1"/>
  <c r="C759" i="1"/>
  <c r="E759" i="1"/>
  <c r="G759" i="1"/>
  <c r="H759" i="1"/>
  <c r="A760" i="1"/>
  <c r="B760" i="1"/>
  <c r="C760" i="1"/>
  <c r="E760" i="1"/>
  <c r="G760" i="1"/>
  <c r="H760" i="1"/>
  <c r="A761" i="1"/>
  <c r="B761" i="1"/>
  <c r="C761" i="1"/>
  <c r="E761" i="1"/>
  <c r="G761" i="1"/>
  <c r="H761" i="1"/>
  <c r="A762" i="1"/>
  <c r="B762" i="1"/>
  <c r="C762" i="1"/>
  <c r="E762" i="1"/>
  <c r="G762" i="1"/>
  <c r="H762" i="1"/>
  <c r="A763" i="1"/>
  <c r="B763" i="1"/>
  <c r="C763" i="1"/>
  <c r="E763" i="1"/>
  <c r="G763" i="1"/>
  <c r="H763" i="1"/>
  <c r="A764" i="1"/>
  <c r="B764" i="1"/>
  <c r="C764" i="1"/>
  <c r="E764" i="1"/>
  <c r="G764" i="1"/>
  <c r="H764" i="1"/>
  <c r="A765" i="1"/>
  <c r="B765" i="1"/>
  <c r="C765" i="1"/>
  <c r="E765" i="1"/>
  <c r="G765" i="1"/>
  <c r="H765" i="1"/>
  <c r="A766" i="1"/>
  <c r="B766" i="1"/>
  <c r="C766" i="1"/>
  <c r="E766" i="1"/>
  <c r="G766" i="1"/>
  <c r="H766" i="1"/>
  <c r="A767" i="1"/>
  <c r="B767" i="1"/>
  <c r="C767" i="1"/>
  <c r="E767" i="1"/>
  <c r="G767" i="1"/>
  <c r="H767" i="1"/>
  <c r="A768" i="1"/>
  <c r="B768" i="1"/>
  <c r="C768" i="1"/>
  <c r="E768" i="1"/>
  <c r="G768" i="1"/>
  <c r="H768" i="1"/>
  <c r="A769" i="1"/>
  <c r="B769" i="1"/>
  <c r="C769" i="1"/>
  <c r="E769" i="1"/>
  <c r="G769" i="1"/>
  <c r="H769" i="1"/>
  <c r="A770" i="1"/>
  <c r="B770" i="1"/>
  <c r="C770" i="1"/>
  <c r="E770" i="1"/>
  <c r="G770" i="1"/>
  <c r="H770" i="1"/>
  <c r="A771" i="1"/>
  <c r="B771" i="1"/>
  <c r="C771" i="1"/>
  <c r="E771" i="1"/>
  <c r="G771" i="1"/>
  <c r="H771" i="1"/>
  <c r="A772" i="1"/>
  <c r="B772" i="1"/>
  <c r="C772" i="1"/>
  <c r="E772" i="1"/>
  <c r="G772" i="1"/>
  <c r="H772" i="1"/>
  <c r="A773" i="1"/>
  <c r="B773" i="1"/>
  <c r="C773" i="1"/>
  <c r="E773" i="1"/>
  <c r="G773" i="1"/>
  <c r="H773" i="1"/>
  <c r="A774" i="1"/>
  <c r="B774" i="1"/>
  <c r="C774" i="1"/>
  <c r="E774" i="1"/>
  <c r="G774" i="1"/>
  <c r="H774" i="1"/>
  <c r="A775" i="1"/>
  <c r="B775" i="1"/>
  <c r="C775" i="1"/>
  <c r="E775" i="1"/>
  <c r="G775" i="1"/>
  <c r="H775" i="1"/>
  <c r="A776" i="1"/>
  <c r="B776" i="1"/>
  <c r="C776" i="1"/>
  <c r="E776" i="1"/>
  <c r="G776" i="1"/>
  <c r="H776" i="1"/>
  <c r="A777" i="1"/>
  <c r="B777" i="1"/>
  <c r="C777" i="1"/>
  <c r="E777" i="1"/>
  <c r="G777" i="1"/>
  <c r="H777" i="1"/>
  <c r="A778" i="1"/>
  <c r="B778" i="1"/>
  <c r="C778" i="1"/>
  <c r="E778" i="1"/>
  <c r="G778" i="1"/>
  <c r="H778" i="1"/>
  <c r="A779" i="1"/>
  <c r="B779" i="1"/>
  <c r="C779" i="1"/>
  <c r="E779" i="1"/>
  <c r="G779" i="1"/>
  <c r="H779" i="1"/>
  <c r="A780" i="1"/>
  <c r="B780" i="1"/>
  <c r="C780" i="1"/>
  <c r="E780" i="1"/>
  <c r="G780" i="1"/>
  <c r="H780" i="1"/>
  <c r="A781" i="1"/>
  <c r="B781" i="1"/>
  <c r="C781" i="1"/>
  <c r="E781" i="1"/>
  <c r="G781" i="1"/>
  <c r="H781" i="1"/>
  <c r="A782" i="1"/>
  <c r="B782" i="1"/>
  <c r="C782" i="1"/>
  <c r="E782" i="1"/>
  <c r="G782" i="1"/>
  <c r="H782" i="1"/>
  <c r="A783" i="1"/>
  <c r="B783" i="1"/>
  <c r="C783" i="1"/>
  <c r="E783" i="1"/>
  <c r="G783" i="1"/>
  <c r="H783" i="1"/>
  <c r="A784" i="1"/>
  <c r="B784" i="1"/>
  <c r="C784" i="1"/>
  <c r="E784" i="1"/>
  <c r="G784" i="1"/>
  <c r="H784" i="1"/>
  <c r="A785" i="1"/>
  <c r="B785" i="1"/>
  <c r="C785" i="1"/>
  <c r="E785" i="1"/>
  <c r="G785" i="1"/>
  <c r="H785" i="1"/>
  <c r="A786" i="1"/>
  <c r="B786" i="1"/>
  <c r="C786" i="1"/>
  <c r="E786" i="1"/>
  <c r="G786" i="1"/>
  <c r="H786" i="1"/>
  <c r="A787" i="1"/>
  <c r="B787" i="1"/>
  <c r="C787" i="1"/>
  <c r="E787" i="1"/>
  <c r="G787" i="1"/>
  <c r="H787" i="1"/>
  <c r="A788" i="1"/>
  <c r="B788" i="1"/>
  <c r="C788" i="1"/>
  <c r="E788" i="1"/>
  <c r="G788" i="1"/>
  <c r="H788" i="1"/>
  <c r="A789" i="1"/>
  <c r="B789" i="1"/>
  <c r="C789" i="1"/>
  <c r="E789" i="1"/>
  <c r="G789" i="1"/>
  <c r="H789" i="1"/>
  <c r="A790" i="1"/>
  <c r="B790" i="1"/>
  <c r="C790" i="1"/>
  <c r="E790" i="1"/>
  <c r="G790" i="1"/>
  <c r="H790" i="1"/>
  <c r="A791" i="1"/>
  <c r="B791" i="1"/>
  <c r="C791" i="1"/>
  <c r="E791" i="1"/>
  <c r="G791" i="1"/>
  <c r="H791" i="1"/>
  <c r="A792" i="1"/>
  <c r="B792" i="1"/>
  <c r="C792" i="1"/>
  <c r="E792" i="1"/>
  <c r="G792" i="1"/>
  <c r="H792" i="1"/>
  <c r="A793" i="1"/>
  <c r="B793" i="1"/>
  <c r="C793" i="1"/>
  <c r="E793" i="1"/>
  <c r="G793" i="1"/>
  <c r="H793" i="1"/>
  <c r="A794" i="1"/>
  <c r="B794" i="1"/>
  <c r="C794" i="1"/>
  <c r="E794" i="1"/>
  <c r="G794" i="1"/>
  <c r="H794" i="1"/>
  <c r="A795" i="1"/>
  <c r="B795" i="1"/>
  <c r="C795" i="1"/>
  <c r="E795" i="1"/>
  <c r="G795" i="1"/>
  <c r="H795" i="1"/>
  <c r="A796" i="1"/>
  <c r="B796" i="1"/>
  <c r="C796" i="1"/>
  <c r="E796" i="1"/>
  <c r="G796" i="1"/>
  <c r="H796" i="1"/>
  <c r="A797" i="1"/>
  <c r="B797" i="1"/>
  <c r="C797" i="1"/>
  <c r="E797" i="1"/>
  <c r="G797" i="1"/>
  <c r="H797" i="1"/>
  <c r="A798" i="1"/>
  <c r="B798" i="1"/>
  <c r="C798" i="1"/>
  <c r="E798" i="1"/>
  <c r="G798" i="1"/>
  <c r="H798" i="1"/>
  <c r="A799" i="1"/>
  <c r="B799" i="1"/>
  <c r="C799" i="1"/>
  <c r="E799" i="1"/>
  <c r="G799" i="1"/>
  <c r="H799" i="1"/>
  <c r="A800" i="1"/>
  <c r="B800" i="1"/>
  <c r="C800" i="1"/>
  <c r="E800" i="1"/>
  <c r="G800" i="1"/>
  <c r="H800" i="1"/>
  <c r="A801" i="1"/>
  <c r="B801" i="1"/>
  <c r="C801" i="1"/>
  <c r="E801" i="1"/>
  <c r="G801" i="1"/>
  <c r="H801" i="1"/>
  <c r="A802" i="1"/>
  <c r="B802" i="1"/>
  <c r="C802" i="1"/>
  <c r="E802" i="1"/>
  <c r="G802" i="1"/>
  <c r="H802" i="1"/>
  <c r="A803" i="1"/>
  <c r="B803" i="1"/>
  <c r="C803" i="1"/>
  <c r="E803" i="1"/>
  <c r="G803" i="1"/>
  <c r="H803" i="1"/>
  <c r="A804" i="1"/>
  <c r="B804" i="1"/>
  <c r="C804" i="1"/>
  <c r="E804" i="1"/>
  <c r="G804" i="1"/>
  <c r="H804" i="1"/>
  <c r="A805" i="1"/>
  <c r="B805" i="1"/>
  <c r="C805" i="1"/>
  <c r="E805" i="1"/>
  <c r="G805" i="1"/>
  <c r="H805" i="1"/>
  <c r="A806" i="1"/>
  <c r="B806" i="1"/>
  <c r="C806" i="1"/>
  <c r="E806" i="1"/>
  <c r="G806" i="1"/>
  <c r="H806" i="1"/>
  <c r="A807" i="1"/>
  <c r="B807" i="1"/>
  <c r="C807" i="1"/>
  <c r="E807" i="1"/>
  <c r="G807" i="1"/>
  <c r="H807" i="1"/>
  <c r="A808" i="1"/>
  <c r="B808" i="1"/>
  <c r="C808" i="1"/>
  <c r="E808" i="1"/>
  <c r="G808" i="1"/>
  <c r="H808" i="1"/>
  <c r="A809" i="1"/>
  <c r="B809" i="1"/>
  <c r="C809" i="1"/>
  <c r="E809" i="1"/>
  <c r="G809" i="1"/>
  <c r="H809" i="1"/>
  <c r="A810" i="1"/>
  <c r="B810" i="1"/>
  <c r="C810" i="1"/>
  <c r="E810" i="1"/>
  <c r="G810" i="1"/>
  <c r="H810" i="1"/>
  <c r="A811" i="1"/>
  <c r="B811" i="1"/>
  <c r="C811" i="1"/>
  <c r="E811" i="1"/>
  <c r="G811" i="1"/>
  <c r="H811" i="1"/>
  <c r="A812" i="1"/>
  <c r="B812" i="1"/>
  <c r="C812" i="1"/>
  <c r="E812" i="1"/>
  <c r="G812" i="1"/>
  <c r="H812" i="1"/>
  <c r="A813" i="1"/>
  <c r="B813" i="1"/>
  <c r="C813" i="1"/>
  <c r="E813" i="1"/>
  <c r="G813" i="1"/>
  <c r="H813" i="1"/>
  <c r="A814" i="1"/>
  <c r="B814" i="1"/>
  <c r="C814" i="1"/>
  <c r="E814" i="1"/>
  <c r="G814" i="1"/>
  <c r="H814" i="1"/>
  <c r="A815" i="1"/>
  <c r="B815" i="1"/>
  <c r="C815" i="1"/>
  <c r="E815" i="1"/>
  <c r="G815" i="1"/>
  <c r="H815" i="1"/>
  <c r="A816" i="1"/>
  <c r="B816" i="1"/>
  <c r="C816" i="1"/>
  <c r="E816" i="1"/>
  <c r="G816" i="1"/>
  <c r="H816" i="1"/>
  <c r="A817" i="1"/>
  <c r="B817" i="1"/>
  <c r="C817" i="1"/>
  <c r="E817" i="1"/>
  <c r="G817" i="1"/>
  <c r="H817" i="1"/>
  <c r="A818" i="1"/>
  <c r="B818" i="1"/>
  <c r="C818" i="1"/>
  <c r="E818" i="1"/>
  <c r="G818" i="1"/>
  <c r="H818" i="1"/>
  <c r="A819" i="1"/>
  <c r="B819" i="1"/>
  <c r="C819" i="1"/>
  <c r="E819" i="1"/>
  <c r="G819" i="1"/>
  <c r="H819" i="1"/>
  <c r="A820" i="1"/>
  <c r="B820" i="1"/>
  <c r="C820" i="1"/>
  <c r="E820" i="1"/>
  <c r="G820" i="1"/>
  <c r="H820" i="1"/>
  <c r="A821" i="1"/>
  <c r="B821" i="1"/>
  <c r="C821" i="1"/>
  <c r="E821" i="1"/>
  <c r="G821" i="1"/>
  <c r="H821" i="1"/>
  <c r="A822" i="1"/>
  <c r="B822" i="1"/>
  <c r="C822" i="1"/>
  <c r="E822" i="1"/>
  <c r="G822" i="1"/>
  <c r="H822" i="1"/>
  <c r="A823" i="1"/>
  <c r="B823" i="1"/>
  <c r="C823" i="1"/>
  <c r="E823" i="1"/>
  <c r="G823" i="1"/>
  <c r="H823" i="1"/>
  <c r="A824" i="1"/>
  <c r="B824" i="1"/>
  <c r="C824" i="1"/>
  <c r="E824" i="1"/>
  <c r="G824" i="1"/>
  <c r="H824" i="1"/>
  <c r="A825" i="1"/>
  <c r="B825" i="1"/>
  <c r="C825" i="1"/>
  <c r="E825" i="1"/>
  <c r="G825" i="1"/>
  <c r="H825" i="1"/>
  <c r="A826" i="1"/>
  <c r="B826" i="1"/>
  <c r="C826" i="1"/>
  <c r="E826" i="1"/>
  <c r="G826" i="1"/>
  <c r="H826" i="1"/>
  <c r="A827" i="1"/>
  <c r="B827" i="1"/>
  <c r="C827" i="1"/>
  <c r="E827" i="1"/>
  <c r="G827" i="1"/>
  <c r="H827" i="1"/>
  <c r="A828" i="1"/>
  <c r="B828" i="1"/>
  <c r="C828" i="1"/>
  <c r="E828" i="1"/>
  <c r="G828" i="1"/>
  <c r="H828" i="1"/>
  <c r="A829" i="1"/>
  <c r="B829" i="1"/>
  <c r="C829" i="1"/>
  <c r="E829" i="1"/>
  <c r="G829" i="1"/>
  <c r="H829" i="1"/>
  <c r="A830" i="1"/>
  <c r="B830" i="1"/>
  <c r="C830" i="1"/>
  <c r="E830" i="1"/>
  <c r="G830" i="1"/>
  <c r="H830" i="1"/>
  <c r="A831" i="1"/>
  <c r="B831" i="1"/>
  <c r="C831" i="1"/>
  <c r="E831" i="1"/>
  <c r="G831" i="1"/>
  <c r="H831" i="1"/>
  <c r="A832" i="1"/>
  <c r="B832" i="1"/>
  <c r="C832" i="1"/>
  <c r="E832" i="1"/>
  <c r="G832" i="1"/>
  <c r="H832" i="1"/>
  <c r="A833" i="1"/>
  <c r="B833" i="1"/>
  <c r="C833" i="1"/>
  <c r="E833" i="1"/>
  <c r="G833" i="1"/>
  <c r="H833" i="1"/>
  <c r="A834" i="1"/>
  <c r="B834" i="1"/>
  <c r="C834" i="1"/>
  <c r="E834" i="1"/>
  <c r="G834" i="1"/>
  <c r="H834" i="1"/>
  <c r="A835" i="1"/>
  <c r="B835" i="1"/>
  <c r="C835" i="1"/>
  <c r="E835" i="1"/>
  <c r="G835" i="1"/>
  <c r="H835" i="1"/>
  <c r="A836" i="1"/>
  <c r="B836" i="1"/>
  <c r="C836" i="1"/>
  <c r="E836" i="1"/>
  <c r="G836" i="1"/>
  <c r="H836" i="1"/>
  <c r="A837" i="1"/>
  <c r="B837" i="1"/>
  <c r="C837" i="1"/>
  <c r="E837" i="1"/>
  <c r="G837" i="1"/>
  <c r="H837" i="1"/>
  <c r="A838" i="1"/>
  <c r="B838" i="1"/>
  <c r="C838" i="1"/>
  <c r="E838" i="1"/>
  <c r="G838" i="1"/>
  <c r="H838" i="1"/>
  <c r="A839" i="1"/>
  <c r="B839" i="1"/>
  <c r="C839" i="1"/>
  <c r="E839" i="1"/>
  <c r="G839" i="1"/>
  <c r="H839" i="1"/>
  <c r="A840" i="1"/>
  <c r="B840" i="1"/>
  <c r="C840" i="1"/>
  <c r="E840" i="1"/>
  <c r="G840" i="1"/>
  <c r="H840" i="1"/>
  <c r="A841" i="1"/>
  <c r="B841" i="1"/>
  <c r="C841" i="1"/>
  <c r="E841" i="1"/>
  <c r="G841" i="1"/>
  <c r="H841" i="1"/>
  <c r="A842" i="1"/>
  <c r="B842" i="1"/>
  <c r="C842" i="1"/>
  <c r="E842" i="1"/>
  <c r="G842" i="1"/>
  <c r="H842" i="1"/>
  <c r="A843" i="1"/>
  <c r="B843" i="1"/>
  <c r="C843" i="1"/>
  <c r="E843" i="1"/>
  <c r="G843" i="1"/>
  <c r="H843" i="1"/>
  <c r="A844" i="1"/>
  <c r="B844" i="1"/>
  <c r="C844" i="1"/>
  <c r="E844" i="1"/>
  <c r="G844" i="1"/>
  <c r="H844" i="1"/>
  <c r="A845" i="1"/>
  <c r="B845" i="1"/>
  <c r="C845" i="1"/>
  <c r="E845" i="1"/>
  <c r="G845" i="1"/>
  <c r="H845" i="1"/>
  <c r="A846" i="1"/>
  <c r="B846" i="1"/>
  <c r="C846" i="1"/>
  <c r="E846" i="1"/>
  <c r="G846" i="1"/>
  <c r="H846" i="1"/>
  <c r="A847" i="1"/>
  <c r="B847" i="1"/>
  <c r="C847" i="1"/>
  <c r="E847" i="1"/>
  <c r="G847" i="1"/>
  <c r="H847" i="1"/>
  <c r="A848" i="1"/>
  <c r="B848" i="1"/>
  <c r="C848" i="1"/>
  <c r="E848" i="1"/>
  <c r="G848" i="1"/>
  <c r="H848" i="1"/>
  <c r="A849" i="1"/>
  <c r="B849" i="1"/>
  <c r="C849" i="1"/>
  <c r="E849" i="1"/>
  <c r="G849" i="1"/>
  <c r="H849" i="1"/>
  <c r="A850" i="1"/>
  <c r="B850" i="1"/>
  <c r="C850" i="1"/>
  <c r="E850" i="1"/>
  <c r="G850" i="1"/>
  <c r="H850" i="1"/>
  <c r="A851" i="1"/>
  <c r="B851" i="1"/>
  <c r="C851" i="1"/>
  <c r="E851" i="1"/>
  <c r="G851" i="1"/>
  <c r="H851" i="1"/>
  <c r="A852" i="1"/>
  <c r="B852" i="1"/>
  <c r="C852" i="1"/>
  <c r="E852" i="1"/>
  <c r="G852" i="1"/>
  <c r="H852" i="1"/>
  <c r="A853" i="1"/>
  <c r="B853" i="1"/>
  <c r="C853" i="1"/>
  <c r="E853" i="1"/>
  <c r="G853" i="1"/>
  <c r="H853" i="1"/>
  <c r="A854" i="1"/>
  <c r="B854" i="1"/>
  <c r="C854" i="1"/>
  <c r="E854" i="1"/>
  <c r="G854" i="1"/>
  <c r="H854" i="1"/>
  <c r="A855" i="1"/>
  <c r="B855" i="1"/>
  <c r="C855" i="1"/>
  <c r="E855" i="1"/>
  <c r="G855" i="1"/>
  <c r="H855" i="1"/>
  <c r="A856" i="1"/>
  <c r="B856" i="1"/>
  <c r="C856" i="1"/>
  <c r="E856" i="1"/>
  <c r="G856" i="1"/>
  <c r="H856" i="1"/>
  <c r="A857" i="1"/>
  <c r="B857" i="1"/>
  <c r="C857" i="1"/>
  <c r="E857" i="1"/>
  <c r="G857" i="1"/>
  <c r="H857" i="1"/>
  <c r="A858" i="1"/>
  <c r="B858" i="1"/>
  <c r="C858" i="1"/>
  <c r="E858" i="1"/>
  <c r="G858" i="1"/>
  <c r="H858" i="1"/>
  <c r="A859" i="1"/>
  <c r="B859" i="1"/>
  <c r="C859" i="1"/>
  <c r="E859" i="1"/>
  <c r="G859" i="1"/>
  <c r="H859" i="1"/>
  <c r="A860" i="1"/>
  <c r="B860" i="1"/>
  <c r="C860" i="1"/>
  <c r="E860" i="1"/>
  <c r="G860" i="1"/>
  <c r="H860" i="1"/>
  <c r="A861" i="1"/>
  <c r="B861" i="1"/>
  <c r="C861" i="1"/>
  <c r="E861" i="1"/>
  <c r="G861" i="1"/>
  <c r="H861" i="1"/>
  <c r="A862" i="1"/>
  <c r="B862" i="1"/>
  <c r="C862" i="1"/>
  <c r="E862" i="1"/>
  <c r="G862" i="1"/>
  <c r="H862" i="1"/>
  <c r="A863" i="1"/>
  <c r="B863" i="1"/>
  <c r="C863" i="1"/>
  <c r="E863" i="1"/>
  <c r="G863" i="1"/>
  <c r="H863" i="1"/>
  <c r="A864" i="1"/>
  <c r="B864" i="1"/>
  <c r="C864" i="1"/>
  <c r="E864" i="1"/>
  <c r="G864" i="1"/>
  <c r="H864" i="1"/>
  <c r="A865" i="1"/>
  <c r="B865" i="1"/>
  <c r="C865" i="1"/>
  <c r="E865" i="1"/>
  <c r="G865" i="1"/>
  <c r="H865" i="1"/>
  <c r="A866" i="1"/>
  <c r="B866" i="1"/>
  <c r="C866" i="1"/>
  <c r="E866" i="1"/>
  <c r="G866" i="1"/>
  <c r="H866" i="1"/>
  <c r="A867" i="1"/>
  <c r="B867" i="1"/>
  <c r="C867" i="1"/>
  <c r="E867" i="1"/>
  <c r="G867" i="1"/>
  <c r="H867" i="1"/>
  <c r="A868" i="1"/>
  <c r="B868" i="1"/>
  <c r="C868" i="1"/>
  <c r="E868" i="1"/>
  <c r="G868" i="1"/>
  <c r="H868" i="1"/>
  <c r="A869" i="1"/>
  <c r="B869" i="1"/>
  <c r="C869" i="1"/>
  <c r="E869" i="1"/>
  <c r="G869" i="1"/>
  <c r="H869" i="1"/>
  <c r="A870" i="1"/>
  <c r="B870" i="1"/>
  <c r="C870" i="1"/>
  <c r="E870" i="1"/>
  <c r="G870" i="1"/>
  <c r="H870" i="1"/>
  <c r="A871" i="1"/>
  <c r="B871" i="1"/>
  <c r="C871" i="1"/>
  <c r="E871" i="1"/>
  <c r="G871" i="1"/>
  <c r="H871" i="1"/>
  <c r="A872" i="1"/>
  <c r="B872" i="1"/>
  <c r="C872" i="1"/>
  <c r="E872" i="1"/>
  <c r="G872" i="1"/>
  <c r="H872" i="1"/>
  <c r="A873" i="1"/>
  <c r="B873" i="1"/>
  <c r="C873" i="1"/>
  <c r="E873" i="1"/>
  <c r="G873" i="1"/>
  <c r="H873" i="1"/>
  <c r="A874" i="1"/>
  <c r="B874" i="1"/>
  <c r="C874" i="1"/>
  <c r="E874" i="1"/>
  <c r="G874" i="1"/>
  <c r="H874" i="1"/>
  <c r="A875" i="1"/>
  <c r="B875" i="1"/>
  <c r="C875" i="1"/>
  <c r="E875" i="1"/>
  <c r="G875" i="1"/>
  <c r="H875" i="1"/>
  <c r="A876" i="1"/>
  <c r="B876" i="1"/>
  <c r="C876" i="1"/>
  <c r="E876" i="1"/>
  <c r="G876" i="1"/>
  <c r="H876" i="1"/>
  <c r="A877" i="1"/>
  <c r="B877" i="1"/>
  <c r="C877" i="1"/>
  <c r="E877" i="1"/>
  <c r="G877" i="1"/>
  <c r="H877" i="1"/>
  <c r="A878" i="1"/>
  <c r="B878" i="1"/>
  <c r="C878" i="1"/>
  <c r="E878" i="1"/>
  <c r="G878" i="1"/>
  <c r="H878" i="1"/>
  <c r="A879" i="1"/>
  <c r="B879" i="1"/>
  <c r="C879" i="1"/>
  <c r="E879" i="1"/>
  <c r="G879" i="1"/>
  <c r="H879" i="1"/>
  <c r="A880" i="1"/>
  <c r="B880" i="1"/>
  <c r="C880" i="1"/>
  <c r="E880" i="1"/>
  <c r="G880" i="1"/>
  <c r="H880" i="1"/>
  <c r="A881" i="1"/>
  <c r="B881" i="1"/>
  <c r="C881" i="1"/>
  <c r="E881" i="1"/>
  <c r="G881" i="1"/>
  <c r="H881" i="1"/>
  <c r="A882" i="1"/>
  <c r="B882" i="1"/>
  <c r="C882" i="1"/>
  <c r="E882" i="1"/>
  <c r="G882" i="1"/>
  <c r="H882" i="1"/>
  <c r="A883" i="1"/>
  <c r="B883" i="1"/>
  <c r="C883" i="1"/>
  <c r="E883" i="1"/>
  <c r="G883" i="1"/>
  <c r="H883" i="1"/>
  <c r="A884" i="1"/>
  <c r="B884" i="1"/>
  <c r="C884" i="1"/>
  <c r="E884" i="1"/>
  <c r="G884" i="1"/>
  <c r="H884" i="1"/>
  <c r="A885" i="1"/>
  <c r="B885" i="1"/>
  <c r="C885" i="1"/>
  <c r="E885" i="1"/>
  <c r="G885" i="1"/>
  <c r="H885" i="1"/>
  <c r="A886" i="1"/>
  <c r="B886" i="1"/>
  <c r="C886" i="1"/>
  <c r="E886" i="1"/>
  <c r="G886" i="1"/>
  <c r="H886" i="1"/>
  <c r="A887" i="1"/>
  <c r="B887" i="1"/>
  <c r="C887" i="1"/>
  <c r="E887" i="1"/>
  <c r="G887" i="1"/>
  <c r="H887" i="1"/>
  <c r="A888" i="1"/>
  <c r="B888" i="1"/>
  <c r="C888" i="1"/>
  <c r="E888" i="1"/>
  <c r="G888" i="1"/>
  <c r="H888" i="1"/>
  <c r="A889" i="1"/>
  <c r="B889" i="1"/>
  <c r="C889" i="1"/>
  <c r="E889" i="1"/>
  <c r="G889" i="1"/>
  <c r="H889" i="1"/>
  <c r="A890" i="1"/>
  <c r="B890" i="1"/>
  <c r="C890" i="1"/>
  <c r="E890" i="1"/>
  <c r="G890" i="1"/>
  <c r="H890" i="1"/>
  <c r="A891" i="1"/>
  <c r="B891" i="1"/>
  <c r="C891" i="1"/>
  <c r="E891" i="1"/>
  <c r="G891" i="1"/>
  <c r="H891" i="1"/>
  <c r="A892" i="1"/>
  <c r="B892" i="1"/>
  <c r="C892" i="1"/>
  <c r="E892" i="1"/>
  <c r="G892" i="1"/>
  <c r="H892" i="1"/>
  <c r="A893" i="1"/>
  <c r="B893" i="1"/>
  <c r="C893" i="1"/>
  <c r="E893" i="1"/>
  <c r="G893" i="1"/>
  <c r="H893" i="1"/>
  <c r="A894" i="1"/>
  <c r="B894" i="1"/>
  <c r="C894" i="1"/>
  <c r="E894" i="1"/>
  <c r="G894" i="1"/>
  <c r="H894" i="1"/>
  <c r="A895" i="1"/>
  <c r="B895" i="1"/>
  <c r="C895" i="1"/>
  <c r="E895" i="1"/>
  <c r="G895" i="1"/>
  <c r="H895" i="1"/>
  <c r="A896" i="1"/>
  <c r="B896" i="1"/>
  <c r="C896" i="1"/>
  <c r="E896" i="1"/>
  <c r="G896" i="1"/>
  <c r="H896" i="1"/>
  <c r="A897" i="1"/>
  <c r="B897" i="1"/>
  <c r="C897" i="1"/>
  <c r="E897" i="1"/>
  <c r="G897" i="1"/>
  <c r="H897" i="1"/>
  <c r="A898" i="1"/>
  <c r="B898" i="1"/>
  <c r="C898" i="1"/>
  <c r="E898" i="1"/>
  <c r="G898" i="1"/>
  <c r="H898" i="1"/>
  <c r="A899" i="1"/>
  <c r="B899" i="1"/>
  <c r="C899" i="1"/>
  <c r="E899" i="1"/>
  <c r="G899" i="1"/>
  <c r="H899" i="1"/>
  <c r="A900" i="1"/>
  <c r="B900" i="1"/>
  <c r="C900" i="1"/>
  <c r="E900" i="1"/>
  <c r="G900" i="1"/>
  <c r="H900" i="1"/>
  <c r="A901" i="1"/>
  <c r="B901" i="1"/>
  <c r="C901" i="1"/>
  <c r="E901" i="1"/>
  <c r="G901" i="1"/>
  <c r="H901" i="1"/>
  <c r="A902" i="1"/>
  <c r="B902" i="1"/>
  <c r="C902" i="1"/>
  <c r="E902" i="1"/>
  <c r="G902" i="1"/>
  <c r="H902" i="1"/>
  <c r="A903" i="1"/>
  <c r="B903" i="1"/>
  <c r="C903" i="1"/>
  <c r="E903" i="1"/>
  <c r="G903" i="1"/>
  <c r="H903" i="1"/>
  <c r="A904" i="1"/>
  <c r="B904" i="1"/>
  <c r="C904" i="1"/>
  <c r="E904" i="1"/>
  <c r="G904" i="1"/>
  <c r="H904" i="1"/>
  <c r="A905" i="1"/>
  <c r="B905" i="1"/>
  <c r="C905" i="1"/>
  <c r="E905" i="1"/>
  <c r="G905" i="1"/>
  <c r="H905" i="1"/>
  <c r="A906" i="1"/>
  <c r="B906" i="1"/>
  <c r="C906" i="1"/>
  <c r="E906" i="1"/>
  <c r="G906" i="1"/>
  <c r="H906" i="1"/>
  <c r="A907" i="1"/>
  <c r="B907" i="1"/>
  <c r="C907" i="1"/>
  <c r="E907" i="1"/>
  <c r="G907" i="1"/>
  <c r="H907" i="1"/>
  <c r="A908" i="1"/>
  <c r="B908" i="1"/>
  <c r="C908" i="1"/>
  <c r="E908" i="1"/>
  <c r="G908" i="1"/>
  <c r="H908" i="1"/>
  <c r="A909" i="1"/>
  <c r="B909" i="1"/>
  <c r="C909" i="1"/>
  <c r="E909" i="1"/>
  <c r="G909" i="1"/>
  <c r="H909" i="1"/>
  <c r="A910" i="1"/>
  <c r="B910" i="1"/>
  <c r="C910" i="1"/>
  <c r="E910" i="1"/>
  <c r="G910" i="1"/>
  <c r="H910" i="1"/>
  <c r="A911" i="1"/>
  <c r="B911" i="1"/>
  <c r="C911" i="1"/>
  <c r="E911" i="1"/>
  <c r="G911" i="1"/>
  <c r="H911" i="1"/>
  <c r="A912" i="1"/>
  <c r="B912" i="1"/>
  <c r="C912" i="1"/>
  <c r="E912" i="1"/>
  <c r="G912" i="1"/>
  <c r="H912" i="1"/>
  <c r="A913" i="1"/>
  <c r="B913" i="1"/>
  <c r="C913" i="1"/>
  <c r="E913" i="1"/>
  <c r="G913" i="1"/>
  <c r="H913" i="1"/>
  <c r="A914" i="1"/>
  <c r="B914" i="1"/>
  <c r="C914" i="1"/>
  <c r="E914" i="1"/>
  <c r="G914" i="1"/>
  <c r="H914" i="1"/>
  <c r="A915" i="1"/>
  <c r="B915" i="1"/>
  <c r="C915" i="1"/>
  <c r="E915" i="1"/>
  <c r="G915" i="1"/>
  <c r="H915" i="1"/>
  <c r="A916" i="1"/>
  <c r="B916" i="1"/>
  <c r="C916" i="1"/>
  <c r="E916" i="1"/>
  <c r="G916" i="1"/>
  <c r="H916" i="1"/>
  <c r="A917" i="1"/>
  <c r="B917" i="1"/>
  <c r="C917" i="1"/>
  <c r="E917" i="1"/>
  <c r="G917" i="1"/>
  <c r="H917" i="1"/>
  <c r="A918" i="1"/>
  <c r="B918" i="1"/>
  <c r="C918" i="1"/>
  <c r="E918" i="1"/>
  <c r="G918" i="1"/>
  <c r="H918" i="1"/>
  <c r="A919" i="1"/>
  <c r="B919" i="1"/>
  <c r="C919" i="1"/>
  <c r="E919" i="1"/>
  <c r="G919" i="1"/>
  <c r="H919" i="1"/>
  <c r="A920" i="1"/>
  <c r="B920" i="1"/>
  <c r="C920" i="1"/>
  <c r="E920" i="1"/>
  <c r="G920" i="1"/>
  <c r="H920" i="1"/>
  <c r="A921" i="1"/>
  <c r="B921" i="1"/>
  <c r="C921" i="1"/>
  <c r="E921" i="1"/>
  <c r="G921" i="1"/>
  <c r="H921" i="1"/>
  <c r="A922" i="1"/>
  <c r="B922" i="1"/>
  <c r="C922" i="1"/>
  <c r="E922" i="1"/>
  <c r="G922" i="1"/>
  <c r="H922" i="1"/>
  <c r="A923" i="1"/>
  <c r="B923" i="1"/>
  <c r="C923" i="1"/>
  <c r="E923" i="1"/>
  <c r="G923" i="1"/>
  <c r="H923" i="1"/>
  <c r="A924" i="1"/>
  <c r="B924" i="1"/>
  <c r="C924" i="1"/>
  <c r="E924" i="1"/>
  <c r="G924" i="1"/>
  <c r="H924" i="1"/>
  <c r="A925" i="1"/>
  <c r="B925" i="1"/>
  <c r="C925" i="1"/>
  <c r="E925" i="1"/>
  <c r="G925" i="1"/>
  <c r="H925" i="1"/>
  <c r="A926" i="1"/>
  <c r="B926" i="1"/>
  <c r="C926" i="1"/>
  <c r="E926" i="1"/>
  <c r="G926" i="1"/>
  <c r="H926" i="1"/>
  <c r="A927" i="1"/>
  <c r="B927" i="1"/>
  <c r="C927" i="1"/>
  <c r="E927" i="1"/>
  <c r="G927" i="1"/>
  <c r="H927" i="1"/>
  <c r="A928" i="1"/>
  <c r="B928" i="1"/>
  <c r="C928" i="1"/>
  <c r="E928" i="1"/>
  <c r="G928" i="1"/>
  <c r="H928" i="1"/>
  <c r="A929" i="1"/>
  <c r="B929" i="1"/>
  <c r="C929" i="1"/>
  <c r="E929" i="1"/>
  <c r="G929" i="1"/>
  <c r="H929" i="1"/>
  <c r="A930" i="1"/>
  <c r="B930" i="1"/>
  <c r="C930" i="1"/>
  <c r="E930" i="1"/>
  <c r="G930" i="1"/>
  <c r="H930" i="1"/>
  <c r="A931" i="1"/>
  <c r="B931" i="1"/>
  <c r="C931" i="1"/>
  <c r="E931" i="1"/>
  <c r="G931" i="1"/>
  <c r="H931" i="1"/>
  <c r="A932" i="1"/>
  <c r="B932" i="1"/>
  <c r="C932" i="1"/>
  <c r="E932" i="1"/>
  <c r="G932" i="1"/>
  <c r="H932" i="1"/>
  <c r="A933" i="1"/>
  <c r="B933" i="1"/>
  <c r="C933" i="1"/>
  <c r="E933" i="1"/>
  <c r="G933" i="1"/>
  <c r="H933" i="1"/>
  <c r="A934" i="1"/>
  <c r="B934" i="1"/>
  <c r="C934" i="1"/>
  <c r="E934" i="1"/>
  <c r="G934" i="1"/>
  <c r="H934" i="1"/>
  <c r="A935" i="1"/>
  <c r="B935" i="1"/>
  <c r="C935" i="1"/>
  <c r="E935" i="1"/>
  <c r="G935" i="1"/>
  <c r="H935" i="1"/>
  <c r="A936" i="1"/>
  <c r="B936" i="1"/>
  <c r="C936" i="1"/>
  <c r="E936" i="1"/>
  <c r="G936" i="1"/>
  <c r="H936" i="1"/>
  <c r="A937" i="1"/>
  <c r="B937" i="1"/>
  <c r="C937" i="1"/>
  <c r="E937" i="1"/>
  <c r="G937" i="1"/>
  <c r="H937" i="1"/>
  <c r="A938" i="1"/>
  <c r="B938" i="1"/>
  <c r="C938" i="1"/>
  <c r="E938" i="1"/>
  <c r="G938" i="1"/>
  <c r="H938" i="1"/>
  <c r="A939" i="1"/>
  <c r="B939" i="1"/>
  <c r="C939" i="1"/>
  <c r="E939" i="1"/>
  <c r="G939" i="1"/>
  <c r="H939" i="1"/>
  <c r="A940" i="1"/>
  <c r="B940" i="1"/>
  <c r="C940" i="1"/>
  <c r="E940" i="1"/>
  <c r="G940" i="1"/>
  <c r="H940" i="1"/>
  <c r="A941" i="1"/>
  <c r="B941" i="1"/>
  <c r="C941" i="1"/>
  <c r="E941" i="1"/>
  <c r="G941" i="1"/>
  <c r="H941" i="1"/>
  <c r="A942" i="1"/>
  <c r="B942" i="1"/>
  <c r="C942" i="1"/>
  <c r="E942" i="1"/>
  <c r="G942" i="1"/>
  <c r="H942" i="1"/>
  <c r="A943" i="1"/>
  <c r="B943" i="1"/>
  <c r="C943" i="1"/>
  <c r="E943" i="1"/>
  <c r="G943" i="1"/>
  <c r="H943" i="1"/>
  <c r="A944" i="1"/>
  <c r="B944" i="1"/>
  <c r="C944" i="1"/>
  <c r="E944" i="1"/>
  <c r="G944" i="1"/>
  <c r="H944" i="1"/>
  <c r="A945" i="1"/>
  <c r="B945" i="1"/>
  <c r="C945" i="1"/>
  <c r="E945" i="1"/>
  <c r="G945" i="1"/>
  <c r="H945" i="1"/>
  <c r="A946" i="1"/>
  <c r="B946" i="1"/>
  <c r="C946" i="1"/>
  <c r="E946" i="1"/>
  <c r="G946" i="1"/>
  <c r="H946" i="1"/>
  <c r="A947" i="1"/>
  <c r="B947" i="1"/>
  <c r="C947" i="1"/>
  <c r="E947" i="1"/>
  <c r="G947" i="1"/>
  <c r="H947" i="1"/>
  <c r="A948" i="1"/>
  <c r="B948" i="1"/>
  <c r="C948" i="1"/>
  <c r="E948" i="1"/>
  <c r="G948" i="1"/>
  <c r="H948" i="1"/>
  <c r="A949" i="1"/>
  <c r="B949" i="1"/>
  <c r="C949" i="1"/>
  <c r="E949" i="1"/>
  <c r="G949" i="1"/>
  <c r="H949" i="1"/>
  <c r="A950" i="1"/>
  <c r="B950" i="1"/>
  <c r="C950" i="1"/>
  <c r="E950" i="1"/>
  <c r="G950" i="1"/>
  <c r="H950" i="1"/>
  <c r="A951" i="1"/>
  <c r="B951" i="1"/>
  <c r="C951" i="1"/>
  <c r="E951" i="1"/>
  <c r="G951" i="1"/>
  <c r="H951" i="1"/>
  <c r="A952" i="1"/>
  <c r="B952" i="1"/>
  <c r="C952" i="1"/>
  <c r="E952" i="1"/>
  <c r="G952" i="1"/>
  <c r="H952" i="1"/>
  <c r="A953" i="1"/>
  <c r="B953" i="1"/>
  <c r="C953" i="1"/>
  <c r="E953" i="1"/>
  <c r="G953" i="1"/>
  <c r="H953" i="1"/>
  <c r="A954" i="1"/>
  <c r="B954" i="1"/>
  <c r="C954" i="1"/>
  <c r="E954" i="1"/>
  <c r="G954" i="1"/>
  <c r="H954" i="1"/>
  <c r="A955" i="1"/>
  <c r="B955" i="1"/>
  <c r="C955" i="1"/>
  <c r="E955" i="1"/>
  <c r="G955" i="1"/>
  <c r="H955" i="1"/>
  <c r="A956" i="1"/>
  <c r="B956" i="1"/>
  <c r="C956" i="1"/>
  <c r="E956" i="1"/>
  <c r="G956" i="1"/>
  <c r="H956" i="1"/>
  <c r="A957" i="1"/>
  <c r="B957" i="1"/>
  <c r="C957" i="1"/>
  <c r="E957" i="1"/>
  <c r="G957" i="1"/>
  <c r="H957" i="1"/>
  <c r="A958" i="1"/>
  <c r="B958" i="1"/>
  <c r="C958" i="1"/>
  <c r="E958" i="1"/>
  <c r="G958" i="1"/>
  <c r="H958" i="1"/>
  <c r="A959" i="1"/>
  <c r="B959" i="1"/>
  <c r="C959" i="1"/>
  <c r="E959" i="1"/>
  <c r="G959" i="1"/>
  <c r="H959" i="1"/>
  <c r="A960" i="1"/>
  <c r="B960" i="1"/>
  <c r="C960" i="1"/>
  <c r="E960" i="1"/>
  <c r="G960" i="1"/>
  <c r="H960" i="1"/>
  <c r="A961" i="1"/>
  <c r="B961" i="1"/>
  <c r="C961" i="1"/>
  <c r="E961" i="1"/>
  <c r="G961" i="1"/>
  <c r="H961" i="1"/>
  <c r="A962" i="1"/>
  <c r="B962" i="1"/>
  <c r="C962" i="1"/>
  <c r="E962" i="1"/>
  <c r="G962" i="1"/>
  <c r="H962" i="1"/>
  <c r="A963" i="1"/>
  <c r="B963" i="1"/>
  <c r="C963" i="1"/>
  <c r="E963" i="1"/>
  <c r="G963" i="1"/>
  <c r="H963" i="1"/>
  <c r="A964" i="1"/>
  <c r="B964" i="1"/>
  <c r="C964" i="1"/>
  <c r="E964" i="1"/>
  <c r="G964" i="1"/>
  <c r="H964" i="1"/>
  <c r="A965" i="1"/>
  <c r="B965" i="1"/>
  <c r="C965" i="1"/>
  <c r="E965" i="1"/>
  <c r="G965" i="1"/>
  <c r="H965" i="1"/>
  <c r="A966" i="1"/>
  <c r="B966" i="1"/>
  <c r="C966" i="1"/>
  <c r="E966" i="1"/>
  <c r="G966" i="1"/>
  <c r="H966" i="1"/>
  <c r="A967" i="1"/>
  <c r="B967" i="1"/>
  <c r="C967" i="1"/>
  <c r="E967" i="1"/>
  <c r="G967" i="1"/>
  <c r="H967" i="1"/>
  <c r="A968" i="1"/>
  <c r="B968" i="1"/>
  <c r="C968" i="1"/>
  <c r="E968" i="1"/>
  <c r="G968" i="1"/>
  <c r="H968" i="1"/>
  <c r="A969" i="1"/>
  <c r="B969" i="1"/>
  <c r="C969" i="1"/>
  <c r="E969" i="1"/>
  <c r="G969" i="1"/>
  <c r="H969" i="1"/>
  <c r="A970" i="1"/>
  <c r="B970" i="1"/>
  <c r="C970" i="1"/>
  <c r="E970" i="1"/>
  <c r="G970" i="1"/>
  <c r="H970" i="1"/>
  <c r="A971" i="1"/>
  <c r="B971" i="1"/>
  <c r="C971" i="1"/>
  <c r="E971" i="1"/>
  <c r="G971" i="1"/>
  <c r="H971" i="1"/>
  <c r="A972" i="1"/>
  <c r="B972" i="1"/>
  <c r="C972" i="1"/>
  <c r="E972" i="1"/>
  <c r="G972" i="1"/>
  <c r="H972" i="1"/>
  <c r="A973" i="1"/>
  <c r="B973" i="1"/>
  <c r="C973" i="1"/>
  <c r="E973" i="1"/>
  <c r="G973" i="1"/>
  <c r="H973" i="1"/>
  <c r="A974" i="1"/>
  <c r="B974" i="1"/>
  <c r="C974" i="1"/>
  <c r="E974" i="1"/>
  <c r="G974" i="1"/>
  <c r="H974" i="1"/>
  <c r="A975" i="1"/>
  <c r="B975" i="1"/>
  <c r="C975" i="1"/>
  <c r="E975" i="1"/>
  <c r="G975" i="1"/>
  <c r="H975" i="1"/>
  <c r="A976" i="1"/>
  <c r="B976" i="1"/>
  <c r="C976" i="1"/>
  <c r="E976" i="1"/>
  <c r="G976" i="1"/>
  <c r="H976" i="1"/>
  <c r="A977" i="1"/>
  <c r="B977" i="1"/>
  <c r="C977" i="1"/>
  <c r="E977" i="1"/>
  <c r="G977" i="1"/>
  <c r="H977" i="1"/>
  <c r="A978" i="1"/>
  <c r="B978" i="1"/>
  <c r="C978" i="1"/>
  <c r="E978" i="1"/>
  <c r="G978" i="1"/>
  <c r="H978" i="1"/>
  <c r="A979" i="1"/>
  <c r="B979" i="1"/>
  <c r="C979" i="1"/>
  <c r="E979" i="1"/>
  <c r="G979" i="1"/>
  <c r="H979" i="1"/>
  <c r="A980" i="1"/>
  <c r="B980" i="1"/>
  <c r="C980" i="1"/>
  <c r="E980" i="1"/>
  <c r="G980" i="1"/>
  <c r="H980" i="1"/>
  <c r="A981" i="1"/>
  <c r="B981" i="1"/>
  <c r="C981" i="1"/>
  <c r="E981" i="1"/>
  <c r="G981" i="1"/>
  <c r="H981" i="1"/>
  <c r="A982" i="1"/>
  <c r="B982" i="1"/>
  <c r="C982" i="1"/>
  <c r="E982" i="1"/>
  <c r="G982" i="1"/>
  <c r="H982" i="1"/>
  <c r="A983" i="1"/>
  <c r="B983" i="1"/>
  <c r="C983" i="1"/>
  <c r="E983" i="1"/>
  <c r="G983" i="1"/>
  <c r="H983" i="1"/>
  <c r="A984" i="1"/>
  <c r="B984" i="1"/>
  <c r="C984" i="1"/>
  <c r="E984" i="1"/>
  <c r="G984" i="1"/>
  <c r="H984" i="1"/>
  <c r="A985" i="1"/>
  <c r="B985" i="1"/>
  <c r="C985" i="1"/>
  <c r="E985" i="1"/>
  <c r="G985" i="1"/>
  <c r="H985" i="1"/>
  <c r="A986" i="1"/>
  <c r="B986" i="1"/>
  <c r="C986" i="1"/>
  <c r="E986" i="1"/>
  <c r="G986" i="1"/>
  <c r="H986" i="1"/>
  <c r="A987" i="1"/>
  <c r="B987" i="1"/>
  <c r="C987" i="1"/>
  <c r="E987" i="1"/>
  <c r="G987" i="1"/>
  <c r="H987" i="1"/>
  <c r="A988" i="1"/>
  <c r="B988" i="1"/>
  <c r="C988" i="1"/>
  <c r="E988" i="1"/>
  <c r="G988" i="1"/>
  <c r="H988" i="1"/>
  <c r="A989" i="1"/>
  <c r="B989" i="1"/>
  <c r="C989" i="1"/>
  <c r="E989" i="1"/>
  <c r="G989" i="1"/>
  <c r="H989" i="1"/>
  <c r="A990" i="1"/>
  <c r="B990" i="1"/>
  <c r="C990" i="1"/>
  <c r="E990" i="1"/>
  <c r="G990" i="1"/>
  <c r="H990" i="1"/>
  <c r="A991" i="1"/>
  <c r="B991" i="1"/>
  <c r="C991" i="1"/>
  <c r="E991" i="1"/>
  <c r="G991" i="1"/>
  <c r="H991" i="1"/>
  <c r="A992" i="1"/>
  <c r="B992" i="1"/>
  <c r="C992" i="1"/>
  <c r="E992" i="1"/>
  <c r="G992" i="1"/>
  <c r="H992" i="1"/>
  <c r="A993" i="1"/>
  <c r="B993" i="1"/>
  <c r="C993" i="1"/>
  <c r="E993" i="1"/>
  <c r="G993" i="1"/>
  <c r="H993" i="1"/>
  <c r="A994" i="1"/>
  <c r="B994" i="1"/>
  <c r="C994" i="1"/>
  <c r="E994" i="1"/>
  <c r="G994" i="1"/>
  <c r="H994" i="1"/>
  <c r="A995" i="1"/>
  <c r="B995" i="1"/>
  <c r="C995" i="1"/>
  <c r="E995" i="1"/>
  <c r="G995" i="1"/>
  <c r="H995" i="1"/>
  <c r="A996" i="1"/>
  <c r="B996" i="1"/>
  <c r="C996" i="1"/>
  <c r="E996" i="1"/>
  <c r="G996" i="1"/>
  <c r="H996" i="1"/>
  <c r="A997" i="1"/>
  <c r="B997" i="1"/>
  <c r="C997" i="1"/>
  <c r="E997" i="1"/>
  <c r="G997" i="1"/>
  <c r="H997" i="1"/>
  <c r="A998" i="1"/>
  <c r="B998" i="1"/>
  <c r="C998" i="1"/>
  <c r="E998" i="1"/>
  <c r="G998" i="1"/>
  <c r="H998" i="1"/>
  <c r="A999" i="1"/>
  <c r="B999" i="1"/>
  <c r="C999" i="1"/>
  <c r="E999" i="1"/>
  <c r="G999" i="1"/>
  <c r="H999" i="1"/>
  <c r="A1000" i="1"/>
  <c r="B1000" i="1"/>
  <c r="C1000" i="1"/>
  <c r="E1000" i="1"/>
  <c r="G1000" i="1"/>
  <c r="H1000" i="1"/>
  <c r="A1001" i="1"/>
  <c r="B1001" i="1"/>
  <c r="C1001" i="1"/>
  <c r="E1001" i="1"/>
  <c r="G1001" i="1"/>
  <c r="H1001" i="1"/>
  <c r="A1002" i="1"/>
  <c r="B1002" i="1"/>
  <c r="C1002" i="1"/>
  <c r="E1002" i="1"/>
  <c r="G1002" i="1"/>
  <c r="H1002" i="1"/>
  <c r="A1003" i="1"/>
  <c r="B1003" i="1"/>
  <c r="C1003" i="1"/>
  <c r="E1003" i="1"/>
  <c r="G1003" i="1"/>
  <c r="H1003" i="1"/>
  <c r="A1004" i="1"/>
  <c r="B1004" i="1"/>
  <c r="C1004" i="1"/>
  <c r="E1004" i="1"/>
  <c r="G1004" i="1"/>
  <c r="H1004" i="1"/>
  <c r="A1005" i="1"/>
  <c r="B1005" i="1"/>
  <c r="C1005" i="1"/>
  <c r="E1005" i="1"/>
  <c r="G1005" i="1"/>
  <c r="H1005" i="1"/>
  <c r="A1006" i="1"/>
  <c r="B1006" i="1"/>
  <c r="C1006" i="1"/>
  <c r="E1006" i="1"/>
  <c r="G1006" i="1"/>
  <c r="H1006" i="1"/>
  <c r="A1007" i="1"/>
  <c r="B1007" i="1"/>
  <c r="C1007" i="1"/>
  <c r="E1007" i="1"/>
  <c r="G1007" i="1"/>
  <c r="H1007" i="1"/>
  <c r="A1008" i="1"/>
  <c r="B1008" i="1"/>
  <c r="C1008" i="1"/>
  <c r="E1008" i="1"/>
  <c r="G1008" i="1"/>
  <c r="H1008" i="1"/>
  <c r="A1009" i="1"/>
  <c r="B1009" i="1"/>
  <c r="C1009" i="1"/>
  <c r="E1009" i="1"/>
  <c r="G1009" i="1"/>
  <c r="H1009" i="1"/>
  <c r="A1010" i="1"/>
  <c r="B1010" i="1"/>
  <c r="C1010" i="1"/>
  <c r="E1010" i="1"/>
  <c r="G1010" i="1"/>
  <c r="H1010" i="1"/>
  <c r="A1011" i="1"/>
  <c r="B1011" i="1"/>
  <c r="C1011" i="1"/>
  <c r="E1011" i="1"/>
  <c r="G1011" i="1"/>
  <c r="H1011" i="1"/>
  <c r="A1012" i="1"/>
  <c r="B1012" i="1"/>
  <c r="C1012" i="1"/>
  <c r="E1012" i="1"/>
  <c r="G1012" i="1"/>
  <c r="H1012" i="1"/>
  <c r="A1013" i="1"/>
  <c r="B1013" i="1"/>
  <c r="C1013" i="1"/>
  <c r="E1013" i="1"/>
  <c r="G1013" i="1"/>
  <c r="H1013" i="1"/>
  <c r="A1014" i="1"/>
  <c r="B1014" i="1"/>
  <c r="C1014" i="1"/>
  <c r="E1014" i="1"/>
  <c r="G1014" i="1"/>
  <c r="H1014" i="1"/>
  <c r="A1015" i="1"/>
  <c r="B1015" i="1"/>
  <c r="C1015" i="1"/>
  <c r="E1015" i="1"/>
  <c r="G1015" i="1"/>
  <c r="H1015" i="1"/>
  <c r="A1016" i="1"/>
  <c r="B1016" i="1"/>
  <c r="C1016" i="1"/>
  <c r="E1016" i="1"/>
  <c r="G1016" i="1"/>
  <c r="H1016" i="1"/>
  <c r="A1017" i="1"/>
  <c r="B1017" i="1"/>
  <c r="C1017" i="1"/>
  <c r="E1017" i="1"/>
  <c r="G1017" i="1"/>
  <c r="H1017" i="1"/>
  <c r="A1018" i="1"/>
  <c r="B1018" i="1"/>
  <c r="C1018" i="1"/>
  <c r="E1018" i="1"/>
  <c r="G1018" i="1"/>
  <c r="H1018" i="1"/>
  <c r="A1019" i="1"/>
  <c r="B1019" i="1"/>
  <c r="C1019" i="1"/>
  <c r="E1019" i="1"/>
  <c r="G1019" i="1"/>
  <c r="H1019" i="1"/>
  <c r="A1020" i="1"/>
  <c r="B1020" i="1"/>
  <c r="C1020" i="1"/>
  <c r="E1020" i="1"/>
  <c r="G1020" i="1"/>
  <c r="H1020" i="1"/>
  <c r="A1021" i="1"/>
  <c r="B1021" i="1"/>
  <c r="C1021" i="1"/>
  <c r="E1021" i="1"/>
  <c r="G1021" i="1"/>
  <c r="H1021" i="1"/>
  <c r="A1022" i="1"/>
  <c r="B1022" i="1"/>
  <c r="C1022" i="1"/>
  <c r="E1022" i="1"/>
  <c r="G1022" i="1"/>
  <c r="H1022" i="1"/>
  <c r="A1023" i="1"/>
  <c r="B1023" i="1"/>
  <c r="C1023" i="1"/>
  <c r="E1023" i="1"/>
  <c r="G1023" i="1"/>
  <c r="H1023" i="1"/>
  <c r="A1024" i="1"/>
  <c r="B1024" i="1"/>
  <c r="C1024" i="1"/>
  <c r="E1024" i="1"/>
  <c r="G1024" i="1"/>
  <c r="H1024" i="1"/>
  <c r="A1025" i="1"/>
  <c r="B1025" i="1"/>
  <c r="C1025" i="1"/>
  <c r="E1025" i="1"/>
  <c r="G1025" i="1"/>
  <c r="H1025" i="1"/>
  <c r="A1026" i="1"/>
  <c r="B1026" i="1"/>
  <c r="C1026" i="1"/>
  <c r="E1026" i="1"/>
  <c r="G1026" i="1"/>
  <c r="H1026" i="1"/>
  <c r="A1027" i="1"/>
  <c r="B1027" i="1"/>
  <c r="C1027" i="1"/>
  <c r="E1027" i="1"/>
  <c r="G1027" i="1"/>
  <c r="H1027" i="1"/>
  <c r="A1028" i="1"/>
  <c r="B1028" i="1"/>
  <c r="C1028" i="1"/>
  <c r="E1028" i="1"/>
  <c r="G1028" i="1"/>
  <c r="H1028" i="1"/>
  <c r="A1029" i="1"/>
  <c r="B1029" i="1"/>
  <c r="C1029" i="1"/>
  <c r="E1029" i="1"/>
  <c r="G1029" i="1"/>
  <c r="H1029" i="1"/>
  <c r="A1030" i="1"/>
  <c r="B1030" i="1"/>
  <c r="C1030" i="1"/>
  <c r="E1030" i="1"/>
  <c r="G1030" i="1"/>
  <c r="H1030" i="1"/>
  <c r="A1031" i="1"/>
  <c r="B1031" i="1"/>
  <c r="C1031" i="1"/>
  <c r="E1031" i="1"/>
  <c r="G1031" i="1"/>
  <c r="H1031" i="1"/>
  <c r="A1032" i="1"/>
  <c r="B1032" i="1"/>
  <c r="C1032" i="1"/>
  <c r="E1032" i="1"/>
  <c r="G1032" i="1"/>
  <c r="H1032" i="1"/>
  <c r="A1033" i="1"/>
  <c r="B1033" i="1"/>
  <c r="C1033" i="1"/>
  <c r="E1033" i="1"/>
  <c r="G1033" i="1"/>
  <c r="H1033" i="1"/>
  <c r="A1034" i="1"/>
  <c r="B1034" i="1"/>
  <c r="C1034" i="1"/>
  <c r="E1034" i="1"/>
  <c r="G1034" i="1"/>
  <c r="H1034" i="1"/>
  <c r="A1035" i="1"/>
  <c r="B1035" i="1"/>
  <c r="C1035" i="1"/>
  <c r="E1035" i="1"/>
  <c r="G1035" i="1"/>
  <c r="H1035" i="1"/>
  <c r="A1036" i="1"/>
  <c r="B1036" i="1"/>
  <c r="C1036" i="1"/>
  <c r="E1036" i="1"/>
  <c r="G1036" i="1"/>
  <c r="H1036" i="1"/>
  <c r="A1037" i="1"/>
  <c r="B1037" i="1"/>
  <c r="C1037" i="1"/>
  <c r="E1037" i="1"/>
  <c r="G1037" i="1"/>
  <c r="H1037" i="1"/>
  <c r="A1038" i="1"/>
  <c r="B1038" i="1"/>
  <c r="C1038" i="1"/>
  <c r="E1038" i="1"/>
  <c r="G1038" i="1"/>
  <c r="H1038" i="1"/>
  <c r="A1039" i="1"/>
  <c r="B1039" i="1"/>
  <c r="C1039" i="1"/>
  <c r="E1039" i="1"/>
  <c r="G1039" i="1"/>
  <c r="H1039" i="1"/>
  <c r="A1040" i="1"/>
  <c r="B1040" i="1"/>
  <c r="C1040" i="1"/>
  <c r="E1040" i="1"/>
  <c r="G1040" i="1"/>
  <c r="H1040" i="1"/>
  <c r="A1041" i="1"/>
  <c r="B1041" i="1"/>
  <c r="C1041" i="1"/>
  <c r="E1041" i="1"/>
  <c r="G1041" i="1"/>
  <c r="H1041" i="1"/>
  <c r="A1042" i="1"/>
  <c r="B1042" i="1"/>
  <c r="C1042" i="1"/>
  <c r="E1042" i="1"/>
  <c r="G1042" i="1"/>
  <c r="H1042" i="1"/>
  <c r="A1043" i="1"/>
  <c r="B1043" i="1"/>
  <c r="C1043" i="1"/>
  <c r="E1043" i="1"/>
  <c r="G1043" i="1"/>
  <c r="H1043" i="1"/>
  <c r="A1044" i="1"/>
  <c r="B1044" i="1"/>
  <c r="C1044" i="1"/>
  <c r="E1044" i="1"/>
  <c r="G1044" i="1"/>
  <c r="H1044" i="1"/>
  <c r="A1045" i="1"/>
  <c r="B1045" i="1"/>
  <c r="C1045" i="1"/>
  <c r="E1045" i="1"/>
  <c r="G1045" i="1"/>
  <c r="H1045" i="1"/>
  <c r="A1046" i="1"/>
  <c r="B1046" i="1"/>
  <c r="C1046" i="1"/>
  <c r="E1046" i="1"/>
  <c r="G1046" i="1"/>
  <c r="H1046" i="1"/>
  <c r="A1047" i="1"/>
  <c r="B1047" i="1"/>
  <c r="C1047" i="1"/>
  <c r="E1047" i="1"/>
  <c r="G1047" i="1"/>
  <c r="H1047" i="1"/>
  <c r="A1048" i="1"/>
  <c r="B1048" i="1"/>
  <c r="C1048" i="1"/>
  <c r="E1048" i="1"/>
  <c r="G1048" i="1"/>
  <c r="H1048" i="1"/>
  <c r="A1049" i="1"/>
  <c r="B1049" i="1"/>
  <c r="C1049" i="1"/>
  <c r="E1049" i="1"/>
  <c r="G1049" i="1"/>
  <c r="H1049" i="1"/>
  <c r="A1050" i="1"/>
  <c r="B1050" i="1"/>
  <c r="C1050" i="1"/>
  <c r="E1050" i="1"/>
  <c r="G1050" i="1"/>
  <c r="H1050" i="1"/>
  <c r="A1051" i="1"/>
  <c r="B1051" i="1"/>
  <c r="C1051" i="1"/>
  <c r="E1051" i="1"/>
  <c r="G1051" i="1"/>
  <c r="H1051" i="1"/>
  <c r="A1052" i="1"/>
  <c r="B1052" i="1"/>
  <c r="C1052" i="1"/>
  <c r="E1052" i="1"/>
  <c r="G1052" i="1"/>
  <c r="H1052" i="1"/>
  <c r="A1053" i="1"/>
  <c r="B1053" i="1"/>
  <c r="C1053" i="1"/>
  <c r="E1053" i="1"/>
  <c r="G1053" i="1"/>
  <c r="H1053" i="1"/>
  <c r="A1054" i="1"/>
  <c r="B1054" i="1"/>
  <c r="C1054" i="1"/>
  <c r="E1054" i="1"/>
  <c r="G1054" i="1"/>
  <c r="H1054" i="1"/>
  <c r="A1055" i="1"/>
  <c r="B1055" i="1"/>
  <c r="C1055" i="1"/>
  <c r="E1055" i="1"/>
  <c r="G1055" i="1"/>
  <c r="H1055" i="1"/>
  <c r="A1056" i="1"/>
  <c r="B1056" i="1"/>
  <c r="C1056" i="1"/>
  <c r="E1056" i="1"/>
  <c r="G1056" i="1"/>
  <c r="H1056" i="1"/>
  <c r="A1057" i="1"/>
  <c r="B1057" i="1"/>
  <c r="C1057" i="1"/>
  <c r="E1057" i="1"/>
  <c r="G1057" i="1"/>
  <c r="H1057" i="1"/>
  <c r="A1058" i="1"/>
  <c r="B1058" i="1"/>
  <c r="C1058" i="1"/>
  <c r="E1058" i="1"/>
  <c r="G1058" i="1"/>
  <c r="H1058" i="1"/>
  <c r="A1059" i="1"/>
  <c r="B1059" i="1"/>
  <c r="C1059" i="1"/>
  <c r="E1059" i="1"/>
  <c r="G1059" i="1"/>
  <c r="H1059" i="1"/>
  <c r="A1060" i="1"/>
  <c r="B1060" i="1"/>
  <c r="C1060" i="1"/>
  <c r="E1060" i="1"/>
  <c r="G1060" i="1"/>
  <c r="H1060" i="1"/>
  <c r="A1061" i="1"/>
  <c r="B1061" i="1"/>
  <c r="C1061" i="1"/>
  <c r="E1061" i="1"/>
  <c r="G1061" i="1"/>
  <c r="H1061" i="1"/>
  <c r="A1062" i="1"/>
  <c r="B1062" i="1"/>
  <c r="C1062" i="1"/>
  <c r="E1062" i="1"/>
  <c r="G1062" i="1"/>
  <c r="H1062" i="1"/>
  <c r="A1063" i="1"/>
  <c r="B1063" i="1"/>
  <c r="C1063" i="1"/>
  <c r="E1063" i="1"/>
  <c r="G1063" i="1"/>
  <c r="H1063" i="1"/>
  <c r="A1064" i="1"/>
  <c r="B1064" i="1"/>
  <c r="C1064" i="1"/>
  <c r="E1064" i="1"/>
  <c r="G1064" i="1"/>
  <c r="H1064" i="1"/>
  <c r="A1065" i="1"/>
  <c r="B1065" i="1"/>
  <c r="C1065" i="1"/>
  <c r="E1065" i="1"/>
  <c r="G1065" i="1"/>
  <c r="H1065" i="1"/>
  <c r="A1066" i="1"/>
  <c r="B1066" i="1"/>
  <c r="C1066" i="1"/>
  <c r="E1066" i="1"/>
  <c r="G1066" i="1"/>
  <c r="H1066" i="1"/>
  <c r="A1067" i="1"/>
  <c r="B1067" i="1"/>
  <c r="C1067" i="1"/>
  <c r="E1067" i="1"/>
  <c r="G1067" i="1"/>
  <c r="H1067" i="1"/>
  <c r="A1068" i="1"/>
  <c r="B1068" i="1"/>
  <c r="C1068" i="1"/>
  <c r="E1068" i="1"/>
  <c r="G1068" i="1"/>
  <c r="H1068" i="1"/>
  <c r="A1069" i="1"/>
  <c r="B1069" i="1"/>
  <c r="C1069" i="1"/>
  <c r="E1069" i="1"/>
  <c r="G1069" i="1"/>
  <c r="H1069" i="1"/>
  <c r="A1070" i="1"/>
  <c r="B1070" i="1"/>
  <c r="C1070" i="1"/>
  <c r="E1070" i="1"/>
  <c r="G1070" i="1"/>
  <c r="H1070" i="1"/>
  <c r="A1071" i="1"/>
  <c r="B1071" i="1"/>
  <c r="C1071" i="1"/>
  <c r="E1071" i="1"/>
  <c r="G1071" i="1"/>
  <c r="H1071" i="1"/>
  <c r="A1072" i="1"/>
  <c r="B1072" i="1"/>
  <c r="C1072" i="1"/>
  <c r="E1072" i="1"/>
  <c r="G1072" i="1"/>
  <c r="H1072" i="1"/>
  <c r="A1073" i="1"/>
  <c r="B1073" i="1"/>
  <c r="C1073" i="1"/>
  <c r="E1073" i="1"/>
  <c r="G1073" i="1"/>
  <c r="H1073" i="1"/>
  <c r="A1074" i="1"/>
  <c r="B1074" i="1"/>
  <c r="C1074" i="1"/>
  <c r="E1074" i="1"/>
  <c r="G1074" i="1"/>
  <c r="H1074" i="1"/>
  <c r="A1075" i="1"/>
  <c r="B1075" i="1"/>
  <c r="C1075" i="1"/>
  <c r="E1075" i="1"/>
  <c r="G1075" i="1"/>
  <c r="H1075" i="1"/>
  <c r="A1076" i="1"/>
  <c r="B1076" i="1"/>
  <c r="C1076" i="1"/>
  <c r="E1076" i="1"/>
  <c r="G1076" i="1"/>
  <c r="H1076" i="1"/>
  <c r="A1077" i="1"/>
  <c r="B1077" i="1"/>
  <c r="C1077" i="1"/>
  <c r="E1077" i="1"/>
  <c r="G1077" i="1"/>
  <c r="H1077" i="1"/>
  <c r="A1078" i="1"/>
  <c r="B1078" i="1"/>
  <c r="C1078" i="1"/>
  <c r="E1078" i="1"/>
  <c r="G1078" i="1"/>
  <c r="H1078" i="1"/>
  <c r="A1079" i="1"/>
  <c r="B1079" i="1"/>
  <c r="C1079" i="1"/>
  <c r="E1079" i="1"/>
  <c r="G1079" i="1"/>
  <c r="H1079" i="1"/>
  <c r="A1080" i="1"/>
  <c r="B1080" i="1"/>
  <c r="C1080" i="1"/>
  <c r="E1080" i="1"/>
  <c r="G1080" i="1"/>
  <c r="H1080" i="1"/>
  <c r="A1081" i="1"/>
  <c r="B1081" i="1"/>
  <c r="C1081" i="1"/>
  <c r="E1081" i="1"/>
  <c r="G1081" i="1"/>
  <c r="H1081" i="1"/>
  <c r="A1082" i="1"/>
  <c r="B1082" i="1"/>
  <c r="C1082" i="1"/>
  <c r="E1082" i="1"/>
  <c r="G1082" i="1"/>
  <c r="H1082" i="1"/>
  <c r="A1083" i="1"/>
  <c r="B1083" i="1"/>
  <c r="C1083" i="1"/>
  <c r="E1083" i="1"/>
  <c r="G1083" i="1"/>
  <c r="H1083" i="1"/>
  <c r="A1084" i="1"/>
  <c r="B1084" i="1"/>
  <c r="C1084" i="1"/>
  <c r="E1084" i="1"/>
  <c r="G1084" i="1"/>
  <c r="H1084" i="1"/>
  <c r="A1085" i="1"/>
  <c r="B1085" i="1"/>
  <c r="C1085" i="1"/>
  <c r="E1085" i="1"/>
  <c r="G1085" i="1"/>
  <c r="H1085" i="1"/>
  <c r="A1086" i="1"/>
  <c r="B1086" i="1"/>
  <c r="C1086" i="1"/>
  <c r="E1086" i="1"/>
  <c r="G1086" i="1"/>
  <c r="H1086" i="1"/>
  <c r="A1087" i="1"/>
  <c r="B1087" i="1"/>
  <c r="C1087" i="1"/>
  <c r="E1087" i="1"/>
  <c r="G1087" i="1"/>
  <c r="H1087" i="1"/>
  <c r="A1088" i="1"/>
  <c r="B1088" i="1"/>
  <c r="C1088" i="1"/>
  <c r="E1088" i="1"/>
  <c r="G1088" i="1"/>
  <c r="H1088" i="1"/>
  <c r="A1089" i="1"/>
  <c r="B1089" i="1"/>
  <c r="C1089" i="1"/>
  <c r="E1089" i="1"/>
  <c r="G1089" i="1"/>
  <c r="H1089" i="1"/>
  <c r="A1090" i="1"/>
  <c r="B1090" i="1"/>
  <c r="C1090" i="1"/>
  <c r="E1090" i="1"/>
  <c r="G1090" i="1"/>
  <c r="H1090" i="1"/>
  <c r="A1091" i="1"/>
  <c r="B1091" i="1"/>
  <c r="C1091" i="1"/>
  <c r="E1091" i="1"/>
  <c r="G1091" i="1"/>
  <c r="H1091" i="1"/>
  <c r="A1092" i="1"/>
  <c r="B1092" i="1"/>
  <c r="C1092" i="1"/>
  <c r="E1092" i="1"/>
  <c r="G1092" i="1"/>
  <c r="H1092" i="1"/>
  <c r="A1093" i="1"/>
  <c r="B1093" i="1"/>
  <c r="C1093" i="1"/>
  <c r="E1093" i="1"/>
  <c r="G1093" i="1"/>
  <c r="H1093" i="1"/>
  <c r="A1094" i="1"/>
  <c r="B1094" i="1"/>
  <c r="C1094" i="1"/>
  <c r="E1094" i="1"/>
  <c r="G1094" i="1"/>
  <c r="H1094" i="1"/>
  <c r="A1095" i="1"/>
  <c r="B1095" i="1"/>
  <c r="C1095" i="1"/>
  <c r="E1095" i="1"/>
  <c r="G1095" i="1"/>
  <c r="H1095" i="1"/>
  <c r="A1096" i="1"/>
  <c r="B1096" i="1"/>
  <c r="C1096" i="1"/>
  <c r="E1096" i="1"/>
  <c r="G1096" i="1"/>
  <c r="H1096" i="1"/>
  <c r="A1097" i="1"/>
  <c r="B1097" i="1"/>
  <c r="C1097" i="1"/>
  <c r="E1097" i="1"/>
  <c r="G1097" i="1"/>
  <c r="H1097" i="1"/>
  <c r="A1098" i="1"/>
  <c r="B1098" i="1"/>
  <c r="C1098" i="1"/>
  <c r="E1098" i="1"/>
  <c r="G1098" i="1"/>
  <c r="H1098" i="1"/>
  <c r="A1099" i="1"/>
  <c r="B1099" i="1"/>
  <c r="C1099" i="1"/>
  <c r="E1099" i="1"/>
  <c r="G1099" i="1"/>
  <c r="H1099" i="1"/>
  <c r="A1100" i="1"/>
  <c r="B1100" i="1"/>
  <c r="C1100" i="1"/>
  <c r="E1100" i="1"/>
  <c r="G1100" i="1"/>
  <c r="H1100" i="1"/>
  <c r="A1101" i="1"/>
  <c r="B1101" i="1"/>
  <c r="C1101" i="1"/>
  <c r="E1101" i="1"/>
  <c r="G1101" i="1"/>
  <c r="H1101" i="1"/>
  <c r="A1102" i="1"/>
  <c r="B1102" i="1"/>
  <c r="C1102" i="1"/>
  <c r="E1102" i="1"/>
  <c r="G1102" i="1"/>
  <c r="H1102" i="1"/>
  <c r="A1103" i="1"/>
  <c r="B1103" i="1"/>
  <c r="C1103" i="1"/>
  <c r="E1103" i="1"/>
  <c r="G1103" i="1"/>
  <c r="H1103" i="1"/>
  <c r="A1104" i="1"/>
  <c r="B1104" i="1"/>
  <c r="C1104" i="1"/>
  <c r="E1104" i="1"/>
  <c r="G1104" i="1"/>
  <c r="H1104" i="1"/>
  <c r="A1105" i="1"/>
  <c r="B1105" i="1"/>
  <c r="C1105" i="1"/>
  <c r="E1105" i="1"/>
  <c r="G1105" i="1"/>
  <c r="H1105" i="1"/>
  <c r="A1106" i="1"/>
  <c r="B1106" i="1"/>
  <c r="C1106" i="1"/>
  <c r="E1106" i="1"/>
  <c r="G1106" i="1"/>
  <c r="H1106" i="1"/>
  <c r="A1107" i="1"/>
  <c r="B1107" i="1"/>
  <c r="C1107" i="1"/>
  <c r="E1107" i="1"/>
  <c r="G1107" i="1"/>
  <c r="H1107" i="1"/>
  <c r="A1108" i="1"/>
  <c r="B1108" i="1"/>
  <c r="C1108" i="1"/>
  <c r="E1108" i="1"/>
  <c r="G1108" i="1"/>
  <c r="H1108" i="1"/>
  <c r="A1109" i="1"/>
  <c r="B1109" i="1"/>
  <c r="C1109" i="1"/>
  <c r="E1109" i="1"/>
  <c r="G1109" i="1"/>
  <c r="H1109" i="1"/>
  <c r="A1110" i="1"/>
  <c r="B1110" i="1"/>
  <c r="C1110" i="1"/>
  <c r="E1110" i="1"/>
  <c r="G1110" i="1"/>
  <c r="H1110" i="1"/>
  <c r="A1111" i="1"/>
  <c r="B1111" i="1"/>
  <c r="C1111" i="1"/>
  <c r="E1111" i="1"/>
  <c r="G1111" i="1"/>
  <c r="H1111" i="1"/>
  <c r="A1112" i="1"/>
  <c r="B1112" i="1"/>
  <c r="C1112" i="1"/>
  <c r="E1112" i="1"/>
  <c r="G1112" i="1"/>
  <c r="H1112" i="1"/>
  <c r="A1113" i="1"/>
  <c r="B1113" i="1"/>
  <c r="C1113" i="1"/>
  <c r="E1113" i="1"/>
  <c r="G1113" i="1"/>
  <c r="H1113" i="1"/>
  <c r="A1114" i="1"/>
  <c r="B1114" i="1"/>
  <c r="C1114" i="1"/>
  <c r="E1114" i="1"/>
  <c r="G1114" i="1"/>
  <c r="H1114" i="1"/>
  <c r="A1115" i="1"/>
  <c r="B1115" i="1"/>
  <c r="C1115" i="1"/>
  <c r="E1115" i="1"/>
  <c r="G1115" i="1"/>
  <c r="H1115" i="1"/>
  <c r="A1116" i="1"/>
  <c r="B1116" i="1"/>
  <c r="C1116" i="1"/>
  <c r="E1116" i="1"/>
  <c r="G1116" i="1"/>
  <c r="H1116" i="1"/>
  <c r="A1117" i="1"/>
  <c r="B1117" i="1"/>
  <c r="C1117" i="1"/>
  <c r="E1117" i="1"/>
  <c r="G1117" i="1"/>
  <c r="H1117" i="1"/>
  <c r="A1118" i="1"/>
  <c r="B1118" i="1"/>
  <c r="C1118" i="1"/>
  <c r="E1118" i="1"/>
  <c r="G1118" i="1"/>
  <c r="H1118" i="1"/>
  <c r="A1119" i="1"/>
  <c r="B1119" i="1"/>
  <c r="C1119" i="1"/>
  <c r="E1119" i="1"/>
  <c r="G1119" i="1"/>
  <c r="H1119" i="1"/>
  <c r="A1120" i="1"/>
  <c r="B1120" i="1"/>
  <c r="C1120" i="1"/>
  <c r="E1120" i="1"/>
  <c r="G1120" i="1"/>
  <c r="H1120" i="1"/>
  <c r="A1121" i="1"/>
  <c r="B1121" i="1"/>
  <c r="C1121" i="1"/>
  <c r="E1121" i="1"/>
  <c r="G1121" i="1"/>
  <c r="H1121" i="1"/>
  <c r="A1122" i="1"/>
  <c r="B1122" i="1"/>
  <c r="C1122" i="1"/>
  <c r="E1122" i="1"/>
  <c r="G1122" i="1"/>
  <c r="H1122" i="1"/>
  <c r="A1123" i="1"/>
  <c r="B1123" i="1"/>
  <c r="C1123" i="1"/>
  <c r="E1123" i="1"/>
  <c r="G1123" i="1"/>
  <c r="H1123" i="1"/>
  <c r="A1124" i="1"/>
  <c r="B1124" i="1"/>
  <c r="C1124" i="1"/>
  <c r="E1124" i="1"/>
  <c r="G1124" i="1"/>
  <c r="H1124" i="1"/>
  <c r="A1125" i="1"/>
  <c r="B1125" i="1"/>
  <c r="C1125" i="1"/>
  <c r="E1125" i="1"/>
  <c r="G1125" i="1"/>
  <c r="H1125" i="1"/>
  <c r="A1126" i="1"/>
  <c r="B1126" i="1"/>
  <c r="C1126" i="1"/>
  <c r="E1126" i="1"/>
  <c r="G1126" i="1"/>
  <c r="H1126" i="1"/>
  <c r="A1127" i="1"/>
  <c r="B1127" i="1"/>
  <c r="C1127" i="1"/>
  <c r="E1127" i="1"/>
  <c r="G1127" i="1"/>
  <c r="H1127" i="1"/>
  <c r="A1128" i="1"/>
  <c r="B1128" i="1"/>
  <c r="C1128" i="1"/>
  <c r="E1128" i="1"/>
  <c r="G1128" i="1"/>
  <c r="H1128" i="1"/>
  <c r="A1129" i="1"/>
  <c r="B1129" i="1"/>
  <c r="C1129" i="1"/>
  <c r="E1129" i="1"/>
  <c r="G1129" i="1"/>
  <c r="H1129" i="1"/>
  <c r="A1130" i="1"/>
  <c r="B1130" i="1"/>
  <c r="C1130" i="1"/>
  <c r="E1130" i="1"/>
  <c r="G1130" i="1"/>
  <c r="H1130" i="1"/>
  <c r="A1131" i="1"/>
  <c r="B1131" i="1"/>
  <c r="C1131" i="1"/>
  <c r="E1131" i="1"/>
  <c r="G1131" i="1"/>
  <c r="H1131" i="1"/>
  <c r="A1132" i="1"/>
  <c r="B1132" i="1"/>
  <c r="C1132" i="1"/>
  <c r="E1132" i="1"/>
  <c r="G1132" i="1"/>
  <c r="H1132" i="1"/>
  <c r="A1133" i="1"/>
  <c r="B1133" i="1"/>
  <c r="C1133" i="1"/>
  <c r="E1133" i="1"/>
  <c r="G1133" i="1"/>
  <c r="H1133" i="1"/>
  <c r="A1134" i="1"/>
  <c r="B1134" i="1"/>
  <c r="C1134" i="1"/>
  <c r="E1134" i="1"/>
  <c r="G1134" i="1"/>
  <c r="H1134" i="1"/>
  <c r="A1135" i="1"/>
  <c r="B1135" i="1"/>
  <c r="C1135" i="1"/>
  <c r="E1135" i="1"/>
  <c r="G1135" i="1"/>
  <c r="H1135" i="1"/>
  <c r="A1136" i="1"/>
  <c r="B1136" i="1"/>
  <c r="C1136" i="1"/>
  <c r="E1136" i="1"/>
  <c r="G1136" i="1"/>
  <c r="H1136" i="1"/>
  <c r="A1137" i="1"/>
  <c r="B1137" i="1"/>
  <c r="C1137" i="1"/>
  <c r="E1137" i="1"/>
  <c r="G1137" i="1"/>
  <c r="H1137" i="1"/>
  <c r="A1138" i="1"/>
  <c r="B1138" i="1"/>
  <c r="C1138" i="1"/>
  <c r="E1138" i="1"/>
  <c r="G1138" i="1"/>
  <c r="H1138" i="1"/>
  <c r="A1139" i="1"/>
  <c r="B1139" i="1"/>
  <c r="C1139" i="1"/>
  <c r="E1139" i="1"/>
  <c r="G1139" i="1"/>
  <c r="H1139" i="1"/>
  <c r="A1140" i="1"/>
  <c r="B1140" i="1"/>
  <c r="C1140" i="1"/>
  <c r="E1140" i="1"/>
  <c r="G1140" i="1"/>
  <c r="H1140" i="1"/>
  <c r="A1141" i="1"/>
  <c r="B1141" i="1"/>
  <c r="C1141" i="1"/>
  <c r="E1141" i="1"/>
  <c r="G1141" i="1"/>
  <c r="H1141" i="1"/>
  <c r="A1142" i="1"/>
  <c r="B1142" i="1"/>
  <c r="C1142" i="1"/>
  <c r="E1142" i="1"/>
  <c r="G1142" i="1"/>
  <c r="H1142" i="1"/>
  <c r="A1143" i="1"/>
  <c r="B1143" i="1"/>
  <c r="C1143" i="1"/>
  <c r="E1143" i="1"/>
  <c r="G1143" i="1"/>
  <c r="H1143" i="1"/>
  <c r="A1144" i="1"/>
  <c r="B1144" i="1"/>
  <c r="C1144" i="1"/>
  <c r="E1144" i="1"/>
  <c r="G1144" i="1"/>
  <c r="H1144" i="1"/>
  <c r="A1145" i="1"/>
  <c r="B1145" i="1"/>
  <c r="C1145" i="1"/>
  <c r="E1145" i="1"/>
  <c r="G1145" i="1"/>
  <c r="H1145" i="1"/>
  <c r="A1146" i="1"/>
  <c r="B1146" i="1"/>
  <c r="C1146" i="1"/>
  <c r="E1146" i="1"/>
  <c r="G1146" i="1"/>
  <c r="H1146" i="1"/>
  <c r="A1147" i="1"/>
  <c r="B1147" i="1"/>
  <c r="C1147" i="1"/>
  <c r="E1147" i="1"/>
  <c r="G1147" i="1"/>
  <c r="H1147" i="1"/>
  <c r="A1148" i="1"/>
  <c r="B1148" i="1"/>
  <c r="C1148" i="1"/>
  <c r="E1148" i="1"/>
  <c r="G1148" i="1"/>
  <c r="H1148" i="1"/>
  <c r="A1149" i="1"/>
  <c r="B1149" i="1"/>
  <c r="C1149" i="1"/>
  <c r="E1149" i="1"/>
  <c r="G1149" i="1"/>
  <c r="H1149" i="1"/>
  <c r="A1150" i="1"/>
  <c r="B1150" i="1"/>
  <c r="C1150" i="1"/>
  <c r="E1150" i="1"/>
  <c r="G1150" i="1"/>
  <c r="H1150" i="1"/>
  <c r="A1151" i="1"/>
  <c r="B1151" i="1"/>
  <c r="C1151" i="1"/>
  <c r="E1151" i="1"/>
  <c r="G1151" i="1"/>
  <c r="H1151" i="1"/>
  <c r="A1152" i="1"/>
  <c r="B1152" i="1"/>
  <c r="C1152" i="1"/>
  <c r="E1152" i="1"/>
  <c r="G1152" i="1"/>
  <c r="H1152" i="1"/>
  <c r="A1153" i="1"/>
  <c r="B1153" i="1"/>
  <c r="C1153" i="1"/>
  <c r="E1153" i="1"/>
  <c r="G1153" i="1"/>
  <c r="H1153" i="1"/>
  <c r="A1154" i="1"/>
  <c r="B1154" i="1"/>
  <c r="C1154" i="1"/>
  <c r="E1154" i="1"/>
  <c r="G1154" i="1"/>
  <c r="H1154" i="1"/>
  <c r="A1155" i="1"/>
  <c r="B1155" i="1"/>
  <c r="C1155" i="1"/>
  <c r="E1155" i="1"/>
  <c r="G1155" i="1"/>
  <c r="H1155" i="1"/>
  <c r="A1156" i="1"/>
  <c r="B1156" i="1"/>
  <c r="C1156" i="1"/>
  <c r="E1156" i="1"/>
  <c r="G1156" i="1"/>
  <c r="H1156" i="1"/>
  <c r="A1157" i="1"/>
  <c r="B1157" i="1"/>
  <c r="C1157" i="1"/>
  <c r="E1157" i="1"/>
  <c r="G1157" i="1"/>
  <c r="H1157" i="1"/>
  <c r="A1158" i="1"/>
  <c r="B1158" i="1"/>
  <c r="C1158" i="1"/>
  <c r="E1158" i="1"/>
  <c r="G1158" i="1"/>
  <c r="H1158" i="1"/>
  <c r="A1159" i="1"/>
  <c r="B1159" i="1"/>
  <c r="C1159" i="1"/>
  <c r="E1159" i="1"/>
  <c r="G1159" i="1"/>
  <c r="H1159" i="1"/>
  <c r="A1160" i="1"/>
  <c r="B1160" i="1"/>
  <c r="C1160" i="1"/>
  <c r="E1160" i="1"/>
  <c r="G1160" i="1"/>
  <c r="H1160" i="1"/>
  <c r="A1161" i="1"/>
  <c r="B1161" i="1"/>
  <c r="C1161" i="1"/>
  <c r="E1161" i="1"/>
  <c r="G1161" i="1"/>
  <c r="H1161" i="1"/>
  <c r="A1162" i="1"/>
  <c r="B1162" i="1"/>
  <c r="C1162" i="1"/>
  <c r="E1162" i="1"/>
  <c r="G1162" i="1"/>
  <c r="H1162" i="1"/>
  <c r="A1163" i="1"/>
  <c r="B1163" i="1"/>
  <c r="C1163" i="1"/>
  <c r="E1163" i="1"/>
  <c r="G1163" i="1"/>
  <c r="H1163" i="1"/>
  <c r="A1164" i="1"/>
  <c r="B1164" i="1"/>
  <c r="C1164" i="1"/>
  <c r="E1164" i="1"/>
  <c r="G1164" i="1"/>
  <c r="H1164" i="1"/>
  <c r="A1165" i="1"/>
  <c r="B1165" i="1"/>
  <c r="C1165" i="1"/>
  <c r="E1165" i="1"/>
  <c r="G1165" i="1"/>
  <c r="H1165" i="1"/>
  <c r="A1166" i="1"/>
  <c r="B1166" i="1"/>
  <c r="C1166" i="1"/>
  <c r="E1166" i="1"/>
  <c r="G1166" i="1"/>
  <c r="H1166" i="1"/>
  <c r="A1167" i="1"/>
  <c r="B1167" i="1"/>
  <c r="C1167" i="1"/>
  <c r="E1167" i="1"/>
  <c r="G1167" i="1"/>
  <c r="H1167" i="1"/>
  <c r="A1168" i="1"/>
  <c r="B1168" i="1"/>
  <c r="C1168" i="1"/>
  <c r="E1168" i="1"/>
  <c r="G1168" i="1"/>
  <c r="H1168" i="1"/>
  <c r="A1169" i="1"/>
  <c r="B1169" i="1"/>
  <c r="C1169" i="1"/>
  <c r="E1169" i="1"/>
  <c r="G1169" i="1"/>
  <c r="H1169" i="1"/>
  <c r="A1170" i="1"/>
  <c r="B1170" i="1"/>
  <c r="C1170" i="1"/>
  <c r="E1170" i="1"/>
  <c r="G1170" i="1"/>
  <c r="H1170" i="1"/>
  <c r="A1171" i="1"/>
  <c r="B1171" i="1"/>
  <c r="C1171" i="1"/>
  <c r="E1171" i="1"/>
  <c r="G1171" i="1"/>
  <c r="H1171" i="1"/>
  <c r="A1172" i="1"/>
  <c r="B1172" i="1"/>
  <c r="C1172" i="1"/>
  <c r="E1172" i="1"/>
  <c r="G1172" i="1"/>
  <c r="H1172" i="1"/>
  <c r="A1173" i="1"/>
  <c r="B1173" i="1"/>
  <c r="C1173" i="1"/>
  <c r="E1173" i="1"/>
  <c r="G1173" i="1"/>
  <c r="H1173" i="1"/>
  <c r="A1174" i="1"/>
  <c r="B1174" i="1"/>
  <c r="C1174" i="1"/>
  <c r="E1174" i="1"/>
  <c r="G1174" i="1"/>
  <c r="H1174" i="1"/>
  <c r="A1175" i="1"/>
  <c r="B1175" i="1"/>
  <c r="C1175" i="1"/>
  <c r="E1175" i="1"/>
  <c r="G1175" i="1"/>
  <c r="H1175" i="1"/>
  <c r="A1176" i="1"/>
  <c r="B1176" i="1"/>
  <c r="C1176" i="1"/>
  <c r="E1176" i="1"/>
  <c r="G1176" i="1"/>
  <c r="H1176" i="1"/>
  <c r="A1177" i="1"/>
  <c r="B1177" i="1"/>
  <c r="C1177" i="1"/>
  <c r="E1177" i="1"/>
  <c r="G1177" i="1"/>
  <c r="H1177" i="1"/>
  <c r="A1178" i="1"/>
  <c r="B1178" i="1"/>
  <c r="C1178" i="1"/>
  <c r="E1178" i="1"/>
  <c r="G1178" i="1"/>
  <c r="H1178" i="1"/>
  <c r="A1179" i="1"/>
  <c r="B1179" i="1"/>
  <c r="C1179" i="1"/>
  <c r="E1179" i="1"/>
  <c r="G1179" i="1"/>
  <c r="H1179" i="1"/>
  <c r="A1180" i="1"/>
  <c r="B1180" i="1"/>
  <c r="C1180" i="1"/>
  <c r="E1180" i="1"/>
  <c r="G1180" i="1"/>
  <c r="H1180" i="1"/>
  <c r="A1181" i="1"/>
  <c r="B1181" i="1"/>
  <c r="C1181" i="1"/>
  <c r="E1181" i="1"/>
  <c r="G1181" i="1"/>
  <c r="H1181" i="1"/>
  <c r="A1182" i="1"/>
  <c r="B1182" i="1"/>
  <c r="C1182" i="1"/>
  <c r="E1182" i="1"/>
  <c r="G1182" i="1"/>
  <c r="H1182" i="1"/>
  <c r="A1183" i="1"/>
  <c r="B1183" i="1"/>
  <c r="C1183" i="1"/>
  <c r="E1183" i="1"/>
  <c r="G1183" i="1"/>
  <c r="H1183" i="1"/>
  <c r="A1184" i="1"/>
  <c r="B1184" i="1"/>
  <c r="C1184" i="1"/>
  <c r="E1184" i="1"/>
  <c r="G1184" i="1"/>
  <c r="H1184" i="1"/>
  <c r="A1185" i="1"/>
  <c r="B1185" i="1"/>
  <c r="C1185" i="1"/>
  <c r="E1185" i="1"/>
  <c r="G1185" i="1"/>
  <c r="H1185" i="1"/>
  <c r="A1186" i="1"/>
  <c r="B1186" i="1"/>
  <c r="C1186" i="1"/>
  <c r="E1186" i="1"/>
  <c r="G1186" i="1"/>
  <c r="H1186" i="1"/>
  <c r="A1187" i="1"/>
  <c r="B1187" i="1"/>
  <c r="C1187" i="1"/>
  <c r="E1187" i="1"/>
  <c r="G1187" i="1"/>
  <c r="H1187" i="1"/>
  <c r="A1188" i="1"/>
  <c r="B1188" i="1"/>
  <c r="C1188" i="1"/>
  <c r="E1188" i="1"/>
  <c r="G1188" i="1"/>
  <c r="H1188" i="1"/>
  <c r="A1189" i="1"/>
  <c r="B1189" i="1"/>
  <c r="C1189" i="1"/>
  <c r="E1189" i="1"/>
  <c r="G1189" i="1"/>
  <c r="H1189" i="1"/>
  <c r="A1190" i="1"/>
  <c r="B1190" i="1"/>
  <c r="C1190" i="1"/>
  <c r="E1190" i="1"/>
  <c r="G1190" i="1"/>
  <c r="H1190" i="1"/>
  <c r="A1191" i="1"/>
  <c r="B1191" i="1"/>
  <c r="C1191" i="1"/>
  <c r="E1191" i="1"/>
  <c r="G1191" i="1"/>
  <c r="H1191" i="1"/>
  <c r="A1192" i="1"/>
  <c r="B1192" i="1"/>
  <c r="C1192" i="1"/>
  <c r="E1192" i="1"/>
  <c r="G1192" i="1"/>
  <c r="H1192" i="1"/>
  <c r="A1193" i="1"/>
  <c r="B1193" i="1"/>
  <c r="C1193" i="1"/>
  <c r="E1193" i="1"/>
  <c r="G1193" i="1"/>
  <c r="H1193" i="1"/>
  <c r="A1194" i="1"/>
  <c r="B1194" i="1"/>
  <c r="C1194" i="1"/>
  <c r="E1194" i="1"/>
  <c r="G1194" i="1"/>
  <c r="H1194" i="1"/>
  <c r="A1195" i="1"/>
  <c r="B1195" i="1"/>
  <c r="C1195" i="1"/>
  <c r="E1195" i="1"/>
  <c r="G1195" i="1"/>
  <c r="H1195" i="1"/>
  <c r="A1196" i="1"/>
  <c r="B1196" i="1"/>
  <c r="C1196" i="1"/>
  <c r="E1196" i="1"/>
  <c r="G1196" i="1"/>
  <c r="H1196" i="1"/>
  <c r="A1197" i="1"/>
  <c r="B1197" i="1"/>
  <c r="C1197" i="1"/>
  <c r="E1197" i="1"/>
  <c r="G1197" i="1"/>
  <c r="H1197" i="1"/>
  <c r="A1198" i="1"/>
  <c r="B1198" i="1"/>
  <c r="C1198" i="1"/>
  <c r="E1198" i="1"/>
  <c r="G1198" i="1"/>
  <c r="H1198" i="1"/>
  <c r="A1199" i="1"/>
  <c r="B1199" i="1"/>
  <c r="C1199" i="1"/>
  <c r="E1199" i="1"/>
  <c r="G1199" i="1"/>
  <c r="H1199" i="1"/>
  <c r="A1200" i="1"/>
  <c r="B1200" i="1"/>
  <c r="C1200" i="1"/>
  <c r="E1200" i="1"/>
  <c r="G1200" i="1"/>
  <c r="H1200" i="1"/>
  <c r="A1201" i="1"/>
  <c r="B1201" i="1"/>
  <c r="C1201" i="1"/>
  <c r="E1201" i="1"/>
  <c r="G1201" i="1"/>
  <c r="H1201" i="1"/>
  <c r="A1202" i="1"/>
  <c r="B1202" i="1"/>
  <c r="C1202" i="1"/>
  <c r="E1202" i="1"/>
  <c r="G1202" i="1"/>
  <c r="H1202" i="1"/>
  <c r="A1203" i="1"/>
  <c r="B1203" i="1"/>
  <c r="C1203" i="1"/>
  <c r="E1203" i="1"/>
  <c r="G1203" i="1"/>
  <c r="H1203" i="1"/>
  <c r="A1204" i="1"/>
  <c r="B1204" i="1"/>
  <c r="C1204" i="1"/>
  <c r="E1204" i="1"/>
  <c r="G1204" i="1"/>
  <c r="H1204" i="1"/>
  <c r="A1205" i="1"/>
  <c r="B1205" i="1"/>
  <c r="C1205" i="1"/>
  <c r="E1205" i="1"/>
  <c r="G1205" i="1"/>
  <c r="H1205" i="1"/>
  <c r="A1206" i="1"/>
  <c r="B1206" i="1"/>
  <c r="C1206" i="1"/>
  <c r="E1206" i="1"/>
  <c r="G1206" i="1"/>
  <c r="H1206" i="1"/>
  <c r="A1207" i="1"/>
  <c r="B1207" i="1"/>
  <c r="C1207" i="1"/>
  <c r="E1207" i="1"/>
  <c r="G1207" i="1"/>
  <c r="H1207" i="1"/>
  <c r="A1208" i="1"/>
  <c r="B1208" i="1"/>
  <c r="C1208" i="1"/>
  <c r="E1208" i="1"/>
  <c r="G1208" i="1"/>
  <c r="H1208" i="1"/>
  <c r="A1209" i="1"/>
  <c r="B1209" i="1"/>
  <c r="C1209" i="1"/>
  <c r="E1209" i="1"/>
  <c r="G1209" i="1"/>
  <c r="H1209" i="1"/>
  <c r="A1210" i="1"/>
  <c r="B1210" i="1"/>
  <c r="C1210" i="1"/>
  <c r="E1210" i="1"/>
  <c r="G1210" i="1"/>
  <c r="H1210" i="1"/>
  <c r="A1211" i="1"/>
  <c r="B1211" i="1"/>
  <c r="C1211" i="1"/>
  <c r="E1211" i="1"/>
  <c r="G1211" i="1"/>
  <c r="H1211" i="1"/>
  <c r="A1212" i="1"/>
  <c r="B1212" i="1"/>
  <c r="C1212" i="1"/>
  <c r="E1212" i="1"/>
  <c r="G1212" i="1"/>
  <c r="H1212" i="1"/>
  <c r="A1213" i="1"/>
  <c r="B1213" i="1"/>
  <c r="C1213" i="1"/>
  <c r="E1213" i="1"/>
  <c r="G1213" i="1"/>
  <c r="H1213" i="1"/>
  <c r="A1214" i="1"/>
  <c r="B1214" i="1"/>
  <c r="C1214" i="1"/>
  <c r="E1214" i="1"/>
  <c r="G1214" i="1"/>
  <c r="H1214" i="1"/>
  <c r="A1215" i="1"/>
  <c r="B1215" i="1"/>
  <c r="C1215" i="1"/>
  <c r="E1215" i="1"/>
  <c r="G1215" i="1"/>
  <c r="H1215" i="1"/>
  <c r="A1216" i="1"/>
  <c r="B1216" i="1"/>
  <c r="C1216" i="1"/>
  <c r="E1216" i="1"/>
  <c r="G1216" i="1"/>
  <c r="H1216" i="1"/>
  <c r="A1217" i="1"/>
  <c r="B1217" i="1"/>
  <c r="C1217" i="1"/>
  <c r="E1217" i="1"/>
  <c r="G1217" i="1"/>
  <c r="H1217" i="1"/>
  <c r="A1218" i="1"/>
  <c r="B1218" i="1"/>
  <c r="C1218" i="1"/>
  <c r="E1218" i="1"/>
  <c r="G1218" i="1"/>
  <c r="H1218" i="1"/>
  <c r="A1219" i="1"/>
  <c r="B1219" i="1"/>
  <c r="C1219" i="1"/>
  <c r="E1219" i="1"/>
  <c r="G1219" i="1"/>
  <c r="H1219" i="1"/>
  <c r="A1220" i="1"/>
  <c r="B1220" i="1"/>
  <c r="C1220" i="1"/>
  <c r="E1220" i="1"/>
  <c r="G1220" i="1"/>
  <c r="H1220" i="1"/>
  <c r="A1221" i="1"/>
  <c r="B1221" i="1"/>
  <c r="C1221" i="1"/>
  <c r="E1221" i="1"/>
  <c r="G1221" i="1"/>
  <c r="H1221" i="1"/>
  <c r="A1222" i="1"/>
  <c r="B1222" i="1"/>
  <c r="C1222" i="1"/>
  <c r="E1222" i="1"/>
  <c r="G1222" i="1"/>
  <c r="H1222" i="1"/>
  <c r="A1223" i="1"/>
  <c r="B1223" i="1"/>
  <c r="C1223" i="1"/>
  <c r="E1223" i="1"/>
  <c r="G1223" i="1"/>
  <c r="H1223" i="1"/>
  <c r="A1224" i="1"/>
  <c r="B1224" i="1"/>
  <c r="C1224" i="1"/>
  <c r="E1224" i="1"/>
  <c r="G1224" i="1"/>
  <c r="H1224" i="1"/>
  <c r="A1225" i="1"/>
  <c r="B1225" i="1"/>
  <c r="C1225" i="1"/>
  <c r="E1225" i="1"/>
  <c r="G1225" i="1"/>
  <c r="H1225" i="1"/>
  <c r="A1226" i="1"/>
  <c r="B1226" i="1"/>
  <c r="C1226" i="1"/>
  <c r="E1226" i="1"/>
  <c r="G1226" i="1"/>
  <c r="H1226" i="1"/>
  <c r="A1227" i="1"/>
  <c r="B1227" i="1"/>
  <c r="C1227" i="1"/>
  <c r="E1227" i="1"/>
  <c r="G1227" i="1"/>
  <c r="H1227" i="1"/>
  <c r="A1228" i="1"/>
  <c r="B1228" i="1"/>
  <c r="C1228" i="1"/>
  <c r="E1228" i="1"/>
  <c r="G1228" i="1"/>
  <c r="H1228" i="1"/>
  <c r="A1229" i="1"/>
  <c r="B1229" i="1"/>
  <c r="C1229" i="1"/>
  <c r="E1229" i="1"/>
  <c r="G1229" i="1"/>
  <c r="H1229" i="1"/>
  <c r="A1230" i="1"/>
  <c r="B1230" i="1"/>
  <c r="C1230" i="1"/>
  <c r="E1230" i="1"/>
  <c r="G1230" i="1"/>
  <c r="H1230" i="1"/>
  <c r="A1231" i="1"/>
  <c r="B1231" i="1"/>
  <c r="C1231" i="1"/>
  <c r="E1231" i="1"/>
  <c r="G1231" i="1"/>
  <c r="H1231" i="1"/>
  <c r="A1232" i="1"/>
  <c r="B1232" i="1"/>
  <c r="C1232" i="1"/>
  <c r="E1232" i="1"/>
  <c r="G1232" i="1"/>
  <c r="H1232" i="1"/>
  <c r="A1233" i="1"/>
  <c r="B1233" i="1"/>
  <c r="C1233" i="1"/>
  <c r="E1233" i="1"/>
  <c r="G1233" i="1"/>
  <c r="H1233" i="1"/>
  <c r="A1234" i="1"/>
  <c r="B1234" i="1"/>
  <c r="C1234" i="1"/>
  <c r="E1234" i="1"/>
  <c r="G1234" i="1"/>
  <c r="H1234" i="1"/>
  <c r="A1235" i="1"/>
  <c r="B1235" i="1"/>
  <c r="C1235" i="1"/>
  <c r="E1235" i="1"/>
  <c r="G1235" i="1"/>
  <c r="H1235" i="1"/>
  <c r="A1236" i="1"/>
  <c r="B1236" i="1"/>
  <c r="C1236" i="1"/>
  <c r="E1236" i="1"/>
  <c r="G1236" i="1"/>
  <c r="H1236" i="1"/>
  <c r="A1237" i="1"/>
  <c r="B1237" i="1"/>
  <c r="C1237" i="1"/>
  <c r="E1237" i="1"/>
  <c r="G1237" i="1"/>
  <c r="H1237" i="1"/>
  <c r="A1238" i="1"/>
  <c r="B1238" i="1"/>
  <c r="C1238" i="1"/>
  <c r="E1238" i="1"/>
  <c r="G1238" i="1"/>
  <c r="H1238" i="1"/>
  <c r="A1239" i="1"/>
  <c r="B1239" i="1"/>
  <c r="C1239" i="1"/>
  <c r="E1239" i="1"/>
  <c r="G1239" i="1"/>
  <c r="H1239" i="1"/>
  <c r="A1240" i="1"/>
  <c r="B1240" i="1"/>
  <c r="C1240" i="1"/>
  <c r="E1240" i="1"/>
  <c r="G1240" i="1"/>
  <c r="H1240" i="1"/>
  <c r="A1241" i="1"/>
  <c r="B1241" i="1"/>
  <c r="C1241" i="1"/>
  <c r="E1241" i="1"/>
  <c r="G1241" i="1"/>
  <c r="H1241" i="1"/>
  <c r="A1242" i="1"/>
  <c r="B1242" i="1"/>
  <c r="C1242" i="1"/>
  <c r="E1242" i="1"/>
  <c r="G1242" i="1"/>
  <c r="H1242" i="1"/>
  <c r="A1243" i="1"/>
  <c r="B1243" i="1"/>
  <c r="C1243" i="1"/>
  <c r="E1243" i="1"/>
  <c r="G1243" i="1"/>
  <c r="H1243" i="1"/>
  <c r="A1244" i="1"/>
  <c r="B1244" i="1"/>
  <c r="C1244" i="1"/>
  <c r="E1244" i="1"/>
  <c r="G1244" i="1"/>
  <c r="H1244" i="1"/>
  <c r="A1245" i="1"/>
  <c r="B1245" i="1"/>
  <c r="C1245" i="1"/>
  <c r="E1245" i="1"/>
  <c r="G1245" i="1"/>
  <c r="H1245" i="1"/>
  <c r="A1246" i="1"/>
  <c r="B1246" i="1"/>
  <c r="C1246" i="1"/>
  <c r="E1246" i="1"/>
  <c r="G1246" i="1"/>
  <c r="H1246" i="1"/>
  <c r="A1247" i="1"/>
  <c r="B1247" i="1"/>
  <c r="C1247" i="1"/>
  <c r="E1247" i="1"/>
  <c r="G1247" i="1"/>
  <c r="H1247" i="1"/>
  <c r="A1248" i="1"/>
  <c r="B1248" i="1"/>
  <c r="C1248" i="1"/>
  <c r="E1248" i="1"/>
  <c r="G1248" i="1"/>
  <c r="H1248" i="1"/>
  <c r="A1249" i="1"/>
  <c r="B1249" i="1"/>
  <c r="C1249" i="1"/>
  <c r="E1249" i="1"/>
  <c r="G1249" i="1"/>
  <c r="H1249" i="1"/>
  <c r="A1250" i="1"/>
  <c r="B1250" i="1"/>
  <c r="C1250" i="1"/>
  <c r="E1250" i="1"/>
  <c r="G1250" i="1"/>
  <c r="H1250" i="1"/>
  <c r="A1251" i="1"/>
  <c r="B1251" i="1"/>
  <c r="C1251" i="1"/>
  <c r="E1251" i="1"/>
  <c r="G1251" i="1"/>
  <c r="H1251" i="1"/>
  <c r="A1252" i="1"/>
  <c r="B1252" i="1"/>
  <c r="C1252" i="1"/>
  <c r="E1252" i="1"/>
  <c r="G1252" i="1"/>
  <c r="H1252" i="1"/>
  <c r="A1253" i="1"/>
  <c r="B1253" i="1"/>
  <c r="C1253" i="1"/>
  <c r="E1253" i="1"/>
  <c r="G1253" i="1"/>
  <c r="H1253" i="1"/>
  <c r="A1254" i="1"/>
  <c r="B1254" i="1"/>
  <c r="C1254" i="1"/>
  <c r="E1254" i="1"/>
  <c r="G1254" i="1"/>
  <c r="H1254" i="1"/>
  <c r="A1255" i="1"/>
  <c r="B1255" i="1"/>
  <c r="C1255" i="1"/>
  <c r="E1255" i="1"/>
  <c r="G1255" i="1"/>
  <c r="H1255" i="1"/>
  <c r="A1256" i="1"/>
  <c r="B1256" i="1"/>
  <c r="C1256" i="1"/>
  <c r="E1256" i="1"/>
  <c r="G1256" i="1"/>
  <c r="H1256" i="1"/>
  <c r="A1257" i="1"/>
  <c r="B1257" i="1"/>
  <c r="C1257" i="1"/>
  <c r="E1257" i="1"/>
  <c r="G1257" i="1"/>
  <c r="H1257" i="1"/>
  <c r="A1258" i="1"/>
  <c r="B1258" i="1"/>
  <c r="C1258" i="1"/>
  <c r="E1258" i="1"/>
  <c r="G1258" i="1"/>
  <c r="H1258" i="1"/>
  <c r="A1259" i="1"/>
  <c r="B1259" i="1"/>
  <c r="C1259" i="1"/>
  <c r="E1259" i="1"/>
  <c r="G1259" i="1"/>
  <c r="H1259" i="1"/>
  <c r="A1260" i="1"/>
  <c r="B1260" i="1"/>
  <c r="C1260" i="1"/>
  <c r="E1260" i="1"/>
  <c r="G1260" i="1"/>
  <c r="H1260" i="1"/>
  <c r="A1261" i="1"/>
  <c r="B1261" i="1"/>
  <c r="C1261" i="1"/>
  <c r="E1261" i="1"/>
  <c r="G1261" i="1"/>
  <c r="H1261" i="1"/>
  <c r="A1262" i="1"/>
  <c r="B1262" i="1"/>
  <c r="C1262" i="1"/>
  <c r="E1262" i="1"/>
  <c r="G1262" i="1"/>
  <c r="H1262" i="1"/>
  <c r="A1263" i="1"/>
  <c r="B1263" i="1"/>
  <c r="C1263" i="1"/>
  <c r="E1263" i="1"/>
  <c r="G1263" i="1"/>
  <c r="H1263" i="1"/>
  <c r="A1264" i="1"/>
  <c r="B1264" i="1"/>
  <c r="C1264" i="1"/>
  <c r="E1264" i="1"/>
  <c r="G1264" i="1"/>
  <c r="H1264" i="1"/>
  <c r="A1265" i="1"/>
  <c r="B1265" i="1"/>
  <c r="C1265" i="1"/>
  <c r="E1265" i="1"/>
  <c r="G1265" i="1"/>
  <c r="H1265" i="1"/>
  <c r="A1266" i="1"/>
  <c r="B1266" i="1"/>
  <c r="C1266" i="1"/>
  <c r="E1266" i="1"/>
  <c r="G1266" i="1"/>
  <c r="H1266" i="1"/>
  <c r="A1267" i="1"/>
  <c r="B1267" i="1"/>
  <c r="C1267" i="1"/>
  <c r="E1267" i="1"/>
  <c r="G1267" i="1"/>
  <c r="H1267" i="1"/>
  <c r="A1268" i="1"/>
  <c r="B1268" i="1"/>
  <c r="C1268" i="1"/>
  <c r="E1268" i="1"/>
  <c r="G1268" i="1"/>
  <c r="H1268" i="1"/>
  <c r="A1269" i="1"/>
  <c r="B1269" i="1"/>
  <c r="C1269" i="1"/>
  <c r="E1269" i="1"/>
  <c r="G1269" i="1"/>
  <c r="H1269" i="1"/>
  <c r="A1270" i="1"/>
  <c r="B1270" i="1"/>
  <c r="C1270" i="1"/>
  <c r="E1270" i="1"/>
  <c r="G1270" i="1"/>
  <c r="H1270" i="1"/>
  <c r="A1271" i="1"/>
  <c r="B1271" i="1"/>
  <c r="C1271" i="1"/>
  <c r="E1271" i="1"/>
  <c r="G1271" i="1"/>
  <c r="H1271" i="1"/>
  <c r="A1272" i="1"/>
  <c r="B1272" i="1"/>
  <c r="C1272" i="1"/>
  <c r="E1272" i="1"/>
  <c r="G1272" i="1"/>
  <c r="H1272" i="1"/>
  <c r="A1273" i="1"/>
  <c r="B1273" i="1"/>
  <c r="C1273" i="1"/>
  <c r="E1273" i="1"/>
  <c r="G1273" i="1"/>
  <c r="H1273" i="1"/>
  <c r="A1274" i="1"/>
  <c r="B1274" i="1"/>
  <c r="C1274" i="1"/>
  <c r="E1274" i="1"/>
  <c r="G1274" i="1"/>
  <c r="H1274" i="1"/>
  <c r="A1275" i="1"/>
  <c r="B1275" i="1"/>
  <c r="C1275" i="1"/>
  <c r="E1275" i="1"/>
  <c r="G1275" i="1"/>
  <c r="H1275" i="1"/>
  <c r="A1276" i="1"/>
  <c r="B1276" i="1"/>
  <c r="C1276" i="1"/>
  <c r="E1276" i="1"/>
  <c r="G1276" i="1"/>
  <c r="H1276" i="1"/>
  <c r="A1277" i="1"/>
  <c r="B1277" i="1"/>
  <c r="C1277" i="1"/>
  <c r="E1277" i="1"/>
  <c r="G1277" i="1"/>
  <c r="H1277" i="1"/>
  <c r="A1278" i="1"/>
  <c r="B1278" i="1"/>
  <c r="C1278" i="1"/>
  <c r="E1278" i="1"/>
  <c r="G1278" i="1"/>
  <c r="H1278" i="1"/>
  <c r="A1279" i="1"/>
  <c r="B1279" i="1"/>
  <c r="C1279" i="1"/>
  <c r="E1279" i="1"/>
  <c r="G1279" i="1"/>
  <c r="H1279" i="1"/>
  <c r="A1280" i="1"/>
  <c r="B1280" i="1"/>
  <c r="C1280" i="1"/>
  <c r="E1280" i="1"/>
  <c r="G1280" i="1"/>
  <c r="H1280" i="1"/>
  <c r="A1281" i="1"/>
  <c r="B1281" i="1"/>
  <c r="C1281" i="1"/>
  <c r="E1281" i="1"/>
  <c r="G1281" i="1"/>
  <c r="H1281" i="1"/>
  <c r="A1282" i="1"/>
  <c r="B1282" i="1"/>
  <c r="C1282" i="1"/>
  <c r="E1282" i="1"/>
  <c r="G1282" i="1"/>
  <c r="H1282" i="1"/>
  <c r="A1283" i="1"/>
  <c r="B1283" i="1"/>
  <c r="C1283" i="1"/>
  <c r="E1283" i="1"/>
  <c r="G1283" i="1"/>
  <c r="H1283" i="1"/>
  <c r="A1284" i="1"/>
  <c r="B1284" i="1"/>
  <c r="C1284" i="1"/>
  <c r="E1284" i="1"/>
  <c r="G1284" i="1"/>
  <c r="H1284" i="1"/>
  <c r="A1285" i="1"/>
  <c r="B1285" i="1"/>
  <c r="C1285" i="1"/>
  <c r="E1285" i="1"/>
  <c r="G1285" i="1"/>
  <c r="H1285" i="1"/>
  <c r="A1286" i="1"/>
  <c r="B1286" i="1"/>
  <c r="C1286" i="1"/>
  <c r="E1286" i="1"/>
  <c r="G1286" i="1"/>
  <c r="H1286" i="1"/>
  <c r="A1287" i="1"/>
  <c r="B1287" i="1"/>
  <c r="C1287" i="1"/>
  <c r="E1287" i="1"/>
  <c r="G1287" i="1"/>
  <c r="H1287" i="1"/>
  <c r="A1288" i="1"/>
  <c r="B1288" i="1"/>
  <c r="C1288" i="1"/>
  <c r="E1288" i="1"/>
  <c r="G1288" i="1"/>
  <c r="H1288" i="1"/>
  <c r="A1289" i="1"/>
  <c r="B1289" i="1"/>
  <c r="C1289" i="1"/>
  <c r="E1289" i="1"/>
  <c r="G1289" i="1"/>
  <c r="H1289" i="1"/>
  <c r="A1290" i="1"/>
  <c r="B1290" i="1"/>
  <c r="C1290" i="1"/>
  <c r="E1290" i="1"/>
  <c r="G1290" i="1"/>
  <c r="H1290" i="1"/>
  <c r="A1291" i="1"/>
  <c r="B1291" i="1"/>
  <c r="C1291" i="1"/>
  <c r="E1291" i="1"/>
  <c r="G1291" i="1"/>
  <c r="H1291" i="1"/>
  <c r="A1292" i="1"/>
  <c r="B1292" i="1"/>
  <c r="C1292" i="1"/>
  <c r="E1292" i="1"/>
  <c r="G1292" i="1"/>
  <c r="H1292" i="1"/>
  <c r="A1293" i="1"/>
  <c r="B1293" i="1"/>
  <c r="C1293" i="1"/>
  <c r="E1293" i="1"/>
  <c r="G1293" i="1"/>
  <c r="H1293" i="1"/>
  <c r="A1294" i="1"/>
  <c r="B1294" i="1"/>
  <c r="C1294" i="1"/>
  <c r="E1294" i="1"/>
  <c r="G1294" i="1"/>
  <c r="H1294" i="1"/>
  <c r="A1295" i="1"/>
  <c r="B1295" i="1"/>
  <c r="C1295" i="1"/>
  <c r="E1295" i="1"/>
  <c r="G1295" i="1"/>
  <c r="H1295" i="1"/>
  <c r="A1296" i="1"/>
  <c r="B1296" i="1"/>
  <c r="C1296" i="1"/>
  <c r="E1296" i="1"/>
  <c r="G1296" i="1"/>
  <c r="H1296" i="1"/>
  <c r="A1297" i="1"/>
  <c r="B1297" i="1"/>
  <c r="C1297" i="1"/>
  <c r="E1297" i="1"/>
  <c r="G1297" i="1"/>
  <c r="H1297" i="1"/>
  <c r="A1298" i="1"/>
  <c r="B1298" i="1"/>
  <c r="C1298" i="1"/>
  <c r="E1298" i="1"/>
  <c r="G1298" i="1"/>
  <c r="H1298" i="1"/>
  <c r="A1299" i="1"/>
  <c r="B1299" i="1"/>
  <c r="C1299" i="1"/>
  <c r="E1299" i="1"/>
  <c r="G1299" i="1"/>
  <c r="H1299" i="1"/>
  <c r="A1300" i="1"/>
  <c r="B1300" i="1"/>
  <c r="C1300" i="1"/>
  <c r="E1300" i="1"/>
  <c r="G1300" i="1"/>
  <c r="H1300" i="1"/>
  <c r="A1301" i="1"/>
  <c r="B1301" i="1"/>
  <c r="C1301" i="1"/>
  <c r="E1301" i="1"/>
  <c r="G1301" i="1"/>
  <c r="H1301" i="1"/>
  <c r="A1302" i="1"/>
  <c r="B1302" i="1"/>
  <c r="C1302" i="1"/>
  <c r="E1302" i="1"/>
  <c r="G1302" i="1"/>
  <c r="H1302" i="1"/>
  <c r="A1303" i="1"/>
  <c r="B1303" i="1"/>
  <c r="C1303" i="1"/>
  <c r="E1303" i="1"/>
  <c r="G1303" i="1"/>
  <c r="H1303" i="1"/>
  <c r="A1304" i="1"/>
  <c r="B1304" i="1"/>
  <c r="C1304" i="1"/>
  <c r="E1304" i="1"/>
  <c r="G1304" i="1"/>
  <c r="H1304" i="1"/>
  <c r="A1305" i="1"/>
  <c r="B1305" i="1"/>
  <c r="C1305" i="1"/>
  <c r="E1305" i="1"/>
  <c r="G1305" i="1"/>
  <c r="H1305" i="1"/>
  <c r="A1306" i="1"/>
  <c r="B1306" i="1"/>
  <c r="C1306" i="1"/>
  <c r="E1306" i="1"/>
  <c r="G1306" i="1"/>
  <c r="H1306" i="1"/>
  <c r="A1307" i="1"/>
  <c r="B1307" i="1"/>
  <c r="C1307" i="1"/>
  <c r="E1307" i="1"/>
  <c r="G1307" i="1"/>
  <c r="H1307" i="1"/>
  <c r="A1308" i="1"/>
  <c r="B1308" i="1"/>
  <c r="C1308" i="1"/>
  <c r="E1308" i="1"/>
  <c r="G1308" i="1"/>
  <c r="H1308" i="1"/>
  <c r="A1309" i="1"/>
  <c r="B1309" i="1"/>
  <c r="C1309" i="1"/>
  <c r="E1309" i="1"/>
  <c r="G1309" i="1"/>
  <c r="H1309" i="1"/>
  <c r="A1310" i="1"/>
  <c r="B1310" i="1"/>
  <c r="C1310" i="1"/>
  <c r="E1310" i="1"/>
  <c r="G1310" i="1"/>
  <c r="H1310" i="1"/>
  <c r="A1311" i="1"/>
  <c r="B1311" i="1"/>
  <c r="C1311" i="1"/>
  <c r="E1311" i="1"/>
  <c r="G1311" i="1"/>
  <c r="H1311" i="1"/>
  <c r="A1312" i="1"/>
  <c r="B1312" i="1"/>
  <c r="C1312" i="1"/>
  <c r="E1312" i="1"/>
  <c r="G1312" i="1"/>
  <c r="H1312" i="1"/>
  <c r="A1313" i="1"/>
  <c r="B1313" i="1"/>
  <c r="C1313" i="1"/>
  <c r="E1313" i="1"/>
  <c r="G1313" i="1"/>
  <c r="H1313" i="1"/>
  <c r="A1314" i="1"/>
  <c r="B1314" i="1"/>
  <c r="C1314" i="1"/>
  <c r="E1314" i="1"/>
  <c r="G1314" i="1"/>
  <c r="H1314" i="1"/>
  <c r="A1315" i="1"/>
  <c r="B1315" i="1"/>
  <c r="C1315" i="1"/>
  <c r="E1315" i="1"/>
  <c r="G1315" i="1"/>
  <c r="H1315" i="1"/>
  <c r="A1316" i="1"/>
  <c r="B1316" i="1"/>
  <c r="C1316" i="1"/>
  <c r="E1316" i="1"/>
  <c r="G1316" i="1"/>
  <c r="H1316" i="1"/>
  <c r="A1317" i="1"/>
  <c r="B1317" i="1"/>
  <c r="C1317" i="1"/>
  <c r="E1317" i="1"/>
  <c r="G1317" i="1"/>
  <c r="H1317" i="1"/>
  <c r="A1318" i="1"/>
  <c r="B1318" i="1"/>
  <c r="C1318" i="1"/>
  <c r="E1318" i="1"/>
  <c r="G1318" i="1"/>
  <c r="H1318" i="1"/>
  <c r="A1319" i="1"/>
  <c r="B1319" i="1"/>
  <c r="C1319" i="1"/>
  <c r="E1319" i="1"/>
  <c r="G1319" i="1"/>
  <c r="H1319" i="1"/>
  <c r="A1320" i="1"/>
  <c r="B1320" i="1"/>
  <c r="C1320" i="1"/>
  <c r="E1320" i="1"/>
  <c r="G1320" i="1"/>
  <c r="H1320" i="1"/>
  <c r="A1321" i="1"/>
  <c r="B1321" i="1"/>
  <c r="C1321" i="1"/>
  <c r="E1321" i="1"/>
  <c r="G1321" i="1"/>
  <c r="H1321" i="1"/>
  <c r="A1322" i="1"/>
  <c r="B1322" i="1"/>
  <c r="C1322" i="1"/>
  <c r="E1322" i="1"/>
  <c r="G1322" i="1"/>
  <c r="H1322" i="1"/>
  <c r="A1323" i="1"/>
  <c r="B1323" i="1"/>
  <c r="C1323" i="1"/>
  <c r="E1323" i="1"/>
  <c r="G1323" i="1"/>
  <c r="H1323" i="1"/>
  <c r="A1324" i="1"/>
  <c r="B1324" i="1"/>
  <c r="C1324" i="1"/>
  <c r="E1324" i="1"/>
  <c r="G1324" i="1"/>
  <c r="H1324" i="1"/>
  <c r="A1325" i="1"/>
  <c r="B1325" i="1"/>
  <c r="C1325" i="1"/>
  <c r="E1325" i="1"/>
  <c r="G1325" i="1"/>
  <c r="H1325" i="1"/>
  <c r="A1326" i="1"/>
  <c r="B1326" i="1"/>
  <c r="C1326" i="1"/>
  <c r="E1326" i="1"/>
  <c r="G1326" i="1"/>
  <c r="H1326" i="1"/>
  <c r="A1327" i="1"/>
  <c r="B1327" i="1"/>
  <c r="C1327" i="1"/>
  <c r="E1327" i="1"/>
  <c r="G1327" i="1"/>
  <c r="H1327" i="1"/>
  <c r="A1328" i="1"/>
  <c r="B1328" i="1"/>
  <c r="C1328" i="1"/>
  <c r="E1328" i="1"/>
  <c r="G1328" i="1"/>
  <c r="H1328" i="1"/>
  <c r="A1329" i="1"/>
  <c r="B1329" i="1"/>
  <c r="C1329" i="1"/>
  <c r="E1329" i="1"/>
  <c r="G1329" i="1"/>
  <c r="H1329" i="1"/>
  <c r="A1330" i="1"/>
  <c r="B1330" i="1"/>
  <c r="C1330" i="1"/>
  <c r="E1330" i="1"/>
  <c r="G1330" i="1"/>
  <c r="H1330" i="1"/>
  <c r="A1331" i="1"/>
  <c r="B1331" i="1"/>
  <c r="C1331" i="1"/>
  <c r="E1331" i="1"/>
  <c r="G1331" i="1"/>
  <c r="H1331" i="1"/>
  <c r="A1332" i="1"/>
  <c r="B1332" i="1"/>
  <c r="C1332" i="1"/>
  <c r="E1332" i="1"/>
  <c r="G1332" i="1"/>
  <c r="H1332" i="1"/>
  <c r="A1333" i="1"/>
  <c r="B1333" i="1"/>
  <c r="C1333" i="1"/>
  <c r="E1333" i="1"/>
  <c r="G1333" i="1"/>
  <c r="H1333" i="1"/>
  <c r="A1334" i="1"/>
  <c r="B1334" i="1"/>
  <c r="C1334" i="1"/>
  <c r="E1334" i="1"/>
  <c r="G1334" i="1"/>
  <c r="H1334" i="1"/>
  <c r="A1335" i="1"/>
  <c r="B1335" i="1"/>
  <c r="C1335" i="1"/>
  <c r="E1335" i="1"/>
  <c r="G1335" i="1"/>
  <c r="H1335" i="1"/>
  <c r="A1336" i="1"/>
  <c r="B1336" i="1"/>
  <c r="C1336" i="1"/>
  <c r="E1336" i="1"/>
  <c r="G1336" i="1"/>
  <c r="H1336" i="1"/>
  <c r="A1337" i="1"/>
  <c r="B1337" i="1"/>
  <c r="C1337" i="1"/>
  <c r="E1337" i="1"/>
  <c r="G1337" i="1"/>
  <c r="H1337" i="1"/>
  <c r="A1338" i="1"/>
  <c r="B1338" i="1"/>
  <c r="C1338" i="1"/>
  <c r="E1338" i="1"/>
  <c r="G1338" i="1"/>
  <c r="H1338" i="1"/>
  <c r="A1339" i="1"/>
  <c r="B1339" i="1"/>
  <c r="C1339" i="1"/>
  <c r="E1339" i="1"/>
  <c r="G1339" i="1"/>
  <c r="H1339" i="1"/>
  <c r="A1340" i="1"/>
  <c r="B1340" i="1"/>
  <c r="C1340" i="1"/>
  <c r="E1340" i="1"/>
  <c r="G1340" i="1"/>
  <c r="H1340" i="1"/>
  <c r="A1341" i="1"/>
  <c r="B1341" i="1"/>
  <c r="C1341" i="1"/>
  <c r="E1341" i="1"/>
  <c r="G1341" i="1"/>
  <c r="H1341" i="1"/>
  <c r="A1342" i="1"/>
  <c r="B1342" i="1"/>
  <c r="C1342" i="1"/>
  <c r="E1342" i="1"/>
  <c r="G1342" i="1"/>
  <c r="H1342" i="1"/>
  <c r="A1343" i="1"/>
  <c r="B1343" i="1"/>
  <c r="C1343" i="1"/>
  <c r="E1343" i="1"/>
  <c r="G1343" i="1"/>
  <c r="H1343" i="1"/>
  <c r="A1344" i="1"/>
  <c r="B1344" i="1"/>
  <c r="C1344" i="1"/>
  <c r="E1344" i="1"/>
  <c r="G1344" i="1"/>
  <c r="H1344" i="1"/>
  <c r="A1345" i="1"/>
  <c r="B1345" i="1"/>
  <c r="C1345" i="1"/>
  <c r="E1345" i="1"/>
  <c r="G1345" i="1"/>
  <c r="H1345" i="1"/>
  <c r="A1346" i="1"/>
  <c r="B1346" i="1"/>
  <c r="C1346" i="1"/>
  <c r="E1346" i="1"/>
  <c r="G1346" i="1"/>
  <c r="H1346" i="1"/>
  <c r="A1347" i="1"/>
  <c r="B1347" i="1"/>
  <c r="C1347" i="1"/>
  <c r="E1347" i="1"/>
  <c r="G1347" i="1"/>
  <c r="H1347" i="1"/>
  <c r="A1348" i="1"/>
  <c r="B1348" i="1"/>
  <c r="C1348" i="1"/>
  <c r="E1348" i="1"/>
  <c r="G1348" i="1"/>
  <c r="H1348" i="1"/>
  <c r="A1349" i="1"/>
  <c r="B1349" i="1"/>
  <c r="C1349" i="1"/>
  <c r="E1349" i="1"/>
  <c r="G1349" i="1"/>
  <c r="H1349" i="1"/>
  <c r="A1350" i="1"/>
  <c r="B1350" i="1"/>
  <c r="C1350" i="1"/>
  <c r="E1350" i="1"/>
  <c r="G1350" i="1"/>
  <c r="H1350" i="1"/>
  <c r="A1351" i="1"/>
  <c r="B1351" i="1"/>
  <c r="C1351" i="1"/>
  <c r="E1351" i="1"/>
  <c r="G1351" i="1"/>
  <c r="H1351" i="1"/>
  <c r="A1352" i="1"/>
  <c r="B1352" i="1"/>
  <c r="C1352" i="1"/>
  <c r="E1352" i="1"/>
  <c r="G1352" i="1"/>
  <c r="H1352" i="1"/>
  <c r="A1353" i="1"/>
  <c r="B1353" i="1"/>
  <c r="C1353" i="1"/>
  <c r="E1353" i="1"/>
  <c r="G1353" i="1"/>
  <c r="H1353" i="1"/>
  <c r="A1354" i="1"/>
  <c r="B1354" i="1"/>
  <c r="C1354" i="1"/>
  <c r="E1354" i="1"/>
  <c r="G1354" i="1"/>
  <c r="H1354" i="1"/>
  <c r="A1355" i="1"/>
  <c r="B1355" i="1"/>
  <c r="C1355" i="1"/>
  <c r="E1355" i="1"/>
  <c r="G1355" i="1"/>
  <c r="H1355" i="1"/>
  <c r="A1356" i="1"/>
  <c r="B1356" i="1"/>
  <c r="C1356" i="1"/>
  <c r="E1356" i="1"/>
  <c r="G1356" i="1"/>
  <c r="H1356" i="1"/>
  <c r="A1357" i="1"/>
  <c r="B1357" i="1"/>
  <c r="C1357" i="1"/>
  <c r="E1357" i="1"/>
  <c r="G1357" i="1"/>
  <c r="H1357" i="1"/>
  <c r="A1358" i="1"/>
  <c r="B1358" i="1"/>
  <c r="C1358" i="1"/>
  <c r="E1358" i="1"/>
  <c r="G1358" i="1"/>
  <c r="H1358" i="1"/>
  <c r="A1359" i="1"/>
  <c r="B1359" i="1"/>
  <c r="C1359" i="1"/>
  <c r="E1359" i="1"/>
  <c r="G1359" i="1"/>
  <c r="H1359" i="1"/>
  <c r="A1360" i="1"/>
  <c r="B1360" i="1"/>
  <c r="C1360" i="1"/>
  <c r="E1360" i="1"/>
  <c r="G1360" i="1"/>
  <c r="H1360" i="1"/>
  <c r="A1361" i="1"/>
  <c r="B1361" i="1"/>
  <c r="C1361" i="1"/>
  <c r="E1361" i="1"/>
  <c r="G1361" i="1"/>
  <c r="H1361" i="1"/>
  <c r="A1362" i="1"/>
  <c r="B1362" i="1"/>
  <c r="C1362" i="1"/>
  <c r="E1362" i="1"/>
  <c r="G1362" i="1"/>
  <c r="H1362" i="1"/>
  <c r="A1363" i="1"/>
  <c r="B1363" i="1"/>
  <c r="C1363" i="1"/>
  <c r="E1363" i="1"/>
  <c r="G1363" i="1"/>
  <c r="H1363" i="1"/>
  <c r="A1364" i="1"/>
  <c r="B1364" i="1"/>
  <c r="C1364" i="1"/>
  <c r="E1364" i="1"/>
  <c r="G1364" i="1"/>
  <c r="H1364" i="1"/>
  <c r="A1365" i="1"/>
  <c r="B1365" i="1"/>
  <c r="C1365" i="1"/>
  <c r="E1365" i="1"/>
  <c r="G1365" i="1"/>
  <c r="H1365" i="1"/>
  <c r="A1366" i="1"/>
  <c r="B1366" i="1"/>
  <c r="C1366" i="1"/>
  <c r="E1366" i="1"/>
  <c r="G1366" i="1"/>
  <c r="H1366" i="1"/>
  <c r="A1367" i="1"/>
  <c r="B1367" i="1"/>
  <c r="C1367" i="1"/>
  <c r="E1367" i="1"/>
  <c r="G1367" i="1"/>
  <c r="H1367" i="1"/>
  <c r="A1368" i="1"/>
  <c r="B1368" i="1"/>
  <c r="C1368" i="1"/>
  <c r="E1368" i="1"/>
  <c r="G1368" i="1"/>
  <c r="H1368" i="1"/>
  <c r="A1369" i="1"/>
  <c r="B1369" i="1"/>
  <c r="C1369" i="1"/>
  <c r="E1369" i="1"/>
  <c r="G1369" i="1"/>
  <c r="H1369" i="1"/>
  <c r="A1370" i="1"/>
  <c r="B1370" i="1"/>
  <c r="C1370" i="1"/>
  <c r="E1370" i="1"/>
  <c r="G1370" i="1"/>
  <c r="H1370" i="1"/>
  <c r="A1371" i="1"/>
  <c r="B1371" i="1"/>
  <c r="C1371" i="1"/>
  <c r="E1371" i="1"/>
  <c r="G1371" i="1"/>
  <c r="H1371" i="1"/>
  <c r="A1372" i="1"/>
  <c r="B1372" i="1"/>
  <c r="C1372" i="1"/>
  <c r="E1372" i="1"/>
  <c r="G1372" i="1"/>
  <c r="H1372" i="1"/>
  <c r="A1373" i="1"/>
  <c r="B1373" i="1"/>
  <c r="C1373" i="1"/>
  <c r="E1373" i="1"/>
  <c r="G1373" i="1"/>
  <c r="H1373" i="1"/>
  <c r="A1374" i="1"/>
  <c r="B1374" i="1"/>
  <c r="C1374" i="1"/>
  <c r="E1374" i="1"/>
  <c r="G1374" i="1"/>
  <c r="H1374" i="1"/>
  <c r="A1375" i="1"/>
  <c r="B1375" i="1"/>
  <c r="C1375" i="1"/>
  <c r="E1375" i="1"/>
  <c r="G1375" i="1"/>
  <c r="H1375" i="1"/>
  <c r="A1376" i="1"/>
  <c r="B1376" i="1"/>
  <c r="C1376" i="1"/>
  <c r="E1376" i="1"/>
  <c r="G1376" i="1"/>
  <c r="H1376" i="1"/>
  <c r="A1377" i="1"/>
  <c r="B1377" i="1"/>
  <c r="C1377" i="1"/>
  <c r="E1377" i="1"/>
  <c r="G1377" i="1"/>
  <c r="H1377" i="1"/>
  <c r="A1378" i="1"/>
  <c r="B1378" i="1"/>
  <c r="C1378" i="1"/>
  <c r="E1378" i="1"/>
  <c r="G1378" i="1"/>
  <c r="H1378" i="1"/>
  <c r="A1379" i="1"/>
  <c r="B1379" i="1"/>
  <c r="C1379" i="1"/>
  <c r="E1379" i="1"/>
  <c r="G1379" i="1"/>
  <c r="H1379" i="1"/>
  <c r="A1380" i="1"/>
  <c r="B1380" i="1"/>
  <c r="C1380" i="1"/>
  <c r="E1380" i="1"/>
  <c r="G1380" i="1"/>
  <c r="H1380" i="1"/>
  <c r="A1381" i="1"/>
  <c r="B1381" i="1"/>
  <c r="C1381" i="1"/>
  <c r="E1381" i="1"/>
  <c r="G1381" i="1"/>
  <c r="H1381" i="1"/>
  <c r="A1382" i="1"/>
  <c r="B1382" i="1"/>
  <c r="C1382" i="1"/>
  <c r="E1382" i="1"/>
  <c r="G1382" i="1"/>
  <c r="H1382" i="1"/>
  <c r="A1383" i="1"/>
  <c r="B1383" i="1"/>
  <c r="C1383" i="1"/>
  <c r="E1383" i="1"/>
  <c r="G1383" i="1"/>
  <c r="H1383" i="1"/>
  <c r="A1384" i="1"/>
  <c r="B1384" i="1"/>
  <c r="C1384" i="1"/>
  <c r="E1384" i="1"/>
  <c r="G1384" i="1"/>
  <c r="H1384" i="1"/>
  <c r="A1385" i="1"/>
  <c r="B1385" i="1"/>
  <c r="C1385" i="1"/>
  <c r="E1385" i="1"/>
  <c r="G1385" i="1"/>
  <c r="H1385" i="1"/>
  <c r="A1386" i="1"/>
  <c r="B1386" i="1"/>
  <c r="C1386" i="1"/>
  <c r="E1386" i="1"/>
  <c r="G1386" i="1"/>
  <c r="H1386" i="1"/>
  <c r="A1387" i="1"/>
  <c r="B1387" i="1"/>
  <c r="C1387" i="1"/>
  <c r="E1387" i="1"/>
  <c r="G1387" i="1"/>
  <c r="H1387" i="1"/>
  <c r="A1388" i="1"/>
  <c r="B1388" i="1"/>
  <c r="C1388" i="1"/>
  <c r="E1388" i="1"/>
  <c r="G1388" i="1"/>
  <c r="H1388" i="1"/>
  <c r="A1389" i="1"/>
  <c r="B1389" i="1"/>
  <c r="C1389" i="1"/>
  <c r="E1389" i="1"/>
  <c r="G1389" i="1"/>
  <c r="H1389" i="1"/>
  <c r="A1390" i="1"/>
  <c r="B1390" i="1"/>
  <c r="C1390" i="1"/>
  <c r="E1390" i="1"/>
  <c r="G1390" i="1"/>
  <c r="H1390" i="1"/>
  <c r="A1391" i="1"/>
  <c r="B1391" i="1"/>
  <c r="C1391" i="1"/>
  <c r="E1391" i="1"/>
  <c r="G1391" i="1"/>
  <c r="H1391" i="1"/>
  <c r="A1392" i="1"/>
  <c r="B1392" i="1"/>
  <c r="C1392" i="1"/>
  <c r="E1392" i="1"/>
  <c r="G1392" i="1"/>
  <c r="H1392" i="1"/>
  <c r="A1393" i="1"/>
  <c r="B1393" i="1"/>
  <c r="C1393" i="1"/>
  <c r="E1393" i="1"/>
  <c r="G1393" i="1"/>
  <c r="H1393" i="1"/>
  <c r="A1394" i="1"/>
  <c r="B1394" i="1"/>
  <c r="C1394" i="1"/>
  <c r="E1394" i="1"/>
  <c r="G1394" i="1"/>
  <c r="H1394" i="1"/>
  <c r="A1395" i="1"/>
  <c r="B1395" i="1"/>
  <c r="C1395" i="1"/>
  <c r="E1395" i="1"/>
  <c r="G1395" i="1"/>
  <c r="H1395" i="1"/>
  <c r="A1396" i="1"/>
  <c r="B1396" i="1"/>
  <c r="C1396" i="1"/>
  <c r="E1396" i="1"/>
  <c r="G1396" i="1"/>
  <c r="H1396" i="1"/>
  <c r="A1397" i="1"/>
  <c r="B1397" i="1"/>
  <c r="C1397" i="1"/>
  <c r="E1397" i="1"/>
  <c r="G1397" i="1"/>
  <c r="H1397" i="1"/>
  <c r="A1398" i="1"/>
  <c r="B1398" i="1"/>
  <c r="C1398" i="1"/>
  <c r="E1398" i="1"/>
  <c r="G1398" i="1"/>
  <c r="H1398" i="1"/>
  <c r="A1399" i="1"/>
  <c r="B1399" i="1"/>
  <c r="C1399" i="1"/>
  <c r="E1399" i="1"/>
  <c r="G1399" i="1"/>
  <c r="H1399" i="1"/>
  <c r="A1400" i="1"/>
  <c r="B1400" i="1"/>
  <c r="C1400" i="1"/>
  <c r="E1400" i="1"/>
  <c r="G1400" i="1"/>
  <c r="H1400" i="1"/>
  <c r="A1401" i="1"/>
  <c r="B1401" i="1"/>
  <c r="C1401" i="1"/>
  <c r="E1401" i="1"/>
  <c r="G1401" i="1"/>
  <c r="H1401" i="1"/>
  <c r="A1402" i="1"/>
  <c r="B1402" i="1"/>
  <c r="C1402" i="1"/>
  <c r="E1402" i="1"/>
  <c r="G1402" i="1"/>
  <c r="H1402" i="1"/>
  <c r="A1403" i="1"/>
  <c r="B1403" i="1"/>
  <c r="C1403" i="1"/>
  <c r="E1403" i="1"/>
  <c r="G1403" i="1"/>
  <c r="H1403" i="1"/>
  <c r="A1404" i="1"/>
  <c r="B1404" i="1"/>
  <c r="C1404" i="1"/>
  <c r="E1404" i="1"/>
  <c r="G1404" i="1"/>
  <c r="H1404" i="1"/>
  <c r="A1405" i="1"/>
  <c r="B1405" i="1"/>
  <c r="C1405" i="1"/>
  <c r="E1405" i="1"/>
  <c r="G1405" i="1"/>
  <c r="H1405" i="1"/>
  <c r="A1406" i="1"/>
  <c r="B1406" i="1"/>
  <c r="C1406" i="1"/>
  <c r="E1406" i="1"/>
  <c r="G1406" i="1"/>
  <c r="H1406" i="1"/>
  <c r="A1407" i="1"/>
  <c r="B1407" i="1"/>
  <c r="C1407" i="1"/>
  <c r="E1407" i="1"/>
  <c r="G1407" i="1"/>
  <c r="H1407" i="1"/>
  <c r="A1408" i="1"/>
  <c r="B1408" i="1"/>
  <c r="C1408" i="1"/>
  <c r="E1408" i="1"/>
  <c r="G1408" i="1"/>
  <c r="H1408" i="1"/>
  <c r="A1409" i="1"/>
  <c r="B1409" i="1"/>
  <c r="C1409" i="1"/>
  <c r="E1409" i="1"/>
  <c r="G1409" i="1"/>
  <c r="H1409" i="1"/>
  <c r="A1410" i="1"/>
  <c r="B1410" i="1"/>
  <c r="C1410" i="1"/>
  <c r="E1410" i="1"/>
  <c r="G1410" i="1"/>
  <c r="H1410" i="1"/>
  <c r="A1411" i="1"/>
  <c r="B1411" i="1"/>
  <c r="C1411" i="1"/>
  <c r="E1411" i="1"/>
  <c r="G1411" i="1"/>
  <c r="H1411" i="1"/>
  <c r="A1412" i="1"/>
  <c r="B1412" i="1"/>
  <c r="C1412" i="1"/>
  <c r="E1412" i="1"/>
  <c r="G1412" i="1"/>
  <c r="H1412" i="1"/>
  <c r="A1413" i="1"/>
  <c r="B1413" i="1"/>
  <c r="C1413" i="1"/>
  <c r="E1413" i="1"/>
  <c r="G1413" i="1"/>
  <c r="H1413" i="1"/>
  <c r="A1414" i="1"/>
  <c r="B1414" i="1"/>
  <c r="C1414" i="1"/>
  <c r="E1414" i="1"/>
  <c r="G1414" i="1"/>
  <c r="H1414" i="1"/>
  <c r="A1415" i="1"/>
  <c r="B1415" i="1"/>
  <c r="C1415" i="1"/>
  <c r="E1415" i="1"/>
  <c r="G1415" i="1"/>
  <c r="H1415" i="1"/>
  <c r="A1416" i="1"/>
  <c r="B1416" i="1"/>
  <c r="C1416" i="1"/>
  <c r="E1416" i="1"/>
  <c r="G1416" i="1"/>
  <c r="H1416" i="1"/>
  <c r="A1417" i="1"/>
  <c r="B1417" i="1"/>
  <c r="C1417" i="1"/>
  <c r="E1417" i="1"/>
  <c r="G1417" i="1"/>
  <c r="H1417" i="1"/>
  <c r="A1418" i="1"/>
  <c r="B1418" i="1"/>
  <c r="C1418" i="1"/>
  <c r="E1418" i="1"/>
  <c r="G1418" i="1"/>
  <c r="H1418" i="1"/>
  <c r="A1419" i="1"/>
  <c r="B1419" i="1"/>
  <c r="C1419" i="1"/>
  <c r="E1419" i="1"/>
  <c r="G1419" i="1"/>
  <c r="H1419" i="1"/>
  <c r="A1420" i="1"/>
  <c r="B1420" i="1"/>
  <c r="C1420" i="1"/>
  <c r="E1420" i="1"/>
  <c r="G1420" i="1"/>
  <c r="H1420" i="1"/>
  <c r="A1421" i="1"/>
  <c r="B1421" i="1"/>
  <c r="C1421" i="1"/>
  <c r="E1421" i="1"/>
  <c r="G1421" i="1"/>
  <c r="H1421" i="1"/>
  <c r="A1422" i="1"/>
  <c r="B1422" i="1"/>
  <c r="C1422" i="1"/>
  <c r="E1422" i="1"/>
  <c r="G1422" i="1"/>
  <c r="H1422" i="1"/>
  <c r="A1423" i="1"/>
  <c r="B1423" i="1"/>
  <c r="C1423" i="1"/>
  <c r="E1423" i="1"/>
  <c r="G1423" i="1"/>
  <c r="H1423" i="1"/>
  <c r="A1424" i="1"/>
  <c r="B1424" i="1"/>
  <c r="C1424" i="1"/>
  <c r="E1424" i="1"/>
  <c r="G1424" i="1"/>
  <c r="H1424" i="1"/>
  <c r="A1425" i="1"/>
  <c r="B1425" i="1"/>
  <c r="C1425" i="1"/>
  <c r="E1425" i="1"/>
  <c r="G1425" i="1"/>
  <c r="H1425" i="1"/>
  <c r="A1426" i="1"/>
  <c r="B1426" i="1"/>
  <c r="C1426" i="1"/>
  <c r="E1426" i="1"/>
  <c r="G1426" i="1"/>
  <c r="H1426" i="1"/>
  <c r="A1427" i="1"/>
  <c r="B1427" i="1"/>
  <c r="C1427" i="1"/>
  <c r="E1427" i="1"/>
  <c r="G1427" i="1"/>
  <c r="H1427" i="1"/>
  <c r="A1428" i="1"/>
  <c r="B1428" i="1"/>
  <c r="C1428" i="1"/>
  <c r="E1428" i="1"/>
  <c r="G1428" i="1"/>
  <c r="H1428" i="1"/>
  <c r="A1429" i="1"/>
  <c r="B1429" i="1"/>
  <c r="C1429" i="1"/>
  <c r="E1429" i="1"/>
  <c r="G1429" i="1"/>
  <c r="H1429" i="1"/>
  <c r="A1430" i="1"/>
  <c r="B1430" i="1"/>
  <c r="C1430" i="1"/>
  <c r="E1430" i="1"/>
  <c r="G1430" i="1"/>
  <c r="H1430" i="1"/>
  <c r="A1431" i="1"/>
  <c r="B1431" i="1"/>
  <c r="C1431" i="1"/>
  <c r="E1431" i="1"/>
  <c r="G1431" i="1"/>
  <c r="H1431" i="1"/>
  <c r="A1432" i="1"/>
  <c r="B1432" i="1"/>
  <c r="C1432" i="1"/>
  <c r="E1432" i="1"/>
  <c r="G1432" i="1"/>
  <c r="H1432" i="1"/>
  <c r="A1433" i="1"/>
  <c r="B1433" i="1"/>
  <c r="C1433" i="1"/>
  <c r="E1433" i="1"/>
  <c r="G1433" i="1"/>
  <c r="H1433" i="1"/>
  <c r="A1434" i="1"/>
  <c r="B1434" i="1"/>
  <c r="C1434" i="1"/>
  <c r="E1434" i="1"/>
  <c r="G1434" i="1"/>
  <c r="H1434" i="1"/>
  <c r="A1435" i="1"/>
  <c r="B1435" i="1"/>
  <c r="C1435" i="1"/>
  <c r="E1435" i="1"/>
  <c r="G1435" i="1"/>
  <c r="H1435" i="1"/>
  <c r="A1436" i="1"/>
  <c r="B1436" i="1"/>
  <c r="C1436" i="1"/>
  <c r="E1436" i="1"/>
  <c r="G1436" i="1"/>
  <c r="H1436" i="1"/>
  <c r="A1437" i="1"/>
  <c r="B1437" i="1"/>
  <c r="C1437" i="1"/>
  <c r="E1437" i="1"/>
  <c r="G1437" i="1"/>
  <c r="H1437" i="1"/>
  <c r="A1438" i="1"/>
  <c r="B1438" i="1"/>
  <c r="C1438" i="1"/>
  <c r="E1438" i="1"/>
  <c r="G1438" i="1"/>
  <c r="H1438" i="1"/>
  <c r="A1439" i="1"/>
  <c r="B1439" i="1"/>
  <c r="C1439" i="1"/>
  <c r="E1439" i="1"/>
  <c r="G1439" i="1"/>
  <c r="H1439" i="1"/>
  <c r="A1440" i="1"/>
  <c r="B1440" i="1"/>
  <c r="C1440" i="1"/>
  <c r="E1440" i="1"/>
  <c r="G1440" i="1"/>
  <c r="H1440" i="1"/>
  <c r="A1441" i="1"/>
  <c r="B1441" i="1"/>
  <c r="C1441" i="1"/>
  <c r="E1441" i="1"/>
  <c r="G1441" i="1"/>
  <c r="H1441" i="1"/>
  <c r="A1442" i="1"/>
  <c r="B1442" i="1"/>
  <c r="C1442" i="1"/>
  <c r="E1442" i="1"/>
  <c r="G1442" i="1"/>
  <c r="H1442" i="1"/>
  <c r="A1443" i="1"/>
  <c r="B1443" i="1"/>
  <c r="C1443" i="1"/>
  <c r="E1443" i="1"/>
  <c r="G1443" i="1"/>
  <c r="H1443" i="1"/>
  <c r="A1444" i="1"/>
  <c r="B1444" i="1"/>
  <c r="C1444" i="1"/>
  <c r="E1444" i="1"/>
  <c r="G1444" i="1"/>
  <c r="H1444" i="1"/>
  <c r="A1445" i="1"/>
  <c r="B1445" i="1"/>
  <c r="C1445" i="1"/>
  <c r="E1445" i="1"/>
  <c r="G1445" i="1"/>
  <c r="H1445" i="1"/>
  <c r="A1446" i="1"/>
  <c r="B1446" i="1"/>
  <c r="C1446" i="1"/>
  <c r="E1446" i="1"/>
  <c r="G1446" i="1"/>
  <c r="H1446" i="1"/>
  <c r="A1447" i="1"/>
  <c r="B1447" i="1"/>
  <c r="C1447" i="1"/>
  <c r="E1447" i="1"/>
  <c r="G1447" i="1"/>
  <c r="H1447" i="1"/>
  <c r="A1448" i="1"/>
  <c r="B1448" i="1"/>
  <c r="C1448" i="1"/>
  <c r="E1448" i="1"/>
  <c r="G1448" i="1"/>
  <c r="H1448" i="1"/>
  <c r="A1449" i="1"/>
  <c r="B1449" i="1"/>
  <c r="C1449" i="1"/>
  <c r="E1449" i="1"/>
  <c r="G1449" i="1"/>
  <c r="H1449" i="1"/>
  <c r="A1450" i="1"/>
  <c r="B1450" i="1"/>
  <c r="C1450" i="1"/>
  <c r="E1450" i="1"/>
  <c r="G1450" i="1"/>
  <c r="H1450" i="1"/>
  <c r="A1451" i="1"/>
  <c r="B1451" i="1"/>
  <c r="C1451" i="1"/>
  <c r="E1451" i="1"/>
  <c r="G1451" i="1"/>
  <c r="H1451" i="1"/>
  <c r="A1452" i="1"/>
  <c r="B1452" i="1"/>
  <c r="C1452" i="1"/>
  <c r="E1452" i="1"/>
  <c r="G1452" i="1"/>
  <c r="H1452" i="1"/>
  <c r="A1453" i="1"/>
  <c r="B1453" i="1"/>
  <c r="C1453" i="1"/>
  <c r="E1453" i="1"/>
  <c r="G1453" i="1"/>
  <c r="H1453" i="1"/>
  <c r="A1454" i="1"/>
  <c r="B1454" i="1"/>
  <c r="C1454" i="1"/>
  <c r="E1454" i="1"/>
  <c r="G1454" i="1"/>
  <c r="H1454" i="1"/>
  <c r="A1455" i="1"/>
  <c r="B1455" i="1"/>
  <c r="C1455" i="1"/>
  <c r="E1455" i="1"/>
  <c r="G1455" i="1"/>
  <c r="H1455" i="1"/>
  <c r="A1456" i="1"/>
  <c r="B1456" i="1"/>
  <c r="C1456" i="1"/>
  <c r="E1456" i="1"/>
  <c r="G1456" i="1"/>
  <c r="H1456" i="1"/>
  <c r="A1457" i="1"/>
  <c r="B1457" i="1"/>
  <c r="C1457" i="1"/>
  <c r="E1457" i="1"/>
  <c r="G1457" i="1"/>
  <c r="H1457" i="1"/>
  <c r="A1458" i="1"/>
  <c r="B1458" i="1"/>
  <c r="C1458" i="1"/>
  <c r="E1458" i="1"/>
  <c r="G1458" i="1"/>
  <c r="H1458" i="1"/>
  <c r="A1459" i="1"/>
  <c r="B1459" i="1"/>
  <c r="C1459" i="1"/>
  <c r="E1459" i="1"/>
  <c r="G1459" i="1"/>
  <c r="H1459" i="1"/>
  <c r="A1460" i="1"/>
  <c r="B1460" i="1"/>
  <c r="C1460" i="1"/>
  <c r="E1460" i="1"/>
  <c r="G1460" i="1"/>
  <c r="H1460" i="1"/>
  <c r="A1461" i="1"/>
  <c r="B1461" i="1"/>
  <c r="C1461" i="1"/>
  <c r="E1461" i="1"/>
  <c r="G1461" i="1"/>
  <c r="H1461" i="1"/>
  <c r="A1462" i="1"/>
  <c r="B1462" i="1"/>
  <c r="C1462" i="1"/>
  <c r="E1462" i="1"/>
  <c r="G1462" i="1"/>
  <c r="H1462" i="1"/>
  <c r="A1463" i="1"/>
  <c r="B1463" i="1"/>
  <c r="C1463" i="1"/>
  <c r="E1463" i="1"/>
  <c r="G1463" i="1"/>
  <c r="H1463" i="1"/>
  <c r="A1464" i="1"/>
  <c r="B1464" i="1"/>
  <c r="C1464" i="1"/>
  <c r="E1464" i="1"/>
  <c r="G1464" i="1"/>
  <c r="H1464" i="1"/>
  <c r="A1465" i="1"/>
  <c r="B1465" i="1"/>
  <c r="C1465" i="1"/>
  <c r="E1465" i="1"/>
  <c r="G1465" i="1"/>
  <c r="H1465" i="1"/>
  <c r="A1466" i="1"/>
  <c r="B1466" i="1"/>
  <c r="C1466" i="1"/>
  <c r="E1466" i="1"/>
  <c r="G1466" i="1"/>
  <c r="H1466" i="1"/>
  <c r="A1467" i="1"/>
  <c r="B1467" i="1"/>
  <c r="C1467" i="1"/>
  <c r="E1467" i="1"/>
  <c r="G1467" i="1"/>
  <c r="H1467" i="1"/>
  <c r="A1468" i="1"/>
  <c r="B1468" i="1"/>
  <c r="C1468" i="1"/>
  <c r="E1468" i="1"/>
  <c r="G1468" i="1"/>
  <c r="H1468" i="1"/>
  <c r="A1469" i="1"/>
  <c r="B1469" i="1"/>
  <c r="C1469" i="1"/>
  <c r="E1469" i="1"/>
  <c r="G1469" i="1"/>
  <c r="H1469" i="1"/>
  <c r="A1470" i="1"/>
  <c r="B1470" i="1"/>
  <c r="C1470" i="1"/>
  <c r="E1470" i="1"/>
  <c r="G1470" i="1"/>
  <c r="H1470" i="1"/>
  <c r="A1471" i="1"/>
  <c r="B1471" i="1"/>
  <c r="C1471" i="1"/>
  <c r="E1471" i="1"/>
  <c r="G1471" i="1"/>
  <c r="H1471" i="1"/>
  <c r="A1472" i="1"/>
  <c r="B1472" i="1"/>
  <c r="C1472" i="1"/>
  <c r="E1472" i="1"/>
  <c r="G1472" i="1"/>
  <c r="H1472" i="1"/>
  <c r="A1473" i="1"/>
  <c r="B1473" i="1"/>
  <c r="C1473" i="1"/>
  <c r="E1473" i="1"/>
  <c r="G1473" i="1"/>
  <c r="H1473" i="1"/>
  <c r="A1474" i="1"/>
  <c r="B1474" i="1"/>
  <c r="C1474" i="1"/>
  <c r="E1474" i="1"/>
  <c r="G1474" i="1"/>
  <c r="H1474" i="1"/>
  <c r="A1475" i="1"/>
  <c r="B1475" i="1"/>
  <c r="C1475" i="1"/>
  <c r="E1475" i="1"/>
  <c r="G1475" i="1"/>
  <c r="H1475" i="1"/>
  <c r="A1476" i="1"/>
  <c r="B1476" i="1"/>
  <c r="C1476" i="1"/>
  <c r="E1476" i="1"/>
  <c r="G1476" i="1"/>
  <c r="H1476" i="1"/>
  <c r="A1477" i="1"/>
  <c r="B1477" i="1"/>
  <c r="C1477" i="1"/>
  <c r="E1477" i="1"/>
  <c r="G1477" i="1"/>
  <c r="H1477" i="1"/>
  <c r="A1478" i="1"/>
  <c r="B1478" i="1"/>
  <c r="C1478" i="1"/>
  <c r="E1478" i="1"/>
  <c r="G1478" i="1"/>
  <c r="H1478" i="1"/>
  <c r="A1479" i="1"/>
  <c r="B1479" i="1"/>
  <c r="C1479" i="1"/>
  <c r="E1479" i="1"/>
  <c r="G1479" i="1"/>
  <c r="H1479" i="1"/>
  <c r="A1480" i="1"/>
  <c r="B1480" i="1"/>
  <c r="C1480" i="1"/>
  <c r="E1480" i="1"/>
  <c r="G1480" i="1"/>
  <c r="H1480" i="1"/>
  <c r="A1481" i="1"/>
  <c r="B1481" i="1"/>
  <c r="C1481" i="1"/>
  <c r="E1481" i="1"/>
  <c r="G1481" i="1"/>
  <c r="H1481" i="1"/>
  <c r="A1482" i="1"/>
  <c r="B1482" i="1"/>
  <c r="C1482" i="1"/>
  <c r="E1482" i="1"/>
  <c r="G1482" i="1"/>
  <c r="H1482" i="1"/>
  <c r="A1483" i="1"/>
  <c r="B1483" i="1"/>
  <c r="C1483" i="1"/>
  <c r="E1483" i="1"/>
  <c r="G1483" i="1"/>
  <c r="H1483" i="1"/>
  <c r="A1484" i="1"/>
  <c r="B1484" i="1"/>
  <c r="C1484" i="1"/>
  <c r="E1484" i="1"/>
  <c r="G1484" i="1"/>
  <c r="H1484" i="1"/>
  <c r="A1485" i="1"/>
  <c r="B1485" i="1"/>
  <c r="C1485" i="1"/>
  <c r="E1485" i="1"/>
  <c r="G1485" i="1"/>
  <c r="H1485" i="1"/>
  <c r="A1486" i="1"/>
  <c r="B1486" i="1"/>
  <c r="C1486" i="1"/>
  <c r="E1486" i="1"/>
  <c r="G1486" i="1"/>
  <c r="H1486" i="1"/>
  <c r="A1487" i="1"/>
  <c r="B1487" i="1"/>
  <c r="C1487" i="1"/>
  <c r="E1487" i="1"/>
  <c r="G1487" i="1"/>
  <c r="H1487" i="1"/>
  <c r="A1488" i="1"/>
  <c r="B1488" i="1"/>
  <c r="C1488" i="1"/>
  <c r="E1488" i="1"/>
  <c r="G1488" i="1"/>
  <c r="H1488" i="1"/>
  <c r="A1489" i="1"/>
  <c r="B1489" i="1"/>
  <c r="C1489" i="1"/>
  <c r="E1489" i="1"/>
  <c r="G1489" i="1"/>
  <c r="H1489" i="1"/>
  <c r="A1490" i="1"/>
  <c r="B1490" i="1"/>
  <c r="C1490" i="1"/>
  <c r="E1490" i="1"/>
  <c r="G1490" i="1"/>
  <c r="H1490" i="1"/>
  <c r="A1491" i="1"/>
  <c r="B1491" i="1"/>
  <c r="C1491" i="1"/>
  <c r="E1491" i="1"/>
  <c r="G1491" i="1"/>
  <c r="H1491" i="1"/>
  <c r="A1492" i="1"/>
  <c r="B1492" i="1"/>
  <c r="C1492" i="1"/>
  <c r="E1492" i="1"/>
  <c r="G1492" i="1"/>
  <c r="H1492" i="1"/>
  <c r="A1493" i="1"/>
  <c r="B1493" i="1"/>
  <c r="C1493" i="1"/>
  <c r="E1493" i="1"/>
  <c r="G1493" i="1"/>
  <c r="H1493" i="1"/>
  <c r="A1494" i="1"/>
  <c r="B1494" i="1"/>
  <c r="C1494" i="1"/>
  <c r="E1494" i="1"/>
  <c r="G1494" i="1"/>
  <c r="H1494" i="1"/>
  <c r="A1495" i="1"/>
  <c r="B1495" i="1"/>
  <c r="C1495" i="1"/>
  <c r="E1495" i="1"/>
  <c r="G1495" i="1"/>
  <c r="H1495" i="1"/>
  <c r="A1496" i="1"/>
  <c r="B1496" i="1"/>
  <c r="C1496" i="1"/>
  <c r="E1496" i="1"/>
  <c r="G1496" i="1"/>
  <c r="H1496" i="1"/>
  <c r="A1497" i="1"/>
  <c r="B1497" i="1"/>
  <c r="C1497" i="1"/>
  <c r="E1497" i="1"/>
  <c r="G1497" i="1"/>
  <c r="H1497" i="1"/>
  <c r="A1498" i="1"/>
  <c r="B1498" i="1"/>
  <c r="C1498" i="1"/>
  <c r="E1498" i="1"/>
  <c r="G1498" i="1"/>
  <c r="H1498" i="1"/>
  <c r="A1499" i="1"/>
  <c r="B1499" i="1"/>
  <c r="C1499" i="1"/>
  <c r="E1499" i="1"/>
  <c r="G1499" i="1"/>
  <c r="H1499" i="1"/>
  <c r="A1500" i="1"/>
  <c r="B1500" i="1"/>
  <c r="C1500" i="1"/>
  <c r="E1500" i="1"/>
  <c r="G1500" i="1"/>
  <c r="H1500" i="1"/>
  <c r="A1501" i="1"/>
  <c r="B1501" i="1"/>
  <c r="C1501" i="1"/>
  <c r="E1501" i="1"/>
  <c r="G1501" i="1"/>
  <c r="H1501" i="1"/>
  <c r="A1502" i="1"/>
  <c r="B1502" i="1"/>
  <c r="C1502" i="1"/>
  <c r="E1502" i="1"/>
  <c r="G1502" i="1"/>
  <c r="H1502" i="1"/>
  <c r="A1503" i="1"/>
  <c r="B1503" i="1"/>
  <c r="C1503" i="1"/>
  <c r="E1503" i="1"/>
  <c r="G1503" i="1"/>
  <c r="H1503" i="1"/>
  <c r="A1504" i="1"/>
  <c r="B1504" i="1"/>
  <c r="C1504" i="1"/>
  <c r="E1504" i="1"/>
  <c r="G1504" i="1"/>
  <c r="H1504" i="1"/>
  <c r="A1505" i="1"/>
  <c r="B1505" i="1"/>
  <c r="C1505" i="1"/>
  <c r="E1505" i="1"/>
  <c r="G1505" i="1"/>
  <c r="H1505" i="1"/>
  <c r="A1506" i="1"/>
  <c r="B1506" i="1"/>
  <c r="C1506" i="1"/>
  <c r="E1506" i="1"/>
  <c r="G1506" i="1"/>
  <c r="H1506" i="1"/>
  <c r="A1507" i="1"/>
  <c r="B1507" i="1"/>
  <c r="C1507" i="1"/>
  <c r="E1507" i="1"/>
  <c r="G1507" i="1"/>
  <c r="H1507" i="1"/>
  <c r="A1508" i="1"/>
  <c r="B1508" i="1"/>
  <c r="C1508" i="1"/>
  <c r="E1508" i="1"/>
  <c r="G1508" i="1"/>
  <c r="H1508" i="1"/>
  <c r="A1509" i="1"/>
  <c r="B1509" i="1"/>
  <c r="C1509" i="1"/>
  <c r="E1509" i="1"/>
  <c r="G1509" i="1"/>
  <c r="H1509" i="1"/>
  <c r="A1510" i="1"/>
  <c r="B1510" i="1"/>
  <c r="C1510" i="1"/>
  <c r="E1510" i="1"/>
  <c r="G1510" i="1"/>
  <c r="H1510" i="1"/>
  <c r="A1511" i="1"/>
  <c r="B1511" i="1"/>
  <c r="C1511" i="1"/>
  <c r="E1511" i="1"/>
  <c r="G1511" i="1"/>
  <c r="H1511" i="1"/>
  <c r="A1512" i="1"/>
  <c r="B1512" i="1"/>
  <c r="C1512" i="1"/>
  <c r="E1512" i="1"/>
  <c r="G1512" i="1"/>
  <c r="H1512" i="1"/>
  <c r="A1513" i="1"/>
  <c r="B1513" i="1"/>
  <c r="C1513" i="1"/>
  <c r="E1513" i="1"/>
  <c r="G1513" i="1"/>
  <c r="H1513" i="1"/>
  <c r="A1514" i="1"/>
  <c r="B1514" i="1"/>
  <c r="C1514" i="1"/>
  <c r="E1514" i="1"/>
  <c r="G1514" i="1"/>
  <c r="H1514" i="1"/>
  <c r="A1515" i="1"/>
  <c r="B1515" i="1"/>
  <c r="C1515" i="1"/>
  <c r="E1515" i="1"/>
  <c r="G1515" i="1"/>
  <c r="H1515" i="1"/>
  <c r="A1516" i="1"/>
  <c r="B1516" i="1"/>
  <c r="C1516" i="1"/>
  <c r="E1516" i="1"/>
  <c r="G1516" i="1"/>
  <c r="H1516" i="1"/>
  <c r="A1517" i="1"/>
  <c r="B1517" i="1"/>
  <c r="C1517" i="1"/>
  <c r="E1517" i="1"/>
  <c r="G1517" i="1"/>
  <c r="H1517" i="1"/>
  <c r="A1518" i="1"/>
  <c r="B1518" i="1"/>
  <c r="C1518" i="1"/>
  <c r="E1518" i="1"/>
  <c r="G1518" i="1"/>
  <c r="H1518" i="1"/>
  <c r="A1519" i="1"/>
  <c r="B1519" i="1"/>
  <c r="C1519" i="1"/>
  <c r="E1519" i="1"/>
  <c r="G1519" i="1"/>
  <c r="H1519" i="1"/>
  <c r="A1520" i="1"/>
  <c r="B1520" i="1"/>
  <c r="C1520" i="1"/>
  <c r="E1520" i="1"/>
  <c r="G1520" i="1"/>
  <c r="H1520" i="1"/>
  <c r="A1521" i="1"/>
  <c r="B1521" i="1"/>
  <c r="C1521" i="1"/>
  <c r="E1521" i="1"/>
  <c r="G1521" i="1"/>
  <c r="H1521" i="1"/>
  <c r="A1522" i="1"/>
  <c r="B1522" i="1"/>
  <c r="C1522" i="1"/>
  <c r="E1522" i="1"/>
  <c r="G1522" i="1"/>
  <c r="H1522" i="1"/>
  <c r="A1523" i="1"/>
  <c r="B1523" i="1"/>
  <c r="C1523" i="1"/>
  <c r="E1523" i="1"/>
  <c r="G1523" i="1"/>
  <c r="H1523" i="1"/>
  <c r="A1524" i="1"/>
  <c r="B1524" i="1"/>
  <c r="C1524" i="1"/>
  <c r="E1524" i="1"/>
  <c r="G1524" i="1"/>
  <c r="H1524" i="1"/>
  <c r="A1525" i="1"/>
  <c r="B1525" i="1"/>
  <c r="C1525" i="1"/>
  <c r="E1525" i="1"/>
  <c r="G1525" i="1"/>
  <c r="H1525" i="1"/>
  <c r="A1526" i="1"/>
  <c r="B1526" i="1"/>
  <c r="C1526" i="1"/>
  <c r="E1526" i="1"/>
  <c r="G1526" i="1"/>
  <c r="H1526" i="1"/>
  <c r="A1527" i="1"/>
  <c r="B1527" i="1"/>
  <c r="C1527" i="1"/>
  <c r="E1527" i="1"/>
  <c r="G1527" i="1"/>
  <c r="H1527" i="1"/>
  <c r="A1528" i="1"/>
  <c r="B1528" i="1"/>
  <c r="C1528" i="1"/>
  <c r="E1528" i="1"/>
  <c r="G1528" i="1"/>
  <c r="H1528" i="1"/>
  <c r="A1529" i="1"/>
  <c r="B1529" i="1"/>
  <c r="C1529" i="1"/>
  <c r="E1529" i="1"/>
  <c r="G1529" i="1"/>
  <c r="H1529" i="1"/>
  <c r="A1530" i="1"/>
  <c r="B1530" i="1"/>
  <c r="C1530" i="1"/>
  <c r="E1530" i="1"/>
  <c r="G1530" i="1"/>
  <c r="H1530" i="1"/>
  <c r="A1531" i="1"/>
  <c r="B1531" i="1"/>
  <c r="C1531" i="1"/>
  <c r="E1531" i="1"/>
  <c r="G1531" i="1"/>
  <c r="H1531" i="1"/>
  <c r="A1532" i="1"/>
  <c r="B1532" i="1"/>
  <c r="C1532" i="1"/>
  <c r="E1532" i="1"/>
  <c r="G1532" i="1"/>
  <c r="H1532" i="1"/>
  <c r="A1533" i="1"/>
  <c r="B1533" i="1"/>
  <c r="C1533" i="1"/>
  <c r="E1533" i="1"/>
  <c r="G1533" i="1"/>
  <c r="H1533" i="1"/>
  <c r="A1534" i="1"/>
  <c r="B1534" i="1"/>
  <c r="C1534" i="1"/>
  <c r="E1534" i="1"/>
  <c r="G1534" i="1"/>
  <c r="H1534" i="1"/>
  <c r="A1535" i="1"/>
  <c r="B1535" i="1"/>
  <c r="C1535" i="1"/>
  <c r="E1535" i="1"/>
  <c r="G1535" i="1"/>
  <c r="H1535" i="1"/>
  <c r="A1536" i="1"/>
  <c r="B1536" i="1"/>
  <c r="C1536" i="1"/>
  <c r="E1536" i="1"/>
  <c r="G1536" i="1"/>
  <c r="H1536" i="1"/>
  <c r="A1537" i="1"/>
  <c r="B1537" i="1"/>
  <c r="C1537" i="1"/>
  <c r="E1537" i="1"/>
  <c r="G1537" i="1"/>
  <c r="H1537" i="1"/>
  <c r="A1538" i="1"/>
  <c r="B1538" i="1"/>
  <c r="C1538" i="1"/>
  <c r="E1538" i="1"/>
  <c r="G1538" i="1"/>
  <c r="H1538" i="1"/>
  <c r="A1539" i="1"/>
  <c r="B1539" i="1"/>
  <c r="C1539" i="1"/>
  <c r="E1539" i="1"/>
  <c r="G1539" i="1"/>
  <c r="H1539" i="1"/>
  <c r="A1540" i="1"/>
  <c r="B1540" i="1"/>
  <c r="C1540" i="1"/>
  <c r="E1540" i="1"/>
  <c r="G1540" i="1"/>
  <c r="H1540" i="1"/>
  <c r="A1541" i="1"/>
  <c r="B1541" i="1"/>
  <c r="C1541" i="1"/>
  <c r="E1541" i="1"/>
  <c r="G1541" i="1"/>
  <c r="H1541" i="1"/>
  <c r="A1542" i="1"/>
  <c r="B1542" i="1"/>
  <c r="C1542" i="1"/>
  <c r="E1542" i="1"/>
  <c r="G1542" i="1"/>
  <c r="H1542" i="1"/>
  <c r="A1543" i="1"/>
  <c r="B1543" i="1"/>
  <c r="C1543" i="1"/>
  <c r="E1543" i="1"/>
  <c r="G1543" i="1"/>
  <c r="H1543" i="1"/>
  <c r="A1544" i="1"/>
  <c r="B1544" i="1"/>
  <c r="C1544" i="1"/>
  <c r="E1544" i="1"/>
  <c r="G1544" i="1"/>
  <c r="H1544" i="1"/>
  <c r="A1545" i="1"/>
  <c r="B1545" i="1"/>
  <c r="C1545" i="1"/>
  <c r="E1545" i="1"/>
  <c r="G1545" i="1"/>
  <c r="H1545" i="1"/>
  <c r="A1546" i="1"/>
  <c r="B1546" i="1"/>
  <c r="C1546" i="1"/>
  <c r="E1546" i="1"/>
  <c r="G1546" i="1"/>
  <c r="H1546" i="1"/>
  <c r="A1547" i="1"/>
  <c r="B1547" i="1"/>
  <c r="C1547" i="1"/>
  <c r="E1547" i="1"/>
  <c r="G1547" i="1"/>
  <c r="H1547" i="1"/>
  <c r="A1548" i="1"/>
  <c r="B1548" i="1"/>
  <c r="C1548" i="1"/>
  <c r="E1548" i="1"/>
  <c r="G1548" i="1"/>
  <c r="H1548" i="1"/>
  <c r="A1549" i="1"/>
  <c r="B1549" i="1"/>
  <c r="C1549" i="1"/>
  <c r="E1549" i="1"/>
  <c r="G1549" i="1"/>
  <c r="H1549" i="1"/>
  <c r="A1550" i="1"/>
  <c r="B1550" i="1"/>
  <c r="C1550" i="1"/>
  <c r="E1550" i="1"/>
  <c r="G1550" i="1"/>
  <c r="H1550" i="1"/>
  <c r="A1551" i="1"/>
  <c r="B1551" i="1"/>
  <c r="C1551" i="1"/>
  <c r="E1551" i="1"/>
  <c r="G1551" i="1"/>
  <c r="H1551" i="1"/>
  <c r="A1552" i="1"/>
  <c r="B1552" i="1"/>
  <c r="C1552" i="1"/>
  <c r="E1552" i="1"/>
  <c r="G1552" i="1"/>
  <c r="H1552" i="1"/>
  <c r="A1553" i="1"/>
  <c r="B1553" i="1"/>
  <c r="C1553" i="1"/>
  <c r="E1553" i="1"/>
  <c r="G1553" i="1"/>
  <c r="H1553" i="1"/>
  <c r="A1554" i="1"/>
  <c r="B1554" i="1"/>
  <c r="C1554" i="1"/>
  <c r="E1554" i="1"/>
  <c r="G1554" i="1"/>
  <c r="H1554" i="1"/>
  <c r="A1555" i="1"/>
  <c r="B1555" i="1"/>
  <c r="C1555" i="1"/>
  <c r="E1555" i="1"/>
  <c r="G1555" i="1"/>
  <c r="H1555" i="1"/>
  <c r="A1556" i="1"/>
  <c r="B1556" i="1"/>
  <c r="C1556" i="1"/>
  <c r="E1556" i="1"/>
  <c r="G1556" i="1"/>
  <c r="H1556" i="1"/>
  <c r="A1557" i="1"/>
  <c r="B1557" i="1"/>
  <c r="C1557" i="1"/>
  <c r="E1557" i="1"/>
  <c r="G1557" i="1"/>
  <c r="H1557" i="1"/>
  <c r="A1558" i="1"/>
  <c r="B1558" i="1"/>
  <c r="C1558" i="1"/>
  <c r="E1558" i="1"/>
  <c r="G1558" i="1"/>
  <c r="H1558" i="1"/>
  <c r="A1559" i="1"/>
  <c r="B1559" i="1"/>
  <c r="C1559" i="1"/>
  <c r="E1559" i="1"/>
  <c r="G1559" i="1"/>
  <c r="H1559" i="1"/>
  <c r="A1560" i="1"/>
  <c r="B1560" i="1"/>
  <c r="C1560" i="1"/>
  <c r="E1560" i="1"/>
  <c r="G1560" i="1"/>
  <c r="H1560" i="1"/>
  <c r="A1561" i="1"/>
  <c r="B1561" i="1"/>
  <c r="C1561" i="1"/>
  <c r="E1561" i="1"/>
  <c r="G1561" i="1"/>
  <c r="H1561" i="1"/>
  <c r="A1562" i="1"/>
  <c r="B1562" i="1"/>
  <c r="C1562" i="1"/>
  <c r="E1562" i="1"/>
  <c r="G1562" i="1"/>
  <c r="H1562" i="1"/>
  <c r="A1563" i="1"/>
  <c r="B1563" i="1"/>
  <c r="C1563" i="1"/>
  <c r="E1563" i="1"/>
  <c r="G1563" i="1"/>
  <c r="H1563" i="1"/>
  <c r="A1564" i="1"/>
  <c r="B1564" i="1"/>
  <c r="C1564" i="1"/>
  <c r="E1564" i="1"/>
  <c r="G1564" i="1"/>
  <c r="H1564" i="1"/>
  <c r="A1565" i="1"/>
  <c r="B1565" i="1"/>
  <c r="C1565" i="1"/>
  <c r="E1565" i="1"/>
  <c r="G1565" i="1"/>
  <c r="H1565" i="1"/>
  <c r="A1566" i="1"/>
  <c r="B1566" i="1"/>
  <c r="C1566" i="1"/>
  <c r="E1566" i="1"/>
  <c r="G1566" i="1"/>
  <c r="H1566" i="1"/>
  <c r="A1567" i="1"/>
  <c r="B1567" i="1"/>
  <c r="C1567" i="1"/>
  <c r="E1567" i="1"/>
  <c r="G1567" i="1"/>
  <c r="H1567" i="1"/>
  <c r="A1568" i="1"/>
  <c r="B1568" i="1"/>
  <c r="C1568" i="1"/>
  <c r="E1568" i="1"/>
  <c r="G1568" i="1"/>
  <c r="H1568" i="1"/>
  <c r="A1569" i="1"/>
  <c r="B1569" i="1"/>
  <c r="C1569" i="1"/>
  <c r="E1569" i="1"/>
  <c r="G1569" i="1"/>
  <c r="H1569" i="1"/>
  <c r="A1570" i="1"/>
  <c r="B1570" i="1"/>
  <c r="C1570" i="1"/>
  <c r="E1570" i="1"/>
  <c r="G1570" i="1"/>
  <c r="H1570" i="1"/>
  <c r="A1571" i="1"/>
  <c r="B1571" i="1"/>
  <c r="C1571" i="1"/>
  <c r="E1571" i="1"/>
  <c r="G1571" i="1"/>
  <c r="H1571" i="1"/>
  <c r="A1572" i="1"/>
  <c r="B1572" i="1"/>
  <c r="C1572" i="1"/>
  <c r="E1572" i="1"/>
  <c r="G1572" i="1"/>
  <c r="H1572" i="1"/>
  <c r="A1573" i="1"/>
  <c r="B1573" i="1"/>
  <c r="C1573" i="1"/>
  <c r="E1573" i="1"/>
  <c r="G1573" i="1"/>
  <c r="H1573" i="1"/>
  <c r="A1574" i="1"/>
  <c r="B1574" i="1"/>
  <c r="C1574" i="1"/>
  <c r="E1574" i="1"/>
  <c r="G1574" i="1"/>
  <c r="H1574" i="1"/>
  <c r="A1575" i="1"/>
  <c r="B1575" i="1"/>
  <c r="C1575" i="1"/>
  <c r="E1575" i="1"/>
  <c r="G1575" i="1"/>
  <c r="H1575" i="1"/>
  <c r="A1576" i="1"/>
  <c r="B1576" i="1"/>
  <c r="C1576" i="1"/>
  <c r="E1576" i="1"/>
  <c r="G1576" i="1"/>
  <c r="H1576" i="1"/>
  <c r="A1577" i="1"/>
  <c r="B1577" i="1"/>
  <c r="C1577" i="1"/>
  <c r="E1577" i="1"/>
  <c r="G1577" i="1"/>
  <c r="H1577" i="1"/>
  <c r="A1578" i="1"/>
  <c r="B1578" i="1"/>
  <c r="C1578" i="1"/>
  <c r="E1578" i="1"/>
  <c r="G1578" i="1"/>
  <c r="H1578" i="1"/>
  <c r="A1579" i="1"/>
  <c r="B1579" i="1"/>
  <c r="C1579" i="1"/>
  <c r="E1579" i="1"/>
  <c r="G1579" i="1"/>
  <c r="H1579" i="1"/>
  <c r="A1580" i="1"/>
  <c r="B1580" i="1"/>
  <c r="C1580" i="1"/>
  <c r="E1580" i="1"/>
  <c r="G1580" i="1"/>
  <c r="H1580" i="1"/>
  <c r="A1581" i="1"/>
  <c r="B1581" i="1"/>
  <c r="C1581" i="1"/>
  <c r="E1581" i="1"/>
  <c r="G1581" i="1"/>
  <c r="H1581" i="1"/>
  <c r="A1582" i="1"/>
  <c r="B1582" i="1"/>
  <c r="C1582" i="1"/>
  <c r="E1582" i="1"/>
  <c r="G1582" i="1"/>
  <c r="H1582" i="1"/>
  <c r="A1583" i="1"/>
  <c r="B1583" i="1"/>
  <c r="C1583" i="1"/>
  <c r="E1583" i="1"/>
  <c r="G1583" i="1"/>
  <c r="H1583" i="1"/>
  <c r="A1584" i="1"/>
  <c r="B1584" i="1"/>
  <c r="C1584" i="1"/>
  <c r="E1584" i="1"/>
  <c r="G1584" i="1"/>
  <c r="H1584" i="1"/>
  <c r="A1585" i="1"/>
  <c r="B1585" i="1"/>
  <c r="C1585" i="1"/>
  <c r="E1585" i="1"/>
  <c r="G1585" i="1"/>
  <c r="H1585" i="1"/>
  <c r="A1586" i="1"/>
  <c r="B1586" i="1"/>
  <c r="C1586" i="1"/>
  <c r="E1586" i="1"/>
  <c r="G1586" i="1"/>
  <c r="H1586" i="1"/>
  <c r="A1587" i="1"/>
  <c r="B1587" i="1"/>
  <c r="C1587" i="1"/>
  <c r="E1587" i="1"/>
  <c r="G1587" i="1"/>
  <c r="H1587" i="1"/>
  <c r="A1588" i="1"/>
  <c r="B1588" i="1"/>
  <c r="C1588" i="1"/>
  <c r="E1588" i="1"/>
  <c r="G1588" i="1"/>
  <c r="H1588" i="1"/>
  <c r="A1589" i="1"/>
  <c r="B1589" i="1"/>
  <c r="C1589" i="1"/>
  <c r="E1589" i="1"/>
  <c r="G1589" i="1"/>
  <c r="H1589" i="1"/>
  <c r="A1590" i="1"/>
  <c r="B1590" i="1"/>
  <c r="C1590" i="1"/>
  <c r="E1590" i="1"/>
  <c r="G1590" i="1"/>
  <c r="H1590" i="1"/>
  <c r="A1591" i="1"/>
  <c r="B1591" i="1"/>
  <c r="C1591" i="1"/>
  <c r="E1591" i="1"/>
  <c r="G1591" i="1"/>
  <c r="H1591" i="1"/>
  <c r="A1592" i="1"/>
  <c r="B1592" i="1"/>
  <c r="C1592" i="1"/>
  <c r="E1592" i="1"/>
  <c r="G1592" i="1"/>
  <c r="H1592" i="1"/>
  <c r="A1593" i="1"/>
  <c r="B1593" i="1"/>
  <c r="C1593" i="1"/>
  <c r="E1593" i="1"/>
  <c r="G1593" i="1"/>
  <c r="H1593" i="1"/>
  <c r="A1594" i="1"/>
  <c r="B1594" i="1"/>
  <c r="C1594" i="1"/>
  <c r="E1594" i="1"/>
  <c r="G1594" i="1"/>
  <c r="H1594" i="1"/>
  <c r="A1595" i="1"/>
  <c r="B1595" i="1"/>
  <c r="C1595" i="1"/>
  <c r="E1595" i="1"/>
  <c r="G1595" i="1"/>
  <c r="H1595" i="1"/>
  <c r="A1596" i="1"/>
  <c r="B1596" i="1"/>
  <c r="C1596" i="1"/>
  <c r="E1596" i="1"/>
  <c r="G1596" i="1"/>
  <c r="H1596" i="1"/>
  <c r="A1597" i="1"/>
  <c r="B1597" i="1"/>
  <c r="C1597" i="1"/>
  <c r="E1597" i="1"/>
  <c r="G1597" i="1"/>
  <c r="H1597" i="1"/>
  <c r="A1598" i="1"/>
  <c r="B1598" i="1"/>
  <c r="C1598" i="1"/>
  <c r="E1598" i="1"/>
  <c r="G1598" i="1"/>
  <c r="H1598" i="1"/>
  <c r="A1599" i="1"/>
  <c r="B1599" i="1"/>
  <c r="C1599" i="1"/>
  <c r="E1599" i="1"/>
  <c r="G1599" i="1"/>
  <c r="H1599" i="1"/>
  <c r="A1600" i="1"/>
  <c r="B1600" i="1"/>
  <c r="C1600" i="1"/>
  <c r="E1600" i="1"/>
  <c r="G1600" i="1"/>
  <c r="H1600" i="1"/>
  <c r="A1601" i="1"/>
  <c r="B1601" i="1"/>
  <c r="C1601" i="1"/>
  <c r="E1601" i="1"/>
  <c r="G1601" i="1"/>
  <c r="H1601" i="1"/>
  <c r="A1602" i="1"/>
  <c r="B1602" i="1"/>
  <c r="C1602" i="1"/>
  <c r="E1602" i="1"/>
  <c r="G1602" i="1"/>
  <c r="H1602" i="1"/>
  <c r="A1603" i="1"/>
  <c r="B1603" i="1"/>
  <c r="C1603" i="1"/>
  <c r="E1603" i="1"/>
  <c r="G1603" i="1"/>
  <c r="H1603" i="1"/>
  <c r="A1604" i="1"/>
  <c r="B1604" i="1"/>
  <c r="C1604" i="1"/>
  <c r="E1604" i="1"/>
  <c r="G1604" i="1"/>
  <c r="H1604" i="1"/>
  <c r="A1605" i="1"/>
  <c r="B1605" i="1"/>
  <c r="C1605" i="1"/>
  <c r="E1605" i="1"/>
  <c r="G1605" i="1"/>
  <c r="H1605" i="1"/>
  <c r="A1606" i="1"/>
  <c r="B1606" i="1"/>
  <c r="C1606" i="1"/>
  <c r="E1606" i="1"/>
  <c r="G1606" i="1"/>
  <c r="H1606" i="1"/>
  <c r="A1607" i="1"/>
  <c r="B1607" i="1"/>
  <c r="C1607" i="1"/>
  <c r="E1607" i="1"/>
  <c r="G1607" i="1"/>
  <c r="H1607" i="1"/>
  <c r="A1608" i="1"/>
  <c r="B1608" i="1"/>
  <c r="C1608" i="1"/>
  <c r="E1608" i="1"/>
  <c r="G1608" i="1"/>
  <c r="H1608" i="1"/>
  <c r="A1609" i="1"/>
  <c r="B1609" i="1"/>
  <c r="C1609" i="1"/>
  <c r="E1609" i="1"/>
  <c r="G1609" i="1"/>
  <c r="H1609" i="1"/>
  <c r="A1610" i="1"/>
  <c r="B1610" i="1"/>
  <c r="C1610" i="1"/>
  <c r="E1610" i="1"/>
  <c r="G1610" i="1"/>
  <c r="H1610" i="1"/>
  <c r="A1611" i="1"/>
  <c r="B1611" i="1"/>
  <c r="C1611" i="1"/>
  <c r="E1611" i="1"/>
  <c r="G1611" i="1"/>
  <c r="H1611" i="1"/>
  <c r="A1612" i="1"/>
  <c r="B1612" i="1"/>
  <c r="C1612" i="1"/>
  <c r="E1612" i="1"/>
  <c r="G1612" i="1"/>
  <c r="H1612" i="1"/>
  <c r="A1613" i="1"/>
  <c r="B1613" i="1"/>
  <c r="C1613" i="1"/>
  <c r="E1613" i="1"/>
  <c r="G1613" i="1"/>
  <c r="H1613" i="1"/>
  <c r="A1614" i="1"/>
  <c r="B1614" i="1"/>
  <c r="C1614" i="1"/>
  <c r="E1614" i="1"/>
  <c r="G1614" i="1"/>
  <c r="H1614" i="1"/>
  <c r="A1615" i="1"/>
  <c r="B1615" i="1"/>
  <c r="C1615" i="1"/>
  <c r="E1615" i="1"/>
  <c r="G1615" i="1"/>
  <c r="H1615" i="1"/>
  <c r="A1616" i="1"/>
  <c r="B1616" i="1"/>
  <c r="C1616" i="1"/>
  <c r="E1616" i="1"/>
  <c r="G1616" i="1"/>
  <c r="H1616" i="1"/>
  <c r="A1617" i="1"/>
  <c r="B1617" i="1"/>
  <c r="C1617" i="1"/>
  <c r="E1617" i="1"/>
  <c r="G1617" i="1"/>
  <c r="H1617" i="1"/>
  <c r="A1618" i="1"/>
  <c r="B1618" i="1"/>
  <c r="C1618" i="1"/>
  <c r="E1618" i="1"/>
  <c r="G1618" i="1"/>
  <c r="H1618" i="1"/>
  <c r="A1619" i="1"/>
  <c r="B1619" i="1"/>
  <c r="C1619" i="1"/>
  <c r="E1619" i="1"/>
  <c r="G1619" i="1"/>
  <c r="H1619" i="1"/>
  <c r="A1620" i="1"/>
  <c r="B1620" i="1"/>
  <c r="C1620" i="1"/>
  <c r="E1620" i="1"/>
  <c r="G1620" i="1"/>
  <c r="H1620" i="1"/>
  <c r="A1621" i="1"/>
  <c r="B1621" i="1"/>
  <c r="C1621" i="1"/>
  <c r="E1621" i="1"/>
  <c r="G1621" i="1"/>
  <c r="H1621" i="1"/>
  <c r="A1622" i="1"/>
  <c r="B1622" i="1"/>
  <c r="C1622" i="1"/>
  <c r="E1622" i="1"/>
  <c r="G1622" i="1"/>
  <c r="H1622" i="1"/>
  <c r="A1623" i="1"/>
  <c r="B1623" i="1"/>
  <c r="C1623" i="1"/>
  <c r="E1623" i="1"/>
  <c r="G1623" i="1"/>
  <c r="H1623" i="1"/>
  <c r="A1624" i="1"/>
  <c r="B1624" i="1"/>
  <c r="C1624" i="1"/>
  <c r="E1624" i="1"/>
  <c r="G1624" i="1"/>
  <c r="H1624" i="1"/>
  <c r="A1625" i="1"/>
  <c r="B1625" i="1"/>
  <c r="C1625" i="1"/>
  <c r="E1625" i="1"/>
  <c r="G1625" i="1"/>
  <c r="H1625" i="1"/>
  <c r="A1626" i="1"/>
  <c r="B1626" i="1"/>
  <c r="C1626" i="1"/>
  <c r="E1626" i="1"/>
  <c r="G1626" i="1"/>
  <c r="H1626" i="1"/>
  <c r="A1627" i="1"/>
  <c r="B1627" i="1"/>
  <c r="C1627" i="1"/>
  <c r="E1627" i="1"/>
  <c r="G1627" i="1"/>
  <c r="H1627" i="1"/>
  <c r="A1628" i="1"/>
  <c r="B1628" i="1"/>
  <c r="C1628" i="1"/>
  <c r="E1628" i="1"/>
  <c r="G1628" i="1"/>
  <c r="H1628" i="1"/>
  <c r="A1629" i="1"/>
  <c r="B1629" i="1"/>
  <c r="C1629" i="1"/>
  <c r="E1629" i="1"/>
  <c r="G1629" i="1"/>
  <c r="H1629" i="1"/>
  <c r="A1630" i="1"/>
  <c r="B1630" i="1"/>
  <c r="C1630" i="1"/>
  <c r="E1630" i="1"/>
  <c r="G1630" i="1"/>
  <c r="H1630" i="1"/>
  <c r="A1631" i="1"/>
  <c r="B1631" i="1"/>
  <c r="C1631" i="1"/>
  <c r="E1631" i="1"/>
  <c r="G1631" i="1"/>
  <c r="H1631" i="1"/>
  <c r="A1632" i="1"/>
  <c r="B1632" i="1"/>
  <c r="C1632" i="1"/>
  <c r="E1632" i="1"/>
  <c r="G1632" i="1"/>
  <c r="H1632" i="1"/>
  <c r="A1633" i="1"/>
  <c r="B1633" i="1"/>
  <c r="C1633" i="1"/>
  <c r="E1633" i="1"/>
  <c r="G1633" i="1"/>
  <c r="H1633" i="1"/>
  <c r="A1634" i="1"/>
  <c r="B1634" i="1"/>
  <c r="C1634" i="1"/>
  <c r="E1634" i="1"/>
  <c r="G1634" i="1"/>
  <c r="H1634" i="1"/>
  <c r="A1635" i="1"/>
  <c r="B1635" i="1"/>
  <c r="C1635" i="1"/>
  <c r="E1635" i="1"/>
  <c r="G1635" i="1"/>
  <c r="H1635" i="1"/>
  <c r="A1636" i="1"/>
  <c r="B1636" i="1"/>
  <c r="C1636" i="1"/>
  <c r="E1636" i="1"/>
  <c r="G1636" i="1"/>
  <c r="H1636" i="1"/>
  <c r="A1637" i="1"/>
  <c r="B1637" i="1"/>
  <c r="C1637" i="1"/>
  <c r="E1637" i="1"/>
  <c r="G1637" i="1"/>
  <c r="H1637" i="1"/>
  <c r="A1638" i="1"/>
  <c r="B1638" i="1"/>
  <c r="C1638" i="1"/>
  <c r="E1638" i="1"/>
  <c r="G1638" i="1"/>
  <c r="H1638" i="1"/>
  <c r="A1639" i="1"/>
  <c r="B1639" i="1"/>
  <c r="C1639" i="1"/>
  <c r="E1639" i="1"/>
  <c r="G1639" i="1"/>
  <c r="H1639" i="1"/>
  <c r="A1640" i="1"/>
  <c r="B1640" i="1"/>
  <c r="C1640" i="1"/>
  <c r="E1640" i="1"/>
  <c r="G1640" i="1"/>
  <c r="H1640" i="1"/>
  <c r="A1641" i="1"/>
  <c r="B1641" i="1"/>
  <c r="C1641" i="1"/>
  <c r="E1641" i="1"/>
  <c r="G1641" i="1"/>
  <c r="H1641" i="1"/>
  <c r="A1642" i="1"/>
  <c r="B1642" i="1"/>
  <c r="C1642" i="1"/>
  <c r="E1642" i="1"/>
  <c r="G1642" i="1"/>
  <c r="H1642" i="1"/>
  <c r="A1643" i="1"/>
  <c r="B1643" i="1"/>
  <c r="C1643" i="1"/>
  <c r="E1643" i="1"/>
  <c r="G1643" i="1"/>
  <c r="H1643" i="1"/>
  <c r="A1644" i="1"/>
  <c r="B1644" i="1"/>
  <c r="C1644" i="1"/>
  <c r="E1644" i="1"/>
  <c r="G1644" i="1"/>
  <c r="H1644" i="1"/>
  <c r="A1645" i="1"/>
  <c r="B1645" i="1"/>
  <c r="C1645" i="1"/>
  <c r="E1645" i="1"/>
  <c r="G1645" i="1"/>
  <c r="H1645" i="1"/>
  <c r="A1646" i="1"/>
  <c r="B1646" i="1"/>
  <c r="C1646" i="1"/>
  <c r="E1646" i="1"/>
  <c r="G1646" i="1"/>
  <c r="H1646" i="1"/>
  <c r="A1647" i="1"/>
  <c r="B1647" i="1"/>
  <c r="C1647" i="1"/>
  <c r="E1647" i="1"/>
  <c r="G1647" i="1"/>
  <c r="H1647" i="1"/>
  <c r="A1648" i="1"/>
  <c r="B1648" i="1"/>
  <c r="C1648" i="1"/>
  <c r="E1648" i="1"/>
  <c r="G1648" i="1"/>
  <c r="H1648" i="1"/>
  <c r="A1649" i="1"/>
  <c r="B1649" i="1"/>
  <c r="C1649" i="1"/>
  <c r="E1649" i="1"/>
  <c r="G1649" i="1"/>
  <c r="H1649" i="1"/>
  <c r="A1650" i="1"/>
  <c r="B1650" i="1"/>
  <c r="C1650" i="1"/>
  <c r="E1650" i="1"/>
  <c r="G1650" i="1"/>
  <c r="H1650" i="1"/>
  <c r="A1651" i="1"/>
  <c r="B1651" i="1"/>
  <c r="C1651" i="1"/>
  <c r="E1651" i="1"/>
  <c r="G1651" i="1"/>
  <c r="H1651" i="1"/>
  <c r="A1652" i="1"/>
  <c r="B1652" i="1"/>
  <c r="C1652" i="1"/>
  <c r="E1652" i="1"/>
  <c r="G1652" i="1"/>
  <c r="H1652" i="1"/>
  <c r="A1653" i="1"/>
  <c r="B1653" i="1"/>
  <c r="C1653" i="1"/>
  <c r="E1653" i="1"/>
  <c r="G1653" i="1"/>
  <c r="H1653" i="1"/>
  <c r="A1654" i="1"/>
  <c r="B1654" i="1"/>
  <c r="C1654" i="1"/>
  <c r="E1654" i="1"/>
  <c r="G1654" i="1"/>
  <c r="H1654" i="1"/>
  <c r="A1655" i="1"/>
  <c r="B1655" i="1"/>
  <c r="C1655" i="1"/>
  <c r="E1655" i="1"/>
  <c r="G1655" i="1"/>
  <c r="H1655" i="1"/>
  <c r="A1656" i="1"/>
  <c r="B1656" i="1"/>
  <c r="C1656" i="1"/>
  <c r="E1656" i="1"/>
  <c r="G1656" i="1"/>
  <c r="H1656" i="1"/>
  <c r="A1657" i="1"/>
  <c r="B1657" i="1"/>
  <c r="C1657" i="1"/>
  <c r="E1657" i="1"/>
  <c r="G1657" i="1"/>
  <c r="H1657" i="1"/>
  <c r="A1658" i="1"/>
  <c r="B1658" i="1"/>
  <c r="C1658" i="1"/>
  <c r="E1658" i="1"/>
  <c r="G1658" i="1"/>
  <c r="H1658" i="1"/>
  <c r="A1659" i="1"/>
  <c r="B1659" i="1"/>
  <c r="C1659" i="1"/>
  <c r="E1659" i="1"/>
  <c r="G1659" i="1"/>
  <c r="H1659" i="1"/>
  <c r="A1660" i="1"/>
  <c r="B1660" i="1"/>
  <c r="C1660" i="1"/>
  <c r="E1660" i="1"/>
  <c r="G1660" i="1"/>
  <c r="H1660" i="1"/>
  <c r="A1661" i="1"/>
  <c r="B1661" i="1"/>
  <c r="C1661" i="1"/>
  <c r="E1661" i="1"/>
  <c r="G1661" i="1"/>
  <c r="H1661" i="1"/>
  <c r="A1662" i="1"/>
  <c r="B1662" i="1"/>
  <c r="C1662" i="1"/>
  <c r="E1662" i="1"/>
  <c r="G1662" i="1"/>
  <c r="H1662" i="1"/>
  <c r="A1663" i="1"/>
  <c r="B1663" i="1"/>
  <c r="C1663" i="1"/>
  <c r="E1663" i="1"/>
  <c r="G1663" i="1"/>
  <c r="H1663" i="1"/>
  <c r="A1664" i="1"/>
  <c r="B1664" i="1"/>
  <c r="C1664" i="1"/>
  <c r="E1664" i="1"/>
  <c r="G1664" i="1"/>
  <c r="H1664" i="1"/>
  <c r="A1665" i="1"/>
  <c r="B1665" i="1"/>
  <c r="C1665" i="1"/>
  <c r="E1665" i="1"/>
  <c r="G1665" i="1"/>
  <c r="H1665" i="1"/>
  <c r="A1666" i="1"/>
  <c r="B1666" i="1"/>
  <c r="C1666" i="1"/>
  <c r="E1666" i="1"/>
  <c r="G1666" i="1"/>
  <c r="H1666" i="1"/>
  <c r="A1667" i="1"/>
  <c r="B1667" i="1"/>
  <c r="C1667" i="1"/>
  <c r="E1667" i="1"/>
  <c r="G1667" i="1"/>
  <c r="H1667" i="1"/>
  <c r="A1668" i="1"/>
  <c r="B1668" i="1"/>
  <c r="C1668" i="1"/>
  <c r="E1668" i="1"/>
  <c r="G1668" i="1"/>
  <c r="H1668" i="1"/>
  <c r="A1669" i="1"/>
  <c r="B1669" i="1"/>
  <c r="C1669" i="1"/>
  <c r="E1669" i="1"/>
  <c r="G1669" i="1"/>
  <c r="H1669" i="1"/>
  <c r="A1670" i="1"/>
  <c r="B1670" i="1"/>
  <c r="C1670" i="1"/>
  <c r="E1670" i="1"/>
  <c r="G1670" i="1"/>
  <c r="H1670" i="1"/>
  <c r="A1671" i="1"/>
  <c r="B1671" i="1"/>
  <c r="C1671" i="1"/>
  <c r="E1671" i="1"/>
  <c r="G1671" i="1"/>
  <c r="H1671" i="1"/>
  <c r="A1672" i="1"/>
  <c r="B1672" i="1"/>
  <c r="C1672" i="1"/>
  <c r="E1672" i="1"/>
  <c r="G1672" i="1"/>
  <c r="H1672" i="1"/>
  <c r="A1673" i="1"/>
  <c r="B1673" i="1"/>
  <c r="C1673" i="1"/>
  <c r="E1673" i="1"/>
  <c r="G1673" i="1"/>
  <c r="H1673" i="1"/>
  <c r="A1674" i="1"/>
  <c r="B1674" i="1"/>
  <c r="C1674" i="1"/>
  <c r="E1674" i="1"/>
  <c r="G1674" i="1"/>
  <c r="H1674" i="1"/>
  <c r="A1675" i="1"/>
  <c r="B1675" i="1"/>
  <c r="C1675" i="1"/>
  <c r="E1675" i="1"/>
  <c r="G1675" i="1"/>
  <c r="H1675" i="1"/>
  <c r="A1676" i="1"/>
  <c r="B1676" i="1"/>
  <c r="C1676" i="1"/>
  <c r="E1676" i="1"/>
  <c r="G1676" i="1"/>
  <c r="H1676" i="1"/>
  <c r="A1677" i="1"/>
  <c r="B1677" i="1"/>
  <c r="C1677" i="1"/>
  <c r="E1677" i="1"/>
  <c r="G1677" i="1"/>
  <c r="H1677" i="1"/>
  <c r="A1678" i="1"/>
  <c r="B1678" i="1"/>
  <c r="C1678" i="1"/>
  <c r="E1678" i="1"/>
  <c r="G1678" i="1"/>
  <c r="H1678" i="1"/>
  <c r="A1679" i="1"/>
  <c r="B1679" i="1"/>
  <c r="C1679" i="1"/>
  <c r="E1679" i="1"/>
  <c r="G1679" i="1"/>
  <c r="H1679" i="1"/>
  <c r="A1680" i="1"/>
  <c r="B1680" i="1"/>
  <c r="C1680" i="1"/>
  <c r="E1680" i="1"/>
  <c r="G1680" i="1"/>
  <c r="H1680" i="1"/>
  <c r="A1681" i="1"/>
  <c r="B1681" i="1"/>
  <c r="C1681" i="1"/>
  <c r="E1681" i="1"/>
  <c r="G1681" i="1"/>
  <c r="H1681" i="1"/>
  <c r="A1682" i="1"/>
  <c r="B1682" i="1"/>
  <c r="C1682" i="1"/>
  <c r="E1682" i="1"/>
  <c r="G1682" i="1"/>
  <c r="H1682" i="1"/>
  <c r="A1683" i="1"/>
  <c r="B1683" i="1"/>
  <c r="C1683" i="1"/>
  <c r="E1683" i="1"/>
  <c r="G1683" i="1"/>
  <c r="H1683" i="1"/>
  <c r="A1684" i="1"/>
  <c r="B1684" i="1"/>
  <c r="C1684" i="1"/>
  <c r="E1684" i="1"/>
  <c r="G1684" i="1"/>
  <c r="H1684" i="1"/>
  <c r="A1685" i="1"/>
  <c r="B1685" i="1"/>
  <c r="C1685" i="1"/>
  <c r="E1685" i="1"/>
  <c r="G1685" i="1"/>
  <c r="H1685" i="1"/>
  <c r="A1686" i="1"/>
  <c r="B1686" i="1"/>
  <c r="C1686" i="1"/>
  <c r="E1686" i="1"/>
  <c r="G1686" i="1"/>
  <c r="H1686" i="1"/>
  <c r="A1687" i="1"/>
  <c r="B1687" i="1"/>
  <c r="C1687" i="1"/>
  <c r="E1687" i="1"/>
  <c r="G1687" i="1"/>
  <c r="H1687" i="1"/>
  <c r="A1688" i="1"/>
  <c r="B1688" i="1"/>
  <c r="C1688" i="1"/>
  <c r="E1688" i="1"/>
  <c r="G1688" i="1"/>
  <c r="H1688" i="1"/>
  <c r="A1689" i="1"/>
  <c r="B1689" i="1"/>
  <c r="C1689" i="1"/>
  <c r="E1689" i="1"/>
  <c r="G1689" i="1"/>
  <c r="H1689" i="1"/>
  <c r="A1690" i="1"/>
  <c r="B1690" i="1"/>
  <c r="C1690" i="1"/>
  <c r="E1690" i="1"/>
  <c r="G1690" i="1"/>
  <c r="H1690" i="1"/>
  <c r="A1691" i="1"/>
  <c r="B1691" i="1"/>
  <c r="C1691" i="1"/>
  <c r="E1691" i="1"/>
  <c r="G1691" i="1"/>
  <c r="H1691" i="1"/>
  <c r="A1692" i="1"/>
  <c r="B1692" i="1"/>
  <c r="C1692" i="1"/>
  <c r="E1692" i="1"/>
  <c r="G1692" i="1"/>
  <c r="H1692" i="1"/>
  <c r="A1693" i="1"/>
  <c r="B1693" i="1"/>
  <c r="C1693" i="1"/>
  <c r="E1693" i="1"/>
  <c r="G1693" i="1"/>
  <c r="H1693" i="1"/>
  <c r="A1694" i="1"/>
  <c r="B1694" i="1"/>
  <c r="C1694" i="1"/>
  <c r="E1694" i="1"/>
  <c r="G1694" i="1"/>
  <c r="H1694" i="1"/>
  <c r="A1695" i="1"/>
  <c r="B1695" i="1"/>
  <c r="C1695" i="1"/>
  <c r="E1695" i="1"/>
  <c r="G1695" i="1"/>
  <c r="H1695" i="1"/>
  <c r="A1696" i="1"/>
  <c r="B1696" i="1"/>
  <c r="C1696" i="1"/>
  <c r="E1696" i="1"/>
  <c r="G1696" i="1"/>
  <c r="H1696" i="1"/>
  <c r="A1697" i="1"/>
  <c r="B1697" i="1"/>
  <c r="C1697" i="1"/>
  <c r="E1697" i="1"/>
  <c r="G1697" i="1"/>
  <c r="H1697" i="1"/>
  <c r="A1698" i="1"/>
  <c r="B1698" i="1"/>
  <c r="C1698" i="1"/>
  <c r="E1698" i="1"/>
  <c r="G1698" i="1"/>
  <c r="H1698" i="1"/>
  <c r="A1699" i="1"/>
  <c r="B1699" i="1"/>
  <c r="C1699" i="1"/>
  <c r="E1699" i="1"/>
  <c r="G1699" i="1"/>
  <c r="H1699" i="1"/>
  <c r="A1700" i="1"/>
  <c r="B1700" i="1"/>
  <c r="C1700" i="1"/>
  <c r="E1700" i="1"/>
  <c r="G1700" i="1"/>
  <c r="H1700" i="1"/>
  <c r="A1701" i="1"/>
  <c r="B1701" i="1"/>
  <c r="C1701" i="1"/>
  <c r="E1701" i="1"/>
  <c r="G1701" i="1"/>
  <c r="H1701" i="1"/>
  <c r="A1702" i="1"/>
  <c r="B1702" i="1"/>
  <c r="C1702" i="1"/>
  <c r="E1702" i="1"/>
  <c r="G1702" i="1"/>
  <c r="H1702" i="1"/>
  <c r="A1703" i="1"/>
  <c r="B1703" i="1"/>
  <c r="C1703" i="1"/>
  <c r="E1703" i="1"/>
  <c r="G1703" i="1"/>
  <c r="H1703" i="1"/>
  <c r="A1704" i="1"/>
  <c r="B1704" i="1"/>
  <c r="C1704" i="1"/>
  <c r="E1704" i="1"/>
  <c r="G1704" i="1"/>
  <c r="H1704" i="1"/>
  <c r="A1705" i="1"/>
  <c r="B1705" i="1"/>
  <c r="C1705" i="1"/>
  <c r="E1705" i="1"/>
  <c r="G1705" i="1"/>
  <c r="H1705" i="1"/>
  <c r="A1706" i="1"/>
  <c r="B1706" i="1"/>
  <c r="C1706" i="1"/>
  <c r="E1706" i="1"/>
  <c r="G1706" i="1"/>
  <c r="H1706" i="1"/>
  <c r="A1707" i="1"/>
  <c r="B1707" i="1"/>
  <c r="C1707" i="1"/>
  <c r="E1707" i="1"/>
  <c r="G1707" i="1"/>
  <c r="H1707" i="1"/>
  <c r="A1708" i="1"/>
  <c r="B1708" i="1"/>
  <c r="C1708" i="1"/>
  <c r="E1708" i="1"/>
  <c r="G1708" i="1"/>
  <c r="H1708" i="1"/>
  <c r="A1709" i="1"/>
  <c r="B1709" i="1"/>
  <c r="C1709" i="1"/>
  <c r="E1709" i="1"/>
  <c r="G1709" i="1"/>
  <c r="H1709" i="1"/>
  <c r="A1710" i="1"/>
  <c r="B1710" i="1"/>
  <c r="C1710" i="1"/>
  <c r="E1710" i="1"/>
  <c r="G1710" i="1"/>
  <c r="H1710" i="1"/>
  <c r="A1711" i="1"/>
  <c r="B1711" i="1"/>
  <c r="C1711" i="1"/>
  <c r="E1711" i="1"/>
  <c r="G1711" i="1"/>
  <c r="H1711" i="1"/>
  <c r="A1712" i="1"/>
  <c r="B1712" i="1"/>
  <c r="C1712" i="1"/>
  <c r="E1712" i="1"/>
  <c r="G1712" i="1"/>
  <c r="H1712" i="1"/>
  <c r="A1713" i="1"/>
  <c r="B1713" i="1"/>
  <c r="C1713" i="1"/>
  <c r="E1713" i="1"/>
  <c r="G1713" i="1"/>
  <c r="H1713" i="1"/>
  <c r="A1714" i="1"/>
  <c r="B1714" i="1"/>
  <c r="C1714" i="1"/>
  <c r="E1714" i="1"/>
  <c r="G1714" i="1"/>
  <c r="H1714" i="1"/>
  <c r="A1715" i="1"/>
  <c r="B1715" i="1"/>
  <c r="C1715" i="1"/>
  <c r="E1715" i="1"/>
  <c r="G1715" i="1"/>
  <c r="H1715" i="1"/>
  <c r="A1716" i="1"/>
  <c r="B1716" i="1"/>
  <c r="C1716" i="1"/>
  <c r="E1716" i="1"/>
  <c r="G1716" i="1"/>
  <c r="H1716" i="1"/>
  <c r="A1717" i="1"/>
  <c r="B1717" i="1"/>
  <c r="C1717" i="1"/>
  <c r="E1717" i="1"/>
  <c r="G1717" i="1"/>
  <c r="H1717" i="1"/>
  <c r="A1718" i="1"/>
  <c r="B1718" i="1"/>
  <c r="C1718" i="1"/>
  <c r="E1718" i="1"/>
  <c r="G1718" i="1"/>
  <c r="H1718" i="1"/>
  <c r="A1719" i="1"/>
  <c r="B1719" i="1"/>
  <c r="C1719" i="1"/>
  <c r="E1719" i="1"/>
  <c r="G1719" i="1"/>
  <c r="H1719" i="1"/>
  <c r="A1720" i="1"/>
  <c r="B1720" i="1"/>
  <c r="C1720" i="1"/>
  <c r="E1720" i="1"/>
  <c r="G1720" i="1"/>
  <c r="H1720" i="1"/>
  <c r="A1721" i="1"/>
  <c r="B1721" i="1"/>
  <c r="C1721" i="1"/>
  <c r="E1721" i="1"/>
  <c r="G1721" i="1"/>
  <c r="H1721" i="1"/>
  <c r="A1722" i="1"/>
  <c r="B1722" i="1"/>
  <c r="C1722" i="1"/>
  <c r="E1722" i="1"/>
  <c r="G1722" i="1"/>
  <c r="H1722" i="1"/>
  <c r="A1723" i="1"/>
  <c r="B1723" i="1"/>
  <c r="C1723" i="1"/>
  <c r="E1723" i="1"/>
  <c r="G1723" i="1"/>
  <c r="H1723" i="1"/>
  <c r="A1724" i="1"/>
  <c r="B1724" i="1"/>
  <c r="C1724" i="1"/>
  <c r="E1724" i="1"/>
  <c r="G1724" i="1"/>
  <c r="H1724" i="1"/>
  <c r="A1725" i="1"/>
  <c r="B1725" i="1"/>
  <c r="C1725" i="1"/>
  <c r="E1725" i="1"/>
  <c r="G1725" i="1"/>
  <c r="H1725" i="1"/>
  <c r="A1726" i="1"/>
  <c r="B1726" i="1"/>
  <c r="C1726" i="1"/>
  <c r="E1726" i="1"/>
  <c r="G1726" i="1"/>
  <c r="H1726" i="1"/>
  <c r="A1727" i="1"/>
  <c r="B1727" i="1"/>
  <c r="C1727" i="1"/>
  <c r="E1727" i="1"/>
  <c r="G1727" i="1"/>
  <c r="H1727" i="1"/>
  <c r="A1728" i="1"/>
  <c r="B1728" i="1"/>
  <c r="C1728" i="1"/>
  <c r="E1728" i="1"/>
  <c r="G1728" i="1"/>
  <c r="H1728" i="1"/>
  <c r="A1729" i="1"/>
  <c r="B1729" i="1"/>
  <c r="C1729" i="1"/>
  <c r="E1729" i="1"/>
  <c r="G1729" i="1"/>
  <c r="H1729" i="1"/>
  <c r="A1730" i="1"/>
  <c r="B1730" i="1"/>
  <c r="C1730" i="1"/>
  <c r="E1730" i="1"/>
  <c r="G1730" i="1"/>
  <c r="H1730" i="1"/>
  <c r="A1731" i="1"/>
  <c r="B1731" i="1"/>
  <c r="C1731" i="1"/>
  <c r="E1731" i="1"/>
  <c r="G1731" i="1"/>
  <c r="H1731" i="1"/>
  <c r="A1732" i="1"/>
  <c r="B1732" i="1"/>
  <c r="C1732" i="1"/>
  <c r="E1732" i="1"/>
  <c r="G1732" i="1"/>
  <c r="H1732" i="1"/>
  <c r="A1733" i="1"/>
  <c r="B1733" i="1"/>
  <c r="C1733" i="1"/>
  <c r="E1733" i="1"/>
  <c r="G1733" i="1"/>
  <c r="H1733" i="1"/>
  <c r="A1734" i="1"/>
  <c r="B1734" i="1"/>
  <c r="C1734" i="1"/>
  <c r="E1734" i="1"/>
  <c r="G1734" i="1"/>
  <c r="H1734" i="1"/>
  <c r="A1735" i="1"/>
  <c r="B1735" i="1"/>
  <c r="C1735" i="1"/>
  <c r="E1735" i="1"/>
  <c r="G1735" i="1"/>
  <c r="H1735" i="1"/>
  <c r="A1736" i="1"/>
  <c r="B1736" i="1"/>
  <c r="C1736" i="1"/>
  <c r="E1736" i="1"/>
  <c r="G1736" i="1"/>
  <c r="H1736" i="1"/>
  <c r="A1737" i="1"/>
  <c r="B1737" i="1"/>
  <c r="C1737" i="1"/>
  <c r="E1737" i="1"/>
  <c r="G1737" i="1"/>
  <c r="H1737" i="1"/>
  <c r="A1738" i="1"/>
  <c r="B1738" i="1"/>
  <c r="C1738" i="1"/>
  <c r="E1738" i="1"/>
  <c r="G1738" i="1"/>
  <c r="H1738" i="1"/>
  <c r="A1739" i="1"/>
  <c r="B1739" i="1"/>
  <c r="C1739" i="1"/>
  <c r="E1739" i="1"/>
  <c r="G1739" i="1"/>
  <c r="H1739" i="1"/>
  <c r="A1740" i="1"/>
  <c r="B1740" i="1"/>
  <c r="C1740" i="1"/>
  <c r="E1740" i="1"/>
  <c r="G1740" i="1"/>
  <c r="H1740" i="1"/>
  <c r="A1741" i="1"/>
  <c r="B1741" i="1"/>
  <c r="C1741" i="1"/>
  <c r="E1741" i="1"/>
  <c r="G1741" i="1"/>
  <c r="H1741" i="1"/>
  <c r="A1742" i="1"/>
  <c r="B1742" i="1"/>
  <c r="C1742" i="1"/>
  <c r="E1742" i="1"/>
  <c r="G1742" i="1"/>
  <c r="H1742" i="1"/>
  <c r="A1743" i="1"/>
  <c r="B1743" i="1"/>
  <c r="C1743" i="1"/>
  <c r="E1743" i="1"/>
  <c r="G1743" i="1"/>
  <c r="H1743" i="1"/>
  <c r="A1744" i="1"/>
  <c r="B1744" i="1"/>
  <c r="C1744" i="1"/>
  <c r="E1744" i="1"/>
  <c r="G1744" i="1"/>
  <c r="H1744" i="1"/>
  <c r="A1745" i="1"/>
  <c r="B1745" i="1"/>
  <c r="C1745" i="1"/>
  <c r="E1745" i="1"/>
  <c r="G1745" i="1"/>
  <c r="H1745" i="1"/>
  <c r="A1746" i="1"/>
  <c r="B1746" i="1"/>
  <c r="C1746" i="1"/>
  <c r="E1746" i="1"/>
  <c r="G1746" i="1"/>
  <c r="H1746" i="1"/>
  <c r="A1747" i="1"/>
  <c r="B1747" i="1"/>
  <c r="C1747" i="1"/>
  <c r="E1747" i="1"/>
  <c r="G1747" i="1"/>
  <c r="H1747" i="1"/>
  <c r="A1748" i="1"/>
  <c r="B1748" i="1"/>
  <c r="C1748" i="1"/>
  <c r="E1748" i="1"/>
  <c r="G1748" i="1"/>
  <c r="H1748" i="1"/>
  <c r="A1749" i="1"/>
  <c r="B1749" i="1"/>
  <c r="C1749" i="1"/>
  <c r="E1749" i="1"/>
  <c r="G1749" i="1"/>
  <c r="H1749" i="1"/>
  <c r="A1750" i="1"/>
  <c r="B1750" i="1"/>
  <c r="C1750" i="1"/>
  <c r="E1750" i="1"/>
  <c r="G1750" i="1"/>
  <c r="H1750" i="1"/>
  <c r="A1751" i="1"/>
  <c r="B1751" i="1"/>
  <c r="C1751" i="1"/>
  <c r="E1751" i="1"/>
  <c r="G1751" i="1"/>
  <c r="H1751" i="1"/>
  <c r="A1752" i="1"/>
  <c r="B1752" i="1"/>
  <c r="C1752" i="1"/>
  <c r="E1752" i="1"/>
  <c r="G1752" i="1"/>
  <c r="H1752" i="1"/>
  <c r="A1753" i="1"/>
  <c r="B1753" i="1"/>
  <c r="C1753" i="1"/>
  <c r="E1753" i="1"/>
  <c r="G1753" i="1"/>
  <c r="H1753" i="1"/>
  <c r="A1754" i="1"/>
  <c r="B1754" i="1"/>
  <c r="C1754" i="1"/>
  <c r="E1754" i="1"/>
  <c r="G1754" i="1"/>
  <c r="H1754" i="1"/>
  <c r="A1755" i="1"/>
  <c r="B1755" i="1"/>
  <c r="C1755" i="1"/>
  <c r="E1755" i="1"/>
  <c r="G1755" i="1"/>
  <c r="H1755" i="1"/>
  <c r="A1756" i="1"/>
  <c r="B1756" i="1"/>
  <c r="C1756" i="1"/>
  <c r="E1756" i="1"/>
  <c r="G1756" i="1"/>
  <c r="H1756" i="1"/>
  <c r="A1757" i="1"/>
  <c r="B1757" i="1"/>
  <c r="C1757" i="1"/>
  <c r="E1757" i="1"/>
  <c r="G1757" i="1"/>
  <c r="H1757" i="1"/>
  <c r="A1758" i="1"/>
  <c r="B1758" i="1"/>
  <c r="C1758" i="1"/>
  <c r="E1758" i="1"/>
  <c r="G1758" i="1"/>
  <c r="H1758" i="1"/>
  <c r="A1759" i="1"/>
  <c r="B1759" i="1"/>
  <c r="C1759" i="1"/>
  <c r="E1759" i="1"/>
  <c r="G1759" i="1"/>
  <c r="H1759" i="1"/>
  <c r="A1760" i="1"/>
  <c r="B1760" i="1"/>
  <c r="C1760" i="1"/>
  <c r="E1760" i="1"/>
  <c r="G1760" i="1"/>
  <c r="H1760" i="1"/>
  <c r="A1761" i="1"/>
  <c r="B1761" i="1"/>
  <c r="C1761" i="1"/>
  <c r="E1761" i="1"/>
  <c r="G1761" i="1"/>
  <c r="H1761" i="1"/>
  <c r="A1762" i="1"/>
  <c r="B1762" i="1"/>
  <c r="C1762" i="1"/>
  <c r="E1762" i="1"/>
  <c r="G1762" i="1"/>
  <c r="H1762" i="1"/>
  <c r="A1763" i="1"/>
  <c r="B1763" i="1"/>
  <c r="C1763" i="1"/>
  <c r="E1763" i="1"/>
  <c r="G1763" i="1"/>
  <c r="H1763" i="1"/>
  <c r="A1764" i="1"/>
  <c r="B1764" i="1"/>
  <c r="C1764" i="1"/>
  <c r="E1764" i="1"/>
  <c r="G1764" i="1"/>
  <c r="H1764" i="1"/>
  <c r="A1765" i="1"/>
  <c r="B1765" i="1"/>
  <c r="C1765" i="1"/>
  <c r="E1765" i="1"/>
  <c r="G1765" i="1"/>
  <c r="H1765" i="1"/>
  <c r="A1766" i="1"/>
  <c r="B1766" i="1"/>
  <c r="C1766" i="1"/>
  <c r="E1766" i="1"/>
  <c r="G1766" i="1"/>
  <c r="H1766" i="1"/>
  <c r="A1767" i="1"/>
  <c r="B1767" i="1"/>
  <c r="C1767" i="1"/>
  <c r="E1767" i="1"/>
  <c r="G1767" i="1"/>
  <c r="H1767" i="1"/>
  <c r="A1768" i="1"/>
  <c r="B1768" i="1"/>
  <c r="C1768" i="1"/>
  <c r="E1768" i="1"/>
  <c r="G1768" i="1"/>
  <c r="H1768" i="1"/>
  <c r="A1769" i="1"/>
  <c r="B1769" i="1"/>
  <c r="C1769" i="1"/>
  <c r="E1769" i="1"/>
  <c r="G1769" i="1"/>
  <c r="H1769" i="1"/>
  <c r="A1770" i="1"/>
  <c r="B1770" i="1"/>
  <c r="C1770" i="1"/>
  <c r="E1770" i="1"/>
  <c r="G1770" i="1"/>
  <c r="H1770" i="1"/>
  <c r="A1771" i="1"/>
  <c r="B1771" i="1"/>
  <c r="C1771" i="1"/>
  <c r="E1771" i="1"/>
  <c r="G1771" i="1"/>
  <c r="H1771" i="1"/>
  <c r="A1772" i="1"/>
  <c r="B1772" i="1"/>
  <c r="C1772" i="1"/>
  <c r="E1772" i="1"/>
  <c r="G1772" i="1"/>
  <c r="H1772" i="1"/>
  <c r="A1773" i="1"/>
  <c r="B1773" i="1"/>
  <c r="C1773" i="1"/>
  <c r="E1773" i="1"/>
  <c r="G1773" i="1"/>
  <c r="H1773" i="1"/>
  <c r="A1774" i="1"/>
  <c r="B1774" i="1"/>
  <c r="C1774" i="1"/>
  <c r="E1774" i="1"/>
  <c r="G1774" i="1"/>
  <c r="H1774" i="1"/>
  <c r="A1775" i="1"/>
  <c r="B1775" i="1"/>
  <c r="C1775" i="1"/>
  <c r="E1775" i="1"/>
  <c r="G1775" i="1"/>
  <c r="H1775" i="1"/>
  <c r="A1776" i="1"/>
  <c r="B1776" i="1"/>
  <c r="C1776" i="1"/>
  <c r="E1776" i="1"/>
  <c r="G1776" i="1"/>
  <c r="H1776" i="1"/>
  <c r="A1777" i="1"/>
  <c r="B1777" i="1"/>
  <c r="C1777" i="1"/>
  <c r="E1777" i="1"/>
  <c r="G1777" i="1"/>
  <c r="H1777" i="1"/>
  <c r="A1778" i="1"/>
  <c r="B1778" i="1"/>
  <c r="C1778" i="1"/>
  <c r="E1778" i="1"/>
  <c r="G1778" i="1"/>
  <c r="H1778" i="1"/>
  <c r="A1779" i="1"/>
  <c r="B1779" i="1"/>
  <c r="C1779" i="1"/>
  <c r="E1779" i="1"/>
  <c r="G1779" i="1"/>
  <c r="H1779" i="1"/>
  <c r="A1780" i="1"/>
  <c r="B1780" i="1"/>
  <c r="C1780" i="1"/>
  <c r="E1780" i="1"/>
  <c r="G1780" i="1"/>
  <c r="H1780" i="1"/>
  <c r="A1781" i="1"/>
  <c r="B1781" i="1"/>
  <c r="C1781" i="1"/>
  <c r="E1781" i="1"/>
  <c r="G1781" i="1"/>
  <c r="H1781" i="1"/>
  <c r="A1782" i="1"/>
  <c r="B1782" i="1"/>
  <c r="C1782" i="1"/>
  <c r="E1782" i="1"/>
  <c r="G1782" i="1"/>
  <c r="H1782" i="1"/>
  <c r="A1783" i="1"/>
  <c r="B1783" i="1"/>
  <c r="C1783" i="1"/>
  <c r="E1783" i="1"/>
  <c r="G1783" i="1"/>
  <c r="H1783" i="1"/>
  <c r="A1784" i="1"/>
  <c r="B1784" i="1"/>
  <c r="C1784" i="1"/>
  <c r="E1784" i="1"/>
  <c r="G1784" i="1"/>
  <c r="H1784" i="1"/>
  <c r="A1785" i="1"/>
  <c r="B1785" i="1"/>
  <c r="C1785" i="1"/>
  <c r="E1785" i="1"/>
  <c r="G1785" i="1"/>
  <c r="H1785" i="1"/>
  <c r="A1786" i="1"/>
  <c r="B1786" i="1"/>
  <c r="C1786" i="1"/>
  <c r="E1786" i="1"/>
  <c r="G1786" i="1"/>
  <c r="H1786" i="1"/>
  <c r="A1787" i="1"/>
  <c r="B1787" i="1"/>
  <c r="C1787" i="1"/>
  <c r="E1787" i="1"/>
  <c r="G1787" i="1"/>
  <c r="H1787" i="1"/>
  <c r="A1788" i="1"/>
  <c r="B1788" i="1"/>
  <c r="C1788" i="1"/>
  <c r="E1788" i="1"/>
  <c r="G1788" i="1"/>
  <c r="H1788" i="1"/>
  <c r="A1789" i="1"/>
  <c r="B1789" i="1"/>
  <c r="C1789" i="1"/>
  <c r="E1789" i="1"/>
  <c r="G1789" i="1"/>
  <c r="H1789" i="1"/>
  <c r="A1790" i="1"/>
  <c r="B1790" i="1"/>
  <c r="C1790" i="1"/>
  <c r="E1790" i="1"/>
  <c r="G1790" i="1"/>
  <c r="H1790" i="1"/>
  <c r="A1791" i="1"/>
  <c r="B1791" i="1"/>
  <c r="C1791" i="1"/>
  <c r="E1791" i="1"/>
  <c r="G1791" i="1"/>
  <c r="H1791" i="1"/>
  <c r="A1792" i="1"/>
  <c r="B1792" i="1"/>
  <c r="C1792" i="1"/>
  <c r="E1792" i="1"/>
  <c r="G1792" i="1"/>
  <c r="H1792" i="1"/>
  <c r="A1793" i="1"/>
  <c r="B1793" i="1"/>
  <c r="C1793" i="1"/>
  <c r="E1793" i="1"/>
  <c r="G1793" i="1"/>
  <c r="H1793" i="1"/>
  <c r="A1794" i="1"/>
  <c r="B1794" i="1"/>
  <c r="C1794" i="1"/>
  <c r="E1794" i="1"/>
  <c r="G1794" i="1"/>
  <c r="H1794" i="1"/>
  <c r="A1795" i="1"/>
  <c r="B1795" i="1"/>
  <c r="C1795" i="1"/>
  <c r="E1795" i="1"/>
  <c r="G1795" i="1"/>
  <c r="H1795" i="1"/>
  <c r="A1796" i="1"/>
  <c r="B1796" i="1"/>
  <c r="C1796" i="1"/>
  <c r="E1796" i="1"/>
  <c r="G1796" i="1"/>
  <c r="H1796" i="1"/>
  <c r="A1797" i="1"/>
  <c r="B1797" i="1"/>
  <c r="C1797" i="1"/>
  <c r="E1797" i="1"/>
  <c r="G1797" i="1"/>
  <c r="H1797" i="1"/>
  <c r="A1798" i="1"/>
  <c r="B1798" i="1"/>
  <c r="C1798" i="1"/>
  <c r="E1798" i="1"/>
  <c r="G1798" i="1"/>
  <c r="H1798" i="1"/>
  <c r="A1799" i="1"/>
  <c r="B1799" i="1"/>
  <c r="C1799" i="1"/>
  <c r="E1799" i="1"/>
  <c r="G1799" i="1"/>
  <c r="H1799" i="1"/>
  <c r="A1800" i="1"/>
  <c r="B1800" i="1"/>
  <c r="C1800" i="1"/>
  <c r="E1800" i="1"/>
  <c r="G1800" i="1"/>
  <c r="H1800" i="1"/>
  <c r="A1801" i="1"/>
  <c r="B1801" i="1"/>
  <c r="C1801" i="1"/>
  <c r="E1801" i="1"/>
  <c r="G1801" i="1"/>
  <c r="H1801" i="1"/>
  <c r="A1802" i="1"/>
  <c r="B1802" i="1"/>
  <c r="C1802" i="1"/>
  <c r="E1802" i="1"/>
  <c r="G1802" i="1"/>
  <c r="H1802" i="1"/>
  <c r="A1803" i="1"/>
  <c r="B1803" i="1"/>
  <c r="C1803" i="1"/>
  <c r="E1803" i="1"/>
  <c r="G1803" i="1"/>
  <c r="H1803" i="1"/>
  <c r="A1804" i="1"/>
  <c r="B1804" i="1"/>
  <c r="C1804" i="1"/>
  <c r="E1804" i="1"/>
  <c r="G1804" i="1"/>
  <c r="H1804" i="1"/>
  <c r="A1805" i="1"/>
  <c r="B1805" i="1"/>
  <c r="C1805" i="1"/>
  <c r="E1805" i="1"/>
  <c r="G1805" i="1"/>
  <c r="H1805" i="1"/>
  <c r="A1806" i="1"/>
  <c r="B1806" i="1"/>
  <c r="C1806" i="1"/>
  <c r="E1806" i="1"/>
  <c r="G1806" i="1"/>
  <c r="H1806" i="1"/>
  <c r="A1807" i="1"/>
  <c r="B1807" i="1"/>
  <c r="C1807" i="1"/>
  <c r="E1807" i="1"/>
  <c r="G1807" i="1"/>
  <c r="H1807" i="1"/>
  <c r="A1808" i="1"/>
  <c r="B1808" i="1"/>
  <c r="C1808" i="1"/>
  <c r="E1808" i="1"/>
  <c r="G1808" i="1"/>
  <c r="H1808" i="1"/>
  <c r="A1809" i="1"/>
  <c r="B1809" i="1"/>
  <c r="C1809" i="1"/>
  <c r="E1809" i="1"/>
  <c r="G1809" i="1"/>
  <c r="H1809" i="1"/>
  <c r="A1810" i="1"/>
  <c r="B1810" i="1"/>
  <c r="C1810" i="1"/>
  <c r="E1810" i="1"/>
  <c r="G1810" i="1"/>
  <c r="H1810" i="1"/>
  <c r="A1811" i="1"/>
  <c r="B1811" i="1"/>
  <c r="C1811" i="1"/>
  <c r="E1811" i="1"/>
  <c r="G1811" i="1"/>
  <c r="H1811" i="1"/>
  <c r="A1812" i="1"/>
  <c r="B1812" i="1"/>
  <c r="C1812" i="1"/>
  <c r="E1812" i="1"/>
  <c r="G1812" i="1"/>
  <c r="H1812" i="1"/>
  <c r="A1813" i="1"/>
  <c r="B1813" i="1"/>
  <c r="C1813" i="1"/>
  <c r="E1813" i="1"/>
  <c r="G1813" i="1"/>
  <c r="H1813" i="1"/>
  <c r="A1814" i="1"/>
  <c r="B1814" i="1"/>
  <c r="C1814" i="1"/>
  <c r="E1814" i="1"/>
  <c r="G1814" i="1"/>
  <c r="H1814" i="1"/>
  <c r="A1815" i="1"/>
  <c r="B1815" i="1"/>
  <c r="C1815" i="1"/>
  <c r="E1815" i="1"/>
  <c r="G1815" i="1"/>
  <c r="H1815" i="1"/>
  <c r="A1816" i="1"/>
  <c r="B1816" i="1"/>
  <c r="C1816" i="1"/>
  <c r="E1816" i="1"/>
  <c r="G1816" i="1"/>
  <c r="H1816" i="1"/>
  <c r="A1817" i="1"/>
  <c r="B1817" i="1"/>
  <c r="C1817" i="1"/>
  <c r="E1817" i="1"/>
  <c r="G1817" i="1"/>
  <c r="H1817" i="1"/>
  <c r="A1818" i="1"/>
  <c r="B1818" i="1"/>
  <c r="C1818" i="1"/>
  <c r="E1818" i="1"/>
  <c r="G1818" i="1"/>
  <c r="H1818" i="1"/>
  <c r="A1819" i="1"/>
  <c r="B1819" i="1"/>
  <c r="C1819" i="1"/>
  <c r="E1819" i="1"/>
  <c r="G1819" i="1"/>
  <c r="H1819" i="1"/>
  <c r="A1820" i="1"/>
  <c r="B1820" i="1"/>
  <c r="C1820" i="1"/>
  <c r="E1820" i="1"/>
  <c r="G1820" i="1"/>
  <c r="H1820" i="1"/>
  <c r="A1821" i="1"/>
  <c r="B1821" i="1"/>
  <c r="C1821" i="1"/>
  <c r="E1821" i="1"/>
  <c r="G1821" i="1"/>
  <c r="H1821" i="1"/>
  <c r="A1822" i="1"/>
  <c r="B1822" i="1"/>
  <c r="C1822" i="1"/>
  <c r="E1822" i="1"/>
  <c r="G1822" i="1"/>
  <c r="H1822" i="1"/>
  <c r="A1823" i="1"/>
  <c r="B1823" i="1"/>
  <c r="C1823" i="1"/>
  <c r="E1823" i="1"/>
  <c r="G1823" i="1"/>
  <c r="H1823" i="1"/>
  <c r="A1824" i="1"/>
  <c r="B1824" i="1"/>
  <c r="C1824" i="1"/>
  <c r="E1824" i="1"/>
  <c r="G1824" i="1"/>
  <c r="H1824" i="1"/>
  <c r="A1825" i="1"/>
  <c r="B1825" i="1"/>
  <c r="C1825" i="1"/>
  <c r="E1825" i="1"/>
  <c r="G1825" i="1"/>
  <c r="H1825" i="1"/>
  <c r="A1826" i="1"/>
  <c r="B1826" i="1"/>
  <c r="C1826" i="1"/>
  <c r="E1826" i="1"/>
  <c r="G1826" i="1"/>
  <c r="H1826" i="1"/>
  <c r="A1827" i="1"/>
  <c r="B1827" i="1"/>
  <c r="C1827" i="1"/>
  <c r="E1827" i="1"/>
  <c r="G1827" i="1"/>
  <c r="H1827" i="1"/>
  <c r="A1828" i="1"/>
  <c r="B1828" i="1"/>
  <c r="C1828" i="1"/>
  <c r="E1828" i="1"/>
  <c r="G1828" i="1"/>
  <c r="H1828" i="1"/>
  <c r="A1829" i="1"/>
  <c r="B1829" i="1"/>
  <c r="C1829" i="1"/>
  <c r="E1829" i="1"/>
  <c r="G1829" i="1"/>
  <c r="H1829" i="1"/>
  <c r="A1830" i="1"/>
  <c r="B1830" i="1"/>
  <c r="C1830" i="1"/>
  <c r="E1830" i="1"/>
  <c r="G1830" i="1"/>
  <c r="H1830" i="1"/>
  <c r="A1831" i="1"/>
  <c r="B1831" i="1"/>
  <c r="C1831" i="1"/>
  <c r="E1831" i="1"/>
  <c r="G1831" i="1"/>
  <c r="H1831" i="1"/>
  <c r="A1832" i="1"/>
  <c r="B1832" i="1"/>
  <c r="C1832" i="1"/>
  <c r="E1832" i="1"/>
  <c r="G1832" i="1"/>
  <c r="H1832" i="1"/>
  <c r="A1833" i="1"/>
  <c r="B1833" i="1"/>
  <c r="C1833" i="1"/>
  <c r="E1833" i="1"/>
  <c r="G1833" i="1"/>
  <c r="H1833" i="1"/>
  <c r="A1834" i="1"/>
  <c r="B1834" i="1"/>
  <c r="C1834" i="1"/>
  <c r="E1834" i="1"/>
  <c r="G1834" i="1"/>
  <c r="H1834" i="1"/>
  <c r="A1835" i="1"/>
  <c r="B1835" i="1"/>
  <c r="C1835" i="1"/>
  <c r="E1835" i="1"/>
  <c r="G1835" i="1"/>
  <c r="H1835" i="1"/>
  <c r="A1836" i="1"/>
  <c r="B1836" i="1"/>
  <c r="C1836" i="1"/>
  <c r="E1836" i="1"/>
  <c r="G1836" i="1"/>
  <c r="H1836" i="1"/>
  <c r="A1837" i="1"/>
  <c r="B1837" i="1"/>
  <c r="C1837" i="1"/>
  <c r="E1837" i="1"/>
  <c r="G1837" i="1"/>
  <c r="H1837" i="1"/>
  <c r="A1838" i="1"/>
  <c r="B1838" i="1"/>
  <c r="C1838" i="1"/>
  <c r="E1838" i="1"/>
  <c r="G1838" i="1"/>
  <c r="H1838" i="1"/>
  <c r="A1839" i="1"/>
  <c r="B1839" i="1"/>
  <c r="C1839" i="1"/>
  <c r="E1839" i="1"/>
  <c r="G1839" i="1"/>
  <c r="H1839" i="1"/>
  <c r="A1840" i="1"/>
  <c r="B1840" i="1"/>
  <c r="C1840" i="1"/>
  <c r="E1840" i="1"/>
  <c r="G1840" i="1"/>
  <c r="H1840" i="1"/>
  <c r="A1841" i="1"/>
  <c r="B1841" i="1"/>
  <c r="C1841" i="1"/>
  <c r="E1841" i="1"/>
  <c r="G1841" i="1"/>
  <c r="H1841" i="1"/>
  <c r="A1842" i="1"/>
  <c r="B1842" i="1"/>
  <c r="C1842" i="1"/>
  <c r="E1842" i="1"/>
  <c r="G1842" i="1"/>
  <c r="H1842" i="1"/>
  <c r="A1843" i="1"/>
  <c r="B1843" i="1"/>
  <c r="C1843" i="1"/>
  <c r="E1843" i="1"/>
  <c r="G1843" i="1"/>
  <c r="H1843" i="1"/>
  <c r="A1844" i="1"/>
  <c r="B1844" i="1"/>
  <c r="C1844" i="1"/>
  <c r="E1844" i="1"/>
  <c r="G1844" i="1"/>
  <c r="H1844" i="1"/>
  <c r="A1845" i="1"/>
  <c r="B1845" i="1"/>
  <c r="C1845" i="1"/>
  <c r="E1845" i="1"/>
  <c r="G1845" i="1"/>
  <c r="H1845" i="1"/>
  <c r="A1846" i="1"/>
  <c r="B1846" i="1"/>
  <c r="C1846" i="1"/>
  <c r="E1846" i="1"/>
  <c r="G1846" i="1"/>
  <c r="H1846" i="1"/>
  <c r="A1847" i="1"/>
  <c r="B1847" i="1"/>
  <c r="C1847" i="1"/>
  <c r="E1847" i="1"/>
  <c r="G1847" i="1"/>
  <c r="H1847" i="1"/>
  <c r="A1848" i="1"/>
  <c r="B1848" i="1"/>
  <c r="C1848" i="1"/>
  <c r="E1848" i="1"/>
  <c r="G1848" i="1"/>
  <c r="H1848" i="1"/>
  <c r="A1849" i="1"/>
  <c r="B1849" i="1"/>
  <c r="C1849" i="1"/>
  <c r="E1849" i="1"/>
  <c r="G1849" i="1"/>
  <c r="H1849" i="1"/>
  <c r="A1850" i="1"/>
  <c r="B1850" i="1"/>
  <c r="C1850" i="1"/>
  <c r="E1850" i="1"/>
  <c r="G1850" i="1"/>
  <c r="H1850" i="1"/>
  <c r="A1851" i="1"/>
  <c r="B1851" i="1"/>
  <c r="C1851" i="1"/>
  <c r="E1851" i="1"/>
  <c r="G1851" i="1"/>
  <c r="H1851" i="1"/>
  <c r="A1852" i="1"/>
  <c r="B1852" i="1"/>
  <c r="C1852" i="1"/>
  <c r="E1852" i="1"/>
  <c r="G1852" i="1"/>
  <c r="H1852" i="1"/>
  <c r="A1853" i="1"/>
  <c r="B1853" i="1"/>
  <c r="C1853" i="1"/>
  <c r="E1853" i="1"/>
  <c r="G1853" i="1"/>
  <c r="H1853" i="1"/>
  <c r="A1854" i="1"/>
  <c r="B1854" i="1"/>
  <c r="C1854" i="1"/>
  <c r="E1854" i="1"/>
  <c r="G1854" i="1"/>
  <c r="H1854" i="1"/>
  <c r="A1855" i="1"/>
  <c r="B1855" i="1"/>
  <c r="C1855" i="1"/>
  <c r="E1855" i="1"/>
  <c r="G1855" i="1"/>
  <c r="H1855" i="1"/>
  <c r="A1856" i="1"/>
  <c r="B1856" i="1"/>
  <c r="C1856" i="1"/>
  <c r="E1856" i="1"/>
  <c r="G1856" i="1"/>
  <c r="H1856" i="1"/>
  <c r="A1857" i="1"/>
  <c r="B1857" i="1"/>
  <c r="C1857" i="1"/>
  <c r="E1857" i="1"/>
  <c r="G1857" i="1"/>
  <c r="H1857" i="1"/>
  <c r="A1858" i="1"/>
  <c r="B1858" i="1"/>
  <c r="C1858" i="1"/>
  <c r="E1858" i="1"/>
  <c r="G1858" i="1"/>
  <c r="H1858" i="1"/>
  <c r="A1859" i="1"/>
  <c r="B1859" i="1"/>
  <c r="C1859" i="1"/>
  <c r="E1859" i="1"/>
  <c r="G1859" i="1"/>
  <c r="H1859" i="1"/>
  <c r="A1860" i="1"/>
  <c r="B1860" i="1"/>
  <c r="C1860" i="1"/>
  <c r="E1860" i="1"/>
  <c r="G1860" i="1"/>
  <c r="H1860" i="1"/>
  <c r="A1861" i="1"/>
  <c r="B1861" i="1"/>
  <c r="C1861" i="1"/>
  <c r="E1861" i="1"/>
  <c r="G1861" i="1"/>
  <c r="H1861" i="1"/>
  <c r="A1862" i="1"/>
  <c r="B1862" i="1"/>
  <c r="C1862" i="1"/>
  <c r="E1862" i="1"/>
  <c r="G1862" i="1"/>
  <c r="H1862" i="1"/>
  <c r="A1863" i="1"/>
  <c r="B1863" i="1"/>
  <c r="C1863" i="1"/>
  <c r="E1863" i="1"/>
  <c r="G1863" i="1"/>
  <c r="H1863" i="1"/>
  <c r="A1864" i="1"/>
  <c r="B1864" i="1"/>
  <c r="C1864" i="1"/>
  <c r="E1864" i="1"/>
  <c r="G1864" i="1"/>
  <c r="H1864" i="1"/>
  <c r="A1865" i="1"/>
  <c r="B1865" i="1"/>
  <c r="C1865" i="1"/>
  <c r="E1865" i="1"/>
  <c r="G1865" i="1"/>
  <c r="H1865" i="1"/>
  <c r="A1866" i="1"/>
  <c r="B1866" i="1"/>
  <c r="C1866" i="1"/>
  <c r="E1866" i="1"/>
  <c r="G1866" i="1"/>
  <c r="H1866" i="1"/>
  <c r="A1867" i="1"/>
  <c r="B1867" i="1"/>
  <c r="C1867" i="1"/>
  <c r="E1867" i="1"/>
  <c r="G1867" i="1"/>
  <c r="H1867" i="1"/>
  <c r="A1868" i="1"/>
  <c r="B1868" i="1"/>
  <c r="C1868" i="1"/>
  <c r="E1868" i="1"/>
  <c r="G1868" i="1"/>
  <c r="H1868" i="1"/>
  <c r="A1869" i="1"/>
  <c r="B1869" i="1"/>
  <c r="C1869" i="1"/>
  <c r="E1869" i="1"/>
  <c r="G1869" i="1"/>
  <c r="H1869" i="1"/>
  <c r="A1870" i="1"/>
  <c r="B1870" i="1"/>
  <c r="C1870" i="1"/>
  <c r="E1870" i="1"/>
  <c r="G1870" i="1"/>
  <c r="H1870" i="1"/>
  <c r="A1871" i="1"/>
  <c r="B1871" i="1"/>
  <c r="C1871" i="1"/>
  <c r="E1871" i="1"/>
  <c r="G1871" i="1"/>
  <c r="H1871" i="1"/>
  <c r="A1872" i="1"/>
  <c r="B1872" i="1"/>
  <c r="C1872" i="1"/>
  <c r="E1872" i="1"/>
  <c r="G1872" i="1"/>
  <c r="H1872" i="1"/>
  <c r="A1873" i="1"/>
  <c r="B1873" i="1"/>
  <c r="C1873" i="1"/>
  <c r="E1873" i="1"/>
  <c r="G1873" i="1"/>
  <c r="H1873" i="1"/>
  <c r="A1874" i="1"/>
  <c r="B1874" i="1"/>
  <c r="C1874" i="1"/>
  <c r="E1874" i="1"/>
  <c r="G1874" i="1"/>
  <c r="H1874" i="1"/>
  <c r="A1875" i="1"/>
  <c r="B1875" i="1"/>
  <c r="C1875" i="1"/>
  <c r="E1875" i="1"/>
  <c r="G1875" i="1"/>
  <c r="H1875" i="1"/>
  <c r="A1876" i="1"/>
  <c r="B1876" i="1"/>
  <c r="C1876" i="1"/>
  <c r="E1876" i="1"/>
  <c r="G1876" i="1"/>
  <c r="H1876" i="1"/>
  <c r="A1877" i="1"/>
  <c r="B1877" i="1"/>
  <c r="C1877" i="1"/>
  <c r="E1877" i="1"/>
  <c r="G1877" i="1"/>
  <c r="H1877" i="1"/>
  <c r="A1878" i="1"/>
  <c r="B1878" i="1"/>
  <c r="C1878" i="1"/>
  <c r="E1878" i="1"/>
  <c r="G1878" i="1"/>
  <c r="H1878" i="1"/>
  <c r="A1879" i="1"/>
  <c r="B1879" i="1"/>
  <c r="C1879" i="1"/>
  <c r="E1879" i="1"/>
  <c r="G1879" i="1"/>
  <c r="H1879" i="1"/>
  <c r="A1880" i="1"/>
  <c r="B1880" i="1"/>
  <c r="C1880" i="1"/>
  <c r="E1880" i="1"/>
  <c r="G1880" i="1"/>
  <c r="H1880" i="1"/>
  <c r="A1881" i="1"/>
  <c r="B1881" i="1"/>
  <c r="C1881" i="1"/>
  <c r="E1881" i="1"/>
  <c r="G1881" i="1"/>
  <c r="H1881" i="1"/>
  <c r="A1882" i="1"/>
  <c r="B1882" i="1"/>
  <c r="C1882" i="1"/>
  <c r="E1882" i="1"/>
  <c r="G1882" i="1"/>
  <c r="H1882" i="1"/>
  <c r="A1883" i="1"/>
  <c r="B1883" i="1"/>
  <c r="C1883" i="1"/>
  <c r="E1883" i="1"/>
  <c r="G1883" i="1"/>
  <c r="H1883" i="1"/>
  <c r="A1884" i="1"/>
  <c r="B1884" i="1"/>
  <c r="C1884" i="1"/>
  <c r="E1884" i="1"/>
  <c r="G1884" i="1"/>
  <c r="H1884" i="1"/>
  <c r="A1885" i="1"/>
  <c r="B1885" i="1"/>
  <c r="C1885" i="1"/>
  <c r="E1885" i="1"/>
  <c r="G1885" i="1"/>
  <c r="H1885" i="1"/>
  <c r="A1886" i="1"/>
  <c r="B1886" i="1"/>
  <c r="C1886" i="1"/>
  <c r="E1886" i="1"/>
  <c r="G1886" i="1"/>
  <c r="H1886" i="1"/>
  <c r="A1887" i="1"/>
  <c r="B1887" i="1"/>
  <c r="C1887" i="1"/>
  <c r="E1887" i="1"/>
  <c r="G1887" i="1"/>
  <c r="H1887" i="1"/>
  <c r="A1888" i="1"/>
  <c r="B1888" i="1"/>
  <c r="C1888" i="1"/>
  <c r="E1888" i="1"/>
  <c r="G1888" i="1"/>
  <c r="H1888" i="1"/>
  <c r="A1889" i="1"/>
  <c r="B1889" i="1"/>
  <c r="C1889" i="1"/>
  <c r="E1889" i="1"/>
  <c r="G1889" i="1"/>
  <c r="H1889" i="1"/>
  <c r="A1890" i="1"/>
  <c r="B1890" i="1"/>
  <c r="C1890" i="1"/>
  <c r="E1890" i="1"/>
  <c r="G1890" i="1"/>
  <c r="H1890" i="1"/>
  <c r="A1891" i="1"/>
  <c r="B1891" i="1"/>
  <c r="C1891" i="1"/>
  <c r="E1891" i="1"/>
  <c r="G1891" i="1"/>
  <c r="H1891" i="1"/>
  <c r="A1892" i="1"/>
  <c r="B1892" i="1"/>
  <c r="C1892" i="1"/>
  <c r="E1892" i="1"/>
  <c r="G1892" i="1"/>
  <c r="H1892" i="1"/>
  <c r="A1893" i="1"/>
  <c r="B1893" i="1"/>
  <c r="C1893" i="1"/>
  <c r="E1893" i="1"/>
  <c r="G1893" i="1"/>
  <c r="H1893" i="1"/>
  <c r="A1894" i="1"/>
  <c r="B1894" i="1"/>
  <c r="C1894" i="1"/>
  <c r="E1894" i="1"/>
  <c r="G1894" i="1"/>
  <c r="H1894" i="1"/>
  <c r="A1895" i="1"/>
  <c r="B1895" i="1"/>
  <c r="C1895" i="1"/>
  <c r="E1895" i="1"/>
  <c r="G1895" i="1"/>
  <c r="H1895" i="1"/>
  <c r="A1896" i="1"/>
  <c r="B1896" i="1"/>
  <c r="C1896" i="1"/>
  <c r="E1896" i="1"/>
  <c r="G1896" i="1"/>
  <c r="H1896" i="1"/>
  <c r="A1897" i="1"/>
  <c r="B1897" i="1"/>
  <c r="C1897" i="1"/>
  <c r="E1897" i="1"/>
  <c r="G1897" i="1"/>
  <c r="H1897" i="1"/>
  <c r="A1898" i="1"/>
  <c r="B1898" i="1"/>
  <c r="C1898" i="1"/>
  <c r="E1898" i="1"/>
  <c r="G1898" i="1"/>
  <c r="H1898" i="1"/>
  <c r="A1899" i="1"/>
  <c r="B1899" i="1"/>
  <c r="C1899" i="1"/>
  <c r="E1899" i="1"/>
  <c r="G1899" i="1"/>
  <c r="H1899" i="1"/>
  <c r="A1900" i="1"/>
  <c r="B1900" i="1"/>
  <c r="C1900" i="1"/>
  <c r="E1900" i="1"/>
  <c r="G1900" i="1"/>
  <c r="H1900" i="1"/>
  <c r="A1901" i="1"/>
  <c r="B1901" i="1"/>
  <c r="C1901" i="1"/>
  <c r="E1901" i="1"/>
  <c r="G1901" i="1"/>
  <c r="H1901" i="1"/>
  <c r="A1902" i="1"/>
  <c r="B1902" i="1"/>
  <c r="C1902" i="1"/>
  <c r="E1902" i="1"/>
  <c r="G1902" i="1"/>
  <c r="H1902" i="1"/>
  <c r="A1903" i="1"/>
  <c r="B1903" i="1"/>
  <c r="C1903" i="1"/>
  <c r="E1903" i="1"/>
  <c r="G1903" i="1"/>
  <c r="H1903" i="1"/>
  <c r="A1904" i="1"/>
  <c r="B1904" i="1"/>
  <c r="C1904" i="1"/>
  <c r="E1904" i="1"/>
  <c r="G1904" i="1"/>
  <c r="H1904" i="1"/>
  <c r="A1905" i="1"/>
  <c r="B1905" i="1"/>
  <c r="C1905" i="1"/>
  <c r="E1905" i="1"/>
  <c r="G1905" i="1"/>
  <c r="H1905" i="1"/>
  <c r="A1906" i="1"/>
  <c r="B1906" i="1"/>
  <c r="C1906" i="1"/>
  <c r="E1906" i="1"/>
  <c r="G1906" i="1"/>
  <c r="H1906" i="1"/>
  <c r="A1907" i="1"/>
  <c r="B1907" i="1"/>
  <c r="C1907" i="1"/>
  <c r="E1907" i="1"/>
  <c r="G1907" i="1"/>
  <c r="H1907" i="1"/>
  <c r="A1908" i="1"/>
  <c r="B1908" i="1"/>
  <c r="C1908" i="1"/>
  <c r="E1908" i="1"/>
  <c r="G1908" i="1"/>
  <c r="H1908" i="1"/>
  <c r="A1909" i="1"/>
  <c r="B1909" i="1"/>
  <c r="C1909" i="1"/>
  <c r="E1909" i="1"/>
  <c r="G1909" i="1"/>
  <c r="H1909" i="1"/>
  <c r="A1910" i="1"/>
  <c r="B1910" i="1"/>
  <c r="C1910" i="1"/>
  <c r="E1910" i="1"/>
  <c r="G1910" i="1"/>
  <c r="H1910" i="1"/>
  <c r="A1911" i="1"/>
  <c r="B1911" i="1"/>
  <c r="C1911" i="1"/>
  <c r="E1911" i="1"/>
  <c r="G1911" i="1"/>
  <c r="H1911" i="1"/>
  <c r="A1912" i="1"/>
  <c r="B1912" i="1"/>
  <c r="C1912" i="1"/>
  <c r="E1912" i="1"/>
  <c r="G1912" i="1"/>
  <c r="H1912" i="1"/>
  <c r="A1913" i="1"/>
  <c r="B1913" i="1"/>
  <c r="C1913" i="1"/>
  <c r="E1913" i="1"/>
  <c r="G1913" i="1"/>
  <c r="H1913" i="1"/>
  <c r="A1914" i="1"/>
  <c r="B1914" i="1"/>
  <c r="C1914" i="1"/>
  <c r="E1914" i="1"/>
  <c r="G1914" i="1"/>
  <c r="H1914" i="1"/>
  <c r="A1915" i="1"/>
  <c r="B1915" i="1"/>
  <c r="C1915" i="1"/>
  <c r="E1915" i="1"/>
  <c r="G1915" i="1"/>
  <c r="H1915" i="1"/>
  <c r="A1916" i="1"/>
  <c r="B1916" i="1"/>
  <c r="C1916" i="1"/>
  <c r="E1916" i="1"/>
  <c r="G1916" i="1"/>
  <c r="H1916" i="1"/>
  <c r="A1917" i="1"/>
  <c r="B1917" i="1"/>
  <c r="C1917" i="1"/>
  <c r="E1917" i="1"/>
  <c r="G1917" i="1"/>
  <c r="H1917" i="1"/>
  <c r="A1918" i="1"/>
  <c r="B1918" i="1"/>
  <c r="C1918" i="1"/>
  <c r="E1918" i="1"/>
  <c r="G1918" i="1"/>
  <c r="H1918" i="1"/>
  <c r="A1919" i="1"/>
  <c r="B1919" i="1"/>
  <c r="C1919" i="1"/>
  <c r="E1919" i="1"/>
  <c r="G1919" i="1"/>
  <c r="H1919" i="1"/>
  <c r="A1920" i="1"/>
  <c r="B1920" i="1"/>
  <c r="C1920" i="1"/>
  <c r="E1920" i="1"/>
  <c r="G1920" i="1"/>
  <c r="H1920" i="1"/>
  <c r="A1921" i="1"/>
  <c r="B1921" i="1"/>
  <c r="C1921" i="1"/>
  <c r="E1921" i="1"/>
  <c r="G1921" i="1"/>
  <c r="H1921" i="1"/>
  <c r="A1922" i="1"/>
  <c r="B1922" i="1"/>
  <c r="C1922" i="1"/>
  <c r="E1922" i="1"/>
  <c r="G1922" i="1"/>
  <c r="H1922" i="1"/>
  <c r="A1923" i="1"/>
  <c r="B1923" i="1"/>
  <c r="C1923" i="1"/>
  <c r="E1923" i="1"/>
  <c r="G1923" i="1"/>
  <c r="H1923" i="1"/>
  <c r="A1924" i="1"/>
  <c r="B1924" i="1"/>
  <c r="C1924" i="1"/>
  <c r="E1924" i="1"/>
  <c r="G1924" i="1"/>
  <c r="H1924" i="1"/>
  <c r="A1925" i="1"/>
  <c r="B1925" i="1"/>
  <c r="C1925" i="1"/>
  <c r="E1925" i="1"/>
  <c r="G1925" i="1"/>
  <c r="H1925" i="1"/>
  <c r="A1926" i="1"/>
  <c r="B1926" i="1"/>
  <c r="C1926" i="1"/>
  <c r="E1926" i="1"/>
  <c r="G1926" i="1"/>
  <c r="H1926" i="1"/>
  <c r="A1927" i="1"/>
  <c r="B1927" i="1"/>
  <c r="C1927" i="1"/>
  <c r="E1927" i="1"/>
  <c r="G1927" i="1"/>
  <c r="H1927" i="1"/>
  <c r="A1928" i="1"/>
  <c r="B1928" i="1"/>
  <c r="C1928" i="1"/>
  <c r="E1928" i="1"/>
  <c r="G1928" i="1"/>
  <c r="H1928" i="1"/>
  <c r="A1929" i="1"/>
  <c r="B1929" i="1"/>
  <c r="C1929" i="1"/>
  <c r="E1929" i="1"/>
  <c r="G1929" i="1"/>
  <c r="H1929" i="1"/>
  <c r="A1930" i="1"/>
  <c r="B1930" i="1"/>
  <c r="C1930" i="1"/>
  <c r="E1930" i="1"/>
  <c r="G1930" i="1"/>
  <c r="H1930" i="1"/>
  <c r="A1931" i="1"/>
  <c r="B1931" i="1"/>
  <c r="C1931" i="1"/>
  <c r="E1931" i="1"/>
  <c r="G1931" i="1"/>
  <c r="H1931" i="1"/>
  <c r="A1932" i="1"/>
  <c r="B1932" i="1"/>
  <c r="C1932" i="1"/>
  <c r="E1932" i="1"/>
  <c r="G1932" i="1"/>
  <c r="H1932" i="1"/>
  <c r="A1933" i="1"/>
  <c r="B1933" i="1"/>
  <c r="C1933" i="1"/>
  <c r="E1933" i="1"/>
  <c r="G1933" i="1"/>
  <c r="H1933" i="1"/>
  <c r="A1934" i="1"/>
  <c r="B1934" i="1"/>
  <c r="C1934" i="1"/>
  <c r="E1934" i="1"/>
  <c r="G1934" i="1"/>
  <c r="H1934" i="1"/>
  <c r="A1935" i="1"/>
  <c r="B1935" i="1"/>
  <c r="C1935" i="1"/>
  <c r="E1935" i="1"/>
  <c r="G1935" i="1"/>
  <c r="H1935" i="1"/>
  <c r="A1936" i="1"/>
  <c r="B1936" i="1"/>
  <c r="C1936" i="1"/>
  <c r="E1936" i="1"/>
  <c r="G1936" i="1"/>
  <c r="H1936" i="1"/>
  <c r="A1937" i="1"/>
  <c r="B1937" i="1"/>
  <c r="C1937" i="1"/>
  <c r="E1937" i="1"/>
  <c r="G1937" i="1"/>
  <c r="H1937" i="1"/>
  <c r="A1938" i="1"/>
  <c r="B1938" i="1"/>
  <c r="C1938" i="1"/>
  <c r="E1938" i="1"/>
  <c r="G1938" i="1"/>
  <c r="H1938" i="1"/>
  <c r="A1939" i="1"/>
  <c r="B1939" i="1"/>
  <c r="C1939" i="1"/>
  <c r="E1939" i="1"/>
  <c r="G1939" i="1"/>
  <c r="H1939" i="1"/>
  <c r="A1940" i="1"/>
  <c r="B1940" i="1"/>
  <c r="C1940" i="1"/>
  <c r="E1940" i="1"/>
  <c r="G1940" i="1"/>
  <c r="H1940" i="1"/>
  <c r="A1941" i="1"/>
  <c r="B1941" i="1"/>
  <c r="C1941" i="1"/>
  <c r="E1941" i="1"/>
  <c r="G1941" i="1"/>
  <c r="H1941" i="1"/>
  <c r="A1942" i="1"/>
  <c r="B1942" i="1"/>
  <c r="C1942" i="1"/>
  <c r="E1942" i="1"/>
  <c r="G1942" i="1"/>
  <c r="H1942" i="1"/>
  <c r="A1943" i="1"/>
  <c r="B1943" i="1"/>
  <c r="C1943" i="1"/>
  <c r="E1943" i="1"/>
  <c r="G1943" i="1"/>
  <c r="H1943" i="1"/>
  <c r="A1944" i="1"/>
  <c r="B1944" i="1"/>
  <c r="C1944" i="1"/>
  <c r="E1944" i="1"/>
  <c r="G1944" i="1"/>
  <c r="H1944" i="1"/>
  <c r="A1945" i="1"/>
  <c r="B1945" i="1"/>
  <c r="C1945" i="1"/>
  <c r="E1945" i="1"/>
  <c r="G1945" i="1"/>
  <c r="H1945" i="1"/>
  <c r="A1946" i="1"/>
  <c r="B1946" i="1"/>
  <c r="C1946" i="1"/>
  <c r="E1946" i="1"/>
  <c r="G1946" i="1"/>
  <c r="H1946" i="1"/>
  <c r="A1947" i="1"/>
  <c r="B1947" i="1"/>
  <c r="C1947" i="1"/>
  <c r="E1947" i="1"/>
  <c r="G1947" i="1"/>
  <c r="H1947" i="1"/>
  <c r="A1948" i="1"/>
  <c r="B1948" i="1"/>
  <c r="C1948" i="1"/>
  <c r="E1948" i="1"/>
  <c r="G1948" i="1"/>
  <c r="H1948" i="1"/>
  <c r="A1949" i="1"/>
  <c r="B1949" i="1"/>
  <c r="C1949" i="1"/>
  <c r="E1949" i="1"/>
  <c r="G1949" i="1"/>
  <c r="H1949" i="1"/>
  <c r="A1950" i="1"/>
  <c r="B1950" i="1"/>
  <c r="C1950" i="1"/>
  <c r="E1950" i="1"/>
  <c r="G1950" i="1"/>
  <c r="H1950" i="1"/>
  <c r="A1951" i="1"/>
  <c r="B1951" i="1"/>
  <c r="C1951" i="1"/>
  <c r="E1951" i="1"/>
  <c r="G1951" i="1"/>
  <c r="H1951" i="1"/>
  <c r="A1952" i="1"/>
  <c r="B1952" i="1"/>
  <c r="C1952" i="1"/>
  <c r="E1952" i="1"/>
  <c r="G1952" i="1"/>
  <c r="H1952" i="1"/>
  <c r="A1953" i="1"/>
  <c r="B1953" i="1"/>
  <c r="C1953" i="1"/>
  <c r="E1953" i="1"/>
  <c r="G1953" i="1"/>
  <c r="H1953" i="1"/>
  <c r="A1954" i="1"/>
  <c r="B1954" i="1"/>
  <c r="C1954" i="1"/>
  <c r="E1954" i="1"/>
  <c r="G1954" i="1"/>
  <c r="H1954" i="1"/>
  <c r="A1955" i="1"/>
  <c r="B1955" i="1"/>
  <c r="C1955" i="1"/>
  <c r="E1955" i="1"/>
  <c r="G1955" i="1"/>
  <c r="H1955" i="1"/>
  <c r="A1956" i="1"/>
  <c r="B1956" i="1"/>
  <c r="C1956" i="1"/>
  <c r="E1956" i="1"/>
  <c r="G1956" i="1"/>
  <c r="H1956" i="1"/>
  <c r="A1957" i="1"/>
  <c r="B1957" i="1"/>
  <c r="C1957" i="1"/>
  <c r="E1957" i="1"/>
  <c r="G1957" i="1"/>
  <c r="H1957" i="1"/>
  <c r="A1958" i="1"/>
  <c r="B1958" i="1"/>
  <c r="C1958" i="1"/>
  <c r="E1958" i="1"/>
  <c r="G1958" i="1"/>
  <c r="H1958" i="1"/>
  <c r="A1959" i="1"/>
  <c r="B1959" i="1"/>
  <c r="C1959" i="1"/>
  <c r="E1959" i="1"/>
  <c r="G1959" i="1"/>
  <c r="H1959" i="1"/>
  <c r="A1960" i="1"/>
  <c r="B1960" i="1"/>
  <c r="C1960" i="1"/>
  <c r="E1960" i="1"/>
  <c r="G1960" i="1"/>
  <c r="H1960" i="1"/>
  <c r="A1961" i="1"/>
  <c r="B1961" i="1"/>
  <c r="C1961" i="1"/>
  <c r="E1961" i="1"/>
  <c r="G1961" i="1"/>
  <c r="H1961" i="1"/>
  <c r="A1962" i="1"/>
  <c r="B1962" i="1"/>
  <c r="C1962" i="1"/>
  <c r="E1962" i="1"/>
  <c r="G1962" i="1"/>
  <c r="H1962" i="1"/>
  <c r="A1963" i="1"/>
  <c r="B1963" i="1"/>
  <c r="C1963" i="1"/>
  <c r="E1963" i="1"/>
  <c r="G1963" i="1"/>
  <c r="H1963" i="1"/>
  <c r="A1964" i="1"/>
  <c r="B1964" i="1"/>
  <c r="C1964" i="1"/>
  <c r="E1964" i="1"/>
  <c r="G1964" i="1"/>
  <c r="H1964" i="1"/>
  <c r="A1965" i="1"/>
  <c r="B1965" i="1"/>
  <c r="C1965" i="1"/>
  <c r="E1965" i="1"/>
  <c r="G1965" i="1"/>
  <c r="H1965" i="1"/>
  <c r="A1966" i="1"/>
  <c r="B1966" i="1"/>
  <c r="C1966" i="1"/>
  <c r="E1966" i="1"/>
  <c r="G1966" i="1"/>
  <c r="H1966" i="1"/>
  <c r="A1967" i="1"/>
  <c r="B1967" i="1"/>
  <c r="C1967" i="1"/>
  <c r="E1967" i="1"/>
  <c r="G1967" i="1"/>
  <c r="H1967" i="1"/>
  <c r="A1968" i="1"/>
  <c r="B1968" i="1"/>
  <c r="C1968" i="1"/>
  <c r="E1968" i="1"/>
  <c r="G1968" i="1"/>
  <c r="H1968" i="1"/>
  <c r="A1969" i="1"/>
  <c r="B1969" i="1"/>
  <c r="C1969" i="1"/>
  <c r="E1969" i="1"/>
  <c r="G1969" i="1"/>
  <c r="H1969" i="1"/>
  <c r="A1970" i="1"/>
  <c r="B1970" i="1"/>
  <c r="C1970" i="1"/>
  <c r="E1970" i="1"/>
  <c r="G1970" i="1"/>
  <c r="H1970" i="1"/>
  <c r="A1971" i="1"/>
  <c r="B1971" i="1"/>
  <c r="C1971" i="1"/>
  <c r="E1971" i="1"/>
  <c r="G1971" i="1"/>
  <c r="H1971" i="1"/>
  <c r="A1972" i="1"/>
  <c r="B1972" i="1"/>
  <c r="C1972" i="1"/>
  <c r="E1972" i="1"/>
  <c r="G1972" i="1"/>
  <c r="H1972" i="1"/>
  <c r="A1973" i="1"/>
  <c r="B1973" i="1"/>
  <c r="C1973" i="1"/>
  <c r="E1973" i="1"/>
  <c r="G1973" i="1"/>
  <c r="H1973" i="1"/>
  <c r="A1974" i="1"/>
  <c r="B1974" i="1"/>
  <c r="C1974" i="1"/>
  <c r="E1974" i="1"/>
  <c r="G1974" i="1"/>
  <c r="H1974" i="1"/>
  <c r="A1975" i="1"/>
  <c r="B1975" i="1"/>
  <c r="C1975" i="1"/>
  <c r="E1975" i="1"/>
  <c r="G1975" i="1"/>
  <c r="H1975" i="1"/>
  <c r="A1976" i="1"/>
  <c r="B1976" i="1"/>
  <c r="C1976" i="1"/>
  <c r="E1976" i="1"/>
  <c r="G1976" i="1"/>
  <c r="H1976" i="1"/>
  <c r="A1977" i="1"/>
  <c r="B1977" i="1"/>
  <c r="C1977" i="1"/>
  <c r="E1977" i="1"/>
  <c r="G1977" i="1"/>
  <c r="H1977" i="1"/>
  <c r="A1978" i="1"/>
  <c r="B1978" i="1"/>
  <c r="C1978" i="1"/>
  <c r="E1978" i="1"/>
  <c r="G1978" i="1"/>
  <c r="H1978" i="1"/>
  <c r="A1979" i="1"/>
  <c r="B1979" i="1"/>
  <c r="C1979" i="1"/>
  <c r="E1979" i="1"/>
  <c r="G1979" i="1"/>
  <c r="H1979" i="1"/>
  <c r="A1980" i="1"/>
  <c r="B1980" i="1"/>
  <c r="C1980" i="1"/>
  <c r="E1980" i="1"/>
  <c r="G1980" i="1"/>
  <c r="H1980" i="1"/>
  <c r="A1981" i="1"/>
  <c r="B1981" i="1"/>
  <c r="C1981" i="1"/>
  <c r="E1981" i="1"/>
  <c r="G1981" i="1"/>
  <c r="H1981" i="1"/>
  <c r="A1982" i="1"/>
  <c r="B1982" i="1"/>
  <c r="C1982" i="1"/>
  <c r="E1982" i="1"/>
  <c r="G1982" i="1"/>
  <c r="H1982" i="1"/>
  <c r="A1983" i="1"/>
  <c r="B1983" i="1"/>
  <c r="C1983" i="1"/>
  <c r="E1983" i="1"/>
  <c r="G1983" i="1"/>
  <c r="H1983" i="1"/>
  <c r="A1984" i="1"/>
  <c r="B1984" i="1"/>
  <c r="C1984" i="1"/>
  <c r="E1984" i="1"/>
  <c r="G1984" i="1"/>
  <c r="H1984" i="1"/>
  <c r="A1985" i="1"/>
  <c r="B1985" i="1"/>
  <c r="C1985" i="1"/>
  <c r="E1985" i="1"/>
  <c r="G1985" i="1"/>
  <c r="H1985" i="1"/>
  <c r="A1986" i="1"/>
  <c r="B1986" i="1"/>
  <c r="C1986" i="1"/>
  <c r="E1986" i="1"/>
  <c r="G1986" i="1"/>
  <c r="H1986" i="1"/>
  <c r="A1987" i="1"/>
  <c r="B1987" i="1"/>
  <c r="C1987" i="1"/>
  <c r="E1987" i="1"/>
  <c r="G1987" i="1"/>
  <c r="H1987" i="1"/>
  <c r="A1988" i="1"/>
  <c r="B1988" i="1"/>
  <c r="C1988" i="1"/>
  <c r="E1988" i="1"/>
  <c r="G1988" i="1"/>
  <c r="H1988" i="1"/>
  <c r="A1989" i="1"/>
  <c r="B1989" i="1"/>
  <c r="C1989" i="1"/>
  <c r="E1989" i="1"/>
  <c r="G1989" i="1"/>
  <c r="H1989" i="1"/>
  <c r="A1990" i="1"/>
  <c r="B1990" i="1"/>
  <c r="C1990" i="1"/>
  <c r="E1990" i="1"/>
  <c r="G1990" i="1"/>
  <c r="H1990" i="1"/>
  <c r="A1991" i="1"/>
  <c r="B1991" i="1"/>
  <c r="C1991" i="1"/>
  <c r="E1991" i="1"/>
  <c r="G1991" i="1"/>
  <c r="H1991" i="1"/>
  <c r="A1992" i="1"/>
  <c r="B1992" i="1"/>
  <c r="C1992" i="1"/>
  <c r="E1992" i="1"/>
  <c r="G1992" i="1"/>
  <c r="H1992" i="1"/>
  <c r="A1993" i="1"/>
  <c r="B1993" i="1"/>
  <c r="C1993" i="1"/>
  <c r="E1993" i="1"/>
  <c r="G1993" i="1"/>
  <c r="H1993" i="1"/>
  <c r="A1994" i="1"/>
  <c r="B1994" i="1"/>
  <c r="C1994" i="1"/>
  <c r="E1994" i="1"/>
  <c r="G1994" i="1"/>
  <c r="H1994" i="1"/>
  <c r="A1995" i="1"/>
  <c r="B1995" i="1"/>
  <c r="C1995" i="1"/>
  <c r="E1995" i="1"/>
  <c r="G1995" i="1"/>
  <c r="H1995" i="1"/>
  <c r="A1996" i="1"/>
  <c r="B1996" i="1"/>
  <c r="C1996" i="1"/>
  <c r="E1996" i="1"/>
  <c r="G1996" i="1"/>
  <c r="H1996" i="1"/>
  <c r="A1997" i="1"/>
  <c r="B1997" i="1"/>
  <c r="C1997" i="1"/>
  <c r="E1997" i="1"/>
  <c r="G1997" i="1"/>
  <c r="H1997" i="1"/>
  <c r="A1998" i="1"/>
  <c r="B1998" i="1"/>
  <c r="C1998" i="1"/>
  <c r="E1998" i="1"/>
  <c r="G1998" i="1"/>
  <c r="H1998" i="1"/>
  <c r="A1999" i="1"/>
  <c r="B1999" i="1"/>
  <c r="C1999" i="1"/>
  <c r="E1999" i="1"/>
  <c r="G1999" i="1"/>
  <c r="H1999" i="1"/>
  <c r="A2000" i="1"/>
  <c r="B2000" i="1"/>
  <c r="C2000" i="1"/>
  <c r="E2000" i="1"/>
  <c r="G2000" i="1"/>
  <c r="H2000" i="1"/>
  <c r="A2001" i="1"/>
  <c r="B2001" i="1"/>
  <c r="C2001" i="1"/>
  <c r="E2001" i="1"/>
  <c r="G2001" i="1"/>
  <c r="H2001" i="1"/>
  <c r="A2002" i="1"/>
  <c r="B2002" i="1"/>
  <c r="C2002" i="1"/>
  <c r="E2002" i="1"/>
  <c r="G2002" i="1"/>
  <c r="H2002" i="1"/>
  <c r="A2003" i="1"/>
  <c r="B2003" i="1"/>
  <c r="C2003" i="1"/>
  <c r="E2003" i="1"/>
  <c r="G2003" i="1"/>
  <c r="H2003" i="1"/>
  <c r="A2004" i="1"/>
  <c r="B2004" i="1"/>
  <c r="C2004" i="1"/>
  <c r="E2004" i="1"/>
  <c r="G2004" i="1"/>
  <c r="H2004" i="1"/>
  <c r="A2005" i="1"/>
  <c r="B2005" i="1"/>
  <c r="C2005" i="1"/>
  <c r="E2005" i="1"/>
  <c r="G2005" i="1"/>
  <c r="H2005" i="1"/>
  <c r="A2006" i="1"/>
  <c r="B2006" i="1"/>
  <c r="C2006" i="1"/>
  <c r="E2006" i="1"/>
  <c r="G2006" i="1"/>
  <c r="H2006" i="1"/>
  <c r="A2007" i="1"/>
  <c r="B2007" i="1"/>
  <c r="C2007" i="1"/>
  <c r="E2007" i="1"/>
  <c r="G2007" i="1"/>
  <c r="H2007" i="1"/>
  <c r="A2008" i="1"/>
  <c r="B2008" i="1"/>
  <c r="C2008" i="1"/>
  <c r="E2008" i="1"/>
  <c r="G2008" i="1"/>
  <c r="H2008" i="1"/>
  <c r="A2009" i="1"/>
  <c r="B2009" i="1"/>
  <c r="C2009" i="1"/>
  <c r="E2009" i="1"/>
  <c r="G2009" i="1"/>
  <c r="H2009" i="1"/>
  <c r="A2010" i="1"/>
  <c r="B2010" i="1"/>
  <c r="C2010" i="1"/>
  <c r="E2010" i="1"/>
  <c r="G2010" i="1"/>
  <c r="H2010" i="1"/>
  <c r="A2011" i="1"/>
  <c r="B2011" i="1"/>
  <c r="C2011" i="1"/>
  <c r="E2011" i="1"/>
  <c r="G2011" i="1"/>
  <c r="H2011" i="1"/>
  <c r="A2012" i="1"/>
  <c r="B2012" i="1"/>
  <c r="C2012" i="1"/>
  <c r="E2012" i="1"/>
  <c r="G2012" i="1"/>
  <c r="H2012" i="1"/>
  <c r="A2013" i="1"/>
  <c r="B2013" i="1"/>
  <c r="C2013" i="1"/>
  <c r="E2013" i="1"/>
  <c r="G2013" i="1"/>
  <c r="H2013" i="1"/>
  <c r="A2014" i="1"/>
  <c r="B2014" i="1"/>
  <c r="C2014" i="1"/>
  <c r="E2014" i="1"/>
  <c r="G2014" i="1"/>
  <c r="H2014" i="1"/>
  <c r="A2015" i="1"/>
  <c r="B2015" i="1"/>
  <c r="C2015" i="1"/>
  <c r="E2015" i="1"/>
  <c r="G2015" i="1"/>
  <c r="H2015" i="1"/>
  <c r="A2016" i="1"/>
  <c r="B2016" i="1"/>
  <c r="C2016" i="1"/>
  <c r="E2016" i="1"/>
  <c r="G2016" i="1"/>
  <c r="H2016" i="1"/>
  <c r="A2017" i="1"/>
  <c r="B2017" i="1"/>
  <c r="C2017" i="1"/>
  <c r="E2017" i="1"/>
  <c r="G2017" i="1"/>
  <c r="H2017" i="1"/>
  <c r="A2018" i="1"/>
  <c r="B2018" i="1"/>
  <c r="C2018" i="1"/>
  <c r="E2018" i="1"/>
  <c r="G2018" i="1"/>
  <c r="H2018" i="1"/>
  <c r="A2019" i="1"/>
  <c r="B2019" i="1"/>
  <c r="C2019" i="1"/>
  <c r="E2019" i="1"/>
  <c r="G2019" i="1"/>
  <c r="H2019" i="1"/>
  <c r="A2020" i="1"/>
  <c r="B2020" i="1"/>
  <c r="C2020" i="1"/>
  <c r="E2020" i="1"/>
  <c r="G2020" i="1"/>
  <c r="H2020" i="1"/>
  <c r="A2021" i="1"/>
  <c r="B2021" i="1"/>
  <c r="C2021" i="1"/>
  <c r="E2021" i="1"/>
  <c r="G2021" i="1"/>
  <c r="H2021" i="1"/>
  <c r="A2022" i="1"/>
  <c r="B2022" i="1"/>
  <c r="C2022" i="1"/>
  <c r="E2022" i="1"/>
  <c r="G2022" i="1"/>
  <c r="H2022" i="1"/>
  <c r="A2023" i="1"/>
  <c r="B2023" i="1"/>
  <c r="C2023" i="1"/>
  <c r="E2023" i="1"/>
  <c r="G2023" i="1"/>
  <c r="H2023" i="1"/>
  <c r="A2024" i="1"/>
  <c r="B2024" i="1"/>
  <c r="C2024" i="1"/>
  <c r="E2024" i="1"/>
  <c r="G2024" i="1"/>
  <c r="H2024" i="1"/>
  <c r="A2025" i="1"/>
  <c r="B2025" i="1"/>
  <c r="C2025" i="1"/>
  <c r="E2025" i="1"/>
  <c r="G2025" i="1"/>
  <c r="H2025" i="1"/>
  <c r="A2026" i="1"/>
  <c r="B2026" i="1"/>
  <c r="C2026" i="1"/>
  <c r="E2026" i="1"/>
  <c r="G2026" i="1"/>
  <c r="H2026" i="1"/>
  <c r="A2027" i="1"/>
  <c r="B2027" i="1"/>
  <c r="C2027" i="1"/>
  <c r="E2027" i="1"/>
  <c r="G2027" i="1"/>
  <c r="H2027" i="1"/>
  <c r="A2028" i="1"/>
  <c r="B2028" i="1"/>
  <c r="C2028" i="1"/>
  <c r="E2028" i="1"/>
  <c r="G2028" i="1"/>
  <c r="H2028" i="1"/>
  <c r="A2029" i="1"/>
  <c r="B2029" i="1"/>
  <c r="C2029" i="1"/>
  <c r="E2029" i="1"/>
  <c r="G2029" i="1"/>
  <c r="H2029" i="1"/>
  <c r="A2030" i="1"/>
  <c r="B2030" i="1"/>
  <c r="C2030" i="1"/>
  <c r="E2030" i="1"/>
  <c r="G2030" i="1"/>
  <c r="H2030" i="1"/>
  <c r="A2031" i="1"/>
  <c r="B2031" i="1"/>
  <c r="C2031" i="1"/>
  <c r="E2031" i="1"/>
  <c r="G2031" i="1"/>
  <c r="H2031" i="1"/>
  <c r="A2032" i="1"/>
  <c r="B2032" i="1"/>
  <c r="C2032" i="1"/>
  <c r="E2032" i="1"/>
  <c r="G2032" i="1"/>
  <c r="H2032" i="1"/>
  <c r="A2033" i="1"/>
  <c r="B2033" i="1"/>
  <c r="C2033" i="1"/>
  <c r="E2033" i="1"/>
  <c r="G2033" i="1"/>
  <c r="H2033" i="1"/>
  <c r="A2034" i="1"/>
  <c r="B2034" i="1"/>
  <c r="C2034" i="1"/>
  <c r="E2034" i="1"/>
  <c r="G2034" i="1"/>
  <c r="H2034" i="1"/>
  <c r="A2035" i="1"/>
  <c r="B2035" i="1"/>
  <c r="C2035" i="1"/>
  <c r="E2035" i="1"/>
  <c r="G2035" i="1"/>
  <c r="H2035" i="1"/>
  <c r="A2036" i="1"/>
  <c r="B2036" i="1"/>
  <c r="C2036" i="1"/>
  <c r="E2036" i="1"/>
  <c r="G2036" i="1"/>
  <c r="H2036" i="1"/>
  <c r="A2037" i="1"/>
  <c r="B2037" i="1"/>
  <c r="C2037" i="1"/>
  <c r="E2037" i="1"/>
  <c r="G2037" i="1"/>
  <c r="H2037" i="1"/>
  <c r="A2038" i="1"/>
  <c r="B2038" i="1"/>
  <c r="C2038" i="1"/>
  <c r="E2038" i="1"/>
  <c r="G2038" i="1"/>
  <c r="H2038" i="1"/>
  <c r="A2039" i="1"/>
  <c r="B2039" i="1"/>
  <c r="C2039" i="1"/>
  <c r="E2039" i="1"/>
  <c r="G2039" i="1"/>
  <c r="H2039" i="1"/>
  <c r="A2040" i="1"/>
  <c r="B2040" i="1"/>
  <c r="C2040" i="1"/>
  <c r="E2040" i="1"/>
  <c r="G2040" i="1"/>
  <c r="H2040" i="1"/>
  <c r="A2041" i="1"/>
  <c r="B2041" i="1"/>
  <c r="C2041" i="1"/>
  <c r="E2041" i="1"/>
  <c r="G2041" i="1"/>
  <c r="H2041" i="1"/>
  <c r="A2042" i="1"/>
  <c r="B2042" i="1"/>
  <c r="C2042" i="1"/>
  <c r="E2042" i="1"/>
  <c r="G2042" i="1"/>
  <c r="H2042" i="1"/>
  <c r="A2043" i="1"/>
  <c r="B2043" i="1"/>
  <c r="C2043" i="1"/>
  <c r="E2043" i="1"/>
  <c r="G2043" i="1"/>
  <c r="H2043" i="1"/>
  <c r="A2044" i="1"/>
  <c r="B2044" i="1"/>
  <c r="C2044" i="1"/>
  <c r="E2044" i="1"/>
  <c r="G2044" i="1"/>
  <c r="H2044" i="1"/>
  <c r="A2045" i="1"/>
  <c r="B2045" i="1"/>
  <c r="C2045" i="1"/>
  <c r="E2045" i="1"/>
  <c r="G2045" i="1"/>
  <c r="H2045" i="1"/>
  <c r="A2046" i="1"/>
  <c r="B2046" i="1"/>
  <c r="C2046" i="1"/>
  <c r="E2046" i="1"/>
  <c r="G2046" i="1"/>
  <c r="H2046" i="1"/>
  <c r="A2047" i="1"/>
  <c r="B2047" i="1"/>
  <c r="C2047" i="1"/>
  <c r="E2047" i="1"/>
  <c r="G2047" i="1"/>
  <c r="H2047" i="1"/>
  <c r="A2048" i="1"/>
  <c r="B2048" i="1"/>
  <c r="C2048" i="1"/>
  <c r="E2048" i="1"/>
  <c r="G2048" i="1"/>
  <c r="H2048" i="1"/>
  <c r="A2049" i="1"/>
  <c r="B2049" i="1"/>
  <c r="C2049" i="1"/>
  <c r="E2049" i="1"/>
  <c r="G2049" i="1"/>
  <c r="H2049" i="1"/>
  <c r="A2050" i="1"/>
  <c r="B2050" i="1"/>
  <c r="C2050" i="1"/>
  <c r="E2050" i="1"/>
  <c r="G2050" i="1"/>
  <c r="H2050" i="1"/>
  <c r="A2051" i="1"/>
  <c r="B2051" i="1"/>
  <c r="C2051" i="1"/>
  <c r="E2051" i="1"/>
  <c r="G2051" i="1"/>
  <c r="H2051" i="1"/>
  <c r="A2052" i="1"/>
  <c r="B2052" i="1"/>
  <c r="C2052" i="1"/>
  <c r="E2052" i="1"/>
  <c r="G2052" i="1"/>
  <c r="H2052" i="1"/>
  <c r="A2053" i="1"/>
  <c r="B2053" i="1"/>
  <c r="C2053" i="1"/>
  <c r="E2053" i="1"/>
  <c r="G2053" i="1"/>
  <c r="H2053" i="1"/>
  <c r="A2054" i="1"/>
  <c r="B2054" i="1"/>
  <c r="C2054" i="1"/>
  <c r="E2054" i="1"/>
  <c r="G2054" i="1"/>
  <c r="H2054" i="1"/>
  <c r="A2055" i="1"/>
  <c r="B2055" i="1"/>
  <c r="C2055" i="1"/>
  <c r="E2055" i="1"/>
  <c r="G2055" i="1"/>
  <c r="H2055" i="1"/>
  <c r="A2056" i="1"/>
  <c r="B2056" i="1"/>
  <c r="C2056" i="1"/>
  <c r="E2056" i="1"/>
  <c r="G2056" i="1"/>
  <c r="H2056" i="1"/>
  <c r="A2057" i="1"/>
  <c r="B2057" i="1"/>
  <c r="C2057" i="1"/>
  <c r="E2057" i="1"/>
  <c r="G2057" i="1"/>
  <c r="H2057" i="1"/>
  <c r="A2058" i="1"/>
  <c r="B2058" i="1"/>
  <c r="C2058" i="1"/>
  <c r="E2058" i="1"/>
  <c r="G2058" i="1"/>
  <c r="H2058" i="1"/>
  <c r="A2059" i="1"/>
  <c r="B2059" i="1"/>
  <c r="C2059" i="1"/>
  <c r="E2059" i="1"/>
  <c r="G2059" i="1"/>
  <c r="H2059" i="1"/>
  <c r="A2060" i="1"/>
  <c r="B2060" i="1"/>
  <c r="C2060" i="1"/>
  <c r="E2060" i="1"/>
  <c r="G2060" i="1"/>
  <c r="H2060" i="1"/>
  <c r="A2061" i="1"/>
  <c r="B2061" i="1"/>
  <c r="C2061" i="1"/>
  <c r="E2061" i="1"/>
  <c r="G2061" i="1"/>
  <c r="H2061" i="1"/>
  <c r="A2062" i="1"/>
  <c r="B2062" i="1"/>
  <c r="C2062" i="1"/>
  <c r="E2062" i="1"/>
  <c r="G2062" i="1"/>
  <c r="H2062" i="1"/>
  <c r="A2063" i="1"/>
  <c r="B2063" i="1"/>
  <c r="C2063" i="1"/>
  <c r="E2063" i="1"/>
  <c r="G2063" i="1"/>
  <c r="H2063" i="1"/>
  <c r="A2064" i="1"/>
  <c r="B2064" i="1"/>
  <c r="C2064" i="1"/>
  <c r="E2064" i="1"/>
  <c r="G2064" i="1"/>
  <c r="H2064" i="1"/>
  <c r="A2065" i="1"/>
  <c r="B2065" i="1"/>
  <c r="C2065" i="1"/>
  <c r="E2065" i="1"/>
  <c r="G2065" i="1"/>
  <c r="H2065" i="1"/>
  <c r="A2066" i="1"/>
  <c r="B2066" i="1"/>
  <c r="C2066" i="1"/>
  <c r="E2066" i="1"/>
  <c r="G2066" i="1"/>
  <c r="H2066" i="1"/>
  <c r="A2067" i="1"/>
  <c r="B2067" i="1"/>
  <c r="C2067" i="1"/>
  <c r="E2067" i="1"/>
  <c r="G2067" i="1"/>
  <c r="H2067" i="1"/>
  <c r="A2068" i="1"/>
  <c r="B2068" i="1"/>
  <c r="C2068" i="1"/>
  <c r="E2068" i="1"/>
  <c r="G2068" i="1"/>
  <c r="H2068" i="1"/>
  <c r="A2069" i="1"/>
  <c r="B2069" i="1"/>
  <c r="C2069" i="1"/>
  <c r="E2069" i="1"/>
  <c r="G2069" i="1"/>
  <c r="H2069" i="1"/>
  <c r="A2070" i="1"/>
  <c r="B2070" i="1"/>
  <c r="C2070" i="1"/>
  <c r="E2070" i="1"/>
  <c r="G2070" i="1"/>
  <c r="H2070" i="1"/>
  <c r="A2071" i="1"/>
  <c r="B2071" i="1"/>
  <c r="C2071" i="1"/>
  <c r="E2071" i="1"/>
  <c r="G2071" i="1"/>
  <c r="H2071" i="1"/>
  <c r="A2072" i="1"/>
  <c r="B2072" i="1"/>
  <c r="C2072" i="1"/>
  <c r="E2072" i="1"/>
  <c r="G2072" i="1"/>
  <c r="H2072" i="1"/>
  <c r="A2073" i="1"/>
  <c r="B2073" i="1"/>
  <c r="C2073" i="1"/>
  <c r="E2073" i="1"/>
  <c r="G2073" i="1"/>
  <c r="H2073" i="1"/>
  <c r="A2074" i="1"/>
  <c r="B2074" i="1"/>
  <c r="C2074" i="1"/>
  <c r="E2074" i="1"/>
  <c r="G2074" i="1"/>
  <c r="H2074" i="1"/>
  <c r="A2075" i="1"/>
  <c r="B2075" i="1"/>
  <c r="C2075" i="1"/>
  <c r="E2075" i="1"/>
  <c r="G2075" i="1"/>
  <c r="H2075" i="1"/>
  <c r="A2076" i="1"/>
  <c r="B2076" i="1"/>
  <c r="C2076" i="1"/>
  <c r="E2076" i="1"/>
  <c r="G2076" i="1"/>
  <c r="H2076" i="1"/>
  <c r="A2077" i="1"/>
  <c r="B2077" i="1"/>
  <c r="C2077" i="1"/>
  <c r="E2077" i="1"/>
  <c r="G2077" i="1"/>
  <c r="H2077" i="1"/>
  <c r="A2078" i="1"/>
  <c r="B2078" i="1"/>
  <c r="C2078" i="1"/>
  <c r="E2078" i="1"/>
  <c r="G2078" i="1"/>
  <c r="H2078" i="1"/>
  <c r="A2079" i="1"/>
  <c r="B2079" i="1"/>
  <c r="C2079" i="1"/>
  <c r="E2079" i="1"/>
  <c r="G2079" i="1"/>
  <c r="H2079" i="1"/>
  <c r="A2080" i="1"/>
  <c r="B2080" i="1"/>
  <c r="C2080" i="1"/>
  <c r="E2080" i="1"/>
  <c r="G2080" i="1"/>
  <c r="H2080" i="1"/>
  <c r="A2081" i="1"/>
  <c r="B2081" i="1"/>
  <c r="C2081" i="1"/>
  <c r="E2081" i="1"/>
  <c r="G2081" i="1"/>
  <c r="H2081" i="1"/>
  <c r="A2082" i="1"/>
  <c r="B2082" i="1"/>
  <c r="C2082" i="1"/>
  <c r="E2082" i="1"/>
  <c r="G2082" i="1"/>
  <c r="H2082" i="1"/>
  <c r="A2083" i="1"/>
  <c r="B2083" i="1"/>
  <c r="C2083" i="1"/>
  <c r="E2083" i="1"/>
  <c r="G2083" i="1"/>
  <c r="H2083" i="1"/>
  <c r="A2084" i="1"/>
  <c r="B2084" i="1"/>
  <c r="C2084" i="1"/>
  <c r="E2084" i="1"/>
  <c r="G2084" i="1"/>
  <c r="H2084" i="1"/>
  <c r="A2085" i="1"/>
  <c r="B2085" i="1"/>
  <c r="C2085" i="1"/>
  <c r="E2085" i="1"/>
  <c r="G2085" i="1"/>
  <c r="H2085" i="1"/>
  <c r="A2086" i="1"/>
  <c r="B2086" i="1"/>
  <c r="C2086" i="1"/>
  <c r="E2086" i="1"/>
  <c r="G2086" i="1"/>
  <c r="H2086" i="1"/>
  <c r="A2087" i="1"/>
  <c r="B2087" i="1"/>
  <c r="C2087" i="1"/>
  <c r="E2087" i="1"/>
  <c r="G2087" i="1"/>
  <c r="H2087" i="1"/>
  <c r="A2088" i="1"/>
  <c r="B2088" i="1"/>
  <c r="C2088" i="1"/>
  <c r="E2088" i="1"/>
  <c r="G2088" i="1"/>
  <c r="H2088" i="1"/>
  <c r="A2089" i="1"/>
  <c r="B2089" i="1"/>
  <c r="C2089" i="1"/>
  <c r="E2089" i="1"/>
  <c r="G2089" i="1"/>
  <c r="H2089" i="1"/>
  <c r="A2090" i="1"/>
  <c r="B2090" i="1"/>
  <c r="C2090" i="1"/>
  <c r="E2090" i="1"/>
  <c r="G2090" i="1"/>
  <c r="H2090" i="1"/>
  <c r="A2091" i="1"/>
  <c r="B2091" i="1"/>
  <c r="C2091" i="1"/>
  <c r="E2091" i="1"/>
  <c r="G2091" i="1"/>
  <c r="H2091" i="1"/>
  <c r="A2092" i="1"/>
  <c r="B2092" i="1"/>
  <c r="C2092" i="1"/>
  <c r="E2092" i="1"/>
  <c r="G2092" i="1"/>
  <c r="H2092" i="1"/>
  <c r="A2093" i="1"/>
  <c r="B2093" i="1"/>
  <c r="C2093" i="1"/>
  <c r="E2093" i="1"/>
  <c r="G2093" i="1"/>
  <c r="H2093" i="1"/>
  <c r="A2094" i="1"/>
  <c r="B2094" i="1"/>
  <c r="C2094" i="1"/>
  <c r="E2094" i="1"/>
  <c r="G2094" i="1"/>
  <c r="H2094" i="1"/>
  <c r="A2095" i="1"/>
  <c r="B2095" i="1"/>
  <c r="C2095" i="1"/>
  <c r="E2095" i="1"/>
  <c r="G2095" i="1"/>
  <c r="H2095" i="1"/>
  <c r="A2096" i="1"/>
  <c r="B2096" i="1"/>
  <c r="C2096" i="1"/>
  <c r="E2096" i="1"/>
  <c r="G2096" i="1"/>
  <c r="H2096" i="1"/>
  <c r="A2097" i="1"/>
  <c r="B2097" i="1"/>
  <c r="C2097" i="1"/>
  <c r="E2097" i="1"/>
  <c r="G2097" i="1"/>
  <c r="H2097" i="1"/>
  <c r="A2098" i="1"/>
  <c r="B2098" i="1"/>
  <c r="C2098" i="1"/>
  <c r="E2098" i="1"/>
  <c r="G2098" i="1"/>
  <c r="H2098" i="1"/>
  <c r="A2099" i="1"/>
  <c r="B2099" i="1"/>
  <c r="C2099" i="1"/>
  <c r="E2099" i="1"/>
  <c r="G2099" i="1"/>
  <c r="H2099" i="1"/>
  <c r="A2100" i="1"/>
  <c r="B2100" i="1"/>
  <c r="C2100" i="1"/>
  <c r="E2100" i="1"/>
  <c r="G2100" i="1"/>
  <c r="H2100" i="1"/>
  <c r="A2101" i="1"/>
  <c r="B2101" i="1"/>
  <c r="C2101" i="1"/>
  <c r="E2101" i="1"/>
  <c r="G2101" i="1"/>
  <c r="H2101" i="1"/>
  <c r="A2102" i="1"/>
  <c r="B2102" i="1"/>
  <c r="C2102" i="1"/>
  <c r="E2102" i="1"/>
  <c r="G2102" i="1"/>
  <c r="H2102" i="1"/>
  <c r="A2103" i="1"/>
  <c r="B2103" i="1"/>
  <c r="C2103" i="1"/>
  <c r="E2103" i="1"/>
  <c r="G2103" i="1"/>
  <c r="H2103" i="1"/>
  <c r="A2104" i="1"/>
  <c r="B2104" i="1"/>
  <c r="C2104" i="1"/>
  <c r="E2104" i="1"/>
  <c r="G2104" i="1"/>
  <c r="H2104" i="1"/>
  <c r="A2105" i="1"/>
  <c r="B2105" i="1"/>
  <c r="C2105" i="1"/>
  <c r="E2105" i="1"/>
  <c r="G2105" i="1"/>
  <c r="H2105" i="1"/>
  <c r="A2106" i="1"/>
  <c r="B2106" i="1"/>
  <c r="C2106" i="1"/>
  <c r="E2106" i="1"/>
  <c r="G2106" i="1"/>
  <c r="H2106" i="1"/>
  <c r="A2107" i="1"/>
  <c r="B2107" i="1"/>
  <c r="C2107" i="1"/>
  <c r="E2107" i="1"/>
  <c r="G2107" i="1"/>
  <c r="H2107" i="1"/>
  <c r="A2108" i="1"/>
  <c r="B2108" i="1"/>
  <c r="C2108" i="1"/>
  <c r="E2108" i="1"/>
  <c r="G2108" i="1"/>
  <c r="H2108" i="1"/>
  <c r="A2109" i="1"/>
  <c r="B2109" i="1"/>
  <c r="C2109" i="1"/>
  <c r="E2109" i="1"/>
  <c r="G2109" i="1"/>
  <c r="H2109" i="1"/>
  <c r="A2110" i="1"/>
  <c r="B2110" i="1"/>
  <c r="C2110" i="1"/>
  <c r="E2110" i="1"/>
  <c r="G2110" i="1"/>
  <c r="H2110" i="1"/>
  <c r="A2111" i="1"/>
  <c r="B2111" i="1"/>
  <c r="C2111" i="1"/>
  <c r="E2111" i="1"/>
  <c r="G2111" i="1"/>
  <c r="H2111" i="1"/>
  <c r="A2112" i="1"/>
  <c r="B2112" i="1"/>
  <c r="C2112" i="1"/>
  <c r="E2112" i="1"/>
  <c r="G2112" i="1"/>
  <c r="H2112" i="1"/>
  <c r="A2113" i="1"/>
  <c r="B2113" i="1"/>
  <c r="C2113" i="1"/>
  <c r="E2113" i="1"/>
  <c r="G2113" i="1"/>
  <c r="H2113" i="1"/>
  <c r="A2114" i="1"/>
  <c r="B2114" i="1"/>
  <c r="C2114" i="1"/>
  <c r="E2114" i="1"/>
  <c r="G2114" i="1"/>
  <c r="H2114" i="1"/>
  <c r="A2115" i="1"/>
  <c r="B2115" i="1"/>
  <c r="C2115" i="1"/>
  <c r="E2115" i="1"/>
  <c r="G2115" i="1"/>
  <c r="H2115" i="1"/>
  <c r="A2116" i="1"/>
  <c r="B2116" i="1"/>
  <c r="C2116" i="1"/>
  <c r="E2116" i="1"/>
  <c r="G2116" i="1"/>
  <c r="H2116" i="1"/>
  <c r="A2117" i="1"/>
  <c r="B2117" i="1"/>
  <c r="C2117" i="1"/>
  <c r="E2117" i="1"/>
  <c r="G2117" i="1"/>
  <c r="H2117" i="1"/>
  <c r="A2118" i="1"/>
  <c r="B2118" i="1"/>
  <c r="C2118" i="1"/>
  <c r="E2118" i="1"/>
  <c r="G2118" i="1"/>
  <c r="H2118" i="1"/>
  <c r="A2119" i="1"/>
  <c r="B2119" i="1"/>
  <c r="C2119" i="1"/>
  <c r="E2119" i="1"/>
  <c r="G2119" i="1"/>
  <c r="H2119" i="1"/>
  <c r="A2120" i="1"/>
  <c r="B2120" i="1"/>
  <c r="C2120" i="1"/>
  <c r="E2120" i="1"/>
  <c r="G2120" i="1"/>
  <c r="H2120" i="1"/>
  <c r="A2121" i="1"/>
  <c r="B2121" i="1"/>
  <c r="C2121" i="1"/>
  <c r="E2121" i="1"/>
  <c r="G2121" i="1"/>
  <c r="H2121" i="1"/>
  <c r="A2122" i="1"/>
  <c r="B2122" i="1"/>
  <c r="C2122" i="1"/>
  <c r="E2122" i="1"/>
  <c r="G2122" i="1"/>
  <c r="H2122" i="1"/>
  <c r="A2123" i="1"/>
  <c r="B2123" i="1"/>
  <c r="C2123" i="1"/>
  <c r="E2123" i="1"/>
  <c r="G2123" i="1"/>
  <c r="H2123" i="1"/>
  <c r="A2124" i="1"/>
  <c r="B2124" i="1"/>
  <c r="C2124" i="1"/>
  <c r="E2124" i="1"/>
  <c r="G2124" i="1"/>
  <c r="H2124" i="1"/>
  <c r="A2125" i="1"/>
  <c r="B2125" i="1"/>
  <c r="C2125" i="1"/>
  <c r="E2125" i="1"/>
  <c r="G2125" i="1"/>
  <c r="H2125" i="1"/>
  <c r="A2126" i="1"/>
  <c r="B2126" i="1"/>
  <c r="C2126" i="1"/>
  <c r="E2126" i="1"/>
  <c r="G2126" i="1"/>
  <c r="H2126" i="1"/>
  <c r="A2127" i="1"/>
  <c r="B2127" i="1"/>
  <c r="C2127" i="1"/>
  <c r="E2127" i="1"/>
  <c r="G2127" i="1"/>
  <c r="H2127" i="1"/>
  <c r="A2128" i="1"/>
  <c r="B2128" i="1"/>
  <c r="C2128" i="1"/>
  <c r="E2128" i="1"/>
  <c r="G2128" i="1"/>
  <c r="H2128" i="1"/>
  <c r="A2129" i="1"/>
  <c r="B2129" i="1"/>
  <c r="C2129" i="1"/>
  <c r="E2129" i="1"/>
  <c r="G2129" i="1"/>
  <c r="H2129" i="1"/>
  <c r="A2130" i="1"/>
  <c r="B2130" i="1"/>
  <c r="C2130" i="1"/>
  <c r="E2130" i="1"/>
  <c r="G2130" i="1"/>
  <c r="H2130" i="1"/>
  <c r="A2131" i="1"/>
  <c r="B2131" i="1"/>
  <c r="C2131" i="1"/>
  <c r="E2131" i="1"/>
  <c r="G2131" i="1"/>
  <c r="H2131" i="1"/>
  <c r="A2132" i="1"/>
  <c r="B2132" i="1"/>
  <c r="C2132" i="1"/>
  <c r="E2132" i="1"/>
  <c r="G2132" i="1"/>
  <c r="H2132" i="1"/>
  <c r="A2133" i="1"/>
  <c r="B2133" i="1"/>
  <c r="C2133" i="1"/>
  <c r="E2133" i="1"/>
  <c r="G2133" i="1"/>
  <c r="H2133" i="1"/>
  <c r="A2134" i="1"/>
  <c r="B2134" i="1"/>
  <c r="C2134" i="1"/>
  <c r="E2134" i="1"/>
  <c r="G2134" i="1"/>
  <c r="H2134" i="1"/>
  <c r="A2135" i="1"/>
  <c r="B2135" i="1"/>
  <c r="C2135" i="1"/>
  <c r="E2135" i="1"/>
  <c r="G2135" i="1"/>
  <c r="H2135" i="1"/>
  <c r="A2136" i="1"/>
  <c r="B2136" i="1"/>
  <c r="C2136" i="1"/>
  <c r="E2136" i="1"/>
  <c r="G2136" i="1"/>
  <c r="H2136" i="1"/>
  <c r="A2137" i="1"/>
  <c r="B2137" i="1"/>
  <c r="C2137" i="1"/>
  <c r="E2137" i="1"/>
  <c r="G2137" i="1"/>
  <c r="H2137" i="1"/>
  <c r="A2138" i="1"/>
  <c r="B2138" i="1"/>
  <c r="C2138" i="1"/>
  <c r="E2138" i="1"/>
  <c r="G2138" i="1"/>
  <c r="H2138" i="1"/>
  <c r="A2139" i="1"/>
  <c r="B2139" i="1"/>
  <c r="C2139" i="1"/>
  <c r="E2139" i="1"/>
  <c r="G2139" i="1"/>
  <c r="H2139" i="1"/>
  <c r="A2140" i="1"/>
  <c r="B2140" i="1"/>
  <c r="C2140" i="1"/>
  <c r="E2140" i="1"/>
  <c r="G2140" i="1"/>
  <c r="H2140" i="1"/>
  <c r="A2141" i="1"/>
  <c r="B2141" i="1"/>
  <c r="C2141" i="1"/>
  <c r="E2141" i="1"/>
  <c r="G2141" i="1"/>
  <c r="H2141" i="1"/>
  <c r="A2142" i="1"/>
  <c r="B2142" i="1"/>
  <c r="C2142" i="1"/>
  <c r="E2142" i="1"/>
  <c r="G2142" i="1"/>
  <c r="H2142" i="1"/>
  <c r="A2143" i="1"/>
  <c r="B2143" i="1"/>
  <c r="C2143" i="1"/>
  <c r="E2143" i="1"/>
  <c r="G2143" i="1"/>
  <c r="H2143" i="1"/>
  <c r="A2144" i="1"/>
  <c r="B2144" i="1"/>
  <c r="C2144" i="1"/>
  <c r="E2144" i="1"/>
  <c r="G2144" i="1"/>
  <c r="H2144" i="1"/>
  <c r="A2145" i="1"/>
  <c r="B2145" i="1"/>
  <c r="C2145" i="1"/>
  <c r="E2145" i="1"/>
  <c r="G2145" i="1"/>
  <c r="H2145" i="1"/>
  <c r="A2146" i="1"/>
  <c r="B2146" i="1"/>
  <c r="C2146" i="1"/>
  <c r="E2146" i="1"/>
  <c r="G2146" i="1"/>
  <c r="H2146" i="1"/>
  <c r="A2147" i="1"/>
  <c r="B2147" i="1"/>
  <c r="C2147" i="1"/>
  <c r="E2147" i="1"/>
  <c r="G2147" i="1"/>
  <c r="H2147" i="1"/>
  <c r="A2148" i="1"/>
  <c r="B2148" i="1"/>
  <c r="C2148" i="1"/>
  <c r="E2148" i="1"/>
  <c r="G2148" i="1"/>
  <c r="H2148" i="1"/>
  <c r="A2149" i="1"/>
  <c r="B2149" i="1"/>
  <c r="C2149" i="1"/>
  <c r="E2149" i="1"/>
  <c r="G2149" i="1"/>
  <c r="H2149" i="1"/>
  <c r="A2150" i="1"/>
  <c r="B2150" i="1"/>
  <c r="C2150" i="1"/>
  <c r="E2150" i="1"/>
  <c r="G2150" i="1"/>
  <c r="H2150" i="1"/>
  <c r="A2151" i="1"/>
  <c r="B2151" i="1"/>
  <c r="C2151" i="1"/>
  <c r="E2151" i="1"/>
  <c r="G2151" i="1"/>
  <c r="H2151" i="1"/>
  <c r="A2152" i="1"/>
  <c r="B2152" i="1"/>
  <c r="C2152" i="1"/>
  <c r="E2152" i="1"/>
  <c r="G2152" i="1"/>
  <c r="H2152" i="1"/>
  <c r="A2153" i="1"/>
  <c r="B2153" i="1"/>
  <c r="C2153" i="1"/>
  <c r="E2153" i="1"/>
  <c r="G2153" i="1"/>
  <c r="H2153" i="1"/>
  <c r="A2154" i="1"/>
  <c r="B2154" i="1"/>
  <c r="C2154" i="1"/>
  <c r="E2154" i="1"/>
  <c r="G2154" i="1"/>
  <c r="H2154" i="1"/>
  <c r="A2155" i="1"/>
  <c r="B2155" i="1"/>
  <c r="C2155" i="1"/>
  <c r="E2155" i="1"/>
  <c r="G2155" i="1"/>
  <c r="H2155" i="1"/>
  <c r="A2156" i="1"/>
  <c r="B2156" i="1"/>
  <c r="C2156" i="1"/>
  <c r="E2156" i="1"/>
  <c r="G2156" i="1"/>
  <c r="H2156" i="1"/>
  <c r="A2157" i="1"/>
  <c r="B2157" i="1"/>
  <c r="C2157" i="1"/>
  <c r="E2157" i="1"/>
  <c r="G2157" i="1"/>
  <c r="H2157" i="1"/>
  <c r="A2158" i="1"/>
  <c r="B2158" i="1"/>
  <c r="C2158" i="1"/>
  <c r="E2158" i="1"/>
  <c r="G2158" i="1"/>
  <c r="H2158" i="1"/>
  <c r="A2159" i="1"/>
  <c r="B2159" i="1"/>
  <c r="C2159" i="1"/>
  <c r="E2159" i="1"/>
  <c r="G2159" i="1"/>
  <c r="H2159" i="1"/>
  <c r="A2160" i="1"/>
  <c r="B2160" i="1"/>
  <c r="C2160" i="1"/>
  <c r="E2160" i="1"/>
  <c r="G2160" i="1"/>
  <c r="H2160" i="1"/>
  <c r="A2161" i="1"/>
  <c r="B2161" i="1"/>
  <c r="C2161" i="1"/>
  <c r="E2161" i="1"/>
  <c r="G2161" i="1"/>
  <c r="H2161" i="1"/>
  <c r="A2162" i="1"/>
  <c r="B2162" i="1"/>
  <c r="C2162" i="1"/>
  <c r="E2162" i="1"/>
  <c r="G2162" i="1"/>
  <c r="H2162" i="1"/>
  <c r="A2163" i="1"/>
  <c r="B2163" i="1"/>
  <c r="C2163" i="1"/>
  <c r="E2163" i="1"/>
  <c r="G2163" i="1"/>
  <c r="H2163" i="1"/>
  <c r="A2164" i="1"/>
  <c r="B2164" i="1"/>
  <c r="C2164" i="1"/>
  <c r="E2164" i="1"/>
  <c r="G2164" i="1"/>
  <c r="H2164" i="1"/>
  <c r="A2165" i="1"/>
  <c r="B2165" i="1"/>
  <c r="C2165" i="1"/>
  <c r="E2165" i="1"/>
  <c r="G2165" i="1"/>
  <c r="H2165" i="1"/>
  <c r="A2166" i="1"/>
  <c r="B2166" i="1"/>
  <c r="C2166" i="1"/>
  <c r="E2166" i="1"/>
  <c r="G2166" i="1"/>
  <c r="H2166" i="1"/>
  <c r="A2167" i="1"/>
  <c r="B2167" i="1"/>
  <c r="C2167" i="1"/>
  <c r="E2167" i="1"/>
  <c r="G2167" i="1"/>
  <c r="H2167" i="1"/>
  <c r="A2168" i="1"/>
  <c r="B2168" i="1"/>
  <c r="C2168" i="1"/>
  <c r="E2168" i="1"/>
  <c r="G2168" i="1"/>
  <c r="H2168" i="1"/>
  <c r="A2169" i="1"/>
  <c r="B2169" i="1"/>
  <c r="C2169" i="1"/>
  <c r="E2169" i="1"/>
  <c r="G2169" i="1"/>
  <c r="H2169" i="1"/>
  <c r="A2170" i="1"/>
  <c r="B2170" i="1"/>
  <c r="C2170" i="1"/>
  <c r="E2170" i="1"/>
  <c r="G2170" i="1"/>
  <c r="H2170" i="1"/>
  <c r="A2171" i="1"/>
  <c r="B2171" i="1"/>
  <c r="C2171" i="1"/>
  <c r="E2171" i="1"/>
  <c r="G2171" i="1"/>
  <c r="H2171" i="1"/>
  <c r="A2172" i="1"/>
  <c r="B2172" i="1"/>
  <c r="C2172" i="1"/>
  <c r="E2172" i="1"/>
  <c r="G2172" i="1"/>
  <c r="H2172" i="1"/>
  <c r="A2173" i="1"/>
  <c r="B2173" i="1"/>
  <c r="C2173" i="1"/>
  <c r="E2173" i="1"/>
  <c r="G2173" i="1"/>
  <c r="H2173" i="1"/>
  <c r="A2174" i="1"/>
  <c r="B2174" i="1"/>
  <c r="C2174" i="1"/>
  <c r="E2174" i="1"/>
  <c r="G2174" i="1"/>
  <c r="H2174" i="1"/>
  <c r="A2175" i="1"/>
  <c r="B2175" i="1"/>
  <c r="C2175" i="1"/>
  <c r="E2175" i="1"/>
  <c r="G2175" i="1"/>
  <c r="H2175" i="1"/>
  <c r="A2176" i="1"/>
  <c r="B2176" i="1"/>
  <c r="C2176" i="1"/>
  <c r="E2176" i="1"/>
  <c r="G2176" i="1"/>
  <c r="H2176" i="1"/>
  <c r="A2177" i="1"/>
  <c r="B2177" i="1"/>
  <c r="C2177" i="1"/>
  <c r="E2177" i="1"/>
  <c r="G2177" i="1"/>
  <c r="H2177" i="1"/>
  <c r="A2178" i="1"/>
  <c r="B2178" i="1"/>
  <c r="C2178" i="1"/>
  <c r="E2178" i="1"/>
  <c r="G2178" i="1"/>
  <c r="H2178" i="1"/>
  <c r="A2179" i="1"/>
  <c r="B2179" i="1"/>
  <c r="C2179" i="1"/>
  <c r="E2179" i="1"/>
  <c r="G2179" i="1"/>
  <c r="H2179" i="1"/>
  <c r="A2180" i="1"/>
  <c r="B2180" i="1"/>
  <c r="C2180" i="1"/>
  <c r="E2180" i="1"/>
  <c r="G2180" i="1"/>
  <c r="H2180" i="1"/>
  <c r="A2181" i="1"/>
  <c r="B2181" i="1"/>
  <c r="C2181" i="1"/>
  <c r="E2181" i="1"/>
  <c r="G2181" i="1"/>
  <c r="H2181" i="1"/>
  <c r="A2182" i="1"/>
  <c r="B2182" i="1"/>
  <c r="C2182" i="1"/>
  <c r="E2182" i="1"/>
  <c r="G2182" i="1"/>
  <c r="H2182" i="1"/>
  <c r="A2183" i="1"/>
  <c r="B2183" i="1"/>
  <c r="C2183" i="1"/>
  <c r="E2183" i="1"/>
  <c r="G2183" i="1"/>
  <c r="H2183" i="1"/>
  <c r="A2184" i="1"/>
  <c r="B2184" i="1"/>
  <c r="C2184" i="1"/>
  <c r="E2184" i="1"/>
  <c r="G2184" i="1"/>
  <c r="H2184" i="1"/>
  <c r="A2185" i="1"/>
  <c r="B2185" i="1"/>
  <c r="C2185" i="1"/>
  <c r="E2185" i="1"/>
  <c r="G2185" i="1"/>
  <c r="H2185" i="1"/>
  <c r="A2186" i="1"/>
  <c r="B2186" i="1"/>
  <c r="C2186" i="1"/>
  <c r="E2186" i="1"/>
  <c r="G2186" i="1"/>
  <c r="H2186" i="1"/>
  <c r="A2187" i="1"/>
  <c r="B2187" i="1"/>
  <c r="C2187" i="1"/>
  <c r="E2187" i="1"/>
  <c r="G2187" i="1"/>
  <c r="H2187" i="1"/>
  <c r="A2188" i="1"/>
  <c r="B2188" i="1"/>
  <c r="C2188" i="1"/>
  <c r="E2188" i="1"/>
  <c r="G2188" i="1"/>
  <c r="H2188" i="1"/>
  <c r="A2189" i="1"/>
  <c r="B2189" i="1"/>
  <c r="C2189" i="1"/>
  <c r="E2189" i="1"/>
  <c r="G2189" i="1"/>
  <c r="H2189" i="1"/>
  <c r="A2190" i="1"/>
  <c r="B2190" i="1"/>
  <c r="C2190" i="1"/>
  <c r="E2190" i="1"/>
  <c r="G2190" i="1"/>
  <c r="H2190" i="1"/>
  <c r="A2191" i="1"/>
  <c r="B2191" i="1"/>
  <c r="C2191" i="1"/>
  <c r="E2191" i="1"/>
  <c r="G2191" i="1"/>
  <c r="H2191" i="1"/>
  <c r="A2192" i="1"/>
  <c r="B2192" i="1"/>
  <c r="C2192" i="1"/>
  <c r="E2192" i="1"/>
  <c r="G2192" i="1"/>
  <c r="H2192" i="1"/>
  <c r="A2193" i="1"/>
  <c r="B2193" i="1"/>
  <c r="C2193" i="1"/>
  <c r="E2193" i="1"/>
  <c r="G2193" i="1"/>
  <c r="H2193" i="1"/>
  <c r="A2194" i="1"/>
  <c r="B2194" i="1"/>
  <c r="C2194" i="1"/>
  <c r="E2194" i="1"/>
  <c r="G2194" i="1"/>
  <c r="H2194" i="1"/>
  <c r="A2195" i="1"/>
  <c r="B2195" i="1"/>
  <c r="C2195" i="1"/>
  <c r="E2195" i="1"/>
  <c r="G2195" i="1"/>
  <c r="H2195" i="1"/>
  <c r="A2196" i="1"/>
  <c r="B2196" i="1"/>
  <c r="C2196" i="1"/>
  <c r="E2196" i="1"/>
  <c r="G2196" i="1"/>
  <c r="H2196" i="1"/>
  <c r="A2197" i="1"/>
  <c r="B2197" i="1"/>
  <c r="C2197" i="1"/>
  <c r="E2197" i="1"/>
  <c r="G2197" i="1"/>
  <c r="H2197" i="1"/>
  <c r="A2198" i="1"/>
  <c r="B2198" i="1"/>
  <c r="C2198" i="1"/>
  <c r="E2198" i="1"/>
  <c r="G2198" i="1"/>
  <c r="H2198" i="1"/>
  <c r="A2199" i="1"/>
  <c r="B2199" i="1"/>
  <c r="C2199" i="1"/>
  <c r="E2199" i="1"/>
  <c r="G2199" i="1"/>
  <c r="H2199" i="1"/>
  <c r="A2200" i="1"/>
  <c r="B2200" i="1"/>
  <c r="C2200" i="1"/>
  <c r="E2200" i="1"/>
  <c r="G2200" i="1"/>
  <c r="H2200" i="1"/>
  <c r="A2201" i="1"/>
  <c r="B2201" i="1"/>
  <c r="C2201" i="1"/>
  <c r="E2201" i="1"/>
  <c r="G2201" i="1"/>
  <c r="H2201" i="1"/>
  <c r="A2202" i="1"/>
  <c r="B2202" i="1"/>
  <c r="C2202" i="1"/>
  <c r="E2202" i="1"/>
  <c r="G2202" i="1"/>
  <c r="H2202" i="1"/>
  <c r="A2203" i="1"/>
  <c r="B2203" i="1"/>
  <c r="C2203" i="1"/>
  <c r="E2203" i="1"/>
  <c r="G2203" i="1"/>
  <c r="H2203" i="1"/>
  <c r="A2204" i="1"/>
  <c r="B2204" i="1"/>
  <c r="C2204" i="1"/>
  <c r="E2204" i="1"/>
  <c r="G2204" i="1"/>
  <c r="H2204" i="1"/>
  <c r="A2205" i="1"/>
  <c r="B2205" i="1"/>
  <c r="C2205" i="1"/>
  <c r="E2205" i="1"/>
  <c r="G2205" i="1"/>
  <c r="H2205" i="1"/>
  <c r="A2206" i="1"/>
  <c r="B2206" i="1"/>
  <c r="C2206" i="1"/>
  <c r="E2206" i="1"/>
  <c r="G2206" i="1"/>
  <c r="H2206" i="1"/>
  <c r="A2207" i="1"/>
  <c r="B2207" i="1"/>
  <c r="C2207" i="1"/>
  <c r="E2207" i="1"/>
  <c r="G2207" i="1"/>
  <c r="H2207" i="1"/>
  <c r="A2208" i="1"/>
  <c r="B2208" i="1"/>
  <c r="C2208" i="1"/>
  <c r="E2208" i="1"/>
  <c r="G2208" i="1"/>
  <c r="H2208" i="1"/>
  <c r="A2209" i="1"/>
  <c r="B2209" i="1"/>
  <c r="C2209" i="1"/>
  <c r="E2209" i="1"/>
  <c r="G2209" i="1"/>
  <c r="H2209" i="1"/>
  <c r="A2210" i="1"/>
  <c r="B2210" i="1"/>
  <c r="C2210" i="1"/>
  <c r="E2210" i="1"/>
  <c r="G2210" i="1"/>
  <c r="H2210" i="1"/>
  <c r="A2211" i="1"/>
  <c r="B2211" i="1"/>
  <c r="C2211" i="1"/>
  <c r="E2211" i="1"/>
  <c r="G2211" i="1"/>
  <c r="H2211" i="1"/>
  <c r="A2212" i="1"/>
  <c r="B2212" i="1"/>
  <c r="C2212" i="1"/>
  <c r="E2212" i="1"/>
  <c r="G2212" i="1"/>
  <c r="H2212" i="1"/>
  <c r="A2213" i="1"/>
  <c r="B2213" i="1"/>
  <c r="C2213" i="1"/>
  <c r="E2213" i="1"/>
  <c r="G2213" i="1"/>
  <c r="H2213" i="1"/>
  <c r="A2214" i="1"/>
  <c r="B2214" i="1"/>
  <c r="C2214" i="1"/>
  <c r="E2214" i="1"/>
  <c r="G2214" i="1"/>
  <c r="H2214" i="1"/>
  <c r="A2215" i="1"/>
  <c r="B2215" i="1"/>
  <c r="C2215" i="1"/>
  <c r="E2215" i="1"/>
  <c r="G2215" i="1"/>
  <c r="H2215" i="1"/>
  <c r="A2216" i="1"/>
  <c r="B2216" i="1"/>
  <c r="C2216" i="1"/>
  <c r="E2216" i="1"/>
  <c r="G2216" i="1"/>
  <c r="H2216" i="1"/>
  <c r="A2217" i="1"/>
  <c r="B2217" i="1"/>
  <c r="C2217" i="1"/>
  <c r="E2217" i="1"/>
  <c r="G2217" i="1"/>
  <c r="H2217" i="1"/>
  <c r="A2218" i="1"/>
  <c r="B2218" i="1"/>
  <c r="C2218" i="1"/>
  <c r="E2218" i="1"/>
  <c r="G2218" i="1"/>
  <c r="H2218" i="1"/>
  <c r="A2219" i="1"/>
  <c r="B2219" i="1"/>
  <c r="C2219" i="1"/>
  <c r="E2219" i="1"/>
  <c r="G2219" i="1"/>
  <c r="H2219" i="1"/>
  <c r="A2220" i="1"/>
  <c r="B2220" i="1"/>
  <c r="C2220" i="1"/>
  <c r="E2220" i="1"/>
  <c r="G2220" i="1"/>
  <c r="H2220" i="1"/>
  <c r="A2221" i="1"/>
  <c r="B2221" i="1"/>
  <c r="C2221" i="1"/>
  <c r="E2221" i="1"/>
  <c r="G2221" i="1"/>
  <c r="H2221" i="1"/>
  <c r="A2222" i="1"/>
  <c r="B2222" i="1"/>
  <c r="C2222" i="1"/>
  <c r="E2222" i="1"/>
  <c r="G2222" i="1"/>
  <c r="H2222" i="1"/>
  <c r="A2223" i="1"/>
  <c r="B2223" i="1"/>
  <c r="C2223" i="1"/>
  <c r="E2223" i="1"/>
  <c r="G2223" i="1"/>
  <c r="H2223" i="1"/>
  <c r="A2224" i="1"/>
  <c r="B2224" i="1"/>
  <c r="C2224" i="1"/>
  <c r="E2224" i="1"/>
  <c r="G2224" i="1"/>
  <c r="H2224" i="1"/>
  <c r="A2225" i="1"/>
  <c r="B2225" i="1"/>
  <c r="C2225" i="1"/>
  <c r="E2225" i="1"/>
  <c r="G2225" i="1"/>
  <c r="H2225" i="1"/>
  <c r="A2226" i="1"/>
  <c r="B2226" i="1"/>
  <c r="C2226" i="1"/>
  <c r="E2226" i="1"/>
  <c r="G2226" i="1"/>
  <c r="H2226" i="1"/>
  <c r="A2227" i="1"/>
  <c r="B2227" i="1"/>
  <c r="C2227" i="1"/>
  <c r="E2227" i="1"/>
  <c r="G2227" i="1"/>
  <c r="H2227" i="1"/>
  <c r="A2228" i="1"/>
  <c r="B2228" i="1"/>
  <c r="C2228" i="1"/>
  <c r="E2228" i="1"/>
  <c r="G2228" i="1"/>
  <c r="H2228" i="1"/>
  <c r="A2229" i="1"/>
  <c r="B2229" i="1"/>
  <c r="C2229" i="1"/>
  <c r="E2229" i="1"/>
  <c r="G2229" i="1"/>
  <c r="H2229" i="1"/>
  <c r="A2230" i="1"/>
  <c r="B2230" i="1"/>
  <c r="C2230" i="1"/>
  <c r="E2230" i="1"/>
  <c r="G2230" i="1"/>
  <c r="H2230" i="1"/>
  <c r="A2231" i="1"/>
  <c r="B2231" i="1"/>
  <c r="C2231" i="1"/>
  <c r="E2231" i="1"/>
  <c r="G2231" i="1"/>
  <c r="H2231" i="1"/>
  <c r="A2232" i="1"/>
  <c r="B2232" i="1"/>
  <c r="C2232" i="1"/>
  <c r="E2232" i="1"/>
  <c r="G2232" i="1"/>
  <c r="H2232" i="1"/>
  <c r="A2233" i="1"/>
  <c r="B2233" i="1"/>
  <c r="C2233" i="1"/>
  <c r="E2233" i="1"/>
  <c r="G2233" i="1"/>
  <c r="H2233" i="1"/>
  <c r="A2234" i="1"/>
  <c r="B2234" i="1"/>
  <c r="C2234" i="1"/>
  <c r="E2234" i="1"/>
  <c r="G2234" i="1"/>
  <c r="H2234" i="1"/>
  <c r="A2235" i="1"/>
  <c r="B2235" i="1"/>
  <c r="C2235" i="1"/>
  <c r="E2235" i="1"/>
  <c r="G2235" i="1"/>
  <c r="H2235" i="1"/>
  <c r="A2236" i="1"/>
  <c r="B2236" i="1"/>
  <c r="C2236" i="1"/>
  <c r="E2236" i="1"/>
  <c r="G2236" i="1"/>
  <c r="H2236" i="1"/>
  <c r="A2237" i="1"/>
  <c r="B2237" i="1"/>
  <c r="C2237" i="1"/>
  <c r="E2237" i="1"/>
  <c r="G2237" i="1"/>
  <c r="H2237" i="1"/>
  <c r="A2238" i="1"/>
  <c r="B2238" i="1"/>
  <c r="C2238" i="1"/>
  <c r="E2238" i="1"/>
  <c r="G2238" i="1"/>
  <c r="H2238" i="1"/>
  <c r="A2239" i="1"/>
  <c r="B2239" i="1"/>
  <c r="C2239" i="1"/>
  <c r="E2239" i="1"/>
  <c r="G2239" i="1"/>
  <c r="H2239" i="1"/>
  <c r="A2240" i="1"/>
  <c r="B2240" i="1"/>
  <c r="C2240" i="1"/>
  <c r="E2240" i="1"/>
  <c r="G2240" i="1"/>
  <c r="H2240" i="1"/>
  <c r="A2241" i="1"/>
  <c r="B2241" i="1"/>
  <c r="C2241" i="1"/>
  <c r="E2241" i="1"/>
  <c r="G2241" i="1"/>
  <c r="H2241" i="1"/>
  <c r="A2242" i="1"/>
  <c r="B2242" i="1"/>
  <c r="C2242" i="1"/>
  <c r="E2242" i="1"/>
  <c r="G2242" i="1"/>
  <c r="H2242" i="1"/>
  <c r="A2243" i="1"/>
  <c r="B2243" i="1"/>
  <c r="C2243" i="1"/>
  <c r="E2243" i="1"/>
  <c r="G2243" i="1"/>
  <c r="H2243" i="1"/>
  <c r="A2244" i="1"/>
  <c r="B2244" i="1"/>
  <c r="C2244" i="1"/>
  <c r="E2244" i="1"/>
  <c r="G2244" i="1"/>
  <c r="H2244" i="1"/>
  <c r="A2245" i="1"/>
  <c r="B2245" i="1"/>
  <c r="C2245" i="1"/>
  <c r="E2245" i="1"/>
  <c r="G2245" i="1"/>
  <c r="H2245" i="1"/>
  <c r="A2246" i="1"/>
  <c r="B2246" i="1"/>
  <c r="C2246" i="1"/>
  <c r="E2246" i="1"/>
  <c r="G2246" i="1"/>
  <c r="H2246" i="1"/>
  <c r="A2247" i="1"/>
  <c r="B2247" i="1"/>
  <c r="C2247" i="1"/>
  <c r="E2247" i="1"/>
  <c r="G2247" i="1"/>
  <c r="H2247" i="1"/>
  <c r="A2248" i="1"/>
  <c r="B2248" i="1"/>
  <c r="C2248" i="1"/>
  <c r="E2248" i="1"/>
  <c r="G2248" i="1"/>
  <c r="H2248" i="1"/>
  <c r="A2249" i="1"/>
  <c r="B2249" i="1"/>
  <c r="C2249" i="1"/>
  <c r="E2249" i="1"/>
  <c r="G2249" i="1"/>
  <c r="H2249" i="1"/>
  <c r="A2250" i="1"/>
  <c r="B2250" i="1"/>
  <c r="C2250" i="1"/>
  <c r="E2250" i="1"/>
  <c r="G2250" i="1"/>
  <c r="H2250" i="1"/>
  <c r="A2251" i="1"/>
  <c r="B2251" i="1"/>
  <c r="C2251" i="1"/>
  <c r="E2251" i="1"/>
  <c r="G2251" i="1"/>
  <c r="H2251" i="1"/>
  <c r="A2252" i="1"/>
  <c r="B2252" i="1"/>
  <c r="C2252" i="1"/>
  <c r="E2252" i="1"/>
  <c r="G2252" i="1"/>
  <c r="H2252" i="1"/>
  <c r="A2253" i="1"/>
  <c r="B2253" i="1"/>
  <c r="C2253" i="1"/>
  <c r="E2253" i="1"/>
  <c r="G2253" i="1"/>
  <c r="H2253" i="1"/>
  <c r="A2254" i="1"/>
  <c r="B2254" i="1"/>
  <c r="C2254" i="1"/>
  <c r="E2254" i="1"/>
  <c r="G2254" i="1"/>
  <c r="H2254" i="1"/>
  <c r="A2255" i="1"/>
  <c r="B2255" i="1"/>
  <c r="C2255" i="1"/>
  <c r="E2255" i="1"/>
  <c r="G2255" i="1"/>
  <c r="H2255" i="1"/>
  <c r="A2256" i="1"/>
  <c r="B2256" i="1"/>
  <c r="C2256" i="1"/>
  <c r="E2256" i="1"/>
  <c r="G2256" i="1"/>
  <c r="H2256" i="1"/>
  <c r="A2257" i="1"/>
  <c r="B2257" i="1"/>
  <c r="C2257" i="1"/>
  <c r="E2257" i="1"/>
  <c r="G2257" i="1"/>
  <c r="H2257" i="1"/>
  <c r="A2258" i="1"/>
  <c r="B2258" i="1"/>
  <c r="C2258" i="1"/>
  <c r="E2258" i="1"/>
  <c r="G2258" i="1"/>
  <c r="H2258" i="1"/>
  <c r="A2259" i="1"/>
  <c r="B2259" i="1"/>
  <c r="C2259" i="1"/>
  <c r="E2259" i="1"/>
  <c r="G2259" i="1"/>
  <c r="H2259" i="1"/>
  <c r="A2260" i="1"/>
  <c r="B2260" i="1"/>
  <c r="C2260" i="1"/>
  <c r="E2260" i="1"/>
  <c r="G2260" i="1"/>
  <c r="H2260" i="1"/>
  <c r="A2261" i="1"/>
  <c r="B2261" i="1"/>
  <c r="C2261" i="1"/>
  <c r="E2261" i="1"/>
  <c r="G2261" i="1"/>
  <c r="H2261" i="1"/>
  <c r="A2262" i="1"/>
  <c r="B2262" i="1"/>
  <c r="C2262" i="1"/>
  <c r="E2262" i="1"/>
  <c r="G2262" i="1"/>
  <c r="H2262" i="1"/>
  <c r="A2263" i="1"/>
  <c r="B2263" i="1"/>
  <c r="C2263" i="1"/>
  <c r="E2263" i="1"/>
  <c r="G2263" i="1"/>
  <c r="H2263" i="1"/>
  <c r="A2264" i="1"/>
  <c r="B2264" i="1"/>
  <c r="C2264" i="1"/>
  <c r="E2264" i="1"/>
  <c r="G2264" i="1"/>
  <c r="H2264" i="1"/>
  <c r="A2265" i="1"/>
  <c r="B2265" i="1"/>
  <c r="C2265" i="1"/>
  <c r="E2265" i="1"/>
  <c r="G2265" i="1"/>
  <c r="H2265" i="1"/>
  <c r="A2266" i="1"/>
  <c r="B2266" i="1"/>
  <c r="C2266" i="1"/>
  <c r="E2266" i="1"/>
  <c r="G2266" i="1"/>
  <c r="H2266" i="1"/>
  <c r="A2267" i="1"/>
  <c r="B2267" i="1"/>
  <c r="C2267" i="1"/>
  <c r="E2267" i="1"/>
  <c r="G2267" i="1"/>
  <c r="H2267" i="1"/>
  <c r="A2268" i="1"/>
  <c r="B2268" i="1"/>
  <c r="C2268" i="1"/>
  <c r="E2268" i="1"/>
  <c r="G2268" i="1"/>
  <c r="H2268" i="1"/>
  <c r="A2269" i="1"/>
  <c r="B2269" i="1"/>
  <c r="C2269" i="1"/>
  <c r="E2269" i="1"/>
  <c r="G2269" i="1"/>
  <c r="H2269" i="1"/>
  <c r="A2270" i="1"/>
  <c r="B2270" i="1"/>
  <c r="C2270" i="1"/>
  <c r="E2270" i="1"/>
  <c r="G2270" i="1"/>
  <c r="H2270" i="1"/>
  <c r="A2271" i="1"/>
  <c r="B2271" i="1"/>
  <c r="C2271" i="1"/>
  <c r="E2271" i="1"/>
  <c r="G2271" i="1"/>
  <c r="H2271" i="1"/>
  <c r="A2272" i="1"/>
  <c r="B2272" i="1"/>
  <c r="C2272" i="1"/>
  <c r="E2272" i="1"/>
  <c r="G2272" i="1"/>
  <c r="H2272" i="1"/>
  <c r="A2273" i="1"/>
  <c r="B2273" i="1"/>
  <c r="C2273" i="1"/>
  <c r="E2273" i="1"/>
  <c r="G2273" i="1"/>
  <c r="H2273" i="1"/>
  <c r="A2274" i="1"/>
  <c r="B2274" i="1"/>
  <c r="C2274" i="1"/>
  <c r="E2274" i="1"/>
  <c r="G2274" i="1"/>
  <c r="H2274" i="1"/>
  <c r="A2275" i="1"/>
  <c r="B2275" i="1"/>
  <c r="C2275" i="1"/>
  <c r="E2275" i="1"/>
  <c r="G2275" i="1"/>
  <c r="H2275" i="1"/>
  <c r="A2276" i="1"/>
  <c r="B2276" i="1"/>
  <c r="C2276" i="1"/>
  <c r="E2276" i="1"/>
  <c r="G2276" i="1"/>
  <c r="H2276" i="1"/>
  <c r="A2277" i="1"/>
  <c r="B2277" i="1"/>
  <c r="C2277" i="1"/>
  <c r="E2277" i="1"/>
  <c r="G2277" i="1"/>
  <c r="H2277" i="1"/>
  <c r="A2278" i="1"/>
  <c r="B2278" i="1"/>
  <c r="C2278" i="1"/>
  <c r="E2278" i="1"/>
  <c r="G2278" i="1"/>
  <c r="H2278" i="1"/>
  <c r="A2279" i="1"/>
  <c r="B2279" i="1"/>
  <c r="C2279" i="1"/>
  <c r="E2279" i="1"/>
  <c r="G2279" i="1"/>
  <c r="H2279" i="1"/>
  <c r="A2280" i="1"/>
  <c r="B2280" i="1"/>
  <c r="C2280" i="1"/>
  <c r="E2280" i="1"/>
  <c r="G2280" i="1"/>
  <c r="H2280" i="1"/>
  <c r="A2281" i="1"/>
  <c r="B2281" i="1"/>
  <c r="C2281" i="1"/>
  <c r="E2281" i="1"/>
  <c r="G2281" i="1"/>
  <c r="H2281" i="1"/>
  <c r="A2282" i="1"/>
  <c r="B2282" i="1"/>
  <c r="C2282" i="1"/>
  <c r="E2282" i="1"/>
  <c r="G2282" i="1"/>
  <c r="H2282" i="1"/>
  <c r="A2283" i="1"/>
  <c r="B2283" i="1"/>
  <c r="C2283" i="1"/>
  <c r="E2283" i="1"/>
  <c r="G2283" i="1"/>
  <c r="H2283" i="1"/>
  <c r="A2284" i="1"/>
  <c r="B2284" i="1"/>
  <c r="C2284" i="1"/>
  <c r="E2284" i="1"/>
  <c r="G2284" i="1"/>
  <c r="H2284" i="1"/>
  <c r="A2285" i="1"/>
  <c r="B2285" i="1"/>
  <c r="C2285" i="1"/>
  <c r="E2285" i="1"/>
  <c r="G2285" i="1"/>
  <c r="H2285" i="1"/>
  <c r="A2286" i="1"/>
  <c r="B2286" i="1"/>
  <c r="C2286" i="1"/>
  <c r="E2286" i="1"/>
  <c r="G2286" i="1"/>
  <c r="H2286" i="1"/>
  <c r="A2287" i="1"/>
  <c r="B2287" i="1"/>
  <c r="C2287" i="1"/>
  <c r="E2287" i="1"/>
  <c r="G2287" i="1"/>
  <c r="H2287" i="1"/>
  <c r="A2288" i="1"/>
  <c r="B2288" i="1"/>
  <c r="C2288" i="1"/>
  <c r="E2288" i="1"/>
  <c r="G2288" i="1"/>
  <c r="H2288" i="1"/>
  <c r="A2289" i="1"/>
  <c r="B2289" i="1"/>
  <c r="C2289" i="1"/>
  <c r="E2289" i="1"/>
  <c r="G2289" i="1"/>
  <c r="H2289" i="1"/>
  <c r="A2290" i="1"/>
  <c r="B2290" i="1"/>
  <c r="C2290" i="1"/>
  <c r="E2290" i="1"/>
  <c r="G2290" i="1"/>
  <c r="H2290" i="1"/>
  <c r="A2291" i="1"/>
  <c r="B2291" i="1"/>
  <c r="C2291" i="1"/>
  <c r="E2291" i="1"/>
  <c r="G2291" i="1"/>
  <c r="H2291" i="1"/>
  <c r="A2292" i="1"/>
  <c r="B2292" i="1"/>
  <c r="C2292" i="1"/>
  <c r="E2292" i="1"/>
  <c r="G2292" i="1"/>
  <c r="H2292" i="1"/>
  <c r="A2293" i="1"/>
  <c r="B2293" i="1"/>
  <c r="C2293" i="1"/>
  <c r="E2293" i="1"/>
  <c r="G2293" i="1"/>
  <c r="H2293" i="1"/>
  <c r="A2294" i="1"/>
  <c r="B2294" i="1"/>
  <c r="C2294" i="1"/>
  <c r="E2294" i="1"/>
  <c r="G2294" i="1"/>
  <c r="H2294" i="1"/>
  <c r="A2295" i="1"/>
  <c r="B2295" i="1"/>
  <c r="C2295" i="1"/>
  <c r="E2295" i="1"/>
  <c r="G2295" i="1"/>
  <c r="H2295" i="1"/>
  <c r="A2296" i="1"/>
  <c r="B2296" i="1"/>
  <c r="C2296" i="1"/>
  <c r="E2296" i="1"/>
  <c r="G2296" i="1"/>
  <c r="H2296" i="1"/>
  <c r="A2297" i="1"/>
  <c r="B2297" i="1"/>
  <c r="C2297" i="1"/>
  <c r="E2297" i="1"/>
  <c r="G2297" i="1"/>
  <c r="H2297" i="1"/>
  <c r="A2298" i="1"/>
  <c r="B2298" i="1"/>
  <c r="C2298" i="1"/>
  <c r="E2298" i="1"/>
  <c r="G2298" i="1"/>
  <c r="H2298" i="1"/>
  <c r="A2299" i="1"/>
  <c r="B2299" i="1"/>
  <c r="C2299" i="1"/>
  <c r="E2299" i="1"/>
  <c r="G2299" i="1"/>
  <c r="H2299" i="1"/>
  <c r="A2300" i="1"/>
  <c r="B2300" i="1"/>
  <c r="C2300" i="1"/>
  <c r="E2300" i="1"/>
  <c r="G2300" i="1"/>
  <c r="H2300" i="1"/>
  <c r="A2301" i="1"/>
  <c r="B2301" i="1"/>
  <c r="C2301" i="1"/>
  <c r="E2301" i="1"/>
  <c r="G2301" i="1"/>
  <c r="H2301" i="1"/>
  <c r="A2302" i="1"/>
  <c r="B2302" i="1"/>
  <c r="C2302" i="1"/>
  <c r="E2302" i="1"/>
  <c r="G2302" i="1"/>
  <c r="H2302" i="1"/>
  <c r="A2303" i="1"/>
  <c r="B2303" i="1"/>
  <c r="C2303" i="1"/>
  <c r="E2303" i="1"/>
  <c r="G2303" i="1"/>
  <c r="H2303" i="1"/>
  <c r="A2304" i="1"/>
  <c r="B2304" i="1"/>
  <c r="C2304" i="1"/>
  <c r="E2304" i="1"/>
  <c r="G2304" i="1"/>
  <c r="H2304" i="1"/>
  <c r="A2305" i="1"/>
  <c r="B2305" i="1"/>
  <c r="C2305" i="1"/>
  <c r="E2305" i="1"/>
  <c r="G2305" i="1"/>
  <c r="H2305" i="1"/>
  <c r="A2306" i="1"/>
  <c r="B2306" i="1"/>
  <c r="C2306" i="1"/>
  <c r="E2306" i="1"/>
  <c r="G2306" i="1"/>
  <c r="H2306" i="1"/>
  <c r="A2307" i="1"/>
  <c r="B2307" i="1"/>
  <c r="C2307" i="1"/>
  <c r="E2307" i="1"/>
  <c r="G2307" i="1"/>
  <c r="H2307" i="1"/>
  <c r="A2308" i="1"/>
  <c r="B2308" i="1"/>
  <c r="C2308" i="1"/>
  <c r="E2308" i="1"/>
  <c r="G2308" i="1"/>
  <c r="H2308" i="1"/>
  <c r="A2309" i="1"/>
  <c r="B2309" i="1"/>
  <c r="C2309" i="1"/>
  <c r="E2309" i="1"/>
  <c r="G2309" i="1"/>
  <c r="H2309" i="1"/>
  <c r="A2310" i="1"/>
  <c r="B2310" i="1"/>
  <c r="C2310" i="1"/>
  <c r="E2310" i="1"/>
  <c r="G2310" i="1"/>
  <c r="H2310" i="1"/>
  <c r="A2311" i="1"/>
  <c r="B2311" i="1"/>
  <c r="C2311" i="1"/>
  <c r="E2311" i="1"/>
  <c r="G2311" i="1"/>
  <c r="H2311" i="1"/>
  <c r="A2312" i="1"/>
  <c r="B2312" i="1"/>
  <c r="C2312" i="1"/>
  <c r="E2312" i="1"/>
  <c r="G2312" i="1"/>
  <c r="H2312" i="1"/>
  <c r="A2313" i="1"/>
  <c r="B2313" i="1"/>
  <c r="C2313" i="1"/>
  <c r="E2313" i="1"/>
  <c r="G2313" i="1"/>
  <c r="H2313" i="1"/>
  <c r="A2314" i="1"/>
  <c r="B2314" i="1"/>
  <c r="C2314" i="1"/>
  <c r="E2314" i="1"/>
  <c r="G2314" i="1"/>
  <c r="H2314" i="1"/>
  <c r="A2315" i="1"/>
  <c r="B2315" i="1"/>
  <c r="C2315" i="1"/>
  <c r="E2315" i="1"/>
  <c r="G2315" i="1"/>
  <c r="H2315" i="1"/>
  <c r="A2316" i="1"/>
  <c r="B2316" i="1"/>
  <c r="C2316" i="1"/>
  <c r="E2316" i="1"/>
  <c r="G2316" i="1"/>
  <c r="H2316" i="1"/>
  <c r="A2317" i="1"/>
  <c r="B2317" i="1"/>
  <c r="C2317" i="1"/>
  <c r="E2317" i="1"/>
  <c r="G2317" i="1"/>
  <c r="H2317" i="1"/>
  <c r="A2318" i="1"/>
  <c r="B2318" i="1"/>
  <c r="C2318" i="1"/>
  <c r="E2318" i="1"/>
  <c r="G2318" i="1"/>
  <c r="H2318" i="1"/>
  <c r="A2319" i="1"/>
  <c r="B2319" i="1"/>
  <c r="C2319" i="1"/>
  <c r="E2319" i="1"/>
  <c r="G2319" i="1"/>
  <c r="H2319" i="1"/>
  <c r="A2320" i="1"/>
  <c r="B2320" i="1"/>
  <c r="C2320" i="1"/>
  <c r="E2320" i="1"/>
  <c r="G2320" i="1"/>
  <c r="H2320" i="1"/>
  <c r="A2321" i="1"/>
  <c r="B2321" i="1"/>
  <c r="C2321" i="1"/>
  <c r="E2321" i="1"/>
  <c r="G2321" i="1"/>
  <c r="H2321" i="1"/>
  <c r="A2322" i="1"/>
  <c r="B2322" i="1"/>
  <c r="C2322" i="1"/>
  <c r="E2322" i="1"/>
  <c r="G2322" i="1"/>
  <c r="H2322" i="1"/>
  <c r="A2323" i="1"/>
  <c r="B2323" i="1"/>
  <c r="C2323" i="1"/>
  <c r="E2323" i="1"/>
  <c r="G2323" i="1"/>
  <c r="H2323" i="1"/>
  <c r="A2324" i="1"/>
  <c r="B2324" i="1"/>
  <c r="C2324" i="1"/>
  <c r="E2324" i="1"/>
  <c r="G2324" i="1"/>
  <c r="H2324" i="1"/>
  <c r="A2325" i="1"/>
  <c r="B2325" i="1"/>
  <c r="C2325" i="1"/>
  <c r="E2325" i="1"/>
  <c r="G2325" i="1"/>
  <c r="H2325" i="1"/>
  <c r="A2326" i="1"/>
  <c r="B2326" i="1"/>
  <c r="C2326" i="1"/>
  <c r="E2326" i="1"/>
  <c r="G2326" i="1"/>
  <c r="H2326" i="1"/>
  <c r="A2327" i="1"/>
  <c r="B2327" i="1"/>
  <c r="C2327" i="1"/>
  <c r="E2327" i="1"/>
  <c r="G2327" i="1"/>
  <c r="H2327" i="1"/>
  <c r="A2328" i="1"/>
  <c r="B2328" i="1"/>
  <c r="C2328" i="1"/>
  <c r="E2328" i="1"/>
  <c r="G2328" i="1"/>
  <c r="H2328" i="1"/>
  <c r="A2329" i="1"/>
  <c r="B2329" i="1"/>
  <c r="C2329" i="1"/>
  <c r="E2329" i="1"/>
  <c r="G2329" i="1"/>
  <c r="H2329" i="1"/>
  <c r="A2330" i="1"/>
  <c r="B2330" i="1"/>
  <c r="C2330" i="1"/>
  <c r="E2330" i="1"/>
  <c r="G2330" i="1"/>
  <c r="H2330" i="1"/>
  <c r="A2331" i="1"/>
  <c r="B2331" i="1"/>
  <c r="C2331" i="1"/>
  <c r="E2331" i="1"/>
  <c r="G2331" i="1"/>
  <c r="H2331" i="1"/>
  <c r="A2332" i="1"/>
  <c r="B2332" i="1"/>
  <c r="C2332" i="1"/>
  <c r="E2332" i="1"/>
  <c r="G2332" i="1"/>
  <c r="H2332" i="1"/>
  <c r="A2333" i="1"/>
  <c r="B2333" i="1"/>
  <c r="C2333" i="1"/>
  <c r="E2333" i="1"/>
  <c r="G2333" i="1"/>
  <c r="H2333" i="1"/>
  <c r="A2334" i="1"/>
  <c r="B2334" i="1"/>
  <c r="C2334" i="1"/>
  <c r="E2334" i="1"/>
  <c r="G2334" i="1"/>
  <c r="H2334" i="1"/>
  <c r="A2335" i="1"/>
  <c r="B2335" i="1"/>
  <c r="C2335" i="1"/>
  <c r="E2335" i="1"/>
  <c r="G2335" i="1"/>
  <c r="H2335" i="1"/>
  <c r="A2336" i="1"/>
  <c r="B2336" i="1"/>
  <c r="C2336" i="1"/>
  <c r="E2336" i="1"/>
  <c r="G2336" i="1"/>
  <c r="H2336" i="1"/>
  <c r="A2337" i="1"/>
  <c r="B2337" i="1"/>
  <c r="C2337" i="1"/>
  <c r="E2337" i="1"/>
  <c r="G2337" i="1"/>
  <c r="H2337" i="1"/>
  <c r="A2338" i="1"/>
  <c r="B2338" i="1"/>
  <c r="C2338" i="1"/>
  <c r="E2338" i="1"/>
  <c r="G2338" i="1"/>
  <c r="H2338" i="1"/>
  <c r="A2339" i="1"/>
  <c r="B2339" i="1"/>
  <c r="C2339" i="1"/>
  <c r="E2339" i="1"/>
  <c r="G2339" i="1"/>
  <c r="H2339" i="1"/>
  <c r="A2340" i="1"/>
  <c r="B2340" i="1"/>
  <c r="C2340" i="1"/>
  <c r="E2340" i="1"/>
  <c r="G2340" i="1"/>
  <c r="H2340" i="1"/>
  <c r="A2341" i="1"/>
  <c r="B2341" i="1"/>
  <c r="C2341" i="1"/>
  <c r="E2341" i="1"/>
  <c r="G2341" i="1"/>
  <c r="H2341" i="1"/>
  <c r="A2342" i="1"/>
  <c r="B2342" i="1"/>
  <c r="C2342" i="1"/>
  <c r="E2342" i="1"/>
  <c r="G2342" i="1"/>
  <c r="H2342" i="1"/>
  <c r="A2343" i="1"/>
  <c r="B2343" i="1"/>
  <c r="C2343" i="1"/>
  <c r="E2343" i="1"/>
  <c r="G2343" i="1"/>
  <c r="H2343" i="1"/>
  <c r="A2344" i="1"/>
  <c r="B2344" i="1"/>
  <c r="C2344" i="1"/>
  <c r="E2344" i="1"/>
  <c r="G2344" i="1"/>
  <c r="H2344" i="1"/>
  <c r="A2345" i="1"/>
  <c r="B2345" i="1"/>
  <c r="C2345" i="1"/>
  <c r="E2345" i="1"/>
  <c r="G2345" i="1"/>
  <c r="H2345" i="1"/>
  <c r="A2346" i="1"/>
  <c r="B2346" i="1"/>
  <c r="C2346" i="1"/>
  <c r="E2346" i="1"/>
  <c r="G2346" i="1"/>
  <c r="H2346" i="1"/>
  <c r="A2347" i="1"/>
  <c r="B2347" i="1"/>
  <c r="C2347" i="1"/>
  <c r="E2347" i="1"/>
  <c r="G2347" i="1"/>
  <c r="H2347" i="1"/>
  <c r="A2348" i="1"/>
  <c r="B2348" i="1"/>
  <c r="C2348" i="1"/>
  <c r="E2348" i="1"/>
  <c r="G2348" i="1"/>
  <c r="H2348" i="1"/>
  <c r="A2349" i="1"/>
  <c r="B2349" i="1"/>
  <c r="C2349" i="1"/>
  <c r="E2349" i="1"/>
  <c r="G2349" i="1"/>
  <c r="H2349" i="1"/>
  <c r="A2350" i="1"/>
  <c r="B2350" i="1"/>
  <c r="C2350" i="1"/>
  <c r="E2350" i="1"/>
  <c r="G2350" i="1"/>
  <c r="H2350" i="1"/>
  <c r="A2351" i="1"/>
  <c r="B2351" i="1"/>
  <c r="C2351" i="1"/>
  <c r="E2351" i="1"/>
  <c r="G2351" i="1"/>
  <c r="H2351" i="1"/>
  <c r="A2352" i="1"/>
  <c r="B2352" i="1"/>
  <c r="C2352" i="1"/>
  <c r="E2352" i="1"/>
  <c r="G2352" i="1"/>
  <c r="H2352" i="1"/>
  <c r="A2353" i="1"/>
  <c r="B2353" i="1"/>
  <c r="C2353" i="1"/>
  <c r="E2353" i="1"/>
  <c r="G2353" i="1"/>
  <c r="H2353" i="1"/>
  <c r="A2354" i="1"/>
  <c r="B2354" i="1"/>
  <c r="C2354" i="1"/>
  <c r="E2354" i="1"/>
  <c r="G2354" i="1"/>
  <c r="H2354" i="1"/>
  <c r="A2355" i="1"/>
  <c r="B2355" i="1"/>
  <c r="C2355" i="1"/>
  <c r="E2355" i="1"/>
  <c r="G2355" i="1"/>
  <c r="H2355" i="1"/>
  <c r="A2356" i="1"/>
  <c r="B2356" i="1"/>
  <c r="C2356" i="1"/>
  <c r="E2356" i="1"/>
  <c r="G2356" i="1"/>
  <c r="H2356" i="1"/>
  <c r="A2357" i="1"/>
  <c r="B2357" i="1"/>
  <c r="C2357" i="1"/>
  <c r="E2357" i="1"/>
  <c r="G2357" i="1"/>
  <c r="H2357" i="1"/>
  <c r="A2358" i="1"/>
  <c r="B2358" i="1"/>
  <c r="C2358" i="1"/>
  <c r="E2358" i="1"/>
  <c r="G2358" i="1"/>
  <c r="H2358" i="1"/>
  <c r="A2359" i="1"/>
  <c r="B2359" i="1"/>
  <c r="C2359" i="1"/>
  <c r="E2359" i="1"/>
  <c r="G2359" i="1"/>
  <c r="H2359" i="1"/>
  <c r="A2360" i="1"/>
  <c r="B2360" i="1"/>
  <c r="C2360" i="1"/>
  <c r="E2360" i="1"/>
  <c r="G2360" i="1"/>
  <c r="H2360" i="1"/>
  <c r="A2361" i="1"/>
  <c r="B2361" i="1"/>
  <c r="C2361" i="1"/>
  <c r="E2361" i="1"/>
  <c r="G2361" i="1"/>
  <c r="H2361" i="1"/>
  <c r="A2362" i="1"/>
  <c r="B2362" i="1"/>
  <c r="C2362" i="1"/>
  <c r="E2362" i="1"/>
  <c r="G2362" i="1"/>
  <c r="H2362" i="1"/>
  <c r="A2363" i="1"/>
  <c r="B2363" i="1"/>
  <c r="C2363" i="1"/>
  <c r="E2363" i="1"/>
  <c r="G2363" i="1"/>
  <c r="H2363" i="1"/>
  <c r="A2364" i="1"/>
  <c r="B2364" i="1"/>
  <c r="C2364" i="1"/>
  <c r="E2364" i="1"/>
  <c r="G2364" i="1"/>
  <c r="H2364" i="1"/>
  <c r="A2365" i="1"/>
  <c r="B2365" i="1"/>
  <c r="C2365" i="1"/>
  <c r="E2365" i="1"/>
  <c r="G2365" i="1"/>
  <c r="H2365" i="1"/>
  <c r="A2366" i="1"/>
  <c r="B2366" i="1"/>
  <c r="C2366" i="1"/>
  <c r="E2366" i="1"/>
  <c r="G2366" i="1"/>
  <c r="H2366" i="1"/>
  <c r="A2367" i="1"/>
  <c r="B2367" i="1"/>
  <c r="C2367" i="1"/>
  <c r="E2367" i="1"/>
  <c r="G2367" i="1"/>
  <c r="H2367" i="1"/>
  <c r="A2368" i="1"/>
  <c r="B2368" i="1"/>
  <c r="C2368" i="1"/>
  <c r="E2368" i="1"/>
  <c r="G2368" i="1"/>
  <c r="H2368" i="1"/>
  <c r="A2369" i="1"/>
  <c r="B2369" i="1"/>
  <c r="C2369" i="1"/>
  <c r="E2369" i="1"/>
  <c r="G2369" i="1"/>
  <c r="H2369" i="1"/>
  <c r="A2370" i="1"/>
  <c r="B2370" i="1"/>
  <c r="C2370" i="1"/>
  <c r="E2370" i="1"/>
  <c r="G2370" i="1"/>
  <c r="H2370" i="1"/>
  <c r="A2371" i="1"/>
  <c r="B2371" i="1"/>
  <c r="C2371" i="1"/>
  <c r="E2371" i="1"/>
  <c r="G2371" i="1"/>
  <c r="H2371" i="1"/>
  <c r="A2372" i="1"/>
  <c r="B2372" i="1"/>
  <c r="C2372" i="1"/>
  <c r="E2372" i="1"/>
  <c r="G2372" i="1"/>
  <c r="H2372" i="1"/>
  <c r="A2373" i="1"/>
  <c r="B2373" i="1"/>
  <c r="C2373" i="1"/>
  <c r="E2373" i="1"/>
  <c r="G2373" i="1"/>
  <c r="H2373" i="1"/>
  <c r="A2374" i="1"/>
  <c r="B2374" i="1"/>
  <c r="C2374" i="1"/>
  <c r="E2374" i="1"/>
  <c r="G2374" i="1"/>
  <c r="H2374" i="1"/>
  <c r="A2375" i="1"/>
  <c r="B2375" i="1"/>
  <c r="C2375" i="1"/>
  <c r="E2375" i="1"/>
  <c r="G2375" i="1"/>
  <c r="H2375" i="1"/>
  <c r="A2376" i="1"/>
  <c r="B2376" i="1"/>
  <c r="C2376" i="1"/>
  <c r="E2376" i="1"/>
  <c r="G2376" i="1"/>
  <c r="H2376" i="1"/>
  <c r="A2377" i="1"/>
  <c r="B2377" i="1"/>
  <c r="C2377" i="1"/>
  <c r="E2377" i="1"/>
  <c r="G2377" i="1"/>
  <c r="H2377" i="1"/>
  <c r="A2378" i="1"/>
  <c r="B2378" i="1"/>
  <c r="C2378" i="1"/>
  <c r="E2378" i="1"/>
  <c r="G2378" i="1"/>
  <c r="H2378" i="1"/>
  <c r="A2379" i="1"/>
  <c r="B2379" i="1"/>
  <c r="C2379" i="1"/>
  <c r="E2379" i="1"/>
  <c r="G2379" i="1"/>
  <c r="H2379" i="1"/>
  <c r="A2380" i="1"/>
  <c r="B2380" i="1"/>
  <c r="C2380" i="1"/>
  <c r="E2380" i="1"/>
  <c r="G2380" i="1"/>
  <c r="H2380" i="1"/>
  <c r="A2381" i="1"/>
  <c r="B2381" i="1"/>
  <c r="C2381" i="1"/>
  <c r="E2381" i="1"/>
  <c r="G2381" i="1"/>
  <c r="H2381" i="1"/>
  <c r="A2382" i="1"/>
  <c r="B2382" i="1"/>
  <c r="C2382" i="1"/>
  <c r="E2382" i="1"/>
  <c r="G2382" i="1"/>
  <c r="H2382" i="1"/>
  <c r="A2383" i="1"/>
  <c r="B2383" i="1"/>
  <c r="C2383" i="1"/>
  <c r="E2383" i="1"/>
  <c r="G2383" i="1"/>
  <c r="H2383" i="1"/>
  <c r="A2384" i="1"/>
  <c r="B2384" i="1"/>
  <c r="C2384" i="1"/>
  <c r="E2384" i="1"/>
  <c r="G2384" i="1"/>
  <c r="H2384" i="1"/>
  <c r="A2385" i="1"/>
  <c r="B2385" i="1"/>
  <c r="C2385" i="1"/>
  <c r="E2385" i="1"/>
  <c r="G2385" i="1"/>
  <c r="H2385" i="1"/>
  <c r="A2386" i="1"/>
  <c r="B2386" i="1"/>
  <c r="C2386" i="1"/>
  <c r="E2386" i="1"/>
  <c r="G2386" i="1"/>
  <c r="H2386" i="1"/>
  <c r="A2387" i="1"/>
  <c r="B2387" i="1"/>
  <c r="C2387" i="1"/>
  <c r="E2387" i="1"/>
  <c r="G2387" i="1"/>
  <c r="H2387" i="1"/>
  <c r="A2388" i="1"/>
  <c r="B2388" i="1"/>
  <c r="C2388" i="1"/>
  <c r="E2388" i="1"/>
  <c r="G2388" i="1"/>
  <c r="H2388" i="1"/>
  <c r="A2389" i="1"/>
  <c r="B2389" i="1"/>
  <c r="C2389" i="1"/>
  <c r="E2389" i="1"/>
  <c r="G2389" i="1"/>
  <c r="H2389" i="1"/>
  <c r="A2390" i="1"/>
  <c r="B2390" i="1"/>
  <c r="C2390" i="1"/>
  <c r="E2390" i="1"/>
  <c r="G2390" i="1"/>
  <c r="H2390" i="1"/>
  <c r="A2391" i="1"/>
  <c r="B2391" i="1"/>
  <c r="C2391" i="1"/>
  <c r="E2391" i="1"/>
  <c r="G2391" i="1"/>
  <c r="H2391" i="1"/>
  <c r="A2392" i="1"/>
  <c r="B2392" i="1"/>
  <c r="C2392" i="1"/>
  <c r="E2392" i="1"/>
  <c r="G2392" i="1"/>
  <c r="H2392" i="1"/>
  <c r="A2393" i="1"/>
  <c r="B2393" i="1"/>
  <c r="C2393" i="1"/>
  <c r="E2393" i="1"/>
  <c r="G2393" i="1"/>
  <c r="H2393" i="1"/>
  <c r="A2394" i="1"/>
  <c r="B2394" i="1"/>
  <c r="C2394" i="1"/>
  <c r="E2394" i="1"/>
  <c r="G2394" i="1"/>
  <c r="H2394" i="1"/>
  <c r="A2395" i="1"/>
  <c r="B2395" i="1"/>
  <c r="C2395" i="1"/>
  <c r="E2395" i="1"/>
  <c r="G2395" i="1"/>
  <c r="H2395" i="1"/>
  <c r="A2396" i="1"/>
  <c r="B2396" i="1"/>
  <c r="C2396" i="1"/>
  <c r="E2396" i="1"/>
  <c r="G2396" i="1"/>
  <c r="H2396" i="1"/>
  <c r="A2397" i="1"/>
  <c r="B2397" i="1"/>
  <c r="C2397" i="1"/>
  <c r="E2397" i="1"/>
  <c r="G2397" i="1"/>
  <c r="H2397" i="1"/>
  <c r="A2398" i="1"/>
  <c r="B2398" i="1"/>
  <c r="C2398" i="1"/>
  <c r="E2398" i="1"/>
  <c r="G2398" i="1"/>
  <c r="H2398" i="1"/>
  <c r="A2399" i="1"/>
  <c r="B2399" i="1"/>
  <c r="C2399" i="1"/>
  <c r="E2399" i="1"/>
  <c r="G2399" i="1"/>
  <c r="H2399" i="1"/>
  <c r="A2400" i="1"/>
  <c r="B2400" i="1"/>
  <c r="C2400" i="1"/>
  <c r="E2400" i="1"/>
  <c r="G2400" i="1"/>
  <c r="H2400" i="1"/>
  <c r="A2401" i="1"/>
  <c r="B2401" i="1"/>
  <c r="C2401" i="1"/>
  <c r="E2401" i="1"/>
  <c r="G2401" i="1"/>
  <c r="H2401" i="1"/>
  <c r="A2402" i="1"/>
  <c r="B2402" i="1"/>
  <c r="C2402" i="1"/>
  <c r="E2402" i="1"/>
  <c r="G2402" i="1"/>
  <c r="H2402" i="1"/>
  <c r="A2403" i="1"/>
  <c r="B2403" i="1"/>
  <c r="C2403" i="1"/>
  <c r="E2403" i="1"/>
  <c r="G2403" i="1"/>
  <c r="H2403" i="1"/>
  <c r="A2404" i="1"/>
  <c r="B2404" i="1"/>
  <c r="C2404" i="1"/>
  <c r="E2404" i="1"/>
  <c r="G2404" i="1"/>
  <c r="H2404" i="1"/>
  <c r="A2405" i="1"/>
  <c r="B2405" i="1"/>
  <c r="C2405" i="1"/>
  <c r="E2405" i="1"/>
  <c r="G2405" i="1"/>
  <c r="H2405" i="1"/>
  <c r="A2406" i="1"/>
  <c r="B2406" i="1"/>
  <c r="C2406" i="1"/>
  <c r="E2406" i="1"/>
  <c r="G2406" i="1"/>
  <c r="H2406" i="1"/>
  <c r="A2407" i="1"/>
  <c r="B2407" i="1"/>
  <c r="C2407" i="1"/>
  <c r="E2407" i="1"/>
  <c r="G2407" i="1"/>
  <c r="H2407" i="1"/>
  <c r="A2408" i="1"/>
  <c r="B2408" i="1"/>
  <c r="C2408" i="1"/>
  <c r="E2408" i="1"/>
  <c r="G2408" i="1"/>
  <c r="H2408" i="1"/>
  <c r="A2409" i="1"/>
  <c r="B2409" i="1"/>
  <c r="C2409" i="1"/>
  <c r="E2409" i="1"/>
  <c r="G2409" i="1"/>
  <c r="H2409" i="1"/>
  <c r="A2410" i="1"/>
  <c r="B2410" i="1"/>
  <c r="C2410" i="1"/>
  <c r="E2410" i="1"/>
  <c r="G2410" i="1"/>
  <c r="H2410" i="1"/>
  <c r="A2411" i="1"/>
  <c r="B2411" i="1"/>
  <c r="C2411" i="1"/>
  <c r="E2411" i="1"/>
  <c r="G2411" i="1"/>
  <c r="H2411" i="1"/>
  <c r="A2412" i="1"/>
  <c r="B2412" i="1"/>
  <c r="C2412" i="1"/>
  <c r="E2412" i="1"/>
  <c r="G2412" i="1"/>
  <c r="H2412" i="1"/>
  <c r="A2413" i="1"/>
  <c r="B2413" i="1"/>
  <c r="C2413" i="1"/>
  <c r="E2413" i="1"/>
  <c r="G2413" i="1"/>
  <c r="H2413" i="1"/>
  <c r="A2414" i="1"/>
  <c r="B2414" i="1"/>
  <c r="C2414" i="1"/>
  <c r="E2414" i="1"/>
  <c r="G2414" i="1"/>
  <c r="H2414" i="1"/>
  <c r="A2415" i="1"/>
  <c r="B2415" i="1"/>
  <c r="C2415" i="1"/>
  <c r="E2415" i="1"/>
  <c r="G2415" i="1"/>
  <c r="H2415" i="1"/>
  <c r="A2416" i="1"/>
  <c r="B2416" i="1"/>
  <c r="C2416" i="1"/>
  <c r="E2416" i="1"/>
  <c r="G2416" i="1"/>
  <c r="H2416" i="1"/>
  <c r="A2417" i="1"/>
  <c r="B2417" i="1"/>
  <c r="C2417" i="1"/>
  <c r="E2417" i="1"/>
  <c r="G2417" i="1"/>
  <c r="H2417" i="1"/>
  <c r="A2418" i="1"/>
  <c r="B2418" i="1"/>
  <c r="C2418" i="1"/>
  <c r="E2418" i="1"/>
  <c r="G2418" i="1"/>
  <c r="H2418" i="1"/>
  <c r="A2419" i="1"/>
  <c r="B2419" i="1"/>
  <c r="C2419" i="1"/>
  <c r="E2419" i="1"/>
  <c r="G2419" i="1"/>
  <c r="H2419" i="1"/>
  <c r="A2420" i="1"/>
  <c r="B2420" i="1"/>
  <c r="C2420" i="1"/>
  <c r="E2420" i="1"/>
  <c r="G2420" i="1"/>
  <c r="H2420" i="1"/>
  <c r="A2421" i="1"/>
  <c r="B2421" i="1"/>
  <c r="C2421" i="1"/>
  <c r="E2421" i="1"/>
  <c r="G2421" i="1"/>
  <c r="H2421" i="1"/>
  <c r="A2422" i="1"/>
  <c r="B2422" i="1"/>
  <c r="C2422" i="1"/>
  <c r="E2422" i="1"/>
  <c r="G2422" i="1"/>
  <c r="H2422" i="1"/>
  <c r="A2423" i="1"/>
  <c r="B2423" i="1"/>
  <c r="C2423" i="1"/>
  <c r="E2423" i="1"/>
  <c r="G2423" i="1"/>
  <c r="H2423" i="1"/>
  <c r="A2424" i="1"/>
  <c r="B2424" i="1"/>
  <c r="C2424" i="1"/>
  <c r="E2424" i="1"/>
  <c r="G2424" i="1"/>
  <c r="H2424" i="1"/>
  <c r="A2425" i="1"/>
  <c r="B2425" i="1"/>
  <c r="C2425" i="1"/>
  <c r="E2425" i="1"/>
  <c r="G2425" i="1"/>
  <c r="H2425" i="1"/>
  <c r="A2426" i="1"/>
  <c r="B2426" i="1"/>
  <c r="C2426" i="1"/>
  <c r="E2426" i="1"/>
  <c r="G2426" i="1"/>
  <c r="H2426" i="1"/>
  <c r="A2427" i="1"/>
  <c r="B2427" i="1"/>
  <c r="C2427" i="1"/>
  <c r="E2427" i="1"/>
  <c r="G2427" i="1"/>
  <c r="H2427" i="1"/>
  <c r="A2428" i="1"/>
  <c r="B2428" i="1"/>
  <c r="C2428" i="1"/>
  <c r="E2428" i="1"/>
  <c r="G2428" i="1"/>
  <c r="H2428" i="1"/>
  <c r="A2429" i="1"/>
  <c r="B2429" i="1"/>
  <c r="C2429" i="1"/>
  <c r="E2429" i="1"/>
  <c r="G2429" i="1"/>
  <c r="H2429" i="1"/>
  <c r="A2430" i="1"/>
  <c r="B2430" i="1"/>
  <c r="C2430" i="1"/>
  <c r="E2430" i="1"/>
  <c r="G2430" i="1"/>
  <c r="H2430" i="1"/>
  <c r="A2431" i="1"/>
  <c r="B2431" i="1"/>
  <c r="C2431" i="1"/>
  <c r="E2431" i="1"/>
  <c r="G2431" i="1"/>
  <c r="H2431" i="1"/>
  <c r="A2432" i="1"/>
  <c r="B2432" i="1"/>
  <c r="C2432" i="1"/>
  <c r="E2432" i="1"/>
  <c r="G2432" i="1"/>
  <c r="H2432" i="1"/>
  <c r="A2433" i="1"/>
  <c r="B2433" i="1"/>
  <c r="C2433" i="1"/>
  <c r="E2433" i="1"/>
  <c r="G2433" i="1"/>
  <c r="H2433" i="1"/>
  <c r="A2434" i="1"/>
  <c r="B2434" i="1"/>
  <c r="C2434" i="1"/>
  <c r="E2434" i="1"/>
  <c r="G2434" i="1"/>
  <c r="H2434" i="1"/>
  <c r="A2435" i="1"/>
  <c r="B2435" i="1"/>
  <c r="C2435" i="1"/>
  <c r="E2435" i="1"/>
  <c r="G2435" i="1"/>
  <c r="H2435" i="1"/>
  <c r="A2436" i="1"/>
  <c r="B2436" i="1"/>
  <c r="C2436" i="1"/>
  <c r="E2436" i="1"/>
  <c r="G2436" i="1"/>
  <c r="H2436" i="1"/>
  <c r="A2437" i="1"/>
  <c r="B2437" i="1"/>
  <c r="C2437" i="1"/>
  <c r="E2437" i="1"/>
  <c r="G2437" i="1"/>
  <c r="H2437" i="1"/>
  <c r="A2438" i="1"/>
  <c r="B2438" i="1"/>
  <c r="C2438" i="1"/>
  <c r="E2438" i="1"/>
  <c r="G2438" i="1"/>
  <c r="H2438" i="1"/>
  <c r="A2439" i="1"/>
  <c r="B2439" i="1"/>
  <c r="C2439" i="1"/>
  <c r="E2439" i="1"/>
  <c r="G2439" i="1"/>
  <c r="H2439" i="1"/>
  <c r="A2440" i="1"/>
  <c r="B2440" i="1"/>
  <c r="C2440" i="1"/>
  <c r="E2440" i="1"/>
  <c r="G2440" i="1"/>
  <c r="H2440" i="1"/>
  <c r="A2441" i="1"/>
  <c r="B2441" i="1"/>
  <c r="C2441" i="1"/>
  <c r="E2441" i="1"/>
  <c r="G2441" i="1"/>
  <c r="H2441" i="1"/>
  <c r="A2442" i="1"/>
  <c r="B2442" i="1"/>
  <c r="C2442" i="1"/>
  <c r="E2442" i="1"/>
  <c r="G2442" i="1"/>
  <c r="H2442" i="1"/>
  <c r="A2443" i="1"/>
  <c r="B2443" i="1"/>
  <c r="C2443" i="1"/>
  <c r="E2443" i="1"/>
  <c r="G2443" i="1"/>
  <c r="H2443" i="1"/>
  <c r="A2444" i="1"/>
  <c r="B2444" i="1"/>
  <c r="C2444" i="1"/>
  <c r="E2444" i="1"/>
  <c r="G2444" i="1"/>
  <c r="H2444" i="1"/>
  <c r="A2445" i="1"/>
  <c r="B2445" i="1"/>
  <c r="C2445" i="1"/>
  <c r="E2445" i="1"/>
  <c r="G2445" i="1"/>
  <c r="H2445" i="1"/>
  <c r="A2446" i="1"/>
  <c r="B2446" i="1"/>
  <c r="C2446" i="1"/>
  <c r="E2446" i="1"/>
  <c r="G2446" i="1"/>
  <c r="H2446" i="1"/>
  <c r="A2447" i="1"/>
  <c r="B2447" i="1"/>
  <c r="C2447" i="1"/>
  <c r="E2447" i="1"/>
  <c r="G2447" i="1"/>
  <c r="H2447" i="1"/>
  <c r="A2448" i="1"/>
  <c r="B2448" i="1"/>
  <c r="C2448" i="1"/>
  <c r="E2448" i="1"/>
  <c r="G2448" i="1"/>
  <c r="H2448" i="1"/>
  <c r="A2449" i="1"/>
  <c r="B2449" i="1"/>
  <c r="C2449" i="1"/>
  <c r="E2449" i="1"/>
  <c r="G2449" i="1"/>
  <c r="H2449" i="1"/>
  <c r="A2450" i="1"/>
  <c r="B2450" i="1"/>
  <c r="C2450" i="1"/>
  <c r="E2450" i="1"/>
  <c r="G2450" i="1"/>
  <c r="H2450" i="1"/>
  <c r="A2451" i="1"/>
  <c r="B2451" i="1"/>
  <c r="C2451" i="1"/>
  <c r="E2451" i="1"/>
  <c r="G2451" i="1"/>
  <c r="H2451" i="1"/>
  <c r="A2452" i="1"/>
  <c r="B2452" i="1"/>
  <c r="C2452" i="1"/>
  <c r="E2452" i="1"/>
  <c r="G2452" i="1"/>
  <c r="H2452" i="1"/>
  <c r="A2453" i="1"/>
  <c r="B2453" i="1"/>
  <c r="C2453" i="1"/>
  <c r="E2453" i="1"/>
  <c r="G2453" i="1"/>
  <c r="H2453" i="1"/>
  <c r="A2454" i="1"/>
  <c r="B2454" i="1"/>
  <c r="C2454" i="1"/>
  <c r="E2454" i="1"/>
  <c r="G2454" i="1"/>
  <c r="H2454" i="1"/>
  <c r="A2455" i="1"/>
  <c r="B2455" i="1"/>
  <c r="C2455" i="1"/>
  <c r="E2455" i="1"/>
  <c r="G2455" i="1"/>
  <c r="H2455" i="1"/>
  <c r="A2456" i="1"/>
  <c r="B2456" i="1"/>
  <c r="C2456" i="1"/>
  <c r="E2456" i="1"/>
  <c r="G2456" i="1"/>
  <c r="H2456" i="1"/>
  <c r="A2457" i="1"/>
  <c r="B2457" i="1"/>
  <c r="C2457" i="1"/>
  <c r="E2457" i="1"/>
  <c r="G2457" i="1"/>
  <c r="H2457" i="1"/>
  <c r="A2458" i="1"/>
  <c r="B2458" i="1"/>
  <c r="C2458" i="1"/>
  <c r="E2458" i="1"/>
  <c r="G2458" i="1"/>
  <c r="H2458" i="1"/>
  <c r="A2459" i="1"/>
  <c r="B2459" i="1"/>
  <c r="C2459" i="1"/>
  <c r="E2459" i="1"/>
  <c r="G2459" i="1"/>
  <c r="H2459" i="1"/>
  <c r="A2460" i="1"/>
  <c r="B2460" i="1"/>
  <c r="C2460" i="1"/>
  <c r="E2460" i="1"/>
  <c r="G2460" i="1"/>
  <c r="H2460" i="1"/>
  <c r="A2461" i="1"/>
  <c r="B2461" i="1"/>
  <c r="C2461" i="1"/>
  <c r="E2461" i="1"/>
  <c r="G2461" i="1"/>
  <c r="H2461" i="1"/>
  <c r="A2462" i="1"/>
  <c r="B2462" i="1"/>
  <c r="C2462" i="1"/>
  <c r="E2462" i="1"/>
  <c r="G2462" i="1"/>
  <c r="H2462" i="1"/>
  <c r="A2463" i="1"/>
  <c r="B2463" i="1"/>
  <c r="C2463" i="1"/>
  <c r="E2463" i="1"/>
  <c r="G2463" i="1"/>
  <c r="H2463" i="1"/>
  <c r="A2464" i="1"/>
  <c r="B2464" i="1"/>
  <c r="C2464" i="1"/>
  <c r="E2464" i="1"/>
  <c r="G2464" i="1"/>
  <c r="H2464" i="1"/>
  <c r="A2465" i="1"/>
  <c r="B2465" i="1"/>
  <c r="C2465" i="1"/>
  <c r="E2465" i="1"/>
  <c r="G2465" i="1"/>
  <c r="H2465" i="1"/>
  <c r="A2466" i="1"/>
  <c r="B2466" i="1"/>
  <c r="C2466" i="1"/>
  <c r="E2466" i="1"/>
  <c r="G2466" i="1"/>
  <c r="H2466" i="1"/>
  <c r="A2467" i="1"/>
  <c r="B2467" i="1"/>
  <c r="C2467" i="1"/>
  <c r="E2467" i="1"/>
  <c r="G2467" i="1"/>
  <c r="H2467" i="1"/>
  <c r="A2468" i="1"/>
  <c r="B2468" i="1"/>
  <c r="C2468" i="1"/>
  <c r="E2468" i="1"/>
  <c r="G2468" i="1"/>
  <c r="H2468" i="1"/>
  <c r="A2469" i="1"/>
  <c r="B2469" i="1"/>
  <c r="C2469" i="1"/>
  <c r="E2469" i="1"/>
  <c r="G2469" i="1"/>
  <c r="H2469" i="1"/>
  <c r="A2470" i="1"/>
  <c r="B2470" i="1"/>
  <c r="C2470" i="1"/>
  <c r="E2470" i="1"/>
  <c r="G2470" i="1"/>
  <c r="H2470" i="1"/>
  <c r="A2471" i="1"/>
  <c r="B2471" i="1"/>
  <c r="C2471" i="1"/>
  <c r="E2471" i="1"/>
  <c r="G2471" i="1"/>
  <c r="H2471" i="1"/>
  <c r="A2472" i="1"/>
  <c r="B2472" i="1"/>
  <c r="C2472" i="1"/>
  <c r="E2472" i="1"/>
  <c r="G2472" i="1"/>
  <c r="H2472" i="1"/>
  <c r="A2473" i="1"/>
  <c r="B2473" i="1"/>
  <c r="C2473" i="1"/>
  <c r="E2473" i="1"/>
  <c r="G2473" i="1"/>
  <c r="H2473" i="1"/>
  <c r="A2474" i="1"/>
  <c r="B2474" i="1"/>
  <c r="C2474" i="1"/>
  <c r="E2474" i="1"/>
  <c r="G2474" i="1"/>
  <c r="H2474" i="1"/>
  <c r="A2475" i="1"/>
  <c r="B2475" i="1"/>
  <c r="C2475" i="1"/>
  <c r="E2475" i="1"/>
  <c r="G2475" i="1"/>
  <c r="H2475" i="1"/>
  <c r="A2476" i="1"/>
  <c r="B2476" i="1"/>
  <c r="C2476" i="1"/>
  <c r="E2476" i="1"/>
  <c r="G2476" i="1"/>
  <c r="H2476" i="1"/>
  <c r="A2477" i="1"/>
  <c r="B2477" i="1"/>
  <c r="C2477" i="1"/>
  <c r="E2477" i="1"/>
  <c r="G2477" i="1"/>
  <c r="H2477" i="1"/>
  <c r="A2478" i="1"/>
  <c r="B2478" i="1"/>
  <c r="C2478" i="1"/>
  <c r="E2478" i="1"/>
  <c r="G2478" i="1"/>
  <c r="H2478" i="1"/>
  <c r="A2479" i="1"/>
  <c r="B2479" i="1"/>
  <c r="C2479" i="1"/>
  <c r="E2479" i="1"/>
  <c r="G2479" i="1"/>
  <c r="H2479" i="1"/>
  <c r="A2480" i="1"/>
  <c r="B2480" i="1"/>
  <c r="C2480" i="1"/>
  <c r="E2480" i="1"/>
  <c r="G2480" i="1"/>
  <c r="H2480" i="1"/>
  <c r="A2481" i="1"/>
  <c r="B2481" i="1"/>
  <c r="C2481" i="1"/>
  <c r="E2481" i="1"/>
  <c r="G2481" i="1"/>
  <c r="H2481" i="1"/>
  <c r="A2482" i="1"/>
  <c r="B2482" i="1"/>
  <c r="C2482" i="1"/>
  <c r="E2482" i="1"/>
  <c r="G2482" i="1"/>
  <c r="H2482" i="1"/>
  <c r="A2483" i="1"/>
  <c r="B2483" i="1"/>
  <c r="C2483" i="1"/>
  <c r="E2483" i="1"/>
  <c r="G2483" i="1"/>
  <c r="H2483" i="1"/>
  <c r="A2484" i="1"/>
  <c r="B2484" i="1"/>
  <c r="C2484" i="1"/>
  <c r="E2484" i="1"/>
  <c r="G2484" i="1"/>
  <c r="H2484" i="1"/>
  <c r="A2485" i="1"/>
  <c r="B2485" i="1"/>
  <c r="C2485" i="1"/>
  <c r="E2485" i="1"/>
  <c r="G2485" i="1"/>
  <c r="H2485" i="1"/>
  <c r="A2486" i="1"/>
  <c r="B2486" i="1"/>
  <c r="C2486" i="1"/>
  <c r="E2486" i="1"/>
  <c r="G2486" i="1"/>
  <c r="H2486" i="1"/>
  <c r="A2487" i="1"/>
  <c r="B2487" i="1"/>
  <c r="C2487" i="1"/>
  <c r="E2487" i="1"/>
  <c r="G2487" i="1"/>
  <c r="H2487" i="1"/>
  <c r="A2488" i="1"/>
  <c r="B2488" i="1"/>
  <c r="C2488" i="1"/>
  <c r="E2488" i="1"/>
  <c r="G2488" i="1"/>
  <c r="H2488" i="1"/>
  <c r="A2489" i="1"/>
  <c r="B2489" i="1"/>
  <c r="C2489" i="1"/>
  <c r="E2489" i="1"/>
  <c r="G2489" i="1"/>
  <c r="H2489" i="1"/>
  <c r="A2490" i="1"/>
  <c r="B2490" i="1"/>
  <c r="C2490" i="1"/>
  <c r="E2490" i="1"/>
  <c r="G2490" i="1"/>
  <c r="H2490" i="1"/>
  <c r="A2491" i="1"/>
  <c r="B2491" i="1"/>
  <c r="C2491" i="1"/>
  <c r="E2491" i="1"/>
  <c r="G2491" i="1"/>
  <c r="H2491" i="1"/>
  <c r="A2492" i="1"/>
  <c r="B2492" i="1"/>
  <c r="C2492" i="1"/>
  <c r="E2492" i="1"/>
  <c r="G2492" i="1"/>
  <c r="H2492" i="1"/>
  <c r="A2493" i="1"/>
  <c r="B2493" i="1"/>
  <c r="C2493" i="1"/>
  <c r="E2493" i="1"/>
  <c r="G2493" i="1"/>
  <c r="H2493" i="1"/>
  <c r="A2494" i="1"/>
  <c r="B2494" i="1"/>
  <c r="C2494" i="1"/>
  <c r="E2494" i="1"/>
  <c r="G2494" i="1"/>
  <c r="H2494" i="1"/>
  <c r="A2495" i="1"/>
  <c r="B2495" i="1"/>
  <c r="C2495" i="1"/>
  <c r="E2495" i="1"/>
  <c r="G2495" i="1"/>
  <c r="H2495" i="1"/>
  <c r="A2496" i="1"/>
  <c r="B2496" i="1"/>
  <c r="C2496" i="1"/>
  <c r="E2496" i="1"/>
  <c r="G2496" i="1"/>
  <c r="H2496" i="1"/>
  <c r="A2497" i="1"/>
  <c r="B2497" i="1"/>
  <c r="C2497" i="1"/>
  <c r="E2497" i="1"/>
  <c r="G2497" i="1"/>
  <c r="H2497" i="1"/>
  <c r="A2498" i="1"/>
  <c r="B2498" i="1"/>
  <c r="C2498" i="1"/>
  <c r="E2498" i="1"/>
  <c r="G2498" i="1"/>
  <c r="H2498" i="1"/>
  <c r="A2499" i="1"/>
  <c r="B2499" i="1"/>
  <c r="C2499" i="1"/>
  <c r="E2499" i="1"/>
  <c r="G2499" i="1"/>
  <c r="H2499" i="1"/>
  <c r="A2500" i="1"/>
  <c r="B2500" i="1"/>
  <c r="C2500" i="1"/>
  <c r="E2500" i="1"/>
  <c r="G2500" i="1"/>
  <c r="H2500" i="1"/>
  <c r="A2501" i="1"/>
  <c r="B2501" i="1"/>
  <c r="C2501" i="1"/>
  <c r="E2501" i="1"/>
  <c r="G2501" i="1"/>
  <c r="H2501" i="1"/>
  <c r="A2502" i="1"/>
  <c r="B2502" i="1"/>
  <c r="C2502" i="1"/>
  <c r="E2502" i="1"/>
  <c r="G2502" i="1"/>
  <c r="H2502" i="1"/>
  <c r="A2503" i="1"/>
  <c r="B2503" i="1"/>
  <c r="C2503" i="1"/>
  <c r="E2503" i="1"/>
  <c r="G2503" i="1"/>
  <c r="H2503" i="1"/>
  <c r="A2504" i="1"/>
  <c r="B2504" i="1"/>
  <c r="C2504" i="1"/>
  <c r="E2504" i="1"/>
  <c r="G2504" i="1"/>
  <c r="H2504" i="1"/>
  <c r="A2505" i="1"/>
  <c r="B2505" i="1"/>
  <c r="C2505" i="1"/>
  <c r="E2505" i="1"/>
  <c r="G2505" i="1"/>
  <c r="H2505" i="1"/>
  <c r="A2506" i="1"/>
  <c r="B2506" i="1"/>
  <c r="C2506" i="1"/>
  <c r="E2506" i="1"/>
  <c r="G2506" i="1"/>
  <c r="H2506" i="1"/>
  <c r="A2507" i="1"/>
  <c r="B2507" i="1"/>
  <c r="C2507" i="1"/>
  <c r="E2507" i="1"/>
  <c r="G2507" i="1"/>
  <c r="H2507" i="1"/>
  <c r="A2508" i="1"/>
  <c r="B2508" i="1"/>
  <c r="C2508" i="1"/>
  <c r="E2508" i="1"/>
  <c r="G2508" i="1"/>
  <c r="H2508" i="1"/>
  <c r="A2509" i="1"/>
  <c r="B2509" i="1"/>
  <c r="C2509" i="1"/>
  <c r="E2509" i="1"/>
  <c r="G2509" i="1"/>
  <c r="H2509" i="1"/>
  <c r="A2510" i="1"/>
  <c r="B2510" i="1"/>
  <c r="C2510" i="1"/>
  <c r="E2510" i="1"/>
  <c r="G2510" i="1"/>
  <c r="H2510" i="1"/>
  <c r="A2511" i="1"/>
  <c r="B2511" i="1"/>
  <c r="C2511" i="1"/>
  <c r="E2511" i="1"/>
  <c r="G2511" i="1"/>
  <c r="H2511" i="1"/>
  <c r="A2512" i="1"/>
  <c r="B2512" i="1"/>
  <c r="C2512" i="1"/>
  <c r="E2512" i="1"/>
  <c r="G2512" i="1"/>
  <c r="H2512" i="1"/>
  <c r="A2513" i="1"/>
  <c r="B2513" i="1"/>
  <c r="C2513" i="1"/>
  <c r="E2513" i="1"/>
  <c r="G2513" i="1"/>
  <c r="H2513" i="1"/>
  <c r="A2514" i="1"/>
  <c r="B2514" i="1"/>
  <c r="C2514" i="1"/>
  <c r="E2514" i="1"/>
  <c r="G2514" i="1"/>
  <c r="H2514" i="1"/>
  <c r="A2515" i="1"/>
  <c r="B2515" i="1"/>
  <c r="C2515" i="1"/>
  <c r="E2515" i="1"/>
  <c r="G2515" i="1"/>
  <c r="H2515" i="1"/>
  <c r="A2516" i="1"/>
  <c r="B2516" i="1"/>
  <c r="C2516" i="1"/>
  <c r="E2516" i="1"/>
  <c r="G2516" i="1"/>
  <c r="H2516" i="1"/>
  <c r="A2517" i="1"/>
  <c r="B2517" i="1"/>
  <c r="C2517" i="1"/>
  <c r="E2517" i="1"/>
  <c r="G2517" i="1"/>
  <c r="H2517" i="1"/>
  <c r="A2518" i="1"/>
  <c r="B2518" i="1"/>
  <c r="C2518" i="1"/>
  <c r="E2518" i="1"/>
  <c r="G2518" i="1"/>
  <c r="H2518" i="1"/>
  <c r="A2519" i="1"/>
  <c r="B2519" i="1"/>
  <c r="C2519" i="1"/>
  <c r="E2519" i="1"/>
  <c r="G2519" i="1"/>
  <c r="H2519" i="1"/>
  <c r="A2520" i="1"/>
  <c r="B2520" i="1"/>
  <c r="C2520" i="1"/>
  <c r="E2520" i="1"/>
  <c r="G2520" i="1"/>
  <c r="H2520" i="1"/>
  <c r="A2521" i="1"/>
  <c r="B2521" i="1"/>
  <c r="C2521" i="1"/>
  <c r="E2521" i="1"/>
  <c r="G2521" i="1"/>
  <c r="H2521" i="1"/>
  <c r="A2522" i="1"/>
  <c r="B2522" i="1"/>
  <c r="C2522" i="1"/>
  <c r="E2522" i="1"/>
  <c r="G2522" i="1"/>
  <c r="H2522" i="1"/>
  <c r="A2523" i="1"/>
  <c r="B2523" i="1"/>
  <c r="C2523" i="1"/>
  <c r="E2523" i="1"/>
  <c r="G2523" i="1"/>
  <c r="H2523" i="1"/>
  <c r="A2524" i="1"/>
  <c r="B2524" i="1"/>
  <c r="C2524" i="1"/>
  <c r="E2524" i="1"/>
  <c r="G2524" i="1"/>
  <c r="H2524" i="1"/>
  <c r="A2525" i="1"/>
  <c r="B2525" i="1"/>
  <c r="C2525" i="1"/>
  <c r="E2525" i="1"/>
  <c r="G2525" i="1"/>
  <c r="H2525" i="1"/>
  <c r="A2526" i="1"/>
  <c r="B2526" i="1"/>
  <c r="C2526" i="1"/>
  <c r="E2526" i="1"/>
  <c r="G2526" i="1"/>
  <c r="H2526" i="1"/>
  <c r="A2527" i="1"/>
  <c r="B2527" i="1"/>
  <c r="C2527" i="1"/>
  <c r="E2527" i="1"/>
  <c r="G2527" i="1"/>
  <c r="H2527" i="1"/>
  <c r="A2528" i="1"/>
  <c r="B2528" i="1"/>
  <c r="C2528" i="1"/>
  <c r="E2528" i="1"/>
  <c r="G2528" i="1"/>
  <c r="H2528" i="1"/>
  <c r="A2529" i="1"/>
  <c r="B2529" i="1"/>
  <c r="C2529" i="1"/>
  <c r="E2529" i="1"/>
  <c r="G2529" i="1"/>
  <c r="H2529" i="1"/>
  <c r="A2530" i="1"/>
  <c r="B2530" i="1"/>
  <c r="C2530" i="1"/>
  <c r="E2530" i="1"/>
  <c r="G2530" i="1"/>
  <c r="H2530" i="1"/>
  <c r="A2531" i="1"/>
  <c r="B2531" i="1"/>
  <c r="C2531" i="1"/>
  <c r="E2531" i="1"/>
  <c r="G2531" i="1"/>
  <c r="H2531" i="1"/>
  <c r="A2532" i="1"/>
  <c r="B2532" i="1"/>
  <c r="C2532" i="1"/>
  <c r="E2532" i="1"/>
  <c r="G2532" i="1"/>
  <c r="H2532" i="1"/>
  <c r="A2533" i="1"/>
  <c r="B2533" i="1"/>
  <c r="C2533" i="1"/>
  <c r="E2533" i="1"/>
  <c r="G2533" i="1"/>
  <c r="H2533" i="1"/>
  <c r="A2534" i="1"/>
  <c r="B2534" i="1"/>
  <c r="C2534" i="1"/>
  <c r="E2534" i="1"/>
  <c r="G2534" i="1"/>
  <c r="H2534" i="1"/>
  <c r="A2535" i="1"/>
  <c r="B2535" i="1"/>
  <c r="C2535" i="1"/>
  <c r="E2535" i="1"/>
  <c r="G2535" i="1"/>
  <c r="H2535" i="1"/>
  <c r="A2536" i="1"/>
  <c r="B2536" i="1"/>
  <c r="C2536" i="1"/>
  <c r="E2536" i="1"/>
  <c r="G2536" i="1"/>
  <c r="H2536" i="1"/>
  <c r="A2537" i="1"/>
  <c r="B2537" i="1"/>
  <c r="C2537" i="1"/>
  <c r="E2537" i="1"/>
  <c r="G2537" i="1"/>
  <c r="H2537" i="1"/>
  <c r="A2538" i="1"/>
  <c r="B2538" i="1"/>
  <c r="C2538" i="1"/>
  <c r="E2538" i="1"/>
  <c r="G2538" i="1"/>
  <c r="H2538" i="1"/>
  <c r="A2539" i="1"/>
  <c r="B2539" i="1"/>
  <c r="C2539" i="1"/>
  <c r="E2539" i="1"/>
  <c r="G2539" i="1"/>
  <c r="H2539" i="1"/>
  <c r="A2540" i="1"/>
  <c r="B2540" i="1"/>
  <c r="C2540" i="1"/>
  <c r="E2540" i="1"/>
  <c r="G2540" i="1"/>
  <c r="H2540" i="1"/>
  <c r="A2541" i="1"/>
  <c r="B2541" i="1"/>
  <c r="C2541" i="1"/>
  <c r="E2541" i="1"/>
  <c r="G2541" i="1"/>
  <c r="H2541" i="1"/>
  <c r="A2542" i="1"/>
  <c r="B2542" i="1"/>
  <c r="C2542" i="1"/>
  <c r="E2542" i="1"/>
  <c r="G2542" i="1"/>
  <c r="H2542" i="1"/>
  <c r="A2543" i="1"/>
  <c r="B2543" i="1"/>
  <c r="C2543" i="1"/>
  <c r="E2543" i="1"/>
  <c r="G2543" i="1"/>
  <c r="H2543" i="1"/>
  <c r="A2544" i="1"/>
  <c r="B2544" i="1"/>
  <c r="C2544" i="1"/>
  <c r="E2544" i="1"/>
  <c r="G2544" i="1"/>
  <c r="H2544" i="1"/>
  <c r="A2545" i="1"/>
  <c r="B2545" i="1"/>
  <c r="C2545" i="1"/>
  <c r="E2545" i="1"/>
  <c r="G2545" i="1"/>
  <c r="H2545" i="1"/>
  <c r="A2546" i="1"/>
  <c r="B2546" i="1"/>
  <c r="C2546" i="1"/>
  <c r="E2546" i="1"/>
  <c r="G2546" i="1"/>
  <c r="H2546" i="1"/>
  <c r="A2547" i="1"/>
  <c r="B2547" i="1"/>
  <c r="C2547" i="1"/>
  <c r="E2547" i="1"/>
  <c r="G2547" i="1"/>
  <c r="H2547" i="1"/>
  <c r="A2548" i="1"/>
  <c r="B2548" i="1"/>
  <c r="C2548" i="1"/>
  <c r="E2548" i="1"/>
  <c r="G2548" i="1"/>
  <c r="H2548" i="1"/>
  <c r="A2549" i="1"/>
  <c r="B2549" i="1"/>
  <c r="C2549" i="1"/>
  <c r="E2549" i="1"/>
  <c r="G2549" i="1"/>
  <c r="H2549" i="1"/>
  <c r="A2550" i="1"/>
  <c r="B2550" i="1"/>
  <c r="C2550" i="1"/>
  <c r="E2550" i="1"/>
  <c r="G2550" i="1"/>
  <c r="H2550" i="1"/>
  <c r="A2551" i="1"/>
  <c r="B2551" i="1"/>
  <c r="C2551" i="1"/>
  <c r="E2551" i="1"/>
  <c r="G2551" i="1"/>
  <c r="H2551" i="1"/>
  <c r="A2552" i="1"/>
  <c r="B2552" i="1"/>
  <c r="C2552" i="1"/>
  <c r="E2552" i="1"/>
  <c r="G2552" i="1"/>
  <c r="H2552" i="1"/>
  <c r="A2553" i="1"/>
  <c r="B2553" i="1"/>
  <c r="C2553" i="1"/>
  <c r="E2553" i="1"/>
  <c r="G2553" i="1"/>
  <c r="H2553" i="1"/>
  <c r="A2554" i="1"/>
  <c r="B2554" i="1"/>
  <c r="C2554" i="1"/>
  <c r="E2554" i="1"/>
  <c r="G2554" i="1"/>
  <c r="H2554" i="1"/>
  <c r="A2555" i="1"/>
  <c r="B2555" i="1"/>
  <c r="C2555" i="1"/>
  <c r="E2555" i="1"/>
  <c r="G2555" i="1"/>
  <c r="H2555" i="1"/>
  <c r="A2556" i="1"/>
  <c r="B2556" i="1"/>
  <c r="C2556" i="1"/>
  <c r="E2556" i="1"/>
  <c r="G2556" i="1"/>
  <c r="H2556" i="1"/>
  <c r="A2557" i="1"/>
  <c r="B2557" i="1"/>
  <c r="C2557" i="1"/>
  <c r="E2557" i="1"/>
  <c r="G2557" i="1"/>
  <c r="H2557" i="1"/>
  <c r="A2558" i="1"/>
  <c r="B2558" i="1"/>
  <c r="C2558" i="1"/>
  <c r="E2558" i="1"/>
  <c r="G2558" i="1"/>
  <c r="H2558" i="1"/>
  <c r="A2559" i="1"/>
  <c r="B2559" i="1"/>
  <c r="C2559" i="1"/>
  <c r="E2559" i="1"/>
  <c r="G2559" i="1"/>
  <c r="H2559" i="1"/>
  <c r="A2560" i="1"/>
  <c r="B2560" i="1"/>
  <c r="C2560" i="1"/>
  <c r="E2560" i="1"/>
  <c r="G2560" i="1"/>
  <c r="H2560" i="1"/>
  <c r="A2561" i="1"/>
  <c r="B2561" i="1"/>
  <c r="C2561" i="1"/>
  <c r="E2561" i="1"/>
  <c r="G2561" i="1"/>
  <c r="H2561" i="1"/>
  <c r="A2562" i="1"/>
  <c r="B2562" i="1"/>
  <c r="C2562" i="1"/>
  <c r="E2562" i="1"/>
  <c r="G2562" i="1"/>
  <c r="H2562" i="1"/>
  <c r="A2563" i="1"/>
  <c r="B2563" i="1"/>
  <c r="C2563" i="1"/>
  <c r="E2563" i="1"/>
  <c r="G2563" i="1"/>
  <c r="H2563" i="1"/>
  <c r="A2564" i="1"/>
  <c r="B2564" i="1"/>
  <c r="C2564" i="1"/>
  <c r="E2564" i="1"/>
  <c r="G2564" i="1"/>
  <c r="H2564" i="1"/>
  <c r="A2565" i="1"/>
  <c r="B2565" i="1"/>
  <c r="C2565" i="1"/>
  <c r="E2565" i="1"/>
  <c r="G2565" i="1"/>
  <c r="H2565" i="1"/>
  <c r="A2566" i="1"/>
  <c r="B2566" i="1"/>
  <c r="C2566" i="1"/>
  <c r="E2566" i="1"/>
  <c r="G2566" i="1"/>
  <c r="H2566" i="1"/>
  <c r="A2567" i="1"/>
  <c r="B2567" i="1"/>
  <c r="C2567" i="1"/>
  <c r="E2567" i="1"/>
  <c r="G2567" i="1"/>
  <c r="H2567" i="1"/>
  <c r="A2568" i="1"/>
  <c r="B2568" i="1"/>
  <c r="C2568" i="1"/>
  <c r="E2568" i="1"/>
  <c r="G2568" i="1"/>
  <c r="H2568" i="1"/>
  <c r="A2569" i="1"/>
  <c r="B2569" i="1"/>
  <c r="C2569" i="1"/>
  <c r="E2569" i="1"/>
  <c r="G2569" i="1"/>
  <c r="H2569" i="1"/>
  <c r="A2570" i="1"/>
  <c r="B2570" i="1"/>
  <c r="C2570" i="1"/>
  <c r="E2570" i="1"/>
  <c r="G2570" i="1"/>
  <c r="H2570" i="1"/>
  <c r="A2571" i="1"/>
  <c r="B2571" i="1"/>
  <c r="C2571" i="1"/>
  <c r="E2571" i="1"/>
  <c r="G2571" i="1"/>
  <c r="H2571" i="1"/>
  <c r="A2572" i="1"/>
  <c r="B2572" i="1"/>
  <c r="C2572" i="1"/>
  <c r="E2572" i="1"/>
  <c r="G2572" i="1"/>
  <c r="H2572" i="1"/>
  <c r="A2573" i="1"/>
  <c r="B2573" i="1"/>
  <c r="C2573" i="1"/>
  <c r="E2573" i="1"/>
  <c r="G2573" i="1"/>
  <c r="H2573" i="1"/>
  <c r="A2574" i="1"/>
  <c r="B2574" i="1"/>
  <c r="C2574" i="1"/>
  <c r="E2574" i="1"/>
  <c r="G2574" i="1"/>
  <c r="H2574" i="1"/>
  <c r="A2575" i="1"/>
  <c r="B2575" i="1"/>
  <c r="C2575" i="1"/>
  <c r="E2575" i="1"/>
  <c r="G2575" i="1"/>
  <c r="H2575" i="1"/>
  <c r="A2576" i="1"/>
  <c r="B2576" i="1"/>
  <c r="C2576" i="1"/>
  <c r="E2576" i="1"/>
  <c r="G2576" i="1"/>
  <c r="H2576" i="1"/>
  <c r="A2577" i="1"/>
  <c r="B2577" i="1"/>
  <c r="C2577" i="1"/>
  <c r="E2577" i="1"/>
  <c r="G2577" i="1"/>
  <c r="H2577" i="1"/>
  <c r="A2578" i="1"/>
  <c r="B2578" i="1"/>
  <c r="C2578" i="1"/>
  <c r="E2578" i="1"/>
  <c r="G2578" i="1"/>
  <c r="H2578" i="1"/>
  <c r="A2579" i="1"/>
  <c r="B2579" i="1"/>
  <c r="C2579" i="1"/>
  <c r="E2579" i="1"/>
  <c r="G2579" i="1"/>
  <c r="H2579" i="1"/>
  <c r="A2580" i="1"/>
  <c r="B2580" i="1"/>
  <c r="C2580" i="1"/>
  <c r="E2580" i="1"/>
  <c r="G2580" i="1"/>
  <c r="H2580" i="1"/>
  <c r="A2581" i="1"/>
  <c r="B2581" i="1"/>
  <c r="C2581" i="1"/>
  <c r="E2581" i="1"/>
  <c r="G2581" i="1"/>
  <c r="H2581" i="1"/>
  <c r="A2582" i="1"/>
  <c r="B2582" i="1"/>
  <c r="C2582" i="1"/>
  <c r="E2582" i="1"/>
  <c r="G2582" i="1"/>
  <c r="H2582" i="1"/>
  <c r="A2583" i="1"/>
  <c r="B2583" i="1"/>
  <c r="C2583" i="1"/>
  <c r="E2583" i="1"/>
  <c r="G2583" i="1"/>
  <c r="H2583" i="1"/>
  <c r="A2584" i="1"/>
  <c r="B2584" i="1"/>
  <c r="C2584" i="1"/>
  <c r="E2584" i="1"/>
  <c r="G2584" i="1"/>
  <c r="H2584" i="1"/>
  <c r="A2585" i="1"/>
  <c r="B2585" i="1"/>
  <c r="C2585" i="1"/>
  <c r="E2585" i="1"/>
  <c r="G2585" i="1"/>
  <c r="H2585" i="1"/>
  <c r="A2586" i="1"/>
  <c r="B2586" i="1"/>
  <c r="C2586" i="1"/>
  <c r="E2586" i="1"/>
  <c r="G2586" i="1"/>
  <c r="H2586" i="1"/>
  <c r="A2587" i="1"/>
  <c r="B2587" i="1"/>
  <c r="C2587" i="1"/>
  <c r="E2587" i="1"/>
  <c r="G2587" i="1"/>
  <c r="H2587" i="1"/>
  <c r="A2588" i="1"/>
  <c r="B2588" i="1"/>
  <c r="C2588" i="1"/>
  <c r="E2588" i="1"/>
  <c r="G2588" i="1"/>
  <c r="H2588" i="1"/>
  <c r="A2589" i="1"/>
  <c r="B2589" i="1"/>
  <c r="C2589" i="1"/>
  <c r="E2589" i="1"/>
  <c r="G2589" i="1"/>
  <c r="H2589" i="1"/>
  <c r="A2590" i="1"/>
  <c r="B2590" i="1"/>
  <c r="C2590" i="1"/>
  <c r="E2590" i="1"/>
  <c r="G2590" i="1"/>
  <c r="H2590" i="1"/>
  <c r="A2591" i="1"/>
  <c r="B2591" i="1"/>
  <c r="C2591" i="1"/>
  <c r="E2591" i="1"/>
  <c r="G2591" i="1"/>
  <c r="H2591" i="1"/>
  <c r="A2592" i="1"/>
  <c r="B2592" i="1"/>
  <c r="C2592" i="1"/>
  <c r="E2592" i="1"/>
  <c r="G2592" i="1"/>
  <c r="H2592" i="1"/>
  <c r="A2593" i="1"/>
  <c r="B2593" i="1"/>
  <c r="C2593" i="1"/>
  <c r="E2593" i="1"/>
  <c r="G2593" i="1"/>
  <c r="H2593" i="1"/>
  <c r="A2594" i="1"/>
  <c r="B2594" i="1"/>
  <c r="C2594" i="1"/>
  <c r="E2594" i="1"/>
  <c r="G2594" i="1"/>
  <c r="H2594" i="1"/>
  <c r="A2595" i="1"/>
  <c r="B2595" i="1"/>
  <c r="C2595" i="1"/>
  <c r="E2595" i="1"/>
  <c r="G2595" i="1"/>
  <c r="H2595" i="1"/>
  <c r="A2596" i="1"/>
  <c r="B2596" i="1"/>
  <c r="C2596" i="1"/>
  <c r="E2596" i="1"/>
  <c r="G2596" i="1"/>
  <c r="H2596" i="1"/>
  <c r="A2597" i="1"/>
  <c r="B2597" i="1"/>
  <c r="C2597" i="1"/>
  <c r="E2597" i="1"/>
  <c r="G2597" i="1"/>
  <c r="H2597" i="1"/>
  <c r="A2598" i="1"/>
  <c r="B2598" i="1"/>
  <c r="C2598" i="1"/>
  <c r="E2598" i="1"/>
  <c r="G2598" i="1"/>
  <c r="H2598" i="1"/>
  <c r="A2599" i="1"/>
  <c r="B2599" i="1"/>
  <c r="C2599" i="1"/>
  <c r="E2599" i="1"/>
  <c r="G2599" i="1"/>
  <c r="H2599" i="1"/>
  <c r="A2600" i="1"/>
  <c r="B2600" i="1"/>
  <c r="C2600" i="1"/>
  <c r="E2600" i="1"/>
  <c r="G2600" i="1"/>
  <c r="H2600" i="1"/>
  <c r="A2601" i="1"/>
  <c r="B2601" i="1"/>
  <c r="C2601" i="1"/>
  <c r="E2601" i="1"/>
  <c r="G2601" i="1"/>
  <c r="H2601" i="1"/>
  <c r="A2602" i="1"/>
  <c r="B2602" i="1"/>
  <c r="C2602" i="1"/>
  <c r="E2602" i="1"/>
  <c r="G2602" i="1"/>
  <c r="H2602" i="1"/>
  <c r="A2603" i="1"/>
  <c r="B2603" i="1"/>
  <c r="C2603" i="1"/>
  <c r="E2603" i="1"/>
  <c r="G2603" i="1"/>
  <c r="H2603" i="1"/>
  <c r="A2604" i="1"/>
  <c r="B2604" i="1"/>
  <c r="C2604" i="1"/>
  <c r="E2604" i="1"/>
  <c r="G2604" i="1"/>
  <c r="H2604" i="1"/>
  <c r="A2605" i="1"/>
  <c r="B2605" i="1"/>
  <c r="C2605" i="1"/>
  <c r="E2605" i="1"/>
  <c r="G2605" i="1"/>
  <c r="H2605" i="1"/>
  <c r="A2606" i="1"/>
  <c r="B2606" i="1"/>
  <c r="C2606" i="1"/>
  <c r="E2606" i="1"/>
  <c r="G2606" i="1"/>
  <c r="H2606" i="1"/>
  <c r="A2607" i="1"/>
  <c r="B2607" i="1"/>
  <c r="C2607" i="1"/>
  <c r="E2607" i="1"/>
  <c r="G2607" i="1"/>
  <c r="H2607" i="1"/>
  <c r="A2608" i="1"/>
  <c r="B2608" i="1"/>
  <c r="C2608" i="1"/>
  <c r="E2608" i="1"/>
  <c r="G2608" i="1"/>
  <c r="H2608" i="1"/>
  <c r="A2609" i="1"/>
  <c r="B2609" i="1"/>
  <c r="C2609" i="1"/>
  <c r="E2609" i="1"/>
  <c r="G2609" i="1"/>
  <c r="H2609" i="1"/>
  <c r="A2610" i="1"/>
  <c r="B2610" i="1"/>
  <c r="C2610" i="1"/>
  <c r="E2610" i="1"/>
  <c r="G2610" i="1"/>
  <c r="H2610" i="1"/>
  <c r="A2611" i="1"/>
  <c r="B2611" i="1"/>
  <c r="C2611" i="1"/>
  <c r="E2611" i="1"/>
  <c r="G2611" i="1"/>
  <c r="H2611" i="1"/>
  <c r="A2612" i="1"/>
  <c r="B2612" i="1"/>
  <c r="C2612" i="1"/>
  <c r="E2612" i="1"/>
  <c r="G2612" i="1"/>
  <c r="H2612" i="1"/>
  <c r="A2613" i="1"/>
  <c r="B2613" i="1"/>
  <c r="C2613" i="1"/>
  <c r="E2613" i="1"/>
  <c r="G2613" i="1"/>
  <c r="H2613" i="1"/>
  <c r="A2614" i="1"/>
  <c r="B2614" i="1"/>
  <c r="C2614" i="1"/>
  <c r="E2614" i="1"/>
  <c r="G2614" i="1"/>
  <c r="H2614" i="1"/>
  <c r="A2615" i="1"/>
  <c r="B2615" i="1"/>
  <c r="C2615" i="1"/>
  <c r="E2615" i="1"/>
  <c r="G2615" i="1"/>
  <c r="H2615" i="1"/>
  <c r="A2616" i="1"/>
  <c r="B2616" i="1"/>
  <c r="C2616" i="1"/>
  <c r="E2616" i="1"/>
  <c r="G2616" i="1"/>
  <c r="H2616" i="1"/>
  <c r="A2617" i="1"/>
  <c r="B2617" i="1"/>
  <c r="C2617" i="1"/>
  <c r="E2617" i="1"/>
  <c r="G2617" i="1"/>
  <c r="H2617" i="1"/>
  <c r="A2618" i="1"/>
  <c r="B2618" i="1"/>
  <c r="C2618" i="1"/>
  <c r="E2618" i="1"/>
  <c r="G2618" i="1"/>
  <c r="H2618" i="1"/>
  <c r="A2619" i="1"/>
  <c r="B2619" i="1"/>
  <c r="C2619" i="1"/>
  <c r="E2619" i="1"/>
  <c r="G2619" i="1"/>
  <c r="H2619" i="1"/>
  <c r="A2620" i="1"/>
  <c r="B2620" i="1"/>
  <c r="C2620" i="1"/>
  <c r="E2620" i="1"/>
  <c r="G2620" i="1"/>
  <c r="H2620" i="1"/>
  <c r="A2621" i="1"/>
  <c r="B2621" i="1"/>
  <c r="C2621" i="1"/>
  <c r="E2621" i="1"/>
  <c r="G2621" i="1"/>
  <c r="H2621" i="1"/>
  <c r="A2622" i="1"/>
  <c r="B2622" i="1"/>
  <c r="C2622" i="1"/>
  <c r="E2622" i="1"/>
  <c r="G2622" i="1"/>
  <c r="H2622" i="1"/>
  <c r="A2623" i="1"/>
  <c r="B2623" i="1"/>
  <c r="C2623" i="1"/>
  <c r="E2623" i="1"/>
  <c r="G2623" i="1"/>
  <c r="H2623" i="1"/>
  <c r="A2624" i="1"/>
  <c r="B2624" i="1"/>
  <c r="C2624" i="1"/>
  <c r="E2624" i="1"/>
  <c r="G2624" i="1"/>
  <c r="H2624" i="1"/>
  <c r="A2625" i="1"/>
  <c r="B2625" i="1"/>
  <c r="C2625" i="1"/>
  <c r="E2625" i="1"/>
  <c r="G2625" i="1"/>
  <c r="H2625" i="1"/>
  <c r="A2626" i="1"/>
  <c r="B2626" i="1"/>
  <c r="C2626" i="1"/>
  <c r="E2626" i="1"/>
  <c r="G2626" i="1"/>
  <c r="H2626" i="1"/>
  <c r="A2627" i="1"/>
  <c r="B2627" i="1"/>
  <c r="C2627" i="1"/>
  <c r="E2627" i="1"/>
  <c r="G2627" i="1"/>
  <c r="H2627" i="1"/>
  <c r="A2628" i="1"/>
  <c r="B2628" i="1"/>
  <c r="C2628" i="1"/>
  <c r="E2628" i="1"/>
  <c r="G2628" i="1"/>
  <c r="H2628" i="1"/>
  <c r="A2629" i="1"/>
  <c r="B2629" i="1"/>
  <c r="C2629" i="1"/>
  <c r="E2629" i="1"/>
  <c r="G2629" i="1"/>
  <c r="H2629" i="1"/>
  <c r="A2630" i="1"/>
  <c r="B2630" i="1"/>
  <c r="C2630" i="1"/>
  <c r="E2630" i="1"/>
  <c r="G2630" i="1"/>
  <c r="H2630" i="1"/>
  <c r="A2631" i="1"/>
  <c r="B2631" i="1"/>
  <c r="C2631" i="1"/>
  <c r="E2631" i="1"/>
  <c r="G2631" i="1"/>
  <c r="H2631" i="1"/>
  <c r="A2632" i="1"/>
  <c r="B2632" i="1"/>
  <c r="C2632" i="1"/>
  <c r="E2632" i="1"/>
  <c r="G2632" i="1"/>
  <c r="H2632" i="1"/>
  <c r="A2633" i="1"/>
  <c r="B2633" i="1"/>
  <c r="C2633" i="1"/>
  <c r="E2633" i="1"/>
  <c r="G2633" i="1"/>
  <c r="H2633" i="1"/>
  <c r="A2634" i="1"/>
  <c r="B2634" i="1"/>
  <c r="C2634" i="1"/>
  <c r="E2634" i="1"/>
  <c r="G2634" i="1"/>
  <c r="H2634" i="1"/>
  <c r="A2635" i="1"/>
  <c r="B2635" i="1"/>
  <c r="C2635" i="1"/>
  <c r="E2635" i="1"/>
  <c r="G2635" i="1"/>
  <c r="H2635" i="1"/>
  <c r="A2636" i="1"/>
  <c r="B2636" i="1"/>
  <c r="C2636" i="1"/>
  <c r="E2636" i="1"/>
  <c r="G2636" i="1"/>
  <c r="H2636" i="1"/>
  <c r="A2637" i="1"/>
  <c r="B2637" i="1"/>
  <c r="C2637" i="1"/>
  <c r="E2637" i="1"/>
  <c r="G2637" i="1"/>
  <c r="H2637" i="1"/>
  <c r="A2638" i="1"/>
  <c r="B2638" i="1"/>
  <c r="C2638" i="1"/>
  <c r="E2638" i="1"/>
  <c r="G2638" i="1"/>
  <c r="H2638" i="1"/>
  <c r="A2639" i="1"/>
  <c r="B2639" i="1"/>
  <c r="C2639" i="1"/>
  <c r="E2639" i="1"/>
  <c r="G2639" i="1"/>
  <c r="H2639" i="1"/>
  <c r="A2640" i="1"/>
  <c r="B2640" i="1"/>
  <c r="C2640" i="1"/>
  <c r="E2640" i="1"/>
  <c r="G2640" i="1"/>
  <c r="H2640" i="1"/>
  <c r="A2641" i="1"/>
  <c r="B2641" i="1"/>
  <c r="C2641" i="1"/>
  <c r="E2641" i="1"/>
  <c r="G2641" i="1"/>
  <c r="H2641" i="1"/>
  <c r="A2642" i="1"/>
  <c r="B2642" i="1"/>
  <c r="C2642" i="1"/>
  <c r="E2642" i="1"/>
  <c r="G2642" i="1"/>
  <c r="H2642" i="1"/>
  <c r="A2643" i="1"/>
  <c r="B2643" i="1"/>
  <c r="C2643" i="1"/>
  <c r="E2643" i="1"/>
  <c r="G2643" i="1"/>
  <c r="H2643" i="1"/>
  <c r="A2644" i="1"/>
  <c r="B2644" i="1"/>
  <c r="C2644" i="1"/>
  <c r="E2644" i="1"/>
  <c r="G2644" i="1"/>
  <c r="H2644" i="1"/>
  <c r="A2645" i="1"/>
  <c r="B2645" i="1"/>
  <c r="C2645" i="1"/>
  <c r="E2645" i="1"/>
  <c r="G2645" i="1"/>
  <c r="H2645" i="1"/>
  <c r="A2646" i="1"/>
  <c r="B2646" i="1"/>
  <c r="C2646" i="1"/>
  <c r="E2646" i="1"/>
  <c r="G2646" i="1"/>
  <c r="H2646" i="1"/>
  <c r="A2647" i="1"/>
  <c r="B2647" i="1"/>
  <c r="C2647" i="1"/>
  <c r="E2647" i="1"/>
  <c r="G2647" i="1"/>
  <c r="H2647" i="1"/>
  <c r="A2648" i="1"/>
  <c r="B2648" i="1"/>
  <c r="C2648" i="1"/>
  <c r="E2648" i="1"/>
  <c r="G2648" i="1"/>
  <c r="H2648" i="1"/>
  <c r="A2649" i="1"/>
  <c r="B2649" i="1"/>
  <c r="C2649" i="1"/>
  <c r="E2649" i="1"/>
  <c r="G2649" i="1"/>
  <c r="H2649" i="1"/>
  <c r="A2650" i="1"/>
  <c r="B2650" i="1"/>
  <c r="C2650" i="1"/>
  <c r="E2650" i="1"/>
  <c r="G2650" i="1"/>
  <c r="H2650" i="1"/>
  <c r="A2651" i="1"/>
  <c r="B2651" i="1"/>
  <c r="C2651" i="1"/>
  <c r="E2651" i="1"/>
  <c r="G2651" i="1"/>
  <c r="H2651" i="1"/>
  <c r="A2652" i="1"/>
  <c r="B2652" i="1"/>
  <c r="C2652" i="1"/>
  <c r="E2652" i="1"/>
  <c r="G2652" i="1"/>
  <c r="H2652" i="1"/>
  <c r="A2653" i="1"/>
  <c r="B2653" i="1"/>
  <c r="C2653" i="1"/>
  <c r="E2653" i="1"/>
  <c r="G2653" i="1"/>
  <c r="H2653" i="1"/>
  <c r="A2654" i="1"/>
  <c r="B2654" i="1"/>
  <c r="C2654" i="1"/>
  <c r="E2654" i="1"/>
  <c r="G2654" i="1"/>
  <c r="H2654" i="1"/>
  <c r="A2655" i="1"/>
  <c r="B2655" i="1"/>
  <c r="C2655" i="1"/>
  <c r="E2655" i="1"/>
  <c r="G2655" i="1"/>
  <c r="H2655" i="1"/>
  <c r="A2656" i="1"/>
  <c r="B2656" i="1"/>
  <c r="C2656" i="1"/>
  <c r="E2656" i="1"/>
  <c r="G2656" i="1"/>
  <c r="H2656" i="1"/>
  <c r="A2657" i="1"/>
  <c r="B2657" i="1"/>
  <c r="C2657" i="1"/>
  <c r="E2657" i="1"/>
  <c r="G2657" i="1"/>
  <c r="H2657" i="1"/>
  <c r="A2658" i="1"/>
  <c r="B2658" i="1"/>
  <c r="C2658" i="1"/>
  <c r="E2658" i="1"/>
  <c r="G2658" i="1"/>
  <c r="H2658" i="1"/>
  <c r="A2659" i="1"/>
  <c r="B2659" i="1"/>
  <c r="C2659" i="1"/>
  <c r="E2659" i="1"/>
  <c r="G2659" i="1"/>
  <c r="H2659" i="1"/>
  <c r="A2660" i="1"/>
  <c r="B2660" i="1"/>
  <c r="C2660" i="1"/>
  <c r="E2660" i="1"/>
  <c r="G2660" i="1"/>
  <c r="H2660" i="1"/>
  <c r="A2661" i="1"/>
  <c r="B2661" i="1"/>
  <c r="C2661" i="1"/>
  <c r="E2661" i="1"/>
  <c r="G2661" i="1"/>
  <c r="H2661" i="1"/>
  <c r="A2662" i="1"/>
  <c r="B2662" i="1"/>
  <c r="C2662" i="1"/>
  <c r="E2662" i="1"/>
  <c r="G2662" i="1"/>
  <c r="H2662" i="1"/>
  <c r="A2663" i="1"/>
  <c r="B2663" i="1"/>
  <c r="C2663" i="1"/>
  <c r="E2663" i="1"/>
  <c r="G2663" i="1"/>
  <c r="H2663" i="1"/>
  <c r="A2664" i="1"/>
  <c r="B2664" i="1"/>
  <c r="C2664" i="1"/>
  <c r="E2664" i="1"/>
  <c r="G2664" i="1"/>
  <c r="H2664" i="1"/>
  <c r="A2665" i="1"/>
  <c r="B2665" i="1"/>
  <c r="C2665" i="1"/>
  <c r="E2665" i="1"/>
  <c r="G2665" i="1"/>
  <c r="H2665" i="1"/>
  <c r="A2666" i="1"/>
  <c r="B2666" i="1"/>
  <c r="C2666" i="1"/>
  <c r="E2666" i="1"/>
  <c r="G2666" i="1"/>
  <c r="H2666" i="1"/>
  <c r="A2667" i="1"/>
  <c r="B2667" i="1"/>
  <c r="C2667" i="1"/>
  <c r="E2667" i="1"/>
  <c r="G2667" i="1"/>
  <c r="H2667" i="1"/>
  <c r="A2668" i="1"/>
  <c r="B2668" i="1"/>
  <c r="C2668" i="1"/>
  <c r="E2668" i="1"/>
  <c r="G2668" i="1"/>
  <c r="H2668" i="1"/>
  <c r="A2669" i="1"/>
  <c r="B2669" i="1"/>
  <c r="C2669" i="1"/>
  <c r="E2669" i="1"/>
  <c r="G2669" i="1"/>
  <c r="H2669" i="1"/>
  <c r="A2670" i="1"/>
  <c r="B2670" i="1"/>
  <c r="C2670" i="1"/>
  <c r="E2670" i="1"/>
  <c r="G2670" i="1"/>
  <c r="H2670" i="1"/>
  <c r="A2671" i="1"/>
  <c r="B2671" i="1"/>
  <c r="C2671" i="1"/>
  <c r="E2671" i="1"/>
  <c r="G2671" i="1"/>
  <c r="H2671" i="1"/>
  <c r="A2672" i="1"/>
  <c r="B2672" i="1"/>
  <c r="C2672" i="1"/>
  <c r="E2672" i="1"/>
  <c r="G2672" i="1"/>
  <c r="H2672" i="1"/>
  <c r="A2673" i="1"/>
  <c r="B2673" i="1"/>
  <c r="C2673" i="1"/>
  <c r="E2673" i="1"/>
  <c r="G2673" i="1"/>
  <c r="H2673" i="1"/>
  <c r="A2674" i="1"/>
  <c r="B2674" i="1"/>
  <c r="C2674" i="1"/>
  <c r="E2674" i="1"/>
  <c r="G2674" i="1"/>
  <c r="H2674" i="1"/>
  <c r="A2675" i="1"/>
  <c r="B2675" i="1"/>
  <c r="C2675" i="1"/>
  <c r="E2675" i="1"/>
  <c r="G2675" i="1"/>
  <c r="H2675" i="1"/>
  <c r="A2676" i="1"/>
  <c r="B2676" i="1"/>
  <c r="C2676" i="1"/>
  <c r="E2676" i="1"/>
  <c r="G2676" i="1"/>
  <c r="H2676" i="1"/>
  <c r="A2677" i="1"/>
  <c r="B2677" i="1"/>
  <c r="C2677" i="1"/>
  <c r="E2677" i="1"/>
  <c r="G2677" i="1"/>
  <c r="H2677" i="1"/>
  <c r="A2678" i="1"/>
  <c r="B2678" i="1"/>
  <c r="C2678" i="1"/>
  <c r="E2678" i="1"/>
  <c r="G2678" i="1"/>
  <c r="H2678" i="1"/>
  <c r="A2679" i="1"/>
  <c r="B2679" i="1"/>
  <c r="C2679" i="1"/>
  <c r="E2679" i="1"/>
  <c r="G2679" i="1"/>
  <c r="H2679" i="1"/>
  <c r="A2680" i="1"/>
  <c r="B2680" i="1"/>
  <c r="C2680" i="1"/>
  <c r="E2680" i="1"/>
  <c r="G2680" i="1"/>
  <c r="H2680" i="1"/>
  <c r="A2681" i="1"/>
  <c r="B2681" i="1"/>
  <c r="C2681" i="1"/>
  <c r="E2681" i="1"/>
  <c r="G2681" i="1"/>
  <c r="H2681" i="1"/>
  <c r="A2682" i="1"/>
  <c r="B2682" i="1"/>
  <c r="C2682" i="1"/>
  <c r="E2682" i="1"/>
  <c r="G2682" i="1"/>
  <c r="H2682" i="1"/>
  <c r="A2683" i="1"/>
  <c r="B2683" i="1"/>
  <c r="C2683" i="1"/>
  <c r="E2683" i="1"/>
  <c r="G2683" i="1"/>
  <c r="H2683" i="1"/>
  <c r="A2684" i="1"/>
  <c r="B2684" i="1"/>
  <c r="C2684" i="1"/>
  <c r="E2684" i="1"/>
  <c r="G2684" i="1"/>
  <c r="H2684" i="1"/>
  <c r="A2685" i="1"/>
  <c r="B2685" i="1"/>
  <c r="C2685" i="1"/>
  <c r="E2685" i="1"/>
  <c r="G2685" i="1"/>
  <c r="H2685" i="1"/>
  <c r="A2686" i="1"/>
  <c r="B2686" i="1"/>
  <c r="C2686" i="1"/>
  <c r="E2686" i="1"/>
  <c r="G2686" i="1"/>
  <c r="H2686" i="1"/>
  <c r="A2687" i="1"/>
  <c r="B2687" i="1"/>
  <c r="C2687" i="1"/>
  <c r="E2687" i="1"/>
  <c r="G2687" i="1"/>
  <c r="H2687" i="1"/>
  <c r="A2688" i="1"/>
  <c r="B2688" i="1"/>
  <c r="C2688" i="1"/>
  <c r="E2688" i="1"/>
  <c r="G2688" i="1"/>
  <c r="H2688" i="1"/>
  <c r="A2689" i="1"/>
  <c r="B2689" i="1"/>
  <c r="C2689" i="1"/>
  <c r="E2689" i="1"/>
  <c r="G2689" i="1"/>
  <c r="H2689" i="1"/>
  <c r="A2690" i="1"/>
  <c r="B2690" i="1"/>
  <c r="C2690" i="1"/>
  <c r="E2690" i="1"/>
  <c r="G2690" i="1"/>
  <c r="H2690" i="1"/>
  <c r="A2691" i="1"/>
  <c r="B2691" i="1"/>
  <c r="C2691" i="1"/>
  <c r="E2691" i="1"/>
  <c r="G2691" i="1"/>
  <c r="H2691" i="1"/>
  <c r="A2692" i="1"/>
  <c r="B2692" i="1"/>
  <c r="C2692" i="1"/>
  <c r="E2692" i="1"/>
  <c r="G2692" i="1"/>
  <c r="H2692" i="1"/>
  <c r="A2693" i="1"/>
  <c r="B2693" i="1"/>
  <c r="C2693" i="1"/>
  <c r="E2693" i="1"/>
  <c r="G2693" i="1"/>
  <c r="H2693" i="1"/>
  <c r="A2694" i="1"/>
  <c r="B2694" i="1"/>
  <c r="C2694" i="1"/>
  <c r="E2694" i="1"/>
  <c r="G2694" i="1"/>
  <c r="H2694" i="1"/>
  <c r="A2695" i="1"/>
  <c r="B2695" i="1"/>
  <c r="C2695" i="1"/>
  <c r="E2695" i="1"/>
  <c r="G2695" i="1"/>
  <c r="H2695" i="1"/>
  <c r="A2696" i="1"/>
  <c r="B2696" i="1"/>
  <c r="C2696" i="1"/>
  <c r="E2696" i="1"/>
  <c r="G2696" i="1"/>
  <c r="H2696" i="1"/>
  <c r="A2697" i="1"/>
  <c r="B2697" i="1"/>
  <c r="C2697" i="1"/>
  <c r="E2697" i="1"/>
  <c r="G2697" i="1"/>
  <c r="H2697" i="1"/>
  <c r="A2698" i="1"/>
  <c r="B2698" i="1"/>
  <c r="C2698" i="1"/>
  <c r="E2698" i="1"/>
  <c r="G2698" i="1"/>
  <c r="H2698" i="1"/>
  <c r="A2699" i="1"/>
  <c r="B2699" i="1"/>
  <c r="C2699" i="1"/>
  <c r="E2699" i="1"/>
  <c r="G2699" i="1"/>
  <c r="H2699" i="1"/>
  <c r="A2700" i="1"/>
  <c r="B2700" i="1"/>
  <c r="C2700" i="1"/>
  <c r="E2700" i="1"/>
  <c r="G2700" i="1"/>
  <c r="H2700" i="1"/>
  <c r="A2701" i="1"/>
  <c r="B2701" i="1"/>
  <c r="C2701" i="1"/>
  <c r="E2701" i="1"/>
  <c r="G2701" i="1"/>
  <c r="H2701" i="1"/>
  <c r="A2702" i="1"/>
  <c r="B2702" i="1"/>
  <c r="C2702" i="1"/>
  <c r="E2702" i="1"/>
  <c r="G2702" i="1"/>
  <c r="H2702" i="1"/>
  <c r="A2703" i="1"/>
  <c r="B2703" i="1"/>
  <c r="C2703" i="1"/>
  <c r="E2703" i="1"/>
  <c r="G2703" i="1"/>
  <c r="H2703" i="1"/>
  <c r="A2704" i="1"/>
  <c r="B2704" i="1"/>
  <c r="C2704" i="1"/>
  <c r="E2704" i="1"/>
  <c r="G2704" i="1"/>
  <c r="H2704" i="1"/>
  <c r="A2705" i="1"/>
  <c r="B2705" i="1"/>
  <c r="C2705" i="1"/>
  <c r="E2705" i="1"/>
  <c r="G2705" i="1"/>
  <c r="H2705" i="1"/>
  <c r="A2706" i="1"/>
  <c r="B2706" i="1"/>
  <c r="C2706" i="1"/>
  <c r="E2706" i="1"/>
  <c r="G2706" i="1"/>
  <c r="H2706" i="1"/>
  <c r="A2707" i="1"/>
  <c r="B2707" i="1"/>
  <c r="C2707" i="1"/>
  <c r="E2707" i="1"/>
  <c r="G2707" i="1"/>
  <c r="H2707" i="1"/>
  <c r="A2708" i="1"/>
  <c r="B2708" i="1"/>
  <c r="C2708" i="1"/>
  <c r="E2708" i="1"/>
  <c r="G2708" i="1"/>
  <c r="H2708" i="1"/>
  <c r="A2709" i="1"/>
  <c r="B2709" i="1"/>
  <c r="C2709" i="1"/>
  <c r="E2709" i="1"/>
  <c r="G2709" i="1"/>
  <c r="H2709" i="1"/>
  <c r="A2710" i="1"/>
  <c r="B2710" i="1"/>
  <c r="C2710" i="1"/>
  <c r="E2710" i="1"/>
  <c r="G2710" i="1"/>
  <c r="H2710" i="1"/>
  <c r="A2711" i="1"/>
  <c r="B2711" i="1"/>
  <c r="C2711" i="1"/>
  <c r="E2711" i="1"/>
  <c r="G2711" i="1"/>
  <c r="H2711" i="1"/>
  <c r="A2712" i="1"/>
  <c r="B2712" i="1"/>
  <c r="C2712" i="1"/>
  <c r="E2712" i="1"/>
  <c r="G2712" i="1"/>
  <c r="H2712" i="1"/>
  <c r="A2713" i="1"/>
  <c r="B2713" i="1"/>
  <c r="C2713" i="1"/>
  <c r="E2713" i="1"/>
  <c r="G2713" i="1"/>
  <c r="H2713" i="1"/>
  <c r="A2714" i="1"/>
  <c r="B2714" i="1"/>
  <c r="C2714" i="1"/>
  <c r="E2714" i="1"/>
  <c r="G2714" i="1"/>
  <c r="H2714" i="1"/>
  <c r="A2715" i="1"/>
  <c r="B2715" i="1"/>
  <c r="C2715" i="1"/>
  <c r="E2715" i="1"/>
  <c r="G2715" i="1"/>
  <c r="H2715" i="1"/>
  <c r="A2716" i="1"/>
  <c r="B2716" i="1"/>
  <c r="C2716" i="1"/>
  <c r="E2716" i="1"/>
  <c r="G2716" i="1"/>
  <c r="H2716" i="1"/>
  <c r="A2717" i="1"/>
  <c r="B2717" i="1"/>
  <c r="C2717" i="1"/>
  <c r="E2717" i="1"/>
  <c r="G2717" i="1"/>
  <c r="H2717" i="1"/>
  <c r="A2718" i="1"/>
  <c r="B2718" i="1"/>
  <c r="C2718" i="1"/>
  <c r="E2718" i="1"/>
  <c r="G2718" i="1"/>
  <c r="H2718" i="1"/>
  <c r="A2719" i="1"/>
  <c r="B2719" i="1"/>
  <c r="C2719" i="1"/>
  <c r="E2719" i="1"/>
  <c r="G2719" i="1"/>
  <c r="H2719" i="1"/>
  <c r="A2720" i="1"/>
  <c r="B2720" i="1"/>
  <c r="C2720" i="1"/>
  <c r="E2720" i="1"/>
  <c r="G2720" i="1"/>
  <c r="H2720" i="1"/>
  <c r="A2721" i="1"/>
  <c r="B2721" i="1"/>
  <c r="C2721" i="1"/>
  <c r="E2721" i="1"/>
  <c r="G2721" i="1"/>
  <c r="H2721" i="1"/>
  <c r="A2722" i="1"/>
  <c r="B2722" i="1"/>
  <c r="C2722" i="1"/>
  <c r="E2722" i="1"/>
  <c r="G2722" i="1"/>
  <c r="H2722" i="1"/>
  <c r="A2723" i="1"/>
  <c r="B2723" i="1"/>
  <c r="C2723" i="1"/>
  <c r="E2723" i="1"/>
  <c r="G2723" i="1"/>
  <c r="H2723" i="1"/>
  <c r="A2724" i="1"/>
  <c r="B2724" i="1"/>
  <c r="C2724" i="1"/>
  <c r="E2724" i="1"/>
  <c r="G2724" i="1"/>
  <c r="H2724" i="1"/>
  <c r="A2725" i="1"/>
  <c r="B2725" i="1"/>
  <c r="C2725" i="1"/>
  <c r="E2725" i="1"/>
  <c r="G2725" i="1"/>
  <c r="H2725" i="1"/>
  <c r="A2726" i="1"/>
  <c r="B2726" i="1"/>
  <c r="C2726" i="1"/>
  <c r="E2726" i="1"/>
  <c r="G2726" i="1"/>
  <c r="H2726" i="1"/>
  <c r="A2727" i="1"/>
  <c r="B2727" i="1"/>
  <c r="C2727" i="1"/>
  <c r="E2727" i="1"/>
  <c r="G2727" i="1"/>
  <c r="H2727" i="1"/>
  <c r="A2728" i="1"/>
  <c r="B2728" i="1"/>
  <c r="C2728" i="1"/>
  <c r="E2728" i="1"/>
  <c r="G2728" i="1"/>
  <c r="H2728" i="1"/>
  <c r="A2729" i="1"/>
  <c r="B2729" i="1"/>
  <c r="C2729" i="1"/>
  <c r="E2729" i="1"/>
  <c r="G2729" i="1"/>
  <c r="H2729" i="1"/>
  <c r="A2730" i="1"/>
  <c r="B2730" i="1"/>
  <c r="C2730" i="1"/>
  <c r="E2730" i="1"/>
  <c r="G2730" i="1"/>
  <c r="H2730" i="1"/>
  <c r="A2731" i="1"/>
  <c r="B2731" i="1"/>
  <c r="C2731" i="1"/>
  <c r="E2731" i="1"/>
  <c r="G2731" i="1"/>
  <c r="H2731" i="1"/>
  <c r="A2732" i="1"/>
  <c r="B2732" i="1"/>
  <c r="C2732" i="1"/>
  <c r="E2732" i="1"/>
  <c r="G2732" i="1"/>
  <c r="H2732" i="1"/>
  <c r="A2733" i="1"/>
  <c r="B2733" i="1"/>
  <c r="C2733" i="1"/>
  <c r="E2733" i="1"/>
  <c r="G2733" i="1"/>
  <c r="H2733" i="1"/>
  <c r="A2734" i="1"/>
  <c r="B2734" i="1"/>
  <c r="C2734" i="1"/>
  <c r="E2734" i="1"/>
  <c r="G2734" i="1"/>
  <c r="H2734" i="1"/>
  <c r="A2735" i="1"/>
  <c r="B2735" i="1"/>
  <c r="C2735" i="1"/>
  <c r="E2735" i="1"/>
  <c r="G2735" i="1"/>
  <c r="H2735" i="1"/>
  <c r="A2736" i="1"/>
  <c r="B2736" i="1"/>
  <c r="C2736" i="1"/>
  <c r="E2736" i="1"/>
  <c r="G2736" i="1"/>
  <c r="H2736" i="1"/>
  <c r="A2737" i="1"/>
  <c r="B2737" i="1"/>
  <c r="C2737" i="1"/>
  <c r="E2737" i="1"/>
  <c r="G2737" i="1"/>
  <c r="H2737" i="1"/>
  <c r="A2738" i="1"/>
  <c r="B2738" i="1"/>
  <c r="C2738" i="1"/>
  <c r="E2738" i="1"/>
  <c r="G2738" i="1"/>
  <c r="H2738" i="1"/>
  <c r="A2739" i="1"/>
  <c r="B2739" i="1"/>
  <c r="C2739" i="1"/>
  <c r="E2739" i="1"/>
  <c r="G2739" i="1"/>
  <c r="H2739" i="1"/>
  <c r="A2740" i="1"/>
  <c r="B2740" i="1"/>
  <c r="C2740" i="1"/>
  <c r="E2740" i="1"/>
  <c r="G2740" i="1"/>
  <c r="H2740" i="1"/>
  <c r="A2741" i="1"/>
  <c r="B2741" i="1"/>
  <c r="C2741" i="1"/>
  <c r="E2741" i="1"/>
  <c r="G2741" i="1"/>
  <c r="H2741" i="1"/>
  <c r="A2742" i="1"/>
  <c r="B2742" i="1"/>
  <c r="C2742" i="1"/>
  <c r="E2742" i="1"/>
  <c r="G2742" i="1"/>
  <c r="H2742" i="1"/>
  <c r="A2743" i="1"/>
  <c r="B2743" i="1"/>
  <c r="C2743" i="1"/>
  <c r="E2743" i="1"/>
  <c r="G2743" i="1"/>
  <c r="H2743" i="1"/>
  <c r="A2744" i="1"/>
  <c r="B2744" i="1"/>
  <c r="C2744" i="1"/>
  <c r="E2744" i="1"/>
  <c r="G2744" i="1"/>
  <c r="H2744" i="1"/>
  <c r="A2745" i="1"/>
  <c r="B2745" i="1"/>
  <c r="C2745" i="1"/>
  <c r="E2745" i="1"/>
  <c r="G2745" i="1"/>
  <c r="H2745" i="1"/>
  <c r="A2746" i="1"/>
  <c r="B2746" i="1"/>
  <c r="C2746" i="1"/>
  <c r="E2746" i="1"/>
  <c r="G2746" i="1"/>
  <c r="H2746" i="1"/>
  <c r="A2747" i="1"/>
  <c r="B2747" i="1"/>
  <c r="C2747" i="1"/>
  <c r="E2747" i="1"/>
  <c r="G2747" i="1"/>
  <c r="H2747" i="1"/>
  <c r="A2748" i="1"/>
  <c r="B2748" i="1"/>
  <c r="C2748" i="1"/>
  <c r="E2748" i="1"/>
  <c r="G2748" i="1"/>
  <c r="H2748" i="1"/>
  <c r="A2749" i="1"/>
  <c r="B2749" i="1"/>
  <c r="C2749" i="1"/>
  <c r="E2749" i="1"/>
  <c r="G2749" i="1"/>
  <c r="H2749" i="1"/>
  <c r="A2750" i="1"/>
  <c r="B2750" i="1"/>
  <c r="C2750" i="1"/>
  <c r="E2750" i="1"/>
  <c r="G2750" i="1"/>
  <c r="H2750" i="1"/>
  <c r="A2751" i="1"/>
  <c r="B2751" i="1"/>
  <c r="C2751" i="1"/>
  <c r="E2751" i="1"/>
  <c r="G2751" i="1"/>
  <c r="H2751" i="1"/>
  <c r="A2752" i="1"/>
  <c r="B2752" i="1"/>
  <c r="C2752" i="1"/>
  <c r="E2752" i="1"/>
  <c r="G2752" i="1"/>
  <c r="H2752" i="1"/>
  <c r="A2753" i="1"/>
  <c r="B2753" i="1"/>
  <c r="C2753" i="1"/>
  <c r="E2753" i="1"/>
  <c r="G2753" i="1"/>
  <c r="H2753" i="1"/>
  <c r="A2754" i="1"/>
  <c r="B2754" i="1"/>
  <c r="C2754" i="1"/>
  <c r="E2754" i="1"/>
  <c r="G2754" i="1"/>
  <c r="H2754" i="1"/>
  <c r="A2755" i="1"/>
  <c r="B2755" i="1"/>
  <c r="C2755" i="1"/>
  <c r="E2755" i="1"/>
  <c r="G2755" i="1"/>
  <c r="H2755" i="1"/>
  <c r="A2756" i="1"/>
  <c r="B2756" i="1"/>
  <c r="C2756" i="1"/>
  <c r="E2756" i="1"/>
  <c r="G2756" i="1"/>
  <c r="H2756" i="1"/>
  <c r="A2757" i="1"/>
  <c r="B2757" i="1"/>
  <c r="C2757" i="1"/>
  <c r="E2757" i="1"/>
  <c r="G2757" i="1"/>
  <c r="H2757" i="1"/>
  <c r="A2758" i="1"/>
  <c r="B2758" i="1"/>
  <c r="C2758" i="1"/>
  <c r="E2758" i="1"/>
  <c r="G2758" i="1"/>
  <c r="H2758" i="1"/>
  <c r="A2759" i="1"/>
  <c r="B2759" i="1"/>
  <c r="C2759" i="1"/>
  <c r="E2759" i="1"/>
  <c r="G2759" i="1"/>
  <c r="H2759" i="1"/>
  <c r="A2760" i="1"/>
  <c r="B2760" i="1"/>
  <c r="C2760" i="1"/>
  <c r="E2760" i="1"/>
  <c r="G2760" i="1"/>
  <c r="H2760" i="1"/>
  <c r="A2761" i="1"/>
  <c r="B2761" i="1"/>
  <c r="C2761" i="1"/>
  <c r="E2761" i="1"/>
  <c r="G2761" i="1"/>
  <c r="H2761" i="1"/>
  <c r="A2762" i="1"/>
  <c r="B2762" i="1"/>
  <c r="C2762" i="1"/>
  <c r="E2762" i="1"/>
  <c r="G2762" i="1"/>
  <c r="H2762" i="1"/>
  <c r="A2763" i="1"/>
  <c r="B2763" i="1"/>
  <c r="C2763" i="1"/>
  <c r="E2763" i="1"/>
  <c r="G2763" i="1"/>
  <c r="H2763" i="1"/>
  <c r="A2764" i="1"/>
  <c r="B2764" i="1"/>
  <c r="C2764" i="1"/>
  <c r="E2764" i="1"/>
  <c r="G2764" i="1"/>
  <c r="H2764" i="1"/>
  <c r="A2765" i="1"/>
  <c r="B2765" i="1"/>
  <c r="C2765" i="1"/>
  <c r="E2765" i="1"/>
  <c r="G2765" i="1"/>
  <c r="H2765" i="1"/>
  <c r="A2766" i="1"/>
  <c r="B2766" i="1"/>
  <c r="C2766" i="1"/>
  <c r="E2766" i="1"/>
  <c r="G2766" i="1"/>
  <c r="H2766" i="1"/>
  <c r="A2767" i="1"/>
  <c r="B2767" i="1"/>
  <c r="C2767" i="1"/>
  <c r="E2767" i="1"/>
  <c r="G2767" i="1"/>
  <c r="H2767" i="1"/>
  <c r="A2768" i="1"/>
  <c r="B2768" i="1"/>
  <c r="C2768" i="1"/>
  <c r="E2768" i="1"/>
  <c r="G2768" i="1"/>
  <c r="H2768" i="1"/>
  <c r="A2769" i="1"/>
  <c r="B2769" i="1"/>
  <c r="C2769" i="1"/>
  <c r="E2769" i="1"/>
  <c r="G2769" i="1"/>
  <c r="H2769" i="1"/>
  <c r="A2770" i="1"/>
  <c r="B2770" i="1"/>
  <c r="C2770" i="1"/>
  <c r="E2770" i="1"/>
  <c r="G2770" i="1"/>
  <c r="H2770" i="1"/>
  <c r="A2771" i="1"/>
  <c r="B2771" i="1"/>
  <c r="C2771" i="1"/>
  <c r="E2771" i="1"/>
  <c r="G2771" i="1"/>
  <c r="H2771" i="1"/>
  <c r="A2772" i="1"/>
  <c r="B2772" i="1"/>
  <c r="C2772" i="1"/>
  <c r="E2772" i="1"/>
  <c r="G2772" i="1"/>
  <c r="H2772" i="1"/>
  <c r="A2773" i="1"/>
  <c r="B2773" i="1"/>
  <c r="C2773" i="1"/>
  <c r="E2773" i="1"/>
  <c r="G2773" i="1"/>
  <c r="H2773" i="1"/>
  <c r="A2774" i="1"/>
  <c r="B2774" i="1"/>
  <c r="C2774" i="1"/>
  <c r="E2774" i="1"/>
  <c r="G2774" i="1"/>
  <c r="H2774" i="1"/>
  <c r="A2775" i="1"/>
  <c r="B2775" i="1"/>
  <c r="C2775" i="1"/>
  <c r="E2775" i="1"/>
  <c r="G2775" i="1"/>
  <c r="H2775" i="1"/>
  <c r="A2776" i="1"/>
  <c r="B2776" i="1"/>
  <c r="C2776" i="1"/>
  <c r="E2776" i="1"/>
  <c r="G2776" i="1"/>
  <c r="H2776" i="1"/>
  <c r="A2777" i="1"/>
  <c r="B2777" i="1"/>
  <c r="C2777" i="1"/>
  <c r="E2777" i="1"/>
  <c r="G2777" i="1"/>
  <c r="H2777" i="1"/>
  <c r="A2778" i="1"/>
  <c r="B2778" i="1"/>
  <c r="C2778" i="1"/>
  <c r="E2778" i="1"/>
  <c r="G2778" i="1"/>
  <c r="H2778" i="1"/>
  <c r="A2779" i="1"/>
  <c r="B2779" i="1"/>
  <c r="C2779" i="1"/>
  <c r="E2779" i="1"/>
  <c r="G2779" i="1"/>
  <c r="H2779" i="1"/>
  <c r="A2780" i="1"/>
  <c r="B2780" i="1"/>
  <c r="C2780" i="1"/>
  <c r="E2780" i="1"/>
  <c r="G2780" i="1"/>
  <c r="H2780" i="1"/>
  <c r="A2781" i="1"/>
  <c r="B2781" i="1"/>
  <c r="C2781" i="1"/>
  <c r="E2781" i="1"/>
  <c r="G2781" i="1"/>
  <c r="H2781" i="1"/>
  <c r="A2782" i="1"/>
  <c r="B2782" i="1"/>
  <c r="C2782" i="1"/>
  <c r="E2782" i="1"/>
  <c r="G2782" i="1"/>
  <c r="H2782" i="1"/>
  <c r="A2783" i="1"/>
  <c r="B2783" i="1"/>
  <c r="C2783" i="1"/>
  <c r="E2783" i="1"/>
  <c r="G2783" i="1"/>
  <c r="H2783" i="1"/>
  <c r="A2784" i="1"/>
  <c r="B2784" i="1"/>
  <c r="C2784" i="1"/>
  <c r="E2784" i="1"/>
  <c r="G2784" i="1"/>
  <c r="H2784" i="1"/>
  <c r="A2785" i="1"/>
  <c r="B2785" i="1"/>
  <c r="C2785" i="1"/>
  <c r="E2785" i="1"/>
  <c r="G2785" i="1"/>
  <c r="H2785" i="1"/>
  <c r="A2786" i="1"/>
  <c r="B2786" i="1"/>
  <c r="C2786" i="1"/>
  <c r="E2786" i="1"/>
  <c r="G2786" i="1"/>
  <c r="H2786" i="1"/>
  <c r="A2787" i="1"/>
  <c r="B2787" i="1"/>
  <c r="C2787" i="1"/>
  <c r="E2787" i="1"/>
  <c r="G2787" i="1"/>
  <c r="H2787" i="1"/>
  <c r="A2788" i="1"/>
  <c r="B2788" i="1"/>
  <c r="C2788" i="1"/>
  <c r="E2788" i="1"/>
  <c r="G2788" i="1"/>
  <c r="H2788" i="1"/>
  <c r="A2789" i="1"/>
  <c r="B2789" i="1"/>
  <c r="C2789" i="1"/>
  <c r="E2789" i="1"/>
  <c r="G2789" i="1"/>
  <c r="H2789" i="1"/>
  <c r="A2790" i="1"/>
  <c r="B2790" i="1"/>
  <c r="C2790" i="1"/>
  <c r="E2790" i="1"/>
  <c r="G2790" i="1"/>
  <c r="H2790" i="1"/>
  <c r="A2791" i="1"/>
  <c r="B2791" i="1"/>
  <c r="C2791" i="1"/>
  <c r="E2791" i="1"/>
  <c r="G2791" i="1"/>
  <c r="H2791" i="1"/>
  <c r="A2792" i="1"/>
  <c r="B2792" i="1"/>
  <c r="C2792" i="1"/>
  <c r="E2792" i="1"/>
  <c r="G2792" i="1"/>
  <c r="H2792" i="1"/>
  <c r="A2793" i="1"/>
  <c r="B2793" i="1"/>
  <c r="C2793" i="1"/>
  <c r="E2793" i="1"/>
  <c r="G2793" i="1"/>
  <c r="H2793" i="1"/>
  <c r="A2794" i="1"/>
  <c r="B2794" i="1"/>
  <c r="C2794" i="1"/>
  <c r="E2794" i="1"/>
  <c r="G2794" i="1"/>
  <c r="H2794" i="1"/>
  <c r="A2795" i="1"/>
  <c r="B2795" i="1"/>
  <c r="C2795" i="1"/>
  <c r="E2795" i="1"/>
  <c r="G2795" i="1"/>
  <c r="H2795" i="1"/>
  <c r="A2796" i="1"/>
  <c r="B2796" i="1"/>
  <c r="C2796" i="1"/>
  <c r="E2796" i="1"/>
  <c r="G2796" i="1"/>
  <c r="H2796" i="1"/>
  <c r="A2797" i="1"/>
  <c r="B2797" i="1"/>
  <c r="C2797" i="1"/>
  <c r="E2797" i="1"/>
  <c r="G2797" i="1"/>
  <c r="H2797" i="1"/>
  <c r="A2798" i="1"/>
  <c r="B2798" i="1"/>
  <c r="C2798" i="1"/>
  <c r="E2798" i="1"/>
  <c r="G2798" i="1"/>
  <c r="H2798" i="1"/>
  <c r="A2799" i="1"/>
  <c r="B2799" i="1"/>
  <c r="C2799" i="1"/>
  <c r="E2799" i="1"/>
  <c r="G2799" i="1"/>
  <c r="H2799" i="1"/>
  <c r="A2800" i="1"/>
  <c r="B2800" i="1"/>
  <c r="C2800" i="1"/>
  <c r="E2800" i="1"/>
  <c r="G2800" i="1"/>
  <c r="H2800" i="1"/>
  <c r="A2801" i="1"/>
  <c r="B2801" i="1"/>
  <c r="C2801" i="1"/>
  <c r="E2801" i="1"/>
  <c r="G2801" i="1"/>
  <c r="H2801" i="1"/>
  <c r="A2802" i="1"/>
  <c r="B2802" i="1"/>
  <c r="C2802" i="1"/>
  <c r="E2802" i="1"/>
  <c r="G2802" i="1"/>
  <c r="H2802" i="1"/>
  <c r="A2803" i="1"/>
  <c r="B2803" i="1"/>
  <c r="C2803" i="1"/>
  <c r="E2803" i="1"/>
  <c r="G2803" i="1"/>
  <c r="H2803" i="1"/>
  <c r="A2804" i="1"/>
  <c r="B2804" i="1"/>
  <c r="C2804" i="1"/>
  <c r="E2804" i="1"/>
  <c r="G2804" i="1"/>
  <c r="H2804" i="1"/>
  <c r="A2805" i="1"/>
  <c r="B2805" i="1"/>
  <c r="C2805" i="1"/>
  <c r="E2805" i="1"/>
  <c r="G2805" i="1"/>
  <c r="H2805" i="1"/>
  <c r="A2806" i="1"/>
  <c r="B2806" i="1"/>
  <c r="C2806" i="1"/>
  <c r="E2806" i="1"/>
  <c r="G2806" i="1"/>
  <c r="H2806" i="1"/>
  <c r="A2807" i="1"/>
  <c r="B2807" i="1"/>
  <c r="C2807" i="1"/>
  <c r="E2807" i="1"/>
  <c r="G2807" i="1"/>
  <c r="H2807" i="1"/>
  <c r="A2808" i="1"/>
  <c r="B2808" i="1"/>
  <c r="C2808" i="1"/>
  <c r="E2808" i="1"/>
  <c r="G2808" i="1"/>
  <c r="H2808" i="1"/>
  <c r="A2809" i="1"/>
  <c r="B2809" i="1"/>
  <c r="C2809" i="1"/>
  <c r="E2809" i="1"/>
  <c r="G2809" i="1"/>
  <c r="H2809" i="1"/>
  <c r="A2810" i="1"/>
  <c r="B2810" i="1"/>
  <c r="C2810" i="1"/>
  <c r="E2810" i="1"/>
  <c r="G2810" i="1"/>
  <c r="H2810" i="1"/>
  <c r="A2811" i="1"/>
  <c r="B2811" i="1"/>
  <c r="C2811" i="1"/>
  <c r="E2811" i="1"/>
  <c r="G2811" i="1"/>
  <c r="H2811" i="1"/>
  <c r="A2812" i="1"/>
  <c r="B2812" i="1"/>
  <c r="C2812" i="1"/>
  <c r="E2812" i="1"/>
  <c r="G2812" i="1"/>
  <c r="H2812" i="1"/>
  <c r="A2813" i="1"/>
  <c r="B2813" i="1"/>
  <c r="C2813" i="1"/>
  <c r="E2813" i="1"/>
  <c r="G2813" i="1"/>
  <c r="H2813" i="1"/>
  <c r="A2814" i="1"/>
  <c r="B2814" i="1"/>
  <c r="C2814" i="1"/>
  <c r="E2814" i="1"/>
  <c r="G2814" i="1"/>
  <c r="H2814" i="1"/>
  <c r="A2815" i="1"/>
  <c r="B2815" i="1"/>
  <c r="C2815" i="1"/>
  <c r="E2815" i="1"/>
  <c r="G2815" i="1"/>
  <c r="H2815" i="1"/>
  <c r="A2816" i="1"/>
  <c r="B2816" i="1"/>
  <c r="C2816" i="1"/>
  <c r="E2816" i="1"/>
  <c r="G2816" i="1"/>
  <c r="H2816" i="1"/>
  <c r="A2817" i="1"/>
  <c r="B2817" i="1"/>
  <c r="C2817" i="1"/>
  <c r="E2817" i="1"/>
  <c r="G2817" i="1"/>
  <c r="H2817" i="1"/>
  <c r="A2818" i="1"/>
  <c r="B2818" i="1"/>
  <c r="C2818" i="1"/>
  <c r="E2818" i="1"/>
  <c r="G2818" i="1"/>
  <c r="H2818" i="1"/>
  <c r="A2819" i="1"/>
  <c r="B2819" i="1"/>
  <c r="C2819" i="1"/>
  <c r="E2819" i="1"/>
  <c r="G2819" i="1"/>
  <c r="H2819" i="1"/>
  <c r="A2820" i="1"/>
  <c r="B2820" i="1"/>
  <c r="C2820" i="1"/>
  <c r="E2820" i="1"/>
  <c r="G2820" i="1"/>
  <c r="H2820" i="1"/>
  <c r="A2821" i="1"/>
  <c r="B2821" i="1"/>
  <c r="C2821" i="1"/>
  <c r="E2821" i="1"/>
  <c r="G2821" i="1"/>
  <c r="H2821" i="1"/>
  <c r="A2822" i="1"/>
  <c r="B2822" i="1"/>
  <c r="C2822" i="1"/>
  <c r="E2822" i="1"/>
  <c r="G2822" i="1"/>
  <c r="H2822" i="1"/>
  <c r="A2823" i="1"/>
  <c r="B2823" i="1"/>
  <c r="C2823" i="1"/>
  <c r="E2823" i="1"/>
  <c r="G2823" i="1"/>
  <c r="H2823" i="1"/>
  <c r="A2824" i="1"/>
  <c r="B2824" i="1"/>
  <c r="C2824" i="1"/>
  <c r="E2824" i="1"/>
  <c r="G2824" i="1"/>
  <c r="H2824" i="1"/>
  <c r="A2825" i="1"/>
  <c r="B2825" i="1"/>
  <c r="C2825" i="1"/>
  <c r="E2825" i="1"/>
  <c r="G2825" i="1"/>
  <c r="H2825" i="1"/>
  <c r="A2826" i="1"/>
  <c r="B2826" i="1"/>
  <c r="C2826" i="1"/>
  <c r="E2826" i="1"/>
  <c r="G2826" i="1"/>
  <c r="H2826" i="1"/>
  <c r="A2827" i="1"/>
  <c r="B2827" i="1"/>
  <c r="C2827" i="1"/>
  <c r="E2827" i="1"/>
  <c r="G2827" i="1"/>
  <c r="H2827" i="1"/>
  <c r="A2828" i="1"/>
  <c r="B2828" i="1"/>
  <c r="C2828" i="1"/>
  <c r="E2828" i="1"/>
  <c r="G2828" i="1"/>
  <c r="H2828" i="1"/>
  <c r="A2829" i="1"/>
  <c r="B2829" i="1"/>
  <c r="C2829" i="1"/>
  <c r="E2829" i="1"/>
  <c r="G2829" i="1"/>
  <c r="H2829" i="1"/>
  <c r="A2830" i="1"/>
  <c r="B2830" i="1"/>
  <c r="C2830" i="1"/>
  <c r="E2830" i="1"/>
  <c r="G2830" i="1"/>
  <c r="H2830" i="1"/>
  <c r="A2831" i="1"/>
  <c r="B2831" i="1"/>
  <c r="C2831" i="1"/>
  <c r="E2831" i="1"/>
  <c r="G2831" i="1"/>
  <c r="H2831" i="1"/>
  <c r="A2832" i="1"/>
  <c r="B2832" i="1"/>
  <c r="C2832" i="1"/>
  <c r="E2832" i="1"/>
  <c r="G2832" i="1"/>
  <c r="H2832" i="1"/>
  <c r="A2833" i="1"/>
  <c r="B2833" i="1"/>
  <c r="C2833" i="1"/>
  <c r="E2833" i="1"/>
  <c r="G2833" i="1"/>
  <c r="H2833" i="1"/>
  <c r="A2834" i="1"/>
  <c r="B2834" i="1"/>
  <c r="C2834" i="1"/>
  <c r="E2834" i="1"/>
  <c r="G2834" i="1"/>
  <c r="H2834" i="1"/>
  <c r="A2835" i="1"/>
  <c r="B2835" i="1"/>
  <c r="C2835" i="1"/>
  <c r="E2835" i="1"/>
  <c r="G2835" i="1"/>
  <c r="H2835" i="1"/>
  <c r="A2836" i="1"/>
  <c r="B2836" i="1"/>
  <c r="C2836" i="1"/>
  <c r="E2836" i="1"/>
  <c r="G2836" i="1"/>
  <c r="H2836" i="1"/>
  <c r="A2837" i="1"/>
  <c r="B2837" i="1"/>
  <c r="C2837" i="1"/>
  <c r="E2837" i="1"/>
  <c r="G2837" i="1"/>
  <c r="H2837" i="1"/>
  <c r="A2838" i="1"/>
  <c r="B2838" i="1"/>
  <c r="C2838" i="1"/>
  <c r="E2838" i="1"/>
  <c r="G2838" i="1"/>
  <c r="H2838" i="1"/>
  <c r="A2839" i="1"/>
  <c r="B2839" i="1"/>
  <c r="C2839" i="1"/>
  <c r="E2839" i="1"/>
  <c r="G2839" i="1"/>
  <c r="H2839" i="1"/>
  <c r="A2840" i="1"/>
  <c r="B2840" i="1"/>
  <c r="C2840" i="1"/>
  <c r="E2840" i="1"/>
  <c r="G2840" i="1"/>
  <c r="H2840" i="1"/>
  <c r="A2841" i="1"/>
  <c r="B2841" i="1"/>
  <c r="C2841" i="1"/>
  <c r="E2841" i="1"/>
  <c r="G2841" i="1"/>
  <c r="H2841" i="1"/>
  <c r="A2842" i="1"/>
  <c r="B2842" i="1"/>
  <c r="C2842" i="1"/>
  <c r="E2842" i="1"/>
  <c r="G2842" i="1"/>
  <c r="H2842" i="1"/>
  <c r="A2843" i="1"/>
  <c r="B2843" i="1"/>
  <c r="C2843" i="1"/>
  <c r="E2843" i="1"/>
  <c r="G2843" i="1"/>
  <c r="H2843" i="1"/>
  <c r="A2844" i="1"/>
  <c r="B2844" i="1"/>
  <c r="C2844" i="1"/>
  <c r="E2844" i="1"/>
  <c r="G2844" i="1"/>
  <c r="H2844" i="1"/>
  <c r="A2845" i="1"/>
  <c r="B2845" i="1"/>
  <c r="C2845" i="1"/>
  <c r="E2845" i="1"/>
  <c r="G2845" i="1"/>
  <c r="H2845" i="1"/>
  <c r="A2846" i="1"/>
  <c r="B2846" i="1"/>
  <c r="C2846" i="1"/>
  <c r="E2846" i="1"/>
  <c r="G2846" i="1"/>
  <c r="H2846" i="1"/>
  <c r="A2847" i="1"/>
  <c r="B2847" i="1"/>
  <c r="C2847" i="1"/>
  <c r="E2847" i="1"/>
  <c r="G2847" i="1"/>
  <c r="H2847" i="1"/>
  <c r="A2848" i="1"/>
  <c r="B2848" i="1"/>
  <c r="C2848" i="1"/>
  <c r="E2848" i="1"/>
  <c r="G2848" i="1"/>
  <c r="H2848" i="1"/>
  <c r="A2849" i="1"/>
  <c r="B2849" i="1"/>
  <c r="C2849" i="1"/>
  <c r="E2849" i="1"/>
  <c r="G2849" i="1"/>
  <c r="H2849" i="1"/>
  <c r="A2850" i="1"/>
  <c r="B2850" i="1"/>
  <c r="C2850" i="1"/>
  <c r="E2850" i="1"/>
  <c r="G2850" i="1"/>
  <c r="H2850" i="1"/>
  <c r="A2851" i="1"/>
  <c r="B2851" i="1"/>
  <c r="C2851" i="1"/>
  <c r="E2851" i="1"/>
  <c r="G2851" i="1"/>
  <c r="H2851" i="1"/>
  <c r="A2852" i="1"/>
  <c r="B2852" i="1"/>
  <c r="C2852" i="1"/>
  <c r="E2852" i="1"/>
  <c r="G2852" i="1"/>
  <c r="H2852" i="1"/>
  <c r="A2853" i="1"/>
  <c r="B2853" i="1"/>
  <c r="C2853" i="1"/>
  <c r="E2853" i="1"/>
  <c r="G2853" i="1"/>
  <c r="H2853" i="1"/>
  <c r="A2854" i="1"/>
  <c r="B2854" i="1"/>
  <c r="C2854" i="1"/>
  <c r="E2854" i="1"/>
  <c r="G2854" i="1"/>
  <c r="H2854" i="1"/>
  <c r="A2855" i="1"/>
  <c r="B2855" i="1"/>
  <c r="C2855" i="1"/>
  <c r="E2855" i="1"/>
  <c r="G2855" i="1"/>
  <c r="H2855" i="1"/>
  <c r="A2856" i="1"/>
  <c r="B2856" i="1"/>
  <c r="C2856" i="1"/>
  <c r="E2856" i="1"/>
  <c r="G2856" i="1"/>
  <c r="H2856" i="1"/>
  <c r="A2857" i="1"/>
  <c r="B2857" i="1"/>
  <c r="C2857" i="1"/>
  <c r="E2857" i="1"/>
  <c r="G2857" i="1"/>
  <c r="H2857" i="1"/>
  <c r="A2858" i="1"/>
  <c r="B2858" i="1"/>
  <c r="C2858" i="1"/>
  <c r="E2858" i="1"/>
  <c r="G2858" i="1"/>
  <c r="H2858" i="1"/>
  <c r="A2859" i="1"/>
  <c r="B2859" i="1"/>
  <c r="C2859" i="1"/>
  <c r="E2859" i="1"/>
  <c r="G2859" i="1"/>
  <c r="H2859" i="1"/>
  <c r="A2860" i="1"/>
  <c r="B2860" i="1"/>
  <c r="C2860" i="1"/>
  <c r="E2860" i="1"/>
  <c r="G2860" i="1"/>
  <c r="H2860" i="1"/>
  <c r="A2861" i="1"/>
  <c r="B2861" i="1"/>
  <c r="C2861" i="1"/>
  <c r="E2861" i="1"/>
  <c r="G2861" i="1"/>
  <c r="H2861" i="1"/>
  <c r="A2862" i="1"/>
  <c r="B2862" i="1"/>
  <c r="C2862" i="1"/>
  <c r="E2862" i="1"/>
  <c r="G2862" i="1"/>
  <c r="H2862" i="1"/>
  <c r="A2863" i="1"/>
  <c r="B2863" i="1"/>
  <c r="C2863" i="1"/>
  <c r="E2863" i="1"/>
  <c r="G2863" i="1"/>
  <c r="H2863" i="1"/>
  <c r="A2864" i="1"/>
  <c r="B2864" i="1"/>
  <c r="C2864" i="1"/>
  <c r="E2864" i="1"/>
  <c r="G2864" i="1"/>
  <c r="H2864" i="1"/>
  <c r="A2865" i="1"/>
  <c r="B2865" i="1"/>
  <c r="C2865" i="1"/>
  <c r="E2865" i="1"/>
  <c r="G2865" i="1"/>
  <c r="H2865" i="1"/>
  <c r="A2866" i="1"/>
  <c r="B2866" i="1"/>
  <c r="C2866" i="1"/>
  <c r="E2866" i="1"/>
  <c r="G2866" i="1"/>
  <c r="H2866" i="1"/>
  <c r="A2867" i="1"/>
  <c r="B2867" i="1"/>
  <c r="C2867" i="1"/>
  <c r="E2867" i="1"/>
  <c r="G2867" i="1"/>
  <c r="H2867" i="1"/>
  <c r="A2868" i="1"/>
  <c r="B2868" i="1"/>
  <c r="C2868" i="1"/>
  <c r="E2868" i="1"/>
  <c r="G2868" i="1"/>
  <c r="H2868" i="1"/>
  <c r="A2869" i="1"/>
  <c r="B2869" i="1"/>
  <c r="C2869" i="1"/>
  <c r="E2869" i="1"/>
  <c r="G2869" i="1"/>
  <c r="H2869" i="1"/>
  <c r="A2870" i="1"/>
  <c r="B2870" i="1"/>
  <c r="C2870" i="1"/>
  <c r="E2870" i="1"/>
  <c r="G2870" i="1"/>
  <c r="H2870" i="1"/>
  <c r="A2871" i="1"/>
  <c r="B2871" i="1"/>
  <c r="C2871" i="1"/>
  <c r="E2871" i="1"/>
  <c r="G2871" i="1"/>
  <c r="H2871" i="1"/>
  <c r="A2872" i="1"/>
  <c r="B2872" i="1"/>
  <c r="C2872" i="1"/>
  <c r="E2872" i="1"/>
  <c r="G2872" i="1"/>
  <c r="H2872" i="1"/>
  <c r="A2873" i="1"/>
  <c r="B2873" i="1"/>
  <c r="C2873" i="1"/>
  <c r="E2873" i="1"/>
  <c r="G2873" i="1"/>
  <c r="H2873" i="1"/>
  <c r="A2874" i="1"/>
  <c r="B2874" i="1"/>
  <c r="C2874" i="1"/>
  <c r="E2874" i="1"/>
  <c r="G2874" i="1"/>
  <c r="H2874" i="1"/>
  <c r="A2875" i="1"/>
  <c r="B2875" i="1"/>
  <c r="C2875" i="1"/>
  <c r="E2875" i="1"/>
  <c r="G2875" i="1"/>
  <c r="H2875" i="1"/>
  <c r="A2876" i="1"/>
  <c r="B2876" i="1"/>
  <c r="C2876" i="1"/>
  <c r="E2876" i="1"/>
  <c r="G2876" i="1"/>
  <c r="H2876" i="1"/>
  <c r="A2877" i="1"/>
  <c r="B2877" i="1"/>
  <c r="C2877" i="1"/>
  <c r="E2877" i="1"/>
  <c r="G2877" i="1"/>
  <c r="H2877" i="1"/>
  <c r="A2878" i="1"/>
  <c r="B2878" i="1"/>
  <c r="C2878" i="1"/>
  <c r="E2878" i="1"/>
  <c r="G2878" i="1"/>
  <c r="H2878" i="1"/>
  <c r="A2879" i="1"/>
  <c r="B2879" i="1"/>
  <c r="C2879" i="1"/>
  <c r="E2879" i="1"/>
  <c r="G2879" i="1"/>
  <c r="H2879" i="1"/>
  <c r="A2880" i="1"/>
  <c r="B2880" i="1"/>
  <c r="C2880" i="1"/>
  <c r="E2880" i="1"/>
  <c r="G2880" i="1"/>
  <c r="H2880" i="1"/>
  <c r="A2881" i="1"/>
  <c r="B2881" i="1"/>
  <c r="C2881" i="1"/>
  <c r="E2881" i="1"/>
  <c r="G2881" i="1"/>
  <c r="H2881" i="1"/>
  <c r="A2882" i="1"/>
  <c r="B2882" i="1"/>
  <c r="C2882" i="1"/>
  <c r="E2882" i="1"/>
  <c r="G2882" i="1"/>
  <c r="H2882" i="1"/>
  <c r="A2883" i="1"/>
  <c r="B2883" i="1"/>
  <c r="C2883" i="1"/>
  <c r="E2883" i="1"/>
  <c r="G2883" i="1"/>
  <c r="H2883" i="1"/>
  <c r="A2884" i="1"/>
  <c r="B2884" i="1"/>
  <c r="C2884" i="1"/>
  <c r="E2884" i="1"/>
  <c r="G2884" i="1"/>
  <c r="H2884" i="1"/>
  <c r="A2885" i="1"/>
  <c r="B2885" i="1"/>
  <c r="C2885" i="1"/>
  <c r="E2885" i="1"/>
  <c r="G2885" i="1"/>
  <c r="H2885" i="1"/>
  <c r="A2886" i="1"/>
  <c r="B2886" i="1"/>
  <c r="C2886" i="1"/>
  <c r="E2886" i="1"/>
  <c r="G2886" i="1"/>
  <c r="H2886" i="1"/>
  <c r="A2887" i="1"/>
  <c r="B2887" i="1"/>
  <c r="C2887" i="1"/>
  <c r="E2887" i="1"/>
  <c r="G2887" i="1"/>
  <c r="H2887" i="1"/>
  <c r="A2888" i="1"/>
  <c r="B2888" i="1"/>
  <c r="C2888" i="1"/>
  <c r="E2888" i="1"/>
  <c r="G2888" i="1"/>
  <c r="H2888" i="1"/>
  <c r="A2889" i="1"/>
  <c r="B2889" i="1"/>
  <c r="C2889" i="1"/>
  <c r="E2889" i="1"/>
  <c r="G2889" i="1"/>
  <c r="H2889" i="1"/>
  <c r="A2890" i="1"/>
  <c r="B2890" i="1"/>
  <c r="C2890" i="1"/>
  <c r="E2890" i="1"/>
  <c r="G2890" i="1"/>
  <c r="H2890" i="1"/>
  <c r="A2891" i="1"/>
  <c r="B2891" i="1"/>
  <c r="C2891" i="1"/>
  <c r="E2891" i="1"/>
  <c r="G2891" i="1"/>
  <c r="H2891" i="1"/>
  <c r="A2892" i="1"/>
  <c r="B2892" i="1"/>
  <c r="C2892" i="1"/>
  <c r="E2892" i="1"/>
  <c r="G2892" i="1"/>
  <c r="H2892" i="1"/>
  <c r="A2893" i="1"/>
  <c r="B2893" i="1"/>
  <c r="C2893" i="1"/>
  <c r="E2893" i="1"/>
  <c r="G2893" i="1"/>
  <c r="H2893" i="1"/>
  <c r="A2894" i="1"/>
  <c r="B2894" i="1"/>
  <c r="C2894" i="1"/>
  <c r="E2894" i="1"/>
  <c r="G2894" i="1"/>
  <c r="H2894" i="1"/>
  <c r="A2895" i="1"/>
  <c r="B2895" i="1"/>
  <c r="C2895" i="1"/>
  <c r="E2895" i="1"/>
  <c r="G2895" i="1"/>
  <c r="H2895" i="1"/>
  <c r="A2896" i="1"/>
  <c r="B2896" i="1"/>
  <c r="C2896" i="1"/>
  <c r="E2896" i="1"/>
  <c r="G2896" i="1"/>
  <c r="H2896" i="1"/>
  <c r="A2897" i="1"/>
  <c r="B2897" i="1"/>
  <c r="C2897" i="1"/>
  <c r="E2897" i="1"/>
  <c r="G2897" i="1"/>
  <c r="H2897" i="1"/>
  <c r="A2898" i="1"/>
  <c r="B2898" i="1"/>
  <c r="C2898" i="1"/>
  <c r="E2898" i="1"/>
  <c r="G2898" i="1"/>
  <c r="H2898" i="1"/>
  <c r="A2899" i="1"/>
  <c r="B2899" i="1"/>
  <c r="C2899" i="1"/>
  <c r="E2899" i="1"/>
  <c r="G2899" i="1"/>
  <c r="H2899" i="1"/>
  <c r="A2900" i="1"/>
  <c r="B2900" i="1"/>
  <c r="C2900" i="1"/>
  <c r="E2900" i="1"/>
  <c r="G2900" i="1"/>
  <c r="H2900" i="1"/>
  <c r="A2901" i="1"/>
  <c r="B2901" i="1"/>
  <c r="C2901" i="1"/>
  <c r="E2901" i="1"/>
  <c r="G2901" i="1"/>
  <c r="H2901" i="1"/>
  <c r="A2902" i="1"/>
  <c r="B2902" i="1"/>
  <c r="C2902" i="1"/>
  <c r="E2902" i="1"/>
  <c r="G2902" i="1"/>
  <c r="H2902" i="1"/>
  <c r="A2903" i="1"/>
  <c r="B2903" i="1"/>
  <c r="C2903" i="1"/>
  <c r="E2903" i="1"/>
  <c r="G2903" i="1"/>
  <c r="H2903" i="1"/>
  <c r="A2904" i="1"/>
  <c r="B2904" i="1"/>
  <c r="C2904" i="1"/>
  <c r="E2904" i="1"/>
  <c r="G2904" i="1"/>
  <c r="H2904" i="1"/>
  <c r="A2905" i="1"/>
  <c r="B2905" i="1"/>
  <c r="C2905" i="1"/>
  <c r="E2905" i="1"/>
  <c r="G2905" i="1"/>
  <c r="H2905" i="1"/>
  <c r="A2906" i="1"/>
  <c r="B2906" i="1"/>
  <c r="C2906" i="1"/>
  <c r="E2906" i="1"/>
  <c r="G2906" i="1"/>
  <c r="H2906" i="1"/>
  <c r="A2907" i="1"/>
  <c r="B2907" i="1"/>
  <c r="C2907" i="1"/>
  <c r="E2907" i="1"/>
  <c r="G2907" i="1"/>
  <c r="H2907" i="1"/>
  <c r="A2908" i="1"/>
  <c r="B2908" i="1"/>
  <c r="C2908" i="1"/>
  <c r="E2908" i="1"/>
  <c r="G2908" i="1"/>
  <c r="H2908" i="1"/>
  <c r="A2909" i="1"/>
  <c r="B2909" i="1"/>
  <c r="C2909" i="1"/>
  <c r="E2909" i="1"/>
  <c r="G2909" i="1"/>
  <c r="H2909" i="1"/>
  <c r="A2910" i="1"/>
  <c r="B2910" i="1"/>
  <c r="C2910" i="1"/>
  <c r="E2910" i="1"/>
  <c r="G2910" i="1"/>
  <c r="H2910" i="1"/>
  <c r="A2911" i="1"/>
  <c r="B2911" i="1"/>
  <c r="C2911" i="1"/>
  <c r="E2911" i="1"/>
  <c r="G2911" i="1"/>
  <c r="H2911" i="1"/>
  <c r="A2912" i="1"/>
  <c r="B2912" i="1"/>
  <c r="C2912" i="1"/>
  <c r="E2912" i="1"/>
  <c r="G2912" i="1"/>
  <c r="H2912" i="1"/>
  <c r="A2913" i="1"/>
  <c r="B2913" i="1"/>
  <c r="C2913" i="1"/>
  <c r="E2913" i="1"/>
  <c r="G2913" i="1"/>
  <c r="H2913" i="1"/>
  <c r="A2914" i="1"/>
  <c r="B2914" i="1"/>
  <c r="C2914" i="1"/>
  <c r="E2914" i="1"/>
  <c r="G2914" i="1"/>
  <c r="H2914" i="1"/>
  <c r="A2915" i="1"/>
  <c r="B2915" i="1"/>
  <c r="C2915" i="1"/>
  <c r="E2915" i="1"/>
  <c r="G2915" i="1"/>
  <c r="H2915" i="1"/>
  <c r="A2916" i="1"/>
  <c r="B2916" i="1"/>
  <c r="C2916" i="1"/>
  <c r="E2916" i="1"/>
  <c r="G2916" i="1"/>
  <c r="H2916" i="1"/>
  <c r="A2917" i="1"/>
  <c r="B2917" i="1"/>
  <c r="C2917" i="1"/>
  <c r="E2917" i="1"/>
  <c r="G2917" i="1"/>
  <c r="H2917" i="1"/>
  <c r="A2918" i="1"/>
  <c r="B2918" i="1"/>
  <c r="C2918" i="1"/>
  <c r="E2918" i="1"/>
  <c r="G2918" i="1"/>
  <c r="H2918" i="1"/>
  <c r="A2919" i="1"/>
  <c r="B2919" i="1"/>
  <c r="C2919" i="1"/>
  <c r="E2919" i="1"/>
  <c r="G2919" i="1"/>
  <c r="H2919" i="1"/>
  <c r="A2920" i="1"/>
  <c r="B2920" i="1"/>
  <c r="C2920" i="1"/>
  <c r="E2920" i="1"/>
  <c r="G2920" i="1"/>
  <c r="H2920" i="1"/>
  <c r="A2921" i="1"/>
  <c r="B2921" i="1"/>
  <c r="C2921" i="1"/>
  <c r="E2921" i="1"/>
  <c r="G2921" i="1"/>
  <c r="H2921" i="1"/>
  <c r="A2922" i="1"/>
  <c r="B2922" i="1"/>
  <c r="C2922" i="1"/>
  <c r="E2922" i="1"/>
  <c r="G2922" i="1"/>
  <c r="H2922" i="1"/>
  <c r="A2923" i="1"/>
  <c r="B2923" i="1"/>
  <c r="C2923" i="1"/>
  <c r="E2923" i="1"/>
  <c r="G2923" i="1"/>
  <c r="H2923" i="1"/>
  <c r="A2924" i="1"/>
  <c r="B2924" i="1"/>
  <c r="C2924" i="1"/>
  <c r="E2924" i="1"/>
  <c r="G2924" i="1"/>
  <c r="H2924" i="1"/>
  <c r="A2925" i="1"/>
  <c r="B2925" i="1"/>
  <c r="C2925" i="1"/>
  <c r="E2925" i="1"/>
  <c r="G2925" i="1"/>
  <c r="H2925" i="1"/>
  <c r="A2926" i="1"/>
  <c r="B2926" i="1"/>
  <c r="C2926" i="1"/>
  <c r="E2926" i="1"/>
  <c r="G2926" i="1"/>
  <c r="H2926" i="1"/>
  <c r="A2927" i="1"/>
  <c r="B2927" i="1"/>
  <c r="C2927" i="1"/>
  <c r="E2927" i="1"/>
  <c r="G2927" i="1"/>
  <c r="H2927" i="1"/>
  <c r="A2928" i="1"/>
  <c r="B2928" i="1"/>
  <c r="C2928" i="1"/>
  <c r="E2928" i="1"/>
  <c r="G2928" i="1"/>
  <c r="H2928" i="1"/>
  <c r="A2929" i="1"/>
  <c r="B2929" i="1"/>
  <c r="C2929" i="1"/>
  <c r="E2929" i="1"/>
  <c r="G2929" i="1"/>
  <c r="H2929" i="1"/>
  <c r="A2930" i="1"/>
  <c r="B2930" i="1"/>
  <c r="C2930" i="1"/>
  <c r="E2930" i="1"/>
  <c r="G2930" i="1"/>
  <c r="H2930" i="1"/>
  <c r="A2931" i="1"/>
  <c r="B2931" i="1"/>
  <c r="C2931" i="1"/>
  <c r="E2931" i="1"/>
  <c r="G2931" i="1"/>
  <c r="H2931" i="1"/>
  <c r="A2932" i="1"/>
  <c r="B2932" i="1"/>
  <c r="C2932" i="1"/>
  <c r="E2932" i="1"/>
  <c r="G2932" i="1"/>
  <c r="H2932" i="1"/>
  <c r="A2933" i="1"/>
  <c r="B2933" i="1"/>
  <c r="C2933" i="1"/>
  <c r="E2933" i="1"/>
  <c r="G2933" i="1"/>
  <c r="H2933" i="1"/>
  <c r="A2934" i="1"/>
  <c r="B2934" i="1"/>
  <c r="C2934" i="1"/>
  <c r="E2934" i="1"/>
  <c r="G2934" i="1"/>
  <c r="H2934" i="1"/>
  <c r="A2935" i="1"/>
  <c r="B2935" i="1"/>
  <c r="C2935" i="1"/>
  <c r="E2935" i="1"/>
  <c r="G2935" i="1"/>
  <c r="H2935" i="1"/>
  <c r="A2936" i="1"/>
  <c r="B2936" i="1"/>
  <c r="C2936" i="1"/>
  <c r="E2936" i="1"/>
  <c r="G2936" i="1"/>
  <c r="H2936" i="1"/>
  <c r="A2937" i="1"/>
  <c r="B2937" i="1"/>
  <c r="C2937" i="1"/>
  <c r="E2937" i="1"/>
  <c r="G2937" i="1"/>
  <c r="H2937" i="1"/>
  <c r="A2938" i="1"/>
  <c r="B2938" i="1"/>
  <c r="C2938" i="1"/>
  <c r="E2938" i="1"/>
  <c r="G2938" i="1"/>
  <c r="H2938" i="1"/>
  <c r="A2939" i="1"/>
  <c r="B2939" i="1"/>
  <c r="C2939" i="1"/>
  <c r="E2939" i="1"/>
  <c r="G2939" i="1"/>
  <c r="H2939" i="1"/>
  <c r="A2940" i="1"/>
  <c r="B2940" i="1"/>
  <c r="C2940" i="1"/>
  <c r="E2940" i="1"/>
  <c r="G2940" i="1"/>
  <c r="H2940" i="1"/>
  <c r="A2941" i="1"/>
  <c r="B2941" i="1"/>
  <c r="C2941" i="1"/>
  <c r="E2941" i="1"/>
  <c r="G2941" i="1"/>
  <c r="H2941" i="1"/>
  <c r="A2942" i="1"/>
  <c r="B2942" i="1"/>
  <c r="C2942" i="1"/>
  <c r="E2942" i="1"/>
  <c r="G2942" i="1"/>
  <c r="H2942" i="1"/>
  <c r="A2943" i="1"/>
  <c r="B2943" i="1"/>
  <c r="C2943" i="1"/>
  <c r="E2943" i="1"/>
  <c r="G2943" i="1"/>
  <c r="H2943" i="1"/>
  <c r="A2944" i="1"/>
  <c r="B2944" i="1"/>
  <c r="C2944" i="1"/>
  <c r="E2944" i="1"/>
  <c r="G2944" i="1"/>
  <c r="H2944" i="1"/>
  <c r="A2945" i="1"/>
  <c r="B2945" i="1"/>
  <c r="C2945" i="1"/>
  <c r="E2945" i="1"/>
  <c r="G2945" i="1"/>
  <c r="H2945" i="1"/>
  <c r="A2946" i="1"/>
  <c r="B2946" i="1"/>
  <c r="C2946" i="1"/>
  <c r="E2946" i="1"/>
  <c r="G2946" i="1"/>
  <c r="H2946" i="1"/>
  <c r="A2947" i="1"/>
  <c r="B2947" i="1"/>
  <c r="C2947" i="1"/>
  <c r="E2947" i="1"/>
  <c r="G2947" i="1"/>
  <c r="H2947" i="1"/>
  <c r="A2948" i="1"/>
  <c r="B2948" i="1"/>
  <c r="C2948" i="1"/>
  <c r="E2948" i="1"/>
  <c r="G2948" i="1"/>
  <c r="H2948" i="1"/>
  <c r="A2949" i="1"/>
  <c r="B2949" i="1"/>
  <c r="C2949" i="1"/>
  <c r="E2949" i="1"/>
  <c r="G2949" i="1"/>
  <c r="H2949" i="1"/>
  <c r="A2950" i="1"/>
  <c r="B2950" i="1"/>
  <c r="C2950" i="1"/>
  <c r="E2950" i="1"/>
  <c r="G2950" i="1"/>
  <c r="H2950" i="1"/>
  <c r="A2951" i="1"/>
  <c r="B2951" i="1"/>
  <c r="C2951" i="1"/>
  <c r="E2951" i="1"/>
  <c r="G2951" i="1"/>
  <c r="H2951" i="1"/>
  <c r="A2952" i="1"/>
  <c r="B2952" i="1"/>
  <c r="C2952" i="1"/>
  <c r="E2952" i="1"/>
  <c r="G2952" i="1"/>
  <c r="H2952" i="1"/>
  <c r="A2953" i="1"/>
  <c r="B2953" i="1"/>
  <c r="C2953" i="1"/>
  <c r="E2953" i="1"/>
  <c r="G2953" i="1"/>
  <c r="H2953" i="1"/>
  <c r="A2954" i="1"/>
  <c r="B2954" i="1"/>
  <c r="C2954" i="1"/>
  <c r="E2954" i="1"/>
  <c r="G2954" i="1"/>
  <c r="H2954" i="1"/>
  <c r="A2955" i="1"/>
  <c r="B2955" i="1"/>
  <c r="C2955" i="1"/>
  <c r="E2955" i="1"/>
  <c r="G2955" i="1"/>
  <c r="H2955" i="1"/>
  <c r="A2956" i="1"/>
  <c r="B2956" i="1"/>
  <c r="C2956" i="1"/>
  <c r="E2956" i="1"/>
  <c r="G2956" i="1"/>
  <c r="H2956" i="1"/>
  <c r="A2957" i="1"/>
  <c r="B2957" i="1"/>
  <c r="C2957" i="1"/>
  <c r="E2957" i="1"/>
  <c r="G2957" i="1"/>
  <c r="H2957" i="1"/>
  <c r="A2958" i="1"/>
  <c r="B2958" i="1"/>
  <c r="C2958" i="1"/>
  <c r="E2958" i="1"/>
  <c r="G2958" i="1"/>
  <c r="H2958" i="1"/>
  <c r="A2959" i="1"/>
  <c r="B2959" i="1"/>
  <c r="C2959" i="1"/>
  <c r="E2959" i="1"/>
  <c r="G2959" i="1"/>
  <c r="H2959" i="1"/>
  <c r="A2960" i="1"/>
  <c r="B2960" i="1"/>
  <c r="C2960" i="1"/>
  <c r="E2960" i="1"/>
  <c r="G2960" i="1"/>
  <c r="H2960" i="1"/>
  <c r="A2961" i="1"/>
  <c r="B2961" i="1"/>
  <c r="C2961" i="1"/>
  <c r="E2961" i="1"/>
  <c r="G2961" i="1"/>
  <c r="H2961" i="1"/>
  <c r="A2962" i="1"/>
  <c r="B2962" i="1"/>
  <c r="C2962" i="1"/>
  <c r="E2962" i="1"/>
  <c r="G2962" i="1"/>
  <c r="H2962" i="1"/>
  <c r="A2963" i="1"/>
  <c r="B2963" i="1"/>
  <c r="C2963" i="1"/>
  <c r="E2963" i="1"/>
  <c r="G2963" i="1"/>
  <c r="H2963" i="1"/>
  <c r="A2964" i="1"/>
  <c r="B2964" i="1"/>
  <c r="C2964" i="1"/>
  <c r="E2964" i="1"/>
  <c r="G2964" i="1"/>
  <c r="H2964" i="1"/>
  <c r="A2965" i="1"/>
  <c r="B2965" i="1"/>
  <c r="C2965" i="1"/>
  <c r="E2965" i="1"/>
  <c r="G2965" i="1"/>
  <c r="H2965" i="1"/>
  <c r="A2966" i="1"/>
  <c r="B2966" i="1"/>
  <c r="C2966" i="1"/>
  <c r="E2966" i="1"/>
  <c r="G2966" i="1"/>
  <c r="H2966" i="1"/>
  <c r="A2967" i="1"/>
  <c r="B2967" i="1"/>
  <c r="C2967" i="1"/>
  <c r="E2967" i="1"/>
  <c r="G2967" i="1"/>
  <c r="H2967" i="1"/>
  <c r="A2968" i="1"/>
  <c r="B2968" i="1"/>
  <c r="C2968" i="1"/>
  <c r="E2968" i="1"/>
  <c r="G2968" i="1"/>
  <c r="H2968" i="1"/>
  <c r="A2969" i="1"/>
  <c r="B2969" i="1"/>
  <c r="C2969" i="1"/>
  <c r="E2969" i="1"/>
  <c r="G2969" i="1"/>
  <c r="H2969" i="1"/>
  <c r="A2970" i="1"/>
  <c r="B2970" i="1"/>
  <c r="C2970" i="1"/>
  <c r="E2970" i="1"/>
  <c r="G2970" i="1"/>
  <c r="H2970" i="1"/>
  <c r="A2971" i="1"/>
  <c r="B2971" i="1"/>
  <c r="C2971" i="1"/>
  <c r="E2971" i="1"/>
  <c r="G2971" i="1"/>
  <c r="H2971" i="1"/>
  <c r="A2972" i="1"/>
  <c r="B2972" i="1"/>
  <c r="C2972" i="1"/>
  <c r="E2972" i="1"/>
  <c r="G2972" i="1"/>
  <c r="H2972" i="1"/>
  <c r="A2973" i="1"/>
  <c r="B2973" i="1"/>
  <c r="C2973" i="1"/>
  <c r="E2973" i="1"/>
  <c r="G2973" i="1"/>
  <c r="H2973" i="1"/>
  <c r="A2974" i="1"/>
  <c r="B2974" i="1"/>
  <c r="C2974" i="1"/>
  <c r="E2974" i="1"/>
  <c r="G2974" i="1"/>
  <c r="H2974" i="1"/>
  <c r="A2975" i="1"/>
  <c r="B2975" i="1"/>
  <c r="C2975" i="1"/>
  <c r="E2975" i="1"/>
  <c r="G2975" i="1"/>
  <c r="H2975" i="1"/>
  <c r="A2976" i="1"/>
  <c r="B2976" i="1"/>
  <c r="C2976" i="1"/>
  <c r="E2976" i="1"/>
  <c r="G2976" i="1"/>
  <c r="H2976" i="1"/>
  <c r="A2977" i="1"/>
  <c r="B2977" i="1"/>
  <c r="C2977" i="1"/>
  <c r="E2977" i="1"/>
  <c r="G2977" i="1"/>
  <c r="H2977" i="1"/>
  <c r="A2978" i="1"/>
  <c r="B2978" i="1"/>
  <c r="C2978" i="1"/>
  <c r="E2978" i="1"/>
  <c r="G2978" i="1"/>
  <c r="H2978" i="1"/>
  <c r="A2979" i="1"/>
  <c r="B2979" i="1"/>
  <c r="C2979" i="1"/>
  <c r="E2979" i="1"/>
  <c r="G2979" i="1"/>
  <c r="H2979" i="1"/>
  <c r="A2980" i="1"/>
  <c r="B2980" i="1"/>
  <c r="C2980" i="1"/>
  <c r="E2980" i="1"/>
  <c r="G2980" i="1"/>
  <c r="H2980" i="1"/>
  <c r="A2981" i="1"/>
  <c r="B2981" i="1"/>
  <c r="C2981" i="1"/>
  <c r="E2981" i="1"/>
  <c r="G2981" i="1"/>
  <c r="H2981" i="1"/>
  <c r="A2982" i="1"/>
  <c r="B2982" i="1"/>
  <c r="C2982" i="1"/>
  <c r="E2982" i="1"/>
  <c r="G2982" i="1"/>
  <c r="H2982" i="1"/>
  <c r="A2983" i="1"/>
  <c r="B2983" i="1"/>
  <c r="C2983" i="1"/>
  <c r="E2983" i="1"/>
  <c r="G2983" i="1"/>
  <c r="H2983" i="1"/>
  <c r="A2984" i="1"/>
  <c r="B2984" i="1"/>
  <c r="C2984" i="1"/>
  <c r="E2984" i="1"/>
  <c r="G2984" i="1"/>
  <c r="H2984" i="1"/>
  <c r="A2985" i="1"/>
  <c r="B2985" i="1"/>
  <c r="C2985" i="1"/>
  <c r="E2985" i="1"/>
  <c r="G2985" i="1"/>
  <c r="H2985" i="1"/>
  <c r="A2986" i="1"/>
  <c r="B2986" i="1"/>
  <c r="C2986" i="1"/>
  <c r="E2986" i="1"/>
  <c r="G2986" i="1"/>
  <c r="H2986" i="1"/>
  <c r="A2987" i="1"/>
  <c r="B2987" i="1"/>
  <c r="C2987" i="1"/>
  <c r="E2987" i="1"/>
  <c r="G2987" i="1"/>
  <c r="H2987" i="1"/>
  <c r="A2988" i="1"/>
  <c r="B2988" i="1"/>
  <c r="C2988" i="1"/>
  <c r="E2988" i="1"/>
  <c r="G2988" i="1"/>
  <c r="H2988" i="1"/>
  <c r="A2989" i="1"/>
  <c r="B2989" i="1"/>
  <c r="C2989" i="1"/>
  <c r="E2989" i="1"/>
  <c r="G2989" i="1"/>
  <c r="H2989" i="1"/>
  <c r="A2990" i="1"/>
  <c r="B2990" i="1"/>
  <c r="C2990" i="1"/>
  <c r="E2990" i="1"/>
  <c r="G2990" i="1"/>
  <c r="H2990" i="1"/>
  <c r="A2991" i="1"/>
  <c r="B2991" i="1"/>
  <c r="C2991" i="1"/>
  <c r="E2991" i="1"/>
  <c r="G2991" i="1"/>
  <c r="H2991" i="1"/>
  <c r="A2992" i="1"/>
  <c r="B2992" i="1"/>
  <c r="C2992" i="1"/>
  <c r="E2992" i="1"/>
  <c r="G2992" i="1"/>
  <c r="H2992" i="1"/>
  <c r="A2993" i="1"/>
  <c r="B2993" i="1"/>
  <c r="C2993" i="1"/>
  <c r="E2993" i="1"/>
  <c r="G2993" i="1"/>
  <c r="H2993" i="1"/>
  <c r="A2994" i="1"/>
  <c r="B2994" i="1"/>
  <c r="C2994" i="1"/>
  <c r="E2994" i="1"/>
  <c r="G2994" i="1"/>
  <c r="H2994" i="1"/>
  <c r="A2995" i="1"/>
  <c r="B2995" i="1"/>
  <c r="C2995" i="1"/>
  <c r="E2995" i="1"/>
  <c r="G2995" i="1"/>
  <c r="H2995" i="1"/>
  <c r="A2996" i="1"/>
  <c r="B2996" i="1"/>
  <c r="C2996" i="1"/>
  <c r="E2996" i="1"/>
  <c r="G2996" i="1"/>
  <c r="H2996" i="1"/>
  <c r="A2997" i="1"/>
  <c r="B2997" i="1"/>
  <c r="C2997" i="1"/>
  <c r="E2997" i="1"/>
  <c r="G2997" i="1"/>
  <c r="H2997" i="1"/>
  <c r="A2998" i="1"/>
  <c r="B2998" i="1"/>
  <c r="C2998" i="1"/>
  <c r="E2998" i="1"/>
  <c r="G2998" i="1"/>
  <c r="H2998" i="1"/>
  <c r="A2999" i="1"/>
  <c r="B2999" i="1"/>
  <c r="C2999" i="1"/>
  <c r="E2999" i="1"/>
  <c r="G2999" i="1"/>
  <c r="H2999" i="1"/>
  <c r="A3000" i="1"/>
  <c r="B3000" i="1"/>
  <c r="C3000" i="1"/>
  <c r="E3000" i="1"/>
  <c r="G3000" i="1"/>
  <c r="H3000" i="1"/>
  <c r="A3001" i="1"/>
  <c r="B3001" i="1"/>
  <c r="C3001" i="1"/>
  <c r="E3001" i="1"/>
  <c r="G3001" i="1"/>
  <c r="H3001" i="1"/>
  <c r="A3002" i="1"/>
  <c r="B3002" i="1"/>
  <c r="C3002" i="1"/>
  <c r="E3002" i="1"/>
  <c r="G3002" i="1"/>
  <c r="H3002" i="1"/>
  <c r="A3003" i="1"/>
  <c r="B3003" i="1"/>
  <c r="C3003" i="1"/>
  <c r="E3003" i="1"/>
  <c r="G3003" i="1"/>
  <c r="H3003" i="1"/>
  <c r="A3004" i="1"/>
  <c r="B3004" i="1"/>
  <c r="C3004" i="1"/>
  <c r="E3004" i="1"/>
  <c r="G3004" i="1"/>
  <c r="H3004" i="1"/>
  <c r="A3005" i="1"/>
  <c r="B3005" i="1"/>
  <c r="C3005" i="1"/>
  <c r="E3005" i="1"/>
  <c r="G3005" i="1"/>
  <c r="H3005" i="1"/>
  <c r="A3006" i="1"/>
  <c r="B3006" i="1"/>
  <c r="C3006" i="1"/>
  <c r="E3006" i="1"/>
  <c r="G3006" i="1"/>
  <c r="H3006" i="1"/>
  <c r="A3007" i="1"/>
  <c r="B3007" i="1"/>
  <c r="C3007" i="1"/>
  <c r="E3007" i="1"/>
  <c r="G3007" i="1"/>
  <c r="H3007" i="1"/>
  <c r="A3008" i="1"/>
  <c r="B3008" i="1"/>
  <c r="C3008" i="1"/>
  <c r="E3008" i="1"/>
  <c r="G3008" i="1"/>
  <c r="H3008" i="1"/>
  <c r="A3009" i="1"/>
  <c r="B3009" i="1"/>
  <c r="C3009" i="1"/>
  <c r="E3009" i="1"/>
  <c r="G3009" i="1"/>
  <c r="H3009" i="1"/>
  <c r="A3010" i="1"/>
  <c r="B3010" i="1"/>
  <c r="C3010" i="1"/>
  <c r="E3010" i="1"/>
  <c r="G3010" i="1"/>
  <c r="H3010" i="1"/>
  <c r="A3011" i="1"/>
  <c r="B3011" i="1"/>
  <c r="C3011" i="1"/>
  <c r="E3011" i="1"/>
  <c r="G3011" i="1"/>
  <c r="H3011" i="1"/>
  <c r="A3012" i="1"/>
  <c r="B3012" i="1"/>
  <c r="C3012" i="1"/>
  <c r="E3012" i="1"/>
  <c r="G3012" i="1"/>
  <c r="H3012" i="1"/>
  <c r="A3013" i="1"/>
  <c r="B3013" i="1"/>
  <c r="C3013" i="1"/>
  <c r="E3013" i="1"/>
  <c r="G3013" i="1"/>
  <c r="H3013" i="1"/>
  <c r="A3014" i="1"/>
  <c r="B3014" i="1"/>
  <c r="C3014" i="1"/>
  <c r="E3014" i="1"/>
  <c r="G3014" i="1"/>
  <c r="H3014" i="1"/>
  <c r="A3015" i="1"/>
  <c r="B3015" i="1"/>
  <c r="C3015" i="1"/>
  <c r="E3015" i="1"/>
  <c r="G3015" i="1"/>
  <c r="H3015" i="1"/>
  <c r="A3016" i="1"/>
  <c r="B3016" i="1"/>
  <c r="C3016" i="1"/>
  <c r="E3016" i="1"/>
  <c r="G3016" i="1"/>
  <c r="H3016" i="1"/>
  <c r="A3017" i="1"/>
  <c r="B3017" i="1"/>
  <c r="C3017" i="1"/>
  <c r="E3017" i="1"/>
  <c r="G3017" i="1"/>
  <c r="H3017" i="1"/>
  <c r="A3018" i="1"/>
  <c r="B3018" i="1"/>
  <c r="C3018" i="1"/>
  <c r="E3018" i="1"/>
  <c r="G3018" i="1"/>
  <c r="H3018" i="1"/>
  <c r="A3019" i="1"/>
  <c r="B3019" i="1"/>
  <c r="C3019" i="1"/>
  <c r="E3019" i="1"/>
  <c r="G3019" i="1"/>
  <c r="H3019" i="1"/>
  <c r="A3020" i="1"/>
  <c r="B3020" i="1"/>
  <c r="C3020" i="1"/>
  <c r="E3020" i="1"/>
  <c r="G3020" i="1"/>
  <c r="H3020" i="1"/>
  <c r="A3021" i="1"/>
  <c r="B3021" i="1"/>
  <c r="C3021" i="1"/>
  <c r="E3021" i="1"/>
  <c r="G3021" i="1"/>
  <c r="H3021" i="1"/>
  <c r="A3022" i="1"/>
  <c r="B3022" i="1"/>
  <c r="C3022" i="1"/>
  <c r="E3022" i="1"/>
  <c r="G3022" i="1"/>
  <c r="H3022" i="1"/>
  <c r="A3023" i="1"/>
  <c r="B3023" i="1"/>
  <c r="C3023" i="1"/>
  <c r="E3023" i="1"/>
  <c r="G3023" i="1"/>
  <c r="H3023" i="1"/>
  <c r="A3024" i="1"/>
  <c r="B3024" i="1"/>
  <c r="C3024" i="1"/>
  <c r="E3024" i="1"/>
  <c r="G3024" i="1"/>
  <c r="H3024" i="1"/>
  <c r="A3025" i="1"/>
  <c r="B3025" i="1"/>
  <c r="C3025" i="1"/>
  <c r="E3025" i="1"/>
  <c r="G3025" i="1"/>
  <c r="H3025" i="1"/>
  <c r="A3026" i="1"/>
  <c r="B3026" i="1"/>
  <c r="C3026" i="1"/>
  <c r="E3026" i="1"/>
  <c r="G3026" i="1"/>
  <c r="H3026" i="1"/>
  <c r="A3027" i="1"/>
  <c r="B3027" i="1"/>
  <c r="C3027" i="1"/>
  <c r="E3027" i="1"/>
  <c r="G3027" i="1"/>
  <c r="H3027" i="1"/>
  <c r="A3028" i="1"/>
  <c r="B3028" i="1"/>
  <c r="C3028" i="1"/>
  <c r="E3028" i="1"/>
  <c r="G3028" i="1"/>
  <c r="H3028" i="1"/>
  <c r="A3029" i="1"/>
  <c r="B3029" i="1"/>
  <c r="C3029" i="1"/>
  <c r="E3029" i="1"/>
  <c r="G3029" i="1"/>
  <c r="H3029" i="1"/>
  <c r="A3030" i="1"/>
  <c r="B3030" i="1"/>
  <c r="C3030" i="1"/>
  <c r="E3030" i="1"/>
  <c r="G3030" i="1"/>
  <c r="H3030" i="1"/>
  <c r="A3031" i="1"/>
  <c r="B3031" i="1"/>
  <c r="C3031" i="1"/>
  <c r="E3031" i="1"/>
  <c r="G3031" i="1"/>
  <c r="H3031" i="1"/>
  <c r="A3032" i="1"/>
  <c r="B3032" i="1"/>
  <c r="C3032" i="1"/>
  <c r="E3032" i="1"/>
  <c r="G3032" i="1"/>
  <c r="H3032" i="1"/>
  <c r="A3033" i="1"/>
  <c r="B3033" i="1"/>
  <c r="C3033" i="1"/>
  <c r="E3033" i="1"/>
  <c r="G3033" i="1"/>
  <c r="H3033" i="1"/>
  <c r="A3034" i="1"/>
  <c r="B3034" i="1"/>
  <c r="C3034" i="1"/>
  <c r="E3034" i="1"/>
  <c r="G3034" i="1"/>
  <c r="H3034" i="1"/>
  <c r="A3035" i="1"/>
  <c r="B3035" i="1"/>
  <c r="C3035" i="1"/>
  <c r="E3035" i="1"/>
  <c r="G3035" i="1"/>
  <c r="H3035" i="1"/>
  <c r="A3036" i="1"/>
  <c r="B3036" i="1"/>
  <c r="C3036" i="1"/>
  <c r="E3036" i="1"/>
  <c r="G3036" i="1"/>
  <c r="H3036" i="1"/>
  <c r="A3037" i="1"/>
  <c r="B3037" i="1"/>
  <c r="C3037" i="1"/>
  <c r="E3037" i="1"/>
  <c r="G3037" i="1"/>
  <c r="H3037" i="1"/>
  <c r="A3038" i="1"/>
  <c r="B3038" i="1"/>
  <c r="C3038" i="1"/>
  <c r="E3038" i="1"/>
  <c r="G3038" i="1"/>
  <c r="H3038" i="1"/>
  <c r="A3039" i="1"/>
  <c r="B3039" i="1"/>
  <c r="C3039" i="1"/>
  <c r="E3039" i="1"/>
  <c r="G3039" i="1"/>
  <c r="H3039" i="1"/>
  <c r="A3040" i="1"/>
  <c r="B3040" i="1"/>
  <c r="C3040" i="1"/>
  <c r="E3040" i="1"/>
  <c r="G3040" i="1"/>
  <c r="H3040" i="1"/>
  <c r="A3041" i="1"/>
  <c r="B3041" i="1"/>
  <c r="C3041" i="1"/>
  <c r="E3041" i="1"/>
  <c r="G3041" i="1"/>
  <c r="H3041" i="1"/>
  <c r="A3042" i="1"/>
  <c r="B3042" i="1"/>
  <c r="C3042" i="1"/>
  <c r="E3042" i="1"/>
  <c r="G3042" i="1"/>
  <c r="H3042" i="1"/>
  <c r="A3043" i="1"/>
  <c r="B3043" i="1"/>
  <c r="C3043" i="1"/>
  <c r="E3043" i="1"/>
  <c r="G3043" i="1"/>
  <c r="H3043" i="1"/>
  <c r="A3044" i="1"/>
  <c r="B3044" i="1"/>
  <c r="C3044" i="1"/>
  <c r="E3044" i="1"/>
  <c r="G3044" i="1"/>
  <c r="H3044" i="1"/>
  <c r="A3045" i="1"/>
  <c r="B3045" i="1"/>
  <c r="C3045" i="1"/>
  <c r="E3045" i="1"/>
  <c r="G3045" i="1"/>
  <c r="H3045" i="1"/>
  <c r="A3046" i="1"/>
  <c r="B3046" i="1"/>
  <c r="C3046" i="1"/>
  <c r="E3046" i="1"/>
  <c r="G3046" i="1"/>
  <c r="H3046" i="1"/>
  <c r="A3047" i="1"/>
  <c r="B3047" i="1"/>
  <c r="C3047" i="1"/>
  <c r="E3047" i="1"/>
  <c r="G3047" i="1"/>
  <c r="H3047" i="1"/>
  <c r="A3048" i="1"/>
  <c r="B3048" i="1"/>
  <c r="C3048" i="1"/>
  <c r="E3048" i="1"/>
  <c r="G3048" i="1"/>
  <c r="H3048" i="1"/>
  <c r="A3049" i="1"/>
  <c r="B3049" i="1"/>
  <c r="C3049" i="1"/>
  <c r="E3049" i="1"/>
  <c r="G3049" i="1"/>
  <c r="H3049" i="1"/>
  <c r="A3050" i="1"/>
  <c r="B3050" i="1"/>
  <c r="C3050" i="1"/>
  <c r="E3050" i="1"/>
  <c r="G3050" i="1"/>
  <c r="H3050" i="1"/>
  <c r="A3051" i="1"/>
  <c r="B3051" i="1"/>
  <c r="C3051" i="1"/>
  <c r="E3051" i="1"/>
  <c r="G3051" i="1"/>
  <c r="H3051" i="1"/>
  <c r="A3052" i="1"/>
  <c r="B3052" i="1"/>
  <c r="C3052" i="1"/>
  <c r="E3052" i="1"/>
  <c r="G3052" i="1"/>
  <c r="H3052" i="1"/>
  <c r="A3053" i="1"/>
  <c r="B3053" i="1"/>
  <c r="C3053" i="1"/>
  <c r="E3053" i="1"/>
  <c r="G3053" i="1"/>
  <c r="H3053" i="1"/>
  <c r="A3054" i="1"/>
  <c r="B3054" i="1"/>
  <c r="C3054" i="1"/>
  <c r="E3054" i="1"/>
  <c r="G3054" i="1"/>
  <c r="H3054" i="1"/>
  <c r="A3055" i="1"/>
  <c r="B3055" i="1"/>
  <c r="C3055" i="1"/>
  <c r="E3055" i="1"/>
  <c r="G3055" i="1"/>
  <c r="H3055" i="1"/>
  <c r="A3056" i="1"/>
  <c r="B3056" i="1"/>
  <c r="C3056" i="1"/>
  <c r="E3056" i="1"/>
  <c r="G3056" i="1"/>
  <c r="H3056" i="1"/>
  <c r="A3057" i="1"/>
  <c r="B3057" i="1"/>
  <c r="C3057" i="1"/>
  <c r="E3057" i="1"/>
  <c r="G3057" i="1"/>
  <c r="H3057" i="1"/>
  <c r="A3058" i="1"/>
  <c r="B3058" i="1"/>
  <c r="C3058" i="1"/>
  <c r="E3058" i="1"/>
  <c r="G3058" i="1"/>
  <c r="H3058" i="1"/>
  <c r="A3059" i="1"/>
  <c r="B3059" i="1"/>
  <c r="C3059" i="1"/>
  <c r="E3059" i="1"/>
  <c r="G3059" i="1"/>
  <c r="H3059" i="1"/>
  <c r="A3060" i="1"/>
  <c r="B3060" i="1"/>
  <c r="C3060" i="1"/>
  <c r="E3060" i="1"/>
  <c r="G3060" i="1"/>
  <c r="H3060" i="1"/>
  <c r="A3061" i="1"/>
  <c r="B3061" i="1"/>
  <c r="C3061" i="1"/>
  <c r="E3061" i="1"/>
  <c r="G3061" i="1"/>
  <c r="H3061" i="1"/>
  <c r="A3062" i="1"/>
  <c r="B3062" i="1"/>
  <c r="C3062" i="1"/>
  <c r="E3062" i="1"/>
  <c r="G3062" i="1"/>
  <c r="H3062" i="1"/>
  <c r="A3063" i="1"/>
  <c r="B3063" i="1"/>
  <c r="C3063" i="1"/>
  <c r="E3063" i="1"/>
  <c r="G3063" i="1"/>
  <c r="H3063" i="1"/>
  <c r="A3064" i="1"/>
  <c r="B3064" i="1"/>
  <c r="C3064" i="1"/>
  <c r="E3064" i="1"/>
  <c r="G3064" i="1"/>
  <c r="H3064" i="1"/>
  <c r="A3065" i="1"/>
  <c r="B3065" i="1"/>
  <c r="C3065" i="1"/>
  <c r="E3065" i="1"/>
  <c r="G3065" i="1"/>
  <c r="H3065" i="1"/>
  <c r="A3066" i="1"/>
  <c r="B3066" i="1"/>
  <c r="C3066" i="1"/>
  <c r="E3066" i="1"/>
  <c r="G3066" i="1"/>
  <c r="H3066" i="1"/>
  <c r="A3067" i="1"/>
  <c r="B3067" i="1"/>
  <c r="C3067" i="1"/>
  <c r="E3067" i="1"/>
  <c r="G3067" i="1"/>
  <c r="H3067" i="1"/>
  <c r="A3068" i="1"/>
  <c r="B3068" i="1"/>
  <c r="C3068" i="1"/>
  <c r="E3068" i="1"/>
  <c r="G3068" i="1"/>
  <c r="H3068" i="1"/>
  <c r="A3069" i="1"/>
  <c r="B3069" i="1"/>
  <c r="C3069" i="1"/>
  <c r="E3069" i="1"/>
  <c r="G3069" i="1"/>
  <c r="H3069" i="1"/>
  <c r="A3070" i="1"/>
  <c r="B3070" i="1"/>
  <c r="C3070" i="1"/>
  <c r="E3070" i="1"/>
  <c r="G3070" i="1"/>
  <c r="H3070" i="1"/>
  <c r="A3071" i="1"/>
  <c r="B3071" i="1"/>
  <c r="C3071" i="1"/>
  <c r="E3071" i="1"/>
  <c r="G3071" i="1"/>
  <c r="H3071" i="1"/>
  <c r="A3072" i="1"/>
  <c r="B3072" i="1"/>
  <c r="C3072" i="1"/>
  <c r="E3072" i="1"/>
  <c r="G3072" i="1"/>
  <c r="H3072" i="1"/>
  <c r="A3073" i="1"/>
  <c r="B3073" i="1"/>
  <c r="C3073" i="1"/>
  <c r="E3073" i="1"/>
  <c r="G3073" i="1"/>
  <c r="H3073" i="1"/>
  <c r="A3074" i="1"/>
  <c r="B3074" i="1"/>
  <c r="C3074" i="1"/>
  <c r="E3074" i="1"/>
  <c r="G3074" i="1"/>
  <c r="H3074" i="1"/>
  <c r="A3075" i="1"/>
  <c r="B3075" i="1"/>
  <c r="C3075" i="1"/>
  <c r="E3075" i="1"/>
  <c r="G3075" i="1"/>
  <c r="H3075" i="1"/>
  <c r="A3076" i="1"/>
  <c r="B3076" i="1"/>
  <c r="C3076" i="1"/>
  <c r="E3076" i="1"/>
  <c r="G3076" i="1"/>
  <c r="H3076" i="1"/>
  <c r="A3077" i="1"/>
  <c r="B3077" i="1"/>
  <c r="C3077" i="1"/>
  <c r="E3077" i="1"/>
  <c r="G3077" i="1"/>
  <c r="H3077" i="1"/>
  <c r="A3078" i="1"/>
  <c r="B3078" i="1"/>
  <c r="C3078" i="1"/>
  <c r="E3078" i="1"/>
  <c r="G3078" i="1"/>
  <c r="H3078" i="1"/>
  <c r="A3079" i="1"/>
  <c r="B3079" i="1"/>
  <c r="C3079" i="1"/>
  <c r="E3079" i="1"/>
  <c r="G3079" i="1"/>
  <c r="H3079" i="1"/>
  <c r="A3080" i="1"/>
  <c r="B3080" i="1"/>
  <c r="C3080" i="1"/>
  <c r="E3080" i="1"/>
  <c r="G3080" i="1"/>
  <c r="H3080" i="1"/>
  <c r="A3081" i="1"/>
  <c r="B3081" i="1"/>
  <c r="C3081" i="1"/>
  <c r="E3081" i="1"/>
  <c r="G3081" i="1"/>
  <c r="H3081" i="1"/>
  <c r="A3082" i="1"/>
  <c r="B3082" i="1"/>
  <c r="C3082" i="1"/>
  <c r="E3082" i="1"/>
  <c r="G3082" i="1"/>
  <c r="H3082" i="1"/>
  <c r="A3083" i="1"/>
  <c r="B3083" i="1"/>
  <c r="C3083" i="1"/>
  <c r="E3083" i="1"/>
  <c r="G3083" i="1"/>
  <c r="H3083" i="1"/>
  <c r="A3084" i="1"/>
  <c r="B3084" i="1"/>
  <c r="C3084" i="1"/>
  <c r="E3084" i="1"/>
  <c r="G3084" i="1"/>
  <c r="H3084" i="1"/>
  <c r="A3085" i="1"/>
  <c r="B3085" i="1"/>
  <c r="C3085" i="1"/>
  <c r="E3085" i="1"/>
  <c r="G3085" i="1"/>
  <c r="H3085" i="1"/>
  <c r="A3086" i="1"/>
  <c r="B3086" i="1"/>
  <c r="C3086" i="1"/>
  <c r="E3086" i="1"/>
  <c r="G3086" i="1"/>
  <c r="H3086" i="1"/>
  <c r="A3087" i="1"/>
  <c r="B3087" i="1"/>
  <c r="C3087" i="1"/>
  <c r="E3087" i="1"/>
  <c r="G3087" i="1"/>
  <c r="H3087" i="1"/>
  <c r="A3088" i="1"/>
  <c r="B3088" i="1"/>
  <c r="C3088" i="1"/>
  <c r="E3088" i="1"/>
  <c r="G3088" i="1"/>
  <c r="H3088" i="1"/>
  <c r="A3089" i="1"/>
  <c r="B3089" i="1"/>
  <c r="C3089" i="1"/>
  <c r="E3089" i="1"/>
  <c r="G3089" i="1"/>
  <c r="H3089" i="1"/>
  <c r="A3090" i="1"/>
  <c r="B3090" i="1"/>
  <c r="C3090" i="1"/>
  <c r="E3090" i="1"/>
  <c r="G3090" i="1"/>
  <c r="H3090" i="1"/>
  <c r="A3091" i="1"/>
  <c r="B3091" i="1"/>
  <c r="C3091" i="1"/>
  <c r="E3091" i="1"/>
  <c r="G3091" i="1"/>
  <c r="H3091" i="1"/>
  <c r="A3092" i="1"/>
  <c r="B3092" i="1"/>
  <c r="C3092" i="1"/>
  <c r="E3092" i="1"/>
  <c r="G3092" i="1"/>
  <c r="H3092" i="1"/>
  <c r="A3093" i="1"/>
  <c r="B3093" i="1"/>
  <c r="C3093" i="1"/>
  <c r="E3093" i="1"/>
  <c r="G3093" i="1"/>
  <c r="H3093" i="1"/>
  <c r="A3094" i="1"/>
  <c r="B3094" i="1"/>
  <c r="C3094" i="1"/>
  <c r="E3094" i="1"/>
  <c r="G3094" i="1"/>
  <c r="H3094" i="1"/>
  <c r="A3095" i="1"/>
  <c r="B3095" i="1"/>
  <c r="C3095" i="1"/>
  <c r="E3095" i="1"/>
  <c r="G3095" i="1"/>
  <c r="H3095" i="1"/>
  <c r="A3096" i="1"/>
  <c r="B3096" i="1"/>
  <c r="C3096" i="1"/>
  <c r="E3096" i="1"/>
  <c r="G3096" i="1"/>
  <c r="H3096" i="1"/>
  <c r="A3097" i="1"/>
  <c r="B3097" i="1"/>
  <c r="C3097" i="1"/>
  <c r="E3097" i="1"/>
  <c r="G3097" i="1"/>
  <c r="H3097" i="1"/>
  <c r="A3098" i="1"/>
  <c r="B3098" i="1"/>
  <c r="C3098" i="1"/>
  <c r="E3098" i="1"/>
  <c r="G3098" i="1"/>
  <c r="H3098" i="1"/>
  <c r="A3099" i="1"/>
  <c r="B3099" i="1"/>
  <c r="C3099" i="1"/>
  <c r="E3099" i="1"/>
  <c r="G3099" i="1"/>
  <c r="H3099" i="1"/>
  <c r="A3100" i="1"/>
  <c r="B3100" i="1"/>
  <c r="C3100" i="1"/>
  <c r="E3100" i="1"/>
  <c r="G3100" i="1"/>
  <c r="H3100" i="1"/>
  <c r="A3101" i="1"/>
  <c r="B3101" i="1"/>
  <c r="C3101" i="1"/>
  <c r="E3101" i="1"/>
  <c r="G3101" i="1"/>
  <c r="H3101" i="1"/>
  <c r="A3102" i="1"/>
  <c r="B3102" i="1"/>
  <c r="C3102" i="1"/>
  <c r="E3102" i="1"/>
  <c r="G3102" i="1"/>
  <c r="H3102" i="1"/>
  <c r="A3103" i="1"/>
  <c r="B3103" i="1"/>
  <c r="C3103" i="1"/>
  <c r="E3103" i="1"/>
  <c r="G3103" i="1"/>
  <c r="H3103" i="1"/>
  <c r="A3104" i="1"/>
  <c r="B3104" i="1"/>
  <c r="C3104" i="1"/>
  <c r="E3104" i="1"/>
  <c r="G3104" i="1"/>
  <c r="H3104" i="1"/>
  <c r="A3105" i="1"/>
  <c r="B3105" i="1"/>
  <c r="C3105" i="1"/>
  <c r="E3105" i="1"/>
  <c r="G3105" i="1"/>
  <c r="H3105" i="1"/>
  <c r="A3106" i="1"/>
  <c r="B3106" i="1"/>
  <c r="C3106" i="1"/>
  <c r="E3106" i="1"/>
  <c r="G3106" i="1"/>
  <c r="H3106" i="1"/>
  <c r="A3107" i="1"/>
  <c r="B3107" i="1"/>
  <c r="C3107" i="1"/>
  <c r="E3107" i="1"/>
  <c r="G3107" i="1"/>
  <c r="H3107" i="1"/>
  <c r="A3108" i="1"/>
  <c r="B3108" i="1"/>
  <c r="C3108" i="1"/>
  <c r="E3108" i="1"/>
  <c r="G3108" i="1"/>
  <c r="H3108" i="1"/>
  <c r="A3109" i="1"/>
  <c r="B3109" i="1"/>
  <c r="C3109" i="1"/>
  <c r="E3109" i="1"/>
  <c r="G3109" i="1"/>
  <c r="H3109" i="1"/>
  <c r="A3110" i="1"/>
  <c r="B3110" i="1"/>
  <c r="C3110" i="1"/>
  <c r="E3110" i="1"/>
  <c r="G3110" i="1"/>
  <c r="H3110" i="1"/>
  <c r="A3111" i="1"/>
  <c r="B3111" i="1"/>
  <c r="C3111" i="1"/>
  <c r="E3111" i="1"/>
  <c r="G3111" i="1"/>
  <c r="H3111" i="1"/>
  <c r="A3112" i="1"/>
  <c r="B3112" i="1"/>
  <c r="C3112" i="1"/>
  <c r="E3112" i="1"/>
  <c r="G3112" i="1"/>
  <c r="H3112" i="1"/>
  <c r="A3113" i="1"/>
  <c r="B3113" i="1"/>
  <c r="C3113" i="1"/>
  <c r="E3113" i="1"/>
  <c r="G3113" i="1"/>
  <c r="H3113" i="1"/>
  <c r="A3114" i="1"/>
  <c r="B3114" i="1"/>
  <c r="C3114" i="1"/>
  <c r="E3114" i="1"/>
  <c r="G3114" i="1"/>
  <c r="H3114" i="1"/>
  <c r="A3115" i="1"/>
  <c r="B3115" i="1"/>
  <c r="C3115" i="1"/>
  <c r="E3115" i="1"/>
  <c r="G3115" i="1"/>
  <c r="H3115" i="1"/>
  <c r="A3116" i="1"/>
  <c r="B3116" i="1"/>
  <c r="C3116" i="1"/>
  <c r="E3116" i="1"/>
  <c r="G3116" i="1"/>
  <c r="H3116" i="1"/>
  <c r="A3117" i="1"/>
  <c r="B3117" i="1"/>
  <c r="C3117" i="1"/>
  <c r="E3117" i="1"/>
  <c r="G3117" i="1"/>
  <c r="H3117" i="1"/>
  <c r="A3118" i="1"/>
  <c r="B3118" i="1"/>
  <c r="C3118" i="1"/>
  <c r="E3118" i="1"/>
  <c r="G3118" i="1"/>
  <c r="H3118" i="1"/>
  <c r="A3119" i="1"/>
  <c r="B3119" i="1"/>
  <c r="C3119" i="1"/>
  <c r="E3119" i="1"/>
  <c r="G3119" i="1"/>
  <c r="H3119" i="1"/>
  <c r="A3120" i="1"/>
  <c r="B3120" i="1"/>
  <c r="C3120" i="1"/>
  <c r="E3120" i="1"/>
  <c r="G3120" i="1"/>
  <c r="H3120" i="1"/>
  <c r="A3121" i="1"/>
  <c r="B3121" i="1"/>
  <c r="C3121" i="1"/>
  <c r="E3121" i="1"/>
  <c r="G3121" i="1"/>
  <c r="H3121" i="1"/>
  <c r="A3122" i="1"/>
  <c r="B3122" i="1"/>
  <c r="C3122" i="1"/>
  <c r="E3122" i="1"/>
  <c r="G3122" i="1"/>
  <c r="H3122" i="1"/>
  <c r="A3123" i="1"/>
  <c r="B3123" i="1"/>
  <c r="C3123" i="1"/>
  <c r="E3123" i="1"/>
  <c r="G3123" i="1"/>
  <c r="H3123" i="1"/>
  <c r="A3124" i="1"/>
  <c r="B3124" i="1"/>
  <c r="C3124" i="1"/>
  <c r="E3124" i="1"/>
  <c r="G3124" i="1"/>
  <c r="H3124" i="1"/>
  <c r="A3125" i="1"/>
  <c r="B3125" i="1"/>
  <c r="C3125" i="1"/>
  <c r="E3125" i="1"/>
  <c r="G3125" i="1"/>
  <c r="H3125" i="1"/>
  <c r="A3126" i="1"/>
  <c r="B3126" i="1"/>
  <c r="C3126" i="1"/>
  <c r="E3126" i="1"/>
  <c r="G3126" i="1"/>
  <c r="H3126" i="1"/>
  <c r="A3127" i="1"/>
  <c r="B3127" i="1"/>
  <c r="C3127" i="1"/>
  <c r="E3127" i="1"/>
  <c r="G3127" i="1"/>
  <c r="H3127" i="1"/>
  <c r="A3128" i="1"/>
  <c r="B3128" i="1"/>
  <c r="C3128" i="1"/>
  <c r="E3128" i="1"/>
  <c r="G3128" i="1"/>
  <c r="H3128" i="1"/>
  <c r="A3129" i="1"/>
  <c r="B3129" i="1"/>
  <c r="C3129" i="1"/>
  <c r="E3129" i="1"/>
  <c r="G3129" i="1"/>
  <c r="H3129" i="1"/>
  <c r="A3130" i="1"/>
  <c r="B3130" i="1"/>
  <c r="C3130" i="1"/>
  <c r="E3130" i="1"/>
  <c r="G3130" i="1"/>
  <c r="H3130" i="1"/>
  <c r="A3131" i="1"/>
  <c r="B3131" i="1"/>
  <c r="C3131" i="1"/>
  <c r="E3131" i="1"/>
  <c r="G3131" i="1"/>
  <c r="H3131" i="1"/>
  <c r="A3132" i="1"/>
  <c r="B3132" i="1"/>
  <c r="C3132" i="1"/>
  <c r="E3132" i="1"/>
  <c r="G3132" i="1"/>
  <c r="H3132" i="1"/>
  <c r="A3133" i="1"/>
  <c r="B3133" i="1"/>
  <c r="C3133" i="1"/>
  <c r="E3133" i="1"/>
  <c r="G3133" i="1"/>
  <c r="H3133" i="1"/>
  <c r="A3134" i="1"/>
  <c r="B3134" i="1"/>
  <c r="C3134" i="1"/>
  <c r="E3134" i="1"/>
  <c r="G3134" i="1"/>
  <c r="H3134" i="1"/>
  <c r="A3135" i="1"/>
  <c r="B3135" i="1"/>
  <c r="C3135" i="1"/>
  <c r="E3135" i="1"/>
  <c r="G3135" i="1"/>
  <c r="H3135" i="1"/>
  <c r="A3136" i="1"/>
  <c r="B3136" i="1"/>
  <c r="C3136" i="1"/>
  <c r="E3136" i="1"/>
  <c r="G3136" i="1"/>
  <c r="H3136" i="1"/>
  <c r="A3137" i="1"/>
  <c r="B3137" i="1"/>
  <c r="C3137" i="1"/>
  <c r="E3137" i="1"/>
  <c r="G3137" i="1"/>
  <c r="H3137" i="1"/>
  <c r="A3138" i="1"/>
  <c r="B3138" i="1"/>
  <c r="C3138" i="1"/>
  <c r="E3138" i="1"/>
  <c r="G3138" i="1"/>
  <c r="H3138" i="1"/>
  <c r="A3139" i="1"/>
  <c r="B3139" i="1"/>
  <c r="C3139" i="1"/>
  <c r="E3139" i="1"/>
  <c r="G3139" i="1"/>
  <c r="H3139" i="1"/>
  <c r="A3140" i="1"/>
  <c r="B3140" i="1"/>
  <c r="C3140" i="1"/>
  <c r="E3140" i="1"/>
  <c r="G3140" i="1"/>
  <c r="H3140" i="1"/>
  <c r="A3141" i="1"/>
  <c r="B3141" i="1"/>
  <c r="C3141" i="1"/>
  <c r="E3141" i="1"/>
  <c r="G3141" i="1"/>
  <c r="H3141" i="1"/>
  <c r="A3142" i="1"/>
  <c r="B3142" i="1"/>
  <c r="C3142" i="1"/>
  <c r="E3142" i="1"/>
  <c r="G3142" i="1"/>
  <c r="H3142" i="1"/>
  <c r="A3143" i="1"/>
  <c r="B3143" i="1"/>
  <c r="C3143" i="1"/>
  <c r="E3143" i="1"/>
  <c r="G3143" i="1"/>
  <c r="H3143" i="1"/>
  <c r="A3144" i="1"/>
  <c r="B3144" i="1"/>
  <c r="C3144" i="1"/>
  <c r="E3144" i="1"/>
  <c r="G3144" i="1"/>
  <c r="H3144" i="1"/>
  <c r="A3145" i="1"/>
  <c r="B3145" i="1"/>
  <c r="C3145" i="1"/>
  <c r="E3145" i="1"/>
  <c r="G3145" i="1"/>
  <c r="H3145" i="1"/>
  <c r="A3146" i="1"/>
  <c r="B3146" i="1"/>
  <c r="C3146" i="1"/>
  <c r="E3146" i="1"/>
  <c r="G3146" i="1"/>
  <c r="H3146" i="1"/>
  <c r="A3147" i="1"/>
  <c r="B3147" i="1"/>
  <c r="C3147" i="1"/>
  <c r="E3147" i="1"/>
  <c r="G3147" i="1"/>
  <c r="H3147" i="1"/>
  <c r="A3148" i="1"/>
  <c r="B3148" i="1"/>
  <c r="C3148" i="1"/>
  <c r="E3148" i="1"/>
  <c r="G3148" i="1"/>
  <c r="H3148" i="1"/>
  <c r="A3149" i="1"/>
  <c r="B3149" i="1"/>
  <c r="C3149" i="1"/>
  <c r="E3149" i="1"/>
  <c r="G3149" i="1"/>
  <c r="H3149" i="1"/>
  <c r="A3150" i="1"/>
  <c r="B3150" i="1"/>
  <c r="C3150" i="1"/>
  <c r="E3150" i="1"/>
  <c r="G3150" i="1"/>
  <c r="H3150" i="1"/>
  <c r="A3151" i="1"/>
  <c r="B3151" i="1"/>
  <c r="C3151" i="1"/>
  <c r="E3151" i="1"/>
  <c r="G3151" i="1"/>
  <c r="H3151" i="1"/>
  <c r="A3152" i="1"/>
  <c r="B3152" i="1"/>
  <c r="C3152" i="1"/>
  <c r="E3152" i="1"/>
  <c r="G3152" i="1"/>
  <c r="H3152" i="1"/>
  <c r="A3153" i="1"/>
  <c r="B3153" i="1"/>
  <c r="C3153" i="1"/>
  <c r="E3153" i="1"/>
  <c r="G3153" i="1"/>
  <c r="H3153" i="1"/>
  <c r="A3154" i="1"/>
  <c r="B3154" i="1"/>
  <c r="C3154" i="1"/>
  <c r="E3154" i="1"/>
  <c r="G3154" i="1"/>
  <c r="H3154" i="1"/>
  <c r="A3155" i="1"/>
  <c r="B3155" i="1"/>
  <c r="C3155" i="1"/>
  <c r="E3155" i="1"/>
  <c r="G3155" i="1"/>
  <c r="H3155" i="1"/>
  <c r="A3156" i="1"/>
  <c r="B3156" i="1"/>
  <c r="C3156" i="1"/>
  <c r="E3156" i="1"/>
  <c r="G3156" i="1"/>
  <c r="H3156" i="1"/>
  <c r="A3157" i="1"/>
  <c r="B3157" i="1"/>
  <c r="C3157" i="1"/>
  <c r="E3157" i="1"/>
  <c r="G3157" i="1"/>
  <c r="H3157" i="1"/>
  <c r="A3158" i="1"/>
  <c r="B3158" i="1"/>
  <c r="C3158" i="1"/>
  <c r="E3158" i="1"/>
  <c r="G3158" i="1"/>
  <c r="H3158" i="1"/>
  <c r="A3159" i="1"/>
  <c r="B3159" i="1"/>
  <c r="C3159" i="1"/>
  <c r="E3159" i="1"/>
  <c r="G3159" i="1"/>
  <c r="H3159" i="1"/>
  <c r="A3160" i="1"/>
  <c r="B3160" i="1"/>
  <c r="C3160" i="1"/>
  <c r="E3160" i="1"/>
  <c r="G3160" i="1"/>
  <c r="H3160" i="1"/>
  <c r="A3161" i="1"/>
  <c r="B3161" i="1"/>
  <c r="C3161" i="1"/>
  <c r="E3161" i="1"/>
  <c r="G3161" i="1"/>
  <c r="H3161" i="1"/>
  <c r="A3162" i="1"/>
  <c r="B3162" i="1"/>
  <c r="C3162" i="1"/>
  <c r="E3162" i="1"/>
  <c r="G3162" i="1"/>
  <c r="H3162" i="1"/>
  <c r="A3163" i="1"/>
  <c r="B3163" i="1"/>
  <c r="C3163" i="1"/>
  <c r="E3163" i="1"/>
  <c r="G3163" i="1"/>
  <c r="H3163" i="1"/>
  <c r="A3164" i="1"/>
  <c r="B3164" i="1"/>
  <c r="C3164" i="1"/>
  <c r="E3164" i="1"/>
  <c r="G3164" i="1"/>
  <c r="H3164" i="1"/>
  <c r="A3165" i="1"/>
  <c r="B3165" i="1"/>
  <c r="C3165" i="1"/>
  <c r="E3165" i="1"/>
  <c r="G3165" i="1"/>
  <c r="H3165" i="1"/>
  <c r="A3166" i="1"/>
  <c r="B3166" i="1"/>
  <c r="C3166" i="1"/>
  <c r="E3166" i="1"/>
  <c r="G3166" i="1"/>
  <c r="H3166" i="1"/>
  <c r="A3167" i="1"/>
  <c r="B3167" i="1"/>
  <c r="C3167" i="1"/>
  <c r="E3167" i="1"/>
  <c r="G3167" i="1"/>
  <c r="H3167" i="1"/>
  <c r="A3168" i="1"/>
  <c r="B3168" i="1"/>
  <c r="C3168" i="1"/>
  <c r="E3168" i="1"/>
  <c r="G3168" i="1"/>
  <c r="H3168" i="1"/>
  <c r="A3169" i="1"/>
  <c r="B3169" i="1"/>
  <c r="C3169" i="1"/>
  <c r="E3169" i="1"/>
  <c r="G3169" i="1"/>
  <c r="H3169" i="1"/>
  <c r="A3170" i="1"/>
  <c r="B3170" i="1"/>
  <c r="C3170" i="1"/>
  <c r="E3170" i="1"/>
  <c r="G3170" i="1"/>
  <c r="H3170" i="1"/>
  <c r="A3171" i="1"/>
  <c r="B3171" i="1"/>
  <c r="C3171" i="1"/>
  <c r="E3171" i="1"/>
  <c r="G3171" i="1"/>
  <c r="H3171" i="1"/>
  <c r="A3172" i="1"/>
  <c r="B3172" i="1"/>
  <c r="C3172" i="1"/>
  <c r="E3172" i="1"/>
  <c r="G3172" i="1"/>
  <c r="H3172" i="1"/>
  <c r="A3173" i="1"/>
  <c r="B3173" i="1"/>
  <c r="C3173" i="1"/>
  <c r="E3173" i="1"/>
  <c r="G3173" i="1"/>
  <c r="H3173" i="1"/>
  <c r="A3174" i="1"/>
  <c r="B3174" i="1"/>
  <c r="C3174" i="1"/>
  <c r="E3174" i="1"/>
  <c r="G3174" i="1"/>
  <c r="H3174" i="1"/>
  <c r="A3175" i="1"/>
  <c r="B3175" i="1"/>
  <c r="C3175" i="1"/>
  <c r="E3175" i="1"/>
  <c r="G3175" i="1"/>
  <c r="H3175" i="1"/>
  <c r="A3176" i="1"/>
  <c r="B3176" i="1"/>
  <c r="C3176" i="1"/>
  <c r="E3176" i="1"/>
  <c r="G3176" i="1"/>
  <c r="H3176" i="1"/>
  <c r="A3177" i="1"/>
  <c r="B3177" i="1"/>
  <c r="C3177" i="1"/>
  <c r="E3177" i="1"/>
  <c r="G3177" i="1"/>
  <c r="H3177" i="1"/>
  <c r="A3178" i="1"/>
  <c r="B3178" i="1"/>
  <c r="C3178" i="1"/>
  <c r="E3178" i="1"/>
  <c r="G3178" i="1"/>
  <c r="H3178" i="1"/>
  <c r="A3179" i="1"/>
  <c r="B3179" i="1"/>
  <c r="C3179" i="1"/>
  <c r="E3179" i="1"/>
  <c r="G3179" i="1"/>
  <c r="H3179" i="1"/>
  <c r="A3180" i="1"/>
  <c r="B3180" i="1"/>
  <c r="C3180" i="1"/>
  <c r="E3180" i="1"/>
  <c r="G3180" i="1"/>
  <c r="H3180" i="1"/>
  <c r="A3181" i="1"/>
  <c r="B3181" i="1"/>
  <c r="C3181" i="1"/>
  <c r="E3181" i="1"/>
  <c r="G3181" i="1"/>
  <c r="H3181" i="1"/>
  <c r="A3182" i="1"/>
  <c r="B3182" i="1"/>
  <c r="C3182" i="1"/>
  <c r="E3182" i="1"/>
  <c r="G3182" i="1"/>
  <c r="H3182" i="1"/>
  <c r="A3183" i="1"/>
  <c r="B3183" i="1"/>
  <c r="C3183" i="1"/>
  <c r="E3183" i="1"/>
  <c r="G3183" i="1"/>
  <c r="H3183" i="1"/>
  <c r="A3184" i="1"/>
  <c r="B3184" i="1"/>
  <c r="C3184" i="1"/>
  <c r="E3184" i="1"/>
  <c r="G3184" i="1"/>
  <c r="H3184" i="1"/>
  <c r="A3185" i="1"/>
  <c r="B3185" i="1"/>
  <c r="C3185" i="1"/>
  <c r="E3185" i="1"/>
  <c r="G3185" i="1"/>
  <c r="H3185" i="1"/>
  <c r="A3186" i="1"/>
  <c r="B3186" i="1"/>
  <c r="C3186" i="1"/>
  <c r="E3186" i="1"/>
  <c r="G3186" i="1"/>
  <c r="H3186" i="1"/>
  <c r="A3187" i="1"/>
  <c r="B3187" i="1"/>
  <c r="C3187" i="1"/>
  <c r="E3187" i="1"/>
  <c r="G3187" i="1"/>
  <c r="H3187" i="1"/>
  <c r="A3188" i="1"/>
  <c r="B3188" i="1"/>
  <c r="C3188" i="1"/>
  <c r="E3188" i="1"/>
  <c r="G3188" i="1"/>
  <c r="H3188" i="1"/>
  <c r="A3189" i="1"/>
  <c r="B3189" i="1"/>
  <c r="C3189" i="1"/>
  <c r="E3189" i="1"/>
  <c r="G3189" i="1"/>
  <c r="H3189" i="1"/>
  <c r="A3190" i="1"/>
  <c r="B3190" i="1"/>
  <c r="C3190" i="1"/>
  <c r="E3190" i="1"/>
  <c r="G3190" i="1"/>
  <c r="H3190" i="1"/>
  <c r="A3191" i="1"/>
  <c r="B3191" i="1"/>
  <c r="C3191" i="1"/>
  <c r="E3191" i="1"/>
  <c r="G3191" i="1"/>
  <c r="H3191" i="1"/>
  <c r="A3192" i="1"/>
  <c r="B3192" i="1"/>
  <c r="C3192" i="1"/>
  <c r="E3192" i="1"/>
  <c r="G3192" i="1"/>
  <c r="H3192" i="1"/>
  <c r="A3193" i="1"/>
  <c r="B3193" i="1"/>
  <c r="C3193" i="1"/>
  <c r="E3193" i="1"/>
  <c r="G3193" i="1"/>
  <c r="H3193" i="1"/>
  <c r="A3194" i="1"/>
  <c r="B3194" i="1"/>
  <c r="C3194" i="1"/>
  <c r="E3194" i="1"/>
  <c r="G3194" i="1"/>
  <c r="H3194" i="1"/>
  <c r="A3195" i="1"/>
  <c r="B3195" i="1"/>
  <c r="C3195" i="1"/>
  <c r="E3195" i="1"/>
  <c r="G3195" i="1"/>
  <c r="H3195" i="1"/>
  <c r="A3196" i="1"/>
  <c r="B3196" i="1"/>
  <c r="C3196" i="1"/>
  <c r="E3196" i="1"/>
  <c r="G3196" i="1"/>
  <c r="H3196" i="1"/>
  <c r="A3197" i="1"/>
  <c r="B3197" i="1"/>
  <c r="C3197" i="1"/>
  <c r="E3197" i="1"/>
  <c r="G3197" i="1"/>
  <c r="H3197" i="1"/>
  <c r="A3198" i="1"/>
  <c r="B3198" i="1"/>
  <c r="C3198" i="1"/>
  <c r="E3198" i="1"/>
  <c r="G3198" i="1"/>
  <c r="H3198" i="1"/>
  <c r="A3199" i="1"/>
  <c r="B3199" i="1"/>
  <c r="C3199" i="1"/>
  <c r="E3199" i="1"/>
  <c r="G3199" i="1"/>
  <c r="H3199" i="1"/>
  <c r="A3200" i="1"/>
  <c r="B3200" i="1"/>
  <c r="C3200" i="1"/>
  <c r="E3200" i="1"/>
  <c r="G3200" i="1"/>
  <c r="H3200" i="1"/>
  <c r="A3201" i="1"/>
  <c r="B3201" i="1"/>
  <c r="C3201" i="1"/>
  <c r="E3201" i="1"/>
  <c r="G3201" i="1"/>
  <c r="H3201" i="1"/>
  <c r="A3202" i="1"/>
  <c r="B3202" i="1"/>
  <c r="C3202" i="1"/>
  <c r="E3202" i="1"/>
  <c r="G3202" i="1"/>
  <c r="H3202" i="1"/>
  <c r="A3203" i="1"/>
  <c r="B3203" i="1"/>
  <c r="C3203" i="1"/>
  <c r="E3203" i="1"/>
  <c r="G3203" i="1"/>
  <c r="H3203" i="1"/>
  <c r="A3204" i="1"/>
  <c r="B3204" i="1"/>
  <c r="C3204" i="1"/>
  <c r="E3204" i="1"/>
  <c r="G3204" i="1"/>
  <c r="H3204" i="1"/>
  <c r="A3205" i="1"/>
  <c r="B3205" i="1"/>
  <c r="C3205" i="1"/>
  <c r="E3205" i="1"/>
  <c r="G3205" i="1"/>
  <c r="H3205" i="1"/>
  <c r="A3206" i="1"/>
  <c r="B3206" i="1"/>
  <c r="C3206" i="1"/>
  <c r="E3206" i="1"/>
  <c r="G3206" i="1"/>
  <c r="H3206" i="1"/>
  <c r="A3207" i="1"/>
  <c r="B3207" i="1"/>
  <c r="C3207" i="1"/>
  <c r="E3207" i="1"/>
  <c r="G3207" i="1"/>
  <c r="H3207" i="1"/>
  <c r="A3208" i="1"/>
  <c r="B3208" i="1"/>
  <c r="C3208" i="1"/>
  <c r="E3208" i="1"/>
  <c r="G3208" i="1"/>
  <c r="H3208" i="1"/>
  <c r="A3209" i="1"/>
  <c r="B3209" i="1"/>
  <c r="C3209" i="1"/>
  <c r="E3209" i="1"/>
  <c r="G3209" i="1"/>
  <c r="H3209" i="1"/>
  <c r="A3210" i="1"/>
  <c r="B3210" i="1"/>
  <c r="C3210" i="1"/>
  <c r="E3210" i="1"/>
  <c r="G3210" i="1"/>
  <c r="H3210" i="1"/>
  <c r="A3211" i="1"/>
  <c r="B3211" i="1"/>
  <c r="C3211" i="1"/>
  <c r="E3211" i="1"/>
  <c r="G3211" i="1"/>
  <c r="H3211" i="1"/>
  <c r="A3212" i="1"/>
  <c r="B3212" i="1"/>
  <c r="C3212" i="1"/>
  <c r="E3212" i="1"/>
  <c r="G3212" i="1"/>
  <c r="H3212" i="1"/>
  <c r="A3213" i="1"/>
  <c r="B3213" i="1"/>
  <c r="C3213" i="1"/>
  <c r="E3213" i="1"/>
  <c r="G3213" i="1"/>
  <c r="H3213" i="1"/>
  <c r="A3214" i="1"/>
  <c r="B3214" i="1"/>
  <c r="C3214" i="1"/>
  <c r="E3214" i="1"/>
  <c r="G3214" i="1"/>
  <c r="H3214" i="1"/>
  <c r="A3215" i="1"/>
  <c r="B3215" i="1"/>
  <c r="C3215" i="1"/>
  <c r="E3215" i="1"/>
  <c r="G3215" i="1"/>
  <c r="H3215" i="1"/>
  <c r="A3216" i="1"/>
  <c r="B3216" i="1"/>
  <c r="C3216" i="1"/>
  <c r="E3216" i="1"/>
  <c r="G3216" i="1"/>
  <c r="H3216" i="1"/>
  <c r="A3217" i="1"/>
  <c r="B3217" i="1"/>
  <c r="C3217" i="1"/>
  <c r="E3217" i="1"/>
  <c r="G3217" i="1"/>
  <c r="H3217" i="1"/>
  <c r="A3218" i="1"/>
  <c r="B3218" i="1"/>
  <c r="C3218" i="1"/>
  <c r="E3218" i="1"/>
  <c r="G3218" i="1"/>
  <c r="H3218" i="1"/>
  <c r="A3219" i="1"/>
  <c r="B3219" i="1"/>
  <c r="C3219" i="1"/>
  <c r="E3219" i="1"/>
  <c r="G3219" i="1"/>
  <c r="H3219" i="1"/>
  <c r="A3220" i="1"/>
  <c r="B3220" i="1"/>
  <c r="C3220" i="1"/>
  <c r="E3220" i="1"/>
  <c r="G3220" i="1"/>
  <c r="H3220" i="1"/>
  <c r="A3221" i="1"/>
  <c r="B3221" i="1"/>
  <c r="C3221" i="1"/>
  <c r="E3221" i="1"/>
  <c r="G3221" i="1"/>
  <c r="H3221" i="1"/>
  <c r="A3222" i="1"/>
  <c r="B3222" i="1"/>
  <c r="C3222" i="1"/>
  <c r="E3222" i="1"/>
  <c r="G3222" i="1"/>
  <c r="H3222" i="1"/>
  <c r="A3223" i="1"/>
  <c r="B3223" i="1"/>
  <c r="C3223" i="1"/>
  <c r="E3223" i="1"/>
  <c r="G3223" i="1"/>
  <c r="H3223" i="1"/>
  <c r="A3224" i="1"/>
  <c r="B3224" i="1"/>
  <c r="C3224" i="1"/>
  <c r="E3224" i="1"/>
  <c r="G3224" i="1"/>
  <c r="H3224" i="1"/>
  <c r="A3225" i="1"/>
  <c r="B3225" i="1"/>
  <c r="C3225" i="1"/>
  <c r="E3225" i="1"/>
  <c r="G3225" i="1"/>
  <c r="H3225" i="1"/>
  <c r="A3226" i="1"/>
  <c r="B3226" i="1"/>
  <c r="C3226" i="1"/>
  <c r="E3226" i="1"/>
  <c r="G3226" i="1"/>
  <c r="H3226" i="1"/>
  <c r="A3227" i="1"/>
  <c r="B3227" i="1"/>
  <c r="C3227" i="1"/>
  <c r="E3227" i="1"/>
  <c r="G3227" i="1"/>
  <c r="H3227" i="1"/>
  <c r="A3228" i="1"/>
  <c r="B3228" i="1"/>
  <c r="C3228" i="1"/>
  <c r="E3228" i="1"/>
  <c r="G3228" i="1"/>
  <c r="H3228" i="1"/>
  <c r="A3229" i="1"/>
  <c r="B3229" i="1"/>
  <c r="C3229" i="1"/>
  <c r="E3229" i="1"/>
  <c r="G3229" i="1"/>
  <c r="H3229" i="1"/>
  <c r="A3230" i="1"/>
  <c r="B3230" i="1"/>
  <c r="C3230" i="1"/>
  <c r="E3230" i="1"/>
  <c r="G3230" i="1"/>
  <c r="H3230" i="1"/>
  <c r="A3231" i="1"/>
  <c r="B3231" i="1"/>
  <c r="C3231" i="1"/>
  <c r="E3231" i="1"/>
  <c r="G3231" i="1"/>
  <c r="H3231" i="1"/>
  <c r="A3232" i="1"/>
  <c r="B3232" i="1"/>
  <c r="C3232" i="1"/>
  <c r="E3232" i="1"/>
  <c r="G3232" i="1"/>
  <c r="H3232" i="1"/>
  <c r="A3233" i="1"/>
  <c r="B3233" i="1"/>
  <c r="C3233" i="1"/>
  <c r="E3233" i="1"/>
  <c r="G3233" i="1"/>
  <c r="H3233" i="1"/>
  <c r="A3234" i="1"/>
  <c r="B3234" i="1"/>
  <c r="C3234" i="1"/>
  <c r="E3234" i="1"/>
  <c r="G3234" i="1"/>
  <c r="H3234" i="1"/>
  <c r="A3235" i="1"/>
  <c r="B3235" i="1"/>
  <c r="C3235" i="1"/>
  <c r="E3235" i="1"/>
  <c r="G3235" i="1"/>
  <c r="H3235" i="1"/>
  <c r="A3236" i="1"/>
  <c r="B3236" i="1"/>
  <c r="C3236" i="1"/>
  <c r="E3236" i="1"/>
  <c r="G3236" i="1"/>
  <c r="H3236" i="1"/>
  <c r="A3237" i="1"/>
  <c r="B3237" i="1"/>
  <c r="C3237" i="1"/>
  <c r="E3237" i="1"/>
  <c r="G3237" i="1"/>
  <c r="H3237" i="1"/>
  <c r="A3238" i="1"/>
  <c r="B3238" i="1"/>
  <c r="C3238" i="1"/>
  <c r="E3238" i="1"/>
  <c r="G3238" i="1"/>
  <c r="H3238" i="1"/>
  <c r="A3239" i="1"/>
  <c r="B3239" i="1"/>
  <c r="C3239" i="1"/>
  <c r="E3239" i="1"/>
  <c r="G3239" i="1"/>
  <c r="H3239" i="1"/>
  <c r="A3240" i="1"/>
  <c r="B3240" i="1"/>
  <c r="C3240" i="1"/>
  <c r="E3240" i="1"/>
  <c r="G3240" i="1"/>
  <c r="H3240" i="1"/>
  <c r="A3241" i="1"/>
  <c r="B3241" i="1"/>
  <c r="C3241" i="1"/>
  <c r="E3241" i="1"/>
  <c r="G3241" i="1"/>
  <c r="H3241" i="1"/>
  <c r="A3242" i="1"/>
  <c r="B3242" i="1"/>
  <c r="C3242" i="1"/>
  <c r="E3242" i="1"/>
  <c r="G3242" i="1"/>
  <c r="H3242" i="1"/>
  <c r="A3243" i="1"/>
  <c r="B3243" i="1"/>
  <c r="C3243" i="1"/>
  <c r="E3243" i="1"/>
  <c r="G3243" i="1"/>
  <c r="H3243" i="1"/>
  <c r="A3244" i="1"/>
  <c r="B3244" i="1"/>
  <c r="C3244" i="1"/>
  <c r="E3244" i="1"/>
  <c r="G3244" i="1"/>
  <c r="H3244" i="1"/>
  <c r="A3245" i="1"/>
  <c r="B3245" i="1"/>
  <c r="C3245" i="1"/>
  <c r="E3245" i="1"/>
  <c r="G3245" i="1"/>
  <c r="H3245" i="1"/>
  <c r="A3246" i="1"/>
  <c r="B3246" i="1"/>
  <c r="C3246" i="1"/>
  <c r="E3246" i="1"/>
  <c r="G3246" i="1"/>
  <c r="H3246" i="1"/>
  <c r="A3247" i="1"/>
  <c r="B3247" i="1"/>
  <c r="C3247" i="1"/>
  <c r="E3247" i="1"/>
  <c r="G3247" i="1"/>
  <c r="H3247" i="1"/>
  <c r="A3248" i="1"/>
  <c r="B3248" i="1"/>
  <c r="C3248" i="1"/>
  <c r="E3248" i="1"/>
  <c r="G3248" i="1"/>
  <c r="H3248" i="1"/>
  <c r="A3249" i="1"/>
  <c r="B3249" i="1"/>
  <c r="C3249" i="1"/>
  <c r="E3249" i="1"/>
  <c r="G3249" i="1"/>
  <c r="H3249" i="1"/>
  <c r="A3250" i="1"/>
  <c r="B3250" i="1"/>
  <c r="C3250" i="1"/>
  <c r="E3250" i="1"/>
  <c r="G3250" i="1"/>
  <c r="H3250" i="1"/>
  <c r="A3251" i="1"/>
  <c r="B3251" i="1"/>
  <c r="C3251" i="1"/>
  <c r="E3251" i="1"/>
  <c r="G3251" i="1"/>
  <c r="H3251" i="1"/>
  <c r="A3252" i="1"/>
  <c r="B3252" i="1"/>
  <c r="C3252" i="1"/>
  <c r="E3252" i="1"/>
  <c r="G3252" i="1"/>
  <c r="H3252" i="1"/>
  <c r="A3253" i="1"/>
  <c r="B3253" i="1"/>
  <c r="C3253" i="1"/>
  <c r="E3253" i="1"/>
  <c r="G3253" i="1"/>
  <c r="H3253" i="1"/>
  <c r="A3254" i="1"/>
  <c r="B3254" i="1"/>
  <c r="C3254" i="1"/>
  <c r="E3254" i="1"/>
  <c r="G3254" i="1"/>
  <c r="H3254" i="1"/>
  <c r="A3255" i="1"/>
  <c r="B3255" i="1"/>
  <c r="C3255" i="1"/>
  <c r="E3255" i="1"/>
  <c r="G3255" i="1"/>
  <c r="H3255" i="1"/>
  <c r="A3256" i="1"/>
  <c r="B3256" i="1"/>
  <c r="C3256" i="1"/>
  <c r="E3256" i="1"/>
  <c r="G3256" i="1"/>
  <c r="H3256" i="1"/>
  <c r="A3257" i="1"/>
  <c r="B3257" i="1"/>
  <c r="C3257" i="1"/>
  <c r="E3257" i="1"/>
  <c r="G3257" i="1"/>
  <c r="H3257" i="1"/>
  <c r="A3258" i="1"/>
  <c r="B3258" i="1"/>
  <c r="C3258" i="1"/>
  <c r="E3258" i="1"/>
  <c r="G3258" i="1"/>
  <c r="H3258" i="1"/>
  <c r="A3259" i="1"/>
  <c r="B3259" i="1"/>
  <c r="C3259" i="1"/>
  <c r="E3259" i="1"/>
  <c r="G3259" i="1"/>
  <c r="H3259" i="1"/>
  <c r="A3260" i="1"/>
  <c r="B3260" i="1"/>
  <c r="C3260" i="1"/>
  <c r="E3260" i="1"/>
  <c r="G3260" i="1"/>
  <c r="H3260" i="1"/>
  <c r="A3261" i="1"/>
  <c r="B3261" i="1"/>
  <c r="C3261" i="1"/>
  <c r="E3261" i="1"/>
  <c r="G3261" i="1"/>
  <c r="H3261" i="1"/>
  <c r="A3262" i="1"/>
  <c r="B3262" i="1"/>
  <c r="C3262" i="1"/>
  <c r="E3262" i="1"/>
  <c r="G3262" i="1"/>
  <c r="H3262" i="1"/>
  <c r="A3263" i="1"/>
  <c r="B3263" i="1"/>
  <c r="C3263" i="1"/>
  <c r="E3263" i="1"/>
  <c r="G3263" i="1"/>
  <c r="H3263" i="1"/>
  <c r="A3264" i="1"/>
  <c r="B3264" i="1"/>
  <c r="C3264" i="1"/>
  <c r="E3264" i="1"/>
  <c r="G3264" i="1"/>
  <c r="H3264" i="1"/>
  <c r="A3265" i="1"/>
  <c r="B3265" i="1"/>
  <c r="C3265" i="1"/>
  <c r="E3265" i="1"/>
  <c r="G3265" i="1"/>
  <c r="H3265" i="1"/>
  <c r="A3266" i="1"/>
  <c r="B3266" i="1"/>
  <c r="C3266" i="1"/>
  <c r="E3266" i="1"/>
  <c r="G3266" i="1"/>
  <c r="H3266" i="1"/>
  <c r="A3267" i="1"/>
  <c r="B3267" i="1"/>
  <c r="C3267" i="1"/>
  <c r="E3267" i="1"/>
  <c r="G3267" i="1"/>
  <c r="H3267" i="1"/>
  <c r="A3268" i="1"/>
  <c r="B3268" i="1"/>
  <c r="C3268" i="1"/>
  <c r="E3268" i="1"/>
  <c r="G3268" i="1"/>
  <c r="H3268" i="1"/>
  <c r="A3269" i="1"/>
  <c r="B3269" i="1"/>
  <c r="C3269" i="1"/>
  <c r="E3269" i="1"/>
  <c r="G3269" i="1"/>
  <c r="H3269" i="1"/>
  <c r="A3270" i="1"/>
  <c r="B3270" i="1"/>
  <c r="C3270" i="1"/>
  <c r="E3270" i="1"/>
  <c r="G3270" i="1"/>
  <c r="H3270" i="1"/>
  <c r="A3271" i="1"/>
  <c r="B3271" i="1"/>
  <c r="C3271" i="1"/>
  <c r="E3271" i="1"/>
  <c r="G3271" i="1"/>
  <c r="H3271" i="1"/>
  <c r="A3272" i="1"/>
  <c r="B3272" i="1"/>
  <c r="C3272" i="1"/>
  <c r="E3272" i="1"/>
  <c r="G3272" i="1"/>
  <c r="H3272" i="1"/>
  <c r="A3273" i="1"/>
  <c r="B3273" i="1"/>
  <c r="C3273" i="1"/>
  <c r="E3273" i="1"/>
  <c r="G3273" i="1"/>
  <c r="H3273" i="1"/>
  <c r="A3274" i="1"/>
  <c r="B3274" i="1"/>
  <c r="C3274" i="1"/>
  <c r="E3274" i="1"/>
  <c r="G3274" i="1"/>
  <c r="H3274" i="1"/>
  <c r="A3275" i="1"/>
  <c r="B3275" i="1"/>
  <c r="C3275" i="1"/>
  <c r="E3275" i="1"/>
  <c r="G3275" i="1"/>
  <c r="H3275" i="1"/>
  <c r="A3276" i="1"/>
  <c r="B3276" i="1"/>
  <c r="C3276" i="1"/>
  <c r="E3276" i="1"/>
  <c r="G3276" i="1"/>
  <c r="H3276" i="1"/>
  <c r="A3277" i="1"/>
  <c r="B3277" i="1"/>
  <c r="C3277" i="1"/>
  <c r="E3277" i="1"/>
  <c r="G3277" i="1"/>
  <c r="H3277" i="1"/>
  <c r="A3278" i="1"/>
  <c r="B3278" i="1"/>
  <c r="C3278" i="1"/>
  <c r="E3278" i="1"/>
  <c r="G3278" i="1"/>
  <c r="H3278" i="1"/>
  <c r="A3279" i="1"/>
  <c r="B3279" i="1"/>
  <c r="C3279" i="1"/>
  <c r="E3279" i="1"/>
  <c r="G3279" i="1"/>
  <c r="H3279" i="1"/>
  <c r="A3280" i="1"/>
  <c r="B3280" i="1"/>
  <c r="C3280" i="1"/>
  <c r="E3280" i="1"/>
  <c r="G3280" i="1"/>
  <c r="H3280" i="1"/>
  <c r="A3281" i="1"/>
  <c r="B3281" i="1"/>
  <c r="C3281" i="1"/>
  <c r="E3281" i="1"/>
  <c r="G3281" i="1"/>
  <c r="H3281" i="1"/>
  <c r="A3282" i="1"/>
  <c r="B3282" i="1"/>
  <c r="C3282" i="1"/>
  <c r="E3282" i="1"/>
  <c r="G3282" i="1"/>
  <c r="H3282" i="1"/>
  <c r="A3283" i="1"/>
  <c r="B3283" i="1"/>
  <c r="C3283" i="1"/>
  <c r="E3283" i="1"/>
  <c r="G3283" i="1"/>
  <c r="H3283" i="1"/>
  <c r="A3284" i="1"/>
  <c r="B3284" i="1"/>
  <c r="C3284" i="1"/>
  <c r="E3284" i="1"/>
  <c r="G3284" i="1"/>
  <c r="H3284" i="1"/>
  <c r="A3285" i="1"/>
  <c r="B3285" i="1"/>
  <c r="C3285" i="1"/>
  <c r="E3285" i="1"/>
  <c r="G3285" i="1"/>
  <c r="H3285" i="1"/>
  <c r="A3286" i="1"/>
  <c r="B3286" i="1"/>
  <c r="C3286" i="1"/>
  <c r="E3286" i="1"/>
  <c r="G3286" i="1"/>
  <c r="H3286" i="1"/>
  <c r="A3287" i="1"/>
  <c r="B3287" i="1"/>
  <c r="C3287" i="1"/>
  <c r="E3287" i="1"/>
  <c r="G3287" i="1"/>
  <c r="H3287" i="1"/>
  <c r="A3288" i="1"/>
  <c r="B3288" i="1"/>
  <c r="C3288" i="1"/>
  <c r="E3288" i="1"/>
  <c r="G3288" i="1"/>
  <c r="H3288" i="1"/>
  <c r="A3289" i="1"/>
  <c r="B3289" i="1"/>
  <c r="C3289" i="1"/>
  <c r="E3289" i="1"/>
  <c r="G3289" i="1"/>
  <c r="H3289" i="1"/>
  <c r="A3290" i="1"/>
  <c r="B3290" i="1"/>
  <c r="C3290" i="1"/>
  <c r="E3290" i="1"/>
  <c r="G3290" i="1"/>
  <c r="H3290" i="1"/>
  <c r="A3291" i="1"/>
  <c r="B3291" i="1"/>
  <c r="C3291" i="1"/>
  <c r="E3291" i="1"/>
  <c r="G3291" i="1"/>
  <c r="H3291" i="1"/>
  <c r="A3292" i="1"/>
  <c r="B3292" i="1"/>
  <c r="C3292" i="1"/>
  <c r="E3292" i="1"/>
  <c r="G3292" i="1"/>
  <c r="H3292" i="1"/>
  <c r="A3293" i="1"/>
  <c r="B3293" i="1"/>
  <c r="C3293" i="1"/>
  <c r="E3293" i="1"/>
  <c r="G3293" i="1"/>
  <c r="H3293" i="1"/>
  <c r="A3294" i="1"/>
  <c r="B3294" i="1"/>
  <c r="C3294" i="1"/>
  <c r="E3294" i="1"/>
  <c r="G3294" i="1"/>
  <c r="H3294" i="1"/>
  <c r="A3295" i="1"/>
  <c r="B3295" i="1"/>
  <c r="C3295" i="1"/>
  <c r="E3295" i="1"/>
  <c r="G3295" i="1"/>
  <c r="H3295" i="1"/>
  <c r="A3296" i="1"/>
  <c r="B3296" i="1"/>
  <c r="C3296" i="1"/>
  <c r="E3296" i="1"/>
  <c r="G3296" i="1"/>
  <c r="H3296" i="1"/>
  <c r="A3297" i="1"/>
  <c r="B3297" i="1"/>
  <c r="C3297" i="1"/>
  <c r="E3297" i="1"/>
  <c r="G3297" i="1"/>
  <c r="H3297" i="1"/>
  <c r="A3298" i="1"/>
  <c r="B3298" i="1"/>
  <c r="C3298" i="1"/>
  <c r="E3298" i="1"/>
  <c r="G3298" i="1"/>
  <c r="H3298" i="1"/>
  <c r="A3299" i="1"/>
  <c r="B3299" i="1"/>
  <c r="C3299" i="1"/>
  <c r="E3299" i="1"/>
  <c r="G3299" i="1"/>
  <c r="H3299" i="1"/>
  <c r="A3300" i="1"/>
  <c r="B3300" i="1"/>
  <c r="C3300" i="1"/>
  <c r="E3300" i="1"/>
  <c r="G3300" i="1"/>
  <c r="H3300" i="1"/>
  <c r="A3301" i="1"/>
  <c r="B3301" i="1"/>
  <c r="C3301" i="1"/>
  <c r="E3301" i="1"/>
  <c r="G3301" i="1"/>
  <c r="H3301" i="1"/>
  <c r="A3302" i="1"/>
  <c r="B3302" i="1"/>
  <c r="C3302" i="1"/>
  <c r="E3302" i="1"/>
  <c r="G3302" i="1"/>
  <c r="H3302" i="1"/>
  <c r="A3303" i="1"/>
  <c r="B3303" i="1"/>
  <c r="C3303" i="1"/>
  <c r="E3303" i="1"/>
  <c r="G3303" i="1"/>
  <c r="H3303" i="1"/>
  <c r="A3304" i="1"/>
  <c r="B3304" i="1"/>
  <c r="C3304" i="1"/>
  <c r="E3304" i="1"/>
  <c r="G3304" i="1"/>
  <c r="H3304" i="1"/>
  <c r="A3305" i="1"/>
  <c r="B3305" i="1"/>
  <c r="C3305" i="1"/>
  <c r="E3305" i="1"/>
  <c r="G3305" i="1"/>
  <c r="H3305" i="1"/>
  <c r="A3306" i="1"/>
  <c r="B3306" i="1"/>
  <c r="C3306" i="1"/>
  <c r="E3306" i="1"/>
  <c r="G3306" i="1"/>
  <c r="H3306" i="1"/>
  <c r="A3307" i="1"/>
  <c r="B3307" i="1"/>
  <c r="C3307" i="1"/>
  <c r="E3307" i="1"/>
  <c r="G3307" i="1"/>
  <c r="H3307" i="1"/>
  <c r="A3308" i="1"/>
  <c r="B3308" i="1"/>
  <c r="C3308" i="1"/>
  <c r="E3308" i="1"/>
  <c r="G3308" i="1"/>
  <c r="H3308" i="1"/>
  <c r="A3309" i="1"/>
  <c r="B3309" i="1"/>
  <c r="C3309" i="1"/>
  <c r="E3309" i="1"/>
  <c r="G3309" i="1"/>
  <c r="H3309" i="1"/>
  <c r="A3310" i="1"/>
  <c r="B3310" i="1"/>
  <c r="C3310" i="1"/>
  <c r="E3310" i="1"/>
  <c r="G3310" i="1"/>
  <c r="H3310" i="1"/>
  <c r="A3311" i="1"/>
  <c r="B3311" i="1"/>
  <c r="C3311" i="1"/>
  <c r="E3311" i="1"/>
  <c r="G3311" i="1"/>
  <c r="H3311" i="1"/>
  <c r="A3312" i="1"/>
  <c r="B3312" i="1"/>
  <c r="C3312" i="1"/>
  <c r="E3312" i="1"/>
  <c r="G3312" i="1"/>
  <c r="H3312" i="1"/>
  <c r="A3313" i="1"/>
  <c r="B3313" i="1"/>
  <c r="C3313" i="1"/>
  <c r="E3313" i="1"/>
  <c r="G3313" i="1"/>
  <c r="H3313" i="1"/>
  <c r="A3314" i="1"/>
  <c r="B3314" i="1"/>
  <c r="C3314" i="1"/>
  <c r="E3314" i="1"/>
  <c r="G3314" i="1"/>
  <c r="H3314" i="1"/>
  <c r="A3315" i="1"/>
  <c r="B3315" i="1"/>
  <c r="C3315" i="1"/>
  <c r="E3315" i="1"/>
  <c r="G3315" i="1"/>
  <c r="H3315" i="1"/>
  <c r="A3316" i="1"/>
  <c r="B3316" i="1"/>
  <c r="C3316" i="1"/>
  <c r="E3316" i="1"/>
  <c r="G3316" i="1"/>
  <c r="H3316" i="1"/>
  <c r="A3317" i="1"/>
  <c r="B3317" i="1"/>
  <c r="C3317" i="1"/>
  <c r="E3317" i="1"/>
  <c r="G3317" i="1"/>
  <c r="H3317" i="1"/>
  <c r="A3318" i="1"/>
  <c r="B3318" i="1"/>
  <c r="C3318" i="1"/>
  <c r="E3318" i="1"/>
  <c r="G3318" i="1"/>
  <c r="H3318" i="1"/>
  <c r="A3319" i="1"/>
  <c r="B3319" i="1"/>
  <c r="C3319" i="1"/>
  <c r="E3319" i="1"/>
  <c r="G3319" i="1"/>
  <c r="H3319" i="1"/>
  <c r="A3320" i="1"/>
  <c r="B3320" i="1"/>
  <c r="C3320" i="1"/>
  <c r="E3320" i="1"/>
  <c r="G3320" i="1"/>
  <c r="H3320" i="1"/>
  <c r="A3321" i="1"/>
  <c r="B3321" i="1"/>
  <c r="C3321" i="1"/>
  <c r="E3321" i="1"/>
  <c r="G3321" i="1"/>
  <c r="H3321" i="1"/>
  <c r="A3322" i="1"/>
  <c r="B3322" i="1"/>
  <c r="C3322" i="1"/>
  <c r="E3322" i="1"/>
  <c r="G3322" i="1"/>
  <c r="H3322" i="1"/>
  <c r="A3323" i="1"/>
  <c r="B3323" i="1"/>
  <c r="C3323" i="1"/>
  <c r="E3323" i="1"/>
  <c r="G3323" i="1"/>
  <c r="H3323" i="1"/>
  <c r="A3324" i="1"/>
  <c r="B3324" i="1"/>
  <c r="C3324" i="1"/>
  <c r="E3324" i="1"/>
  <c r="G3324" i="1"/>
  <c r="H3324" i="1"/>
  <c r="A3325" i="1"/>
  <c r="B3325" i="1"/>
  <c r="C3325" i="1"/>
  <c r="E3325" i="1"/>
  <c r="G3325" i="1"/>
  <c r="H3325" i="1"/>
  <c r="A3326" i="1"/>
  <c r="B3326" i="1"/>
  <c r="C3326" i="1"/>
  <c r="E3326" i="1"/>
  <c r="G3326" i="1"/>
  <c r="H3326" i="1"/>
  <c r="A3327" i="1"/>
  <c r="B3327" i="1"/>
  <c r="C3327" i="1"/>
  <c r="E3327" i="1"/>
  <c r="G3327" i="1"/>
  <c r="H3327" i="1"/>
  <c r="A3328" i="1"/>
  <c r="B3328" i="1"/>
  <c r="C3328" i="1"/>
  <c r="E3328" i="1"/>
  <c r="G3328" i="1"/>
  <c r="H3328" i="1"/>
  <c r="A3329" i="1"/>
  <c r="B3329" i="1"/>
  <c r="C3329" i="1"/>
  <c r="E3329" i="1"/>
  <c r="G3329" i="1"/>
  <c r="H3329" i="1"/>
  <c r="A3330" i="1"/>
  <c r="B3330" i="1"/>
  <c r="C3330" i="1"/>
  <c r="E3330" i="1"/>
  <c r="G3330" i="1"/>
  <c r="H3330" i="1"/>
  <c r="A3331" i="1"/>
  <c r="B3331" i="1"/>
  <c r="C3331" i="1"/>
  <c r="E3331" i="1"/>
  <c r="G3331" i="1"/>
  <c r="H3331" i="1"/>
  <c r="A3332" i="1"/>
  <c r="B3332" i="1"/>
  <c r="C3332" i="1"/>
  <c r="E3332" i="1"/>
  <c r="G3332" i="1"/>
  <c r="H3332" i="1"/>
  <c r="A3333" i="1"/>
  <c r="B3333" i="1"/>
  <c r="C3333" i="1"/>
  <c r="E3333" i="1"/>
  <c r="G3333" i="1"/>
  <c r="H3333" i="1"/>
  <c r="A3334" i="1"/>
  <c r="B3334" i="1"/>
  <c r="C3334" i="1"/>
  <c r="E3334" i="1"/>
  <c r="G3334" i="1"/>
  <c r="H3334" i="1"/>
  <c r="A3335" i="1"/>
  <c r="B3335" i="1"/>
  <c r="C3335" i="1"/>
  <c r="E3335" i="1"/>
  <c r="G3335" i="1"/>
  <c r="H3335" i="1"/>
  <c r="A3336" i="1"/>
  <c r="B3336" i="1"/>
  <c r="C3336" i="1"/>
  <c r="E3336" i="1"/>
  <c r="G3336" i="1"/>
  <c r="H3336" i="1"/>
  <c r="A3337" i="1"/>
  <c r="B3337" i="1"/>
  <c r="C3337" i="1"/>
  <c r="E3337" i="1"/>
  <c r="G3337" i="1"/>
  <c r="H3337" i="1"/>
  <c r="A3338" i="1"/>
  <c r="B3338" i="1"/>
  <c r="C3338" i="1"/>
  <c r="E3338" i="1"/>
  <c r="G3338" i="1"/>
  <c r="H3338" i="1"/>
  <c r="A3339" i="1"/>
  <c r="B3339" i="1"/>
  <c r="C3339" i="1"/>
  <c r="E3339" i="1"/>
  <c r="G3339" i="1"/>
  <c r="H3339" i="1"/>
  <c r="A3340" i="1"/>
  <c r="B3340" i="1"/>
  <c r="C3340" i="1"/>
  <c r="E3340" i="1"/>
  <c r="G3340" i="1"/>
  <c r="H3340" i="1"/>
  <c r="A3341" i="1"/>
  <c r="B3341" i="1"/>
  <c r="C3341" i="1"/>
  <c r="E3341" i="1"/>
  <c r="G3341" i="1"/>
  <c r="H3341" i="1"/>
  <c r="A3342" i="1"/>
  <c r="B3342" i="1"/>
  <c r="C3342" i="1"/>
  <c r="E3342" i="1"/>
  <c r="G3342" i="1"/>
  <c r="H3342" i="1"/>
  <c r="A3343" i="1"/>
  <c r="B3343" i="1"/>
  <c r="C3343" i="1"/>
  <c r="E3343" i="1"/>
  <c r="G3343" i="1"/>
  <c r="H3343" i="1"/>
  <c r="A3344" i="1"/>
  <c r="B3344" i="1"/>
  <c r="C3344" i="1"/>
  <c r="E3344" i="1"/>
  <c r="G3344" i="1"/>
  <c r="H3344" i="1"/>
  <c r="A3345" i="1"/>
  <c r="B3345" i="1"/>
  <c r="C3345" i="1"/>
  <c r="E3345" i="1"/>
  <c r="G3345" i="1"/>
  <c r="H3345" i="1"/>
  <c r="A3346" i="1"/>
  <c r="B3346" i="1"/>
  <c r="C3346" i="1"/>
  <c r="E3346" i="1"/>
  <c r="G3346" i="1"/>
  <c r="H3346" i="1"/>
  <c r="A3347" i="1"/>
  <c r="B3347" i="1"/>
  <c r="C3347" i="1"/>
  <c r="E3347" i="1"/>
  <c r="G3347" i="1"/>
  <c r="H3347" i="1"/>
  <c r="A3348" i="1"/>
  <c r="B3348" i="1"/>
  <c r="C3348" i="1"/>
  <c r="E3348" i="1"/>
  <c r="G3348" i="1"/>
  <c r="H3348" i="1"/>
  <c r="A3349" i="1"/>
  <c r="B3349" i="1"/>
  <c r="C3349" i="1"/>
  <c r="E3349" i="1"/>
  <c r="G3349" i="1"/>
  <c r="H3349" i="1"/>
  <c r="A3350" i="1"/>
  <c r="B3350" i="1"/>
  <c r="C3350" i="1"/>
  <c r="E3350" i="1"/>
  <c r="G3350" i="1"/>
  <c r="H3350" i="1"/>
  <c r="A3351" i="1"/>
  <c r="B3351" i="1"/>
  <c r="C3351" i="1"/>
  <c r="E3351" i="1"/>
  <c r="G3351" i="1"/>
  <c r="H3351" i="1"/>
  <c r="A3352" i="1"/>
  <c r="B3352" i="1"/>
  <c r="C3352" i="1"/>
  <c r="E3352" i="1"/>
  <c r="G3352" i="1"/>
  <c r="H3352" i="1"/>
  <c r="A3353" i="1"/>
  <c r="B3353" i="1"/>
  <c r="C3353" i="1"/>
  <c r="E3353" i="1"/>
  <c r="G3353" i="1"/>
  <c r="H3353" i="1"/>
  <c r="A3354" i="1"/>
  <c r="B3354" i="1"/>
  <c r="C3354" i="1"/>
  <c r="E3354" i="1"/>
  <c r="G3354" i="1"/>
  <c r="H3354" i="1"/>
  <c r="A3355" i="1"/>
  <c r="B3355" i="1"/>
  <c r="C3355" i="1"/>
  <c r="E3355" i="1"/>
  <c r="G3355" i="1"/>
  <c r="H3355" i="1"/>
  <c r="A3356" i="1"/>
  <c r="B3356" i="1"/>
  <c r="C3356" i="1"/>
  <c r="E3356" i="1"/>
  <c r="G3356" i="1"/>
  <c r="H3356" i="1"/>
  <c r="A3357" i="1"/>
  <c r="B3357" i="1"/>
  <c r="C3357" i="1"/>
  <c r="E3357" i="1"/>
  <c r="G3357" i="1"/>
  <c r="H3357" i="1"/>
  <c r="A3358" i="1"/>
  <c r="B3358" i="1"/>
  <c r="C3358" i="1"/>
  <c r="E3358" i="1"/>
  <c r="G3358" i="1"/>
  <c r="H3358" i="1"/>
  <c r="A3359" i="1"/>
  <c r="B3359" i="1"/>
  <c r="C3359" i="1"/>
  <c r="E3359" i="1"/>
  <c r="G3359" i="1"/>
  <c r="H3359" i="1"/>
  <c r="A3360" i="1"/>
  <c r="B3360" i="1"/>
  <c r="C3360" i="1"/>
  <c r="E3360" i="1"/>
  <c r="G3360" i="1"/>
  <c r="H3360" i="1"/>
  <c r="A3361" i="1"/>
  <c r="B3361" i="1"/>
  <c r="C3361" i="1"/>
  <c r="E3361" i="1"/>
  <c r="G3361" i="1"/>
  <c r="H3361" i="1"/>
  <c r="A3362" i="1"/>
  <c r="B3362" i="1"/>
  <c r="C3362" i="1"/>
  <c r="E3362" i="1"/>
  <c r="G3362" i="1"/>
  <c r="H3362" i="1"/>
  <c r="A3363" i="1"/>
  <c r="B3363" i="1"/>
  <c r="C3363" i="1"/>
  <c r="E3363" i="1"/>
  <c r="G3363" i="1"/>
  <c r="H3363" i="1"/>
  <c r="A3364" i="1"/>
  <c r="B3364" i="1"/>
  <c r="C3364" i="1"/>
  <c r="E3364" i="1"/>
  <c r="G3364" i="1"/>
  <c r="H3364" i="1"/>
  <c r="A3365" i="1"/>
  <c r="B3365" i="1"/>
  <c r="C3365" i="1"/>
  <c r="E3365" i="1"/>
  <c r="G3365" i="1"/>
  <c r="H3365" i="1"/>
  <c r="A3366" i="1"/>
  <c r="B3366" i="1"/>
  <c r="C3366" i="1"/>
  <c r="E3366" i="1"/>
  <c r="G3366" i="1"/>
  <c r="H3366" i="1"/>
  <c r="A3367" i="1"/>
  <c r="B3367" i="1"/>
  <c r="C3367" i="1"/>
  <c r="E3367" i="1"/>
  <c r="G3367" i="1"/>
  <c r="H3367" i="1"/>
  <c r="A3368" i="1"/>
  <c r="B3368" i="1"/>
  <c r="C3368" i="1"/>
  <c r="E3368" i="1"/>
  <c r="G3368" i="1"/>
  <c r="H3368" i="1"/>
  <c r="A3369" i="1"/>
  <c r="B3369" i="1"/>
  <c r="C3369" i="1"/>
  <c r="E3369" i="1"/>
  <c r="G3369" i="1"/>
  <c r="H3369" i="1"/>
  <c r="A3370" i="1"/>
  <c r="B3370" i="1"/>
  <c r="C3370" i="1"/>
  <c r="E3370" i="1"/>
  <c r="G3370" i="1"/>
  <c r="H3370" i="1"/>
  <c r="A3371" i="1"/>
  <c r="B3371" i="1"/>
  <c r="C3371" i="1"/>
  <c r="E3371" i="1"/>
  <c r="G3371" i="1"/>
  <c r="H3371" i="1"/>
  <c r="A3372" i="1"/>
  <c r="B3372" i="1"/>
  <c r="C3372" i="1"/>
  <c r="E3372" i="1"/>
  <c r="G3372" i="1"/>
  <c r="H3372" i="1"/>
  <c r="A3373" i="1"/>
  <c r="B3373" i="1"/>
  <c r="C3373" i="1"/>
  <c r="E3373" i="1"/>
  <c r="G3373" i="1"/>
  <c r="H3373" i="1"/>
  <c r="A3374" i="1"/>
  <c r="B3374" i="1"/>
  <c r="C3374" i="1"/>
  <c r="E3374" i="1"/>
  <c r="G3374" i="1"/>
  <c r="H3374" i="1"/>
  <c r="A3375" i="1"/>
  <c r="B3375" i="1"/>
  <c r="C3375" i="1"/>
  <c r="E3375" i="1"/>
  <c r="G3375" i="1"/>
  <c r="H3375" i="1"/>
  <c r="A3376" i="1"/>
  <c r="B3376" i="1"/>
  <c r="C3376" i="1"/>
  <c r="E3376" i="1"/>
  <c r="G3376" i="1"/>
  <c r="H3376" i="1"/>
  <c r="A3377" i="1"/>
  <c r="B3377" i="1"/>
  <c r="C3377" i="1"/>
  <c r="E3377" i="1"/>
  <c r="G3377" i="1"/>
  <c r="H3377" i="1"/>
  <c r="A3378" i="1"/>
  <c r="B3378" i="1"/>
  <c r="C3378" i="1"/>
  <c r="E3378" i="1"/>
  <c r="G3378" i="1"/>
  <c r="H3378" i="1"/>
  <c r="A3379" i="1"/>
  <c r="B3379" i="1"/>
  <c r="C3379" i="1"/>
  <c r="E3379" i="1"/>
  <c r="G3379" i="1"/>
  <c r="H3379" i="1"/>
  <c r="A3380" i="1"/>
  <c r="B3380" i="1"/>
  <c r="C3380" i="1"/>
  <c r="E3380" i="1"/>
  <c r="G3380" i="1"/>
  <c r="H3380" i="1"/>
  <c r="A3381" i="1"/>
  <c r="B3381" i="1"/>
  <c r="C3381" i="1"/>
  <c r="E3381" i="1"/>
  <c r="G3381" i="1"/>
  <c r="H3381" i="1"/>
  <c r="A3382" i="1"/>
  <c r="B3382" i="1"/>
  <c r="C3382" i="1"/>
  <c r="E3382" i="1"/>
  <c r="G3382" i="1"/>
  <c r="H3382" i="1"/>
  <c r="A3383" i="1"/>
  <c r="B3383" i="1"/>
  <c r="C3383" i="1"/>
  <c r="E3383" i="1"/>
  <c r="G3383" i="1"/>
  <c r="H3383" i="1"/>
  <c r="A3384" i="1"/>
  <c r="B3384" i="1"/>
  <c r="C3384" i="1"/>
  <c r="E3384" i="1"/>
  <c r="G3384" i="1"/>
  <c r="H3384" i="1"/>
  <c r="A3385" i="1"/>
  <c r="B3385" i="1"/>
  <c r="C3385" i="1"/>
  <c r="E3385" i="1"/>
  <c r="G3385" i="1"/>
  <c r="H3385" i="1"/>
  <c r="A3386" i="1"/>
  <c r="B3386" i="1"/>
  <c r="C3386" i="1"/>
  <c r="E3386" i="1"/>
  <c r="G3386" i="1"/>
  <c r="H3386" i="1"/>
  <c r="A3387" i="1"/>
  <c r="B3387" i="1"/>
  <c r="C3387" i="1"/>
  <c r="E3387" i="1"/>
  <c r="G3387" i="1"/>
  <c r="H3387" i="1"/>
  <c r="A3388" i="1"/>
  <c r="B3388" i="1"/>
  <c r="C3388" i="1"/>
  <c r="E3388" i="1"/>
  <c r="G3388" i="1"/>
  <c r="H3388" i="1"/>
  <c r="A3389" i="1"/>
  <c r="B3389" i="1"/>
  <c r="C3389" i="1"/>
  <c r="E3389" i="1"/>
  <c r="G3389" i="1"/>
  <c r="H3389" i="1"/>
  <c r="A3390" i="1"/>
  <c r="B3390" i="1"/>
  <c r="C3390" i="1"/>
  <c r="E3390" i="1"/>
  <c r="G3390" i="1"/>
  <c r="H3390" i="1"/>
  <c r="A3391" i="1"/>
  <c r="B3391" i="1"/>
  <c r="C3391" i="1"/>
  <c r="E3391" i="1"/>
  <c r="G3391" i="1"/>
  <c r="H3391" i="1"/>
  <c r="A3392" i="1"/>
  <c r="B3392" i="1"/>
  <c r="C3392" i="1"/>
  <c r="E3392" i="1"/>
  <c r="G3392" i="1"/>
  <c r="H3392" i="1"/>
  <c r="A3393" i="1"/>
  <c r="B3393" i="1"/>
  <c r="C3393" i="1"/>
  <c r="E3393" i="1"/>
  <c r="G3393" i="1"/>
  <c r="H3393" i="1"/>
  <c r="A3394" i="1"/>
  <c r="B3394" i="1"/>
  <c r="C3394" i="1"/>
  <c r="E3394" i="1"/>
  <c r="G3394" i="1"/>
  <c r="H3394" i="1"/>
  <c r="A3395" i="1"/>
  <c r="B3395" i="1"/>
  <c r="C3395" i="1"/>
  <c r="E3395" i="1"/>
  <c r="G3395" i="1"/>
  <c r="H3395" i="1"/>
  <c r="A3396" i="1"/>
  <c r="B3396" i="1"/>
  <c r="C3396" i="1"/>
  <c r="E3396" i="1"/>
  <c r="G3396" i="1"/>
  <c r="H3396" i="1"/>
  <c r="A3397" i="1"/>
  <c r="B3397" i="1"/>
  <c r="C3397" i="1"/>
  <c r="E3397" i="1"/>
  <c r="G3397" i="1"/>
  <c r="H3397" i="1"/>
  <c r="A3398" i="1"/>
  <c r="B3398" i="1"/>
  <c r="C3398" i="1"/>
  <c r="E3398" i="1"/>
  <c r="G3398" i="1"/>
  <c r="H3398" i="1"/>
  <c r="A3399" i="1"/>
  <c r="B3399" i="1"/>
  <c r="C3399" i="1"/>
  <c r="E3399" i="1"/>
  <c r="G3399" i="1"/>
  <c r="H3399" i="1"/>
  <c r="A3400" i="1"/>
  <c r="B3400" i="1"/>
  <c r="C3400" i="1"/>
  <c r="E3400" i="1"/>
  <c r="G3400" i="1"/>
  <c r="H3400" i="1"/>
  <c r="A3401" i="1"/>
  <c r="B3401" i="1"/>
  <c r="C3401" i="1"/>
  <c r="E3401" i="1"/>
  <c r="G3401" i="1"/>
  <c r="H3401" i="1"/>
  <c r="A3402" i="1"/>
  <c r="B3402" i="1"/>
  <c r="C3402" i="1"/>
  <c r="E3402" i="1"/>
  <c r="G3402" i="1"/>
  <c r="H3402" i="1"/>
  <c r="A3403" i="1"/>
  <c r="B3403" i="1"/>
  <c r="C3403" i="1"/>
  <c r="E3403" i="1"/>
  <c r="G3403" i="1"/>
  <c r="H3403" i="1"/>
  <c r="A3404" i="1"/>
  <c r="B3404" i="1"/>
  <c r="C3404" i="1"/>
  <c r="E3404" i="1"/>
  <c r="G3404" i="1"/>
  <c r="H3404" i="1"/>
  <c r="A3405" i="1"/>
  <c r="B3405" i="1"/>
  <c r="C3405" i="1"/>
  <c r="E3405" i="1"/>
  <c r="G3405" i="1"/>
  <c r="H3405" i="1"/>
  <c r="A3406" i="1"/>
  <c r="B3406" i="1"/>
  <c r="C3406" i="1"/>
  <c r="E3406" i="1"/>
  <c r="G3406" i="1"/>
  <c r="H3406" i="1"/>
  <c r="A3407" i="1"/>
  <c r="B3407" i="1"/>
  <c r="C3407" i="1"/>
  <c r="E3407" i="1"/>
  <c r="G3407" i="1"/>
  <c r="H3407" i="1"/>
  <c r="A3408" i="1"/>
  <c r="B3408" i="1"/>
  <c r="C3408" i="1"/>
  <c r="E3408" i="1"/>
  <c r="G3408" i="1"/>
  <c r="H3408" i="1"/>
  <c r="A3409" i="1"/>
  <c r="B3409" i="1"/>
  <c r="C3409" i="1"/>
  <c r="E3409" i="1"/>
  <c r="G3409" i="1"/>
  <c r="H3409" i="1"/>
  <c r="A3410" i="1"/>
  <c r="B3410" i="1"/>
  <c r="C3410" i="1"/>
  <c r="E3410" i="1"/>
  <c r="G3410" i="1"/>
  <c r="H3410" i="1"/>
  <c r="A3411" i="1"/>
  <c r="B3411" i="1"/>
  <c r="C3411" i="1"/>
  <c r="E3411" i="1"/>
  <c r="G3411" i="1"/>
  <c r="H3411" i="1"/>
  <c r="A3412" i="1"/>
  <c r="B3412" i="1"/>
  <c r="C3412" i="1"/>
  <c r="E3412" i="1"/>
  <c r="G3412" i="1"/>
  <c r="H3412" i="1"/>
  <c r="A3413" i="1"/>
  <c r="B3413" i="1"/>
  <c r="C3413" i="1"/>
  <c r="E3413" i="1"/>
  <c r="G3413" i="1"/>
  <c r="H3413" i="1"/>
  <c r="A3414" i="1"/>
  <c r="B3414" i="1"/>
  <c r="C3414" i="1"/>
  <c r="E3414" i="1"/>
  <c r="G3414" i="1"/>
  <c r="H3414" i="1"/>
  <c r="A3415" i="1"/>
  <c r="B3415" i="1"/>
  <c r="C3415" i="1"/>
  <c r="E3415" i="1"/>
  <c r="G3415" i="1"/>
  <c r="H3415" i="1"/>
  <c r="A3416" i="1"/>
  <c r="B3416" i="1"/>
  <c r="C3416" i="1"/>
  <c r="E3416" i="1"/>
  <c r="G3416" i="1"/>
  <c r="H3416" i="1"/>
  <c r="A3417" i="1"/>
  <c r="B3417" i="1"/>
  <c r="C3417" i="1"/>
  <c r="E3417" i="1"/>
  <c r="G3417" i="1"/>
  <c r="H3417" i="1"/>
  <c r="A3418" i="1"/>
  <c r="B3418" i="1"/>
  <c r="C3418" i="1"/>
  <c r="E3418" i="1"/>
  <c r="G3418" i="1"/>
  <c r="H3418" i="1"/>
  <c r="A3419" i="1"/>
  <c r="B3419" i="1"/>
  <c r="C3419" i="1"/>
  <c r="E3419" i="1"/>
  <c r="G3419" i="1"/>
  <c r="H3419" i="1"/>
  <c r="A3420" i="1"/>
  <c r="B3420" i="1"/>
  <c r="C3420" i="1"/>
  <c r="E3420" i="1"/>
  <c r="G3420" i="1"/>
  <c r="H3420" i="1"/>
  <c r="A3421" i="1"/>
  <c r="B3421" i="1"/>
  <c r="C3421" i="1"/>
  <c r="E3421" i="1"/>
  <c r="G3421" i="1"/>
  <c r="H3421" i="1"/>
  <c r="A3422" i="1"/>
  <c r="B3422" i="1"/>
  <c r="C3422" i="1"/>
  <c r="E3422" i="1"/>
  <c r="G3422" i="1"/>
  <c r="H3422" i="1"/>
  <c r="A3423" i="1"/>
  <c r="B3423" i="1"/>
  <c r="C3423" i="1"/>
  <c r="E3423" i="1"/>
  <c r="G3423" i="1"/>
  <c r="H3423" i="1"/>
  <c r="A3424" i="1"/>
  <c r="B3424" i="1"/>
  <c r="C3424" i="1"/>
  <c r="E3424" i="1"/>
  <c r="G3424" i="1"/>
  <c r="H3424" i="1"/>
  <c r="A3425" i="1"/>
  <c r="B3425" i="1"/>
  <c r="C3425" i="1"/>
  <c r="E3425" i="1"/>
  <c r="G3425" i="1"/>
  <c r="H3425" i="1"/>
  <c r="A3426" i="1"/>
  <c r="B3426" i="1"/>
  <c r="C3426" i="1"/>
  <c r="E3426" i="1"/>
  <c r="G3426" i="1"/>
  <c r="H3426" i="1"/>
  <c r="A3427" i="1"/>
  <c r="B3427" i="1"/>
  <c r="C3427" i="1"/>
  <c r="E3427" i="1"/>
  <c r="G3427" i="1"/>
  <c r="H3427" i="1"/>
  <c r="A3428" i="1"/>
  <c r="B3428" i="1"/>
  <c r="C3428" i="1"/>
  <c r="E3428" i="1"/>
  <c r="G3428" i="1"/>
  <c r="H3428" i="1"/>
  <c r="A3429" i="1"/>
  <c r="B3429" i="1"/>
  <c r="C3429" i="1"/>
  <c r="E3429" i="1"/>
  <c r="G3429" i="1"/>
  <c r="H3429" i="1"/>
  <c r="A3430" i="1"/>
  <c r="B3430" i="1"/>
  <c r="C3430" i="1"/>
  <c r="E3430" i="1"/>
  <c r="G3430" i="1"/>
  <c r="H3430" i="1"/>
  <c r="A3431" i="1"/>
  <c r="B3431" i="1"/>
  <c r="C3431" i="1"/>
  <c r="E3431" i="1"/>
  <c r="G3431" i="1"/>
  <c r="H3431" i="1"/>
  <c r="A3432" i="1"/>
  <c r="B3432" i="1"/>
  <c r="C3432" i="1"/>
  <c r="E3432" i="1"/>
  <c r="G3432" i="1"/>
  <c r="H3432" i="1"/>
  <c r="A3433" i="1"/>
  <c r="B3433" i="1"/>
  <c r="C3433" i="1"/>
  <c r="E3433" i="1"/>
  <c r="G3433" i="1"/>
  <c r="H3433" i="1"/>
  <c r="A3434" i="1"/>
  <c r="B3434" i="1"/>
  <c r="C3434" i="1"/>
  <c r="E3434" i="1"/>
  <c r="G3434" i="1"/>
  <c r="H3434" i="1"/>
  <c r="A3435" i="1"/>
  <c r="B3435" i="1"/>
  <c r="C3435" i="1"/>
  <c r="E3435" i="1"/>
  <c r="G3435" i="1"/>
  <c r="H3435" i="1"/>
  <c r="A3436" i="1"/>
  <c r="B3436" i="1"/>
  <c r="C3436" i="1"/>
  <c r="E3436" i="1"/>
  <c r="G3436" i="1"/>
  <c r="H3436" i="1"/>
  <c r="A3437" i="1"/>
  <c r="B3437" i="1"/>
  <c r="C3437" i="1"/>
  <c r="E3437" i="1"/>
  <c r="G3437" i="1"/>
  <c r="H3437" i="1"/>
  <c r="A3438" i="1"/>
  <c r="B3438" i="1"/>
  <c r="C3438" i="1"/>
  <c r="E3438" i="1"/>
  <c r="G3438" i="1"/>
  <c r="H3438" i="1"/>
  <c r="A3439" i="1"/>
  <c r="B3439" i="1"/>
  <c r="C3439" i="1"/>
  <c r="E3439" i="1"/>
  <c r="G3439" i="1"/>
  <c r="H3439" i="1"/>
  <c r="A3440" i="1"/>
  <c r="B3440" i="1"/>
  <c r="C3440" i="1"/>
  <c r="E3440" i="1"/>
  <c r="G3440" i="1"/>
  <c r="H3440" i="1"/>
  <c r="A3441" i="1"/>
  <c r="B3441" i="1"/>
  <c r="C3441" i="1"/>
  <c r="E3441" i="1"/>
  <c r="G3441" i="1"/>
  <c r="H3441" i="1"/>
  <c r="A3442" i="1"/>
  <c r="B3442" i="1"/>
  <c r="C3442" i="1"/>
  <c r="E3442" i="1"/>
  <c r="G3442" i="1"/>
  <c r="H3442" i="1"/>
  <c r="A3443" i="1"/>
  <c r="B3443" i="1"/>
  <c r="C3443" i="1"/>
  <c r="E3443" i="1"/>
  <c r="G3443" i="1"/>
  <c r="H3443" i="1"/>
  <c r="A3444" i="1"/>
  <c r="B3444" i="1"/>
  <c r="C3444" i="1"/>
  <c r="E3444" i="1"/>
  <c r="G3444" i="1"/>
  <c r="H3444" i="1"/>
  <c r="A3445" i="1"/>
  <c r="B3445" i="1"/>
  <c r="C3445" i="1"/>
  <c r="E3445" i="1"/>
  <c r="G3445" i="1"/>
  <c r="H3445" i="1"/>
  <c r="A3446" i="1"/>
  <c r="B3446" i="1"/>
  <c r="C3446" i="1"/>
  <c r="E3446" i="1"/>
  <c r="G3446" i="1"/>
  <c r="H3446" i="1"/>
  <c r="A3447" i="1"/>
  <c r="B3447" i="1"/>
  <c r="C3447" i="1"/>
  <c r="E3447" i="1"/>
  <c r="G3447" i="1"/>
  <c r="H3447" i="1"/>
  <c r="A3448" i="1"/>
  <c r="B3448" i="1"/>
  <c r="C3448" i="1"/>
  <c r="E3448" i="1"/>
  <c r="G3448" i="1"/>
  <c r="H3448" i="1"/>
  <c r="A3449" i="1"/>
  <c r="B3449" i="1"/>
  <c r="C3449" i="1"/>
  <c r="E3449" i="1"/>
  <c r="G3449" i="1"/>
  <c r="H3449" i="1"/>
  <c r="A3450" i="1"/>
  <c r="B3450" i="1"/>
  <c r="C3450" i="1"/>
  <c r="E3450" i="1"/>
  <c r="G3450" i="1"/>
  <c r="H3450" i="1"/>
  <c r="A3451" i="1"/>
  <c r="B3451" i="1"/>
  <c r="C3451" i="1"/>
  <c r="E3451" i="1"/>
  <c r="G3451" i="1"/>
  <c r="H3451" i="1"/>
  <c r="A3452" i="1"/>
  <c r="B3452" i="1"/>
  <c r="C3452" i="1"/>
  <c r="E3452" i="1"/>
  <c r="G3452" i="1"/>
  <c r="H3452" i="1"/>
  <c r="A3453" i="1"/>
  <c r="B3453" i="1"/>
  <c r="C3453" i="1"/>
  <c r="E3453" i="1"/>
  <c r="G3453" i="1"/>
  <c r="H3453" i="1"/>
  <c r="A3454" i="1"/>
  <c r="B3454" i="1"/>
  <c r="C3454" i="1"/>
  <c r="E3454" i="1"/>
  <c r="G3454" i="1"/>
  <c r="H3454" i="1"/>
  <c r="A3455" i="1"/>
  <c r="B3455" i="1"/>
  <c r="C3455" i="1"/>
  <c r="E3455" i="1"/>
  <c r="G3455" i="1"/>
  <c r="H3455" i="1"/>
  <c r="A3456" i="1"/>
  <c r="B3456" i="1"/>
  <c r="C3456" i="1"/>
  <c r="E3456" i="1"/>
  <c r="G3456" i="1"/>
  <c r="H3456" i="1"/>
  <c r="A3457" i="1"/>
  <c r="B3457" i="1"/>
  <c r="C3457" i="1"/>
  <c r="E3457" i="1"/>
  <c r="G3457" i="1"/>
  <c r="H3457" i="1"/>
  <c r="A3458" i="1"/>
  <c r="B3458" i="1"/>
  <c r="C3458" i="1"/>
  <c r="E3458" i="1"/>
  <c r="G3458" i="1"/>
  <c r="H3458" i="1"/>
  <c r="A3459" i="1"/>
  <c r="B3459" i="1"/>
  <c r="C3459" i="1"/>
  <c r="E3459" i="1"/>
  <c r="G3459" i="1"/>
  <c r="H3459" i="1"/>
  <c r="A3460" i="1"/>
  <c r="B3460" i="1"/>
  <c r="C3460" i="1"/>
  <c r="E3460" i="1"/>
  <c r="G3460" i="1"/>
  <c r="H3460" i="1"/>
  <c r="A3461" i="1"/>
  <c r="B3461" i="1"/>
  <c r="C3461" i="1"/>
  <c r="E3461" i="1"/>
  <c r="G3461" i="1"/>
  <c r="H3461" i="1"/>
  <c r="A3462" i="1"/>
  <c r="B3462" i="1"/>
  <c r="C3462" i="1"/>
  <c r="E3462" i="1"/>
  <c r="G3462" i="1"/>
  <c r="H3462" i="1"/>
  <c r="A3463" i="1"/>
  <c r="B3463" i="1"/>
  <c r="C3463" i="1"/>
  <c r="E3463" i="1"/>
  <c r="G3463" i="1"/>
  <c r="H3463" i="1"/>
  <c r="A3464" i="1"/>
  <c r="B3464" i="1"/>
  <c r="C3464" i="1"/>
  <c r="E3464" i="1"/>
  <c r="G3464" i="1"/>
  <c r="H3464" i="1"/>
  <c r="A3465" i="1"/>
  <c r="B3465" i="1"/>
  <c r="C3465" i="1"/>
  <c r="E3465" i="1"/>
  <c r="G3465" i="1"/>
  <c r="H3465" i="1"/>
  <c r="A3466" i="1"/>
  <c r="B3466" i="1"/>
  <c r="C3466" i="1"/>
  <c r="E3466" i="1"/>
  <c r="G3466" i="1"/>
  <c r="H3466" i="1"/>
  <c r="A3467" i="1"/>
  <c r="B3467" i="1"/>
  <c r="C3467" i="1"/>
  <c r="E3467" i="1"/>
  <c r="G3467" i="1"/>
  <c r="H3467" i="1"/>
  <c r="A3468" i="1"/>
  <c r="B3468" i="1"/>
  <c r="C3468" i="1"/>
  <c r="E3468" i="1"/>
  <c r="G3468" i="1"/>
  <c r="H3468" i="1"/>
  <c r="A3469" i="1"/>
  <c r="B3469" i="1"/>
  <c r="C3469" i="1"/>
  <c r="E3469" i="1"/>
  <c r="G3469" i="1"/>
  <c r="H3469" i="1"/>
  <c r="A3470" i="1"/>
  <c r="B3470" i="1"/>
  <c r="C3470" i="1"/>
  <c r="E3470" i="1"/>
  <c r="G3470" i="1"/>
  <c r="H3470" i="1"/>
  <c r="A3471" i="1"/>
  <c r="B3471" i="1"/>
  <c r="C3471" i="1"/>
  <c r="E3471" i="1"/>
  <c r="G3471" i="1"/>
  <c r="H3471" i="1"/>
  <c r="A3472" i="1"/>
  <c r="B3472" i="1"/>
  <c r="C3472" i="1"/>
  <c r="E3472" i="1"/>
  <c r="G3472" i="1"/>
  <c r="H3472" i="1"/>
  <c r="A3473" i="1"/>
  <c r="B3473" i="1"/>
  <c r="C3473" i="1"/>
  <c r="E3473" i="1"/>
  <c r="G3473" i="1"/>
  <c r="H3473" i="1"/>
  <c r="A3474" i="1"/>
  <c r="B3474" i="1"/>
  <c r="C3474" i="1"/>
  <c r="E3474" i="1"/>
  <c r="G3474" i="1"/>
  <c r="H3474" i="1"/>
  <c r="A3475" i="1"/>
  <c r="B3475" i="1"/>
  <c r="C3475" i="1"/>
  <c r="E3475" i="1"/>
  <c r="G3475" i="1"/>
  <c r="H3475" i="1"/>
  <c r="A3476" i="1"/>
  <c r="B3476" i="1"/>
  <c r="C3476" i="1"/>
  <c r="E3476" i="1"/>
  <c r="G3476" i="1"/>
  <c r="H3476" i="1"/>
  <c r="A3477" i="1"/>
  <c r="B3477" i="1"/>
  <c r="C3477" i="1"/>
  <c r="E3477" i="1"/>
  <c r="G3477" i="1"/>
  <c r="H3477" i="1"/>
  <c r="A3478" i="1"/>
  <c r="B3478" i="1"/>
  <c r="C3478" i="1"/>
  <c r="E3478" i="1"/>
  <c r="G3478" i="1"/>
  <c r="H3478" i="1"/>
  <c r="A3479" i="1"/>
  <c r="B3479" i="1"/>
  <c r="C3479" i="1"/>
  <c r="E3479" i="1"/>
  <c r="G3479" i="1"/>
  <c r="H3479" i="1"/>
  <c r="A3480" i="1"/>
  <c r="B3480" i="1"/>
  <c r="C3480" i="1"/>
  <c r="E3480" i="1"/>
  <c r="G3480" i="1"/>
  <c r="H3480" i="1"/>
  <c r="A3481" i="1"/>
  <c r="B3481" i="1"/>
  <c r="C3481" i="1"/>
  <c r="E3481" i="1"/>
  <c r="G3481" i="1"/>
  <c r="H3481" i="1"/>
  <c r="A3482" i="1"/>
  <c r="B3482" i="1"/>
  <c r="C3482" i="1"/>
  <c r="E3482" i="1"/>
  <c r="G3482" i="1"/>
  <c r="H3482" i="1"/>
  <c r="A3483" i="1"/>
  <c r="B3483" i="1"/>
  <c r="C3483" i="1"/>
  <c r="E3483" i="1"/>
  <c r="G3483" i="1"/>
  <c r="H3483" i="1"/>
  <c r="A3484" i="1"/>
  <c r="B3484" i="1"/>
  <c r="C3484" i="1"/>
  <c r="E3484" i="1"/>
  <c r="G3484" i="1"/>
  <c r="H3484" i="1"/>
  <c r="A3485" i="1"/>
  <c r="B3485" i="1"/>
  <c r="C3485" i="1"/>
  <c r="E3485" i="1"/>
  <c r="G3485" i="1"/>
  <c r="H3485" i="1"/>
  <c r="A3486" i="1"/>
  <c r="B3486" i="1"/>
  <c r="C3486" i="1"/>
  <c r="E3486" i="1"/>
  <c r="G3486" i="1"/>
  <c r="H3486" i="1"/>
  <c r="A3487" i="1"/>
  <c r="B3487" i="1"/>
  <c r="C3487" i="1"/>
  <c r="E3487" i="1"/>
  <c r="G3487" i="1"/>
  <c r="H3487" i="1"/>
  <c r="A3488" i="1"/>
  <c r="B3488" i="1"/>
  <c r="C3488" i="1"/>
  <c r="E3488" i="1"/>
  <c r="G3488" i="1"/>
  <c r="H3488" i="1"/>
  <c r="A3489" i="1"/>
  <c r="B3489" i="1"/>
  <c r="C3489" i="1"/>
  <c r="E3489" i="1"/>
  <c r="G3489" i="1"/>
  <c r="H3489" i="1"/>
  <c r="A3490" i="1"/>
  <c r="B3490" i="1"/>
  <c r="C3490" i="1"/>
  <c r="E3490" i="1"/>
  <c r="G3490" i="1"/>
  <c r="H3490" i="1"/>
  <c r="A3491" i="1"/>
  <c r="B3491" i="1"/>
  <c r="C3491" i="1"/>
  <c r="E3491" i="1"/>
  <c r="G3491" i="1"/>
  <c r="H3491" i="1"/>
  <c r="A3492" i="1"/>
  <c r="B3492" i="1"/>
  <c r="C3492" i="1"/>
  <c r="E3492" i="1"/>
  <c r="G3492" i="1"/>
  <c r="H3492" i="1"/>
  <c r="A3493" i="1"/>
  <c r="B3493" i="1"/>
  <c r="C3493" i="1"/>
  <c r="E3493" i="1"/>
  <c r="G3493" i="1"/>
  <c r="H3493" i="1"/>
  <c r="A3494" i="1"/>
  <c r="B3494" i="1"/>
  <c r="C3494" i="1"/>
  <c r="E3494" i="1"/>
  <c r="G3494" i="1"/>
  <c r="H3494" i="1"/>
  <c r="A3495" i="1"/>
  <c r="B3495" i="1"/>
  <c r="C3495" i="1"/>
  <c r="E3495" i="1"/>
  <c r="G3495" i="1"/>
  <c r="H3495" i="1"/>
  <c r="A3496" i="1"/>
  <c r="B3496" i="1"/>
  <c r="C3496" i="1"/>
  <c r="E3496" i="1"/>
  <c r="G3496" i="1"/>
  <c r="H3496" i="1"/>
  <c r="A3497" i="1"/>
  <c r="B3497" i="1"/>
  <c r="C3497" i="1"/>
  <c r="E3497" i="1"/>
  <c r="G3497" i="1"/>
  <c r="H3497" i="1"/>
  <c r="A3498" i="1"/>
  <c r="B3498" i="1"/>
  <c r="C3498" i="1"/>
  <c r="E3498" i="1"/>
  <c r="G3498" i="1"/>
  <c r="H3498" i="1"/>
  <c r="A3499" i="1"/>
  <c r="B3499" i="1"/>
  <c r="C3499" i="1"/>
  <c r="E3499" i="1"/>
  <c r="G3499" i="1"/>
  <c r="H3499" i="1"/>
  <c r="A3500" i="1"/>
  <c r="B3500" i="1"/>
  <c r="C3500" i="1"/>
  <c r="E3500" i="1"/>
  <c r="G3500" i="1"/>
  <c r="H3500" i="1"/>
  <c r="A3501" i="1"/>
  <c r="B3501" i="1"/>
  <c r="C3501" i="1"/>
  <c r="E3501" i="1"/>
  <c r="G3501" i="1"/>
  <c r="H3501" i="1"/>
  <c r="A3502" i="1"/>
  <c r="B3502" i="1"/>
  <c r="C3502" i="1"/>
  <c r="E3502" i="1"/>
  <c r="G3502" i="1"/>
  <c r="H3502" i="1"/>
  <c r="A3503" i="1"/>
  <c r="B3503" i="1"/>
  <c r="C3503" i="1"/>
  <c r="E3503" i="1"/>
  <c r="G3503" i="1"/>
  <c r="H3503" i="1"/>
  <c r="A3504" i="1"/>
  <c r="B3504" i="1"/>
  <c r="C3504" i="1"/>
  <c r="E3504" i="1"/>
  <c r="G3504" i="1"/>
  <c r="H3504" i="1"/>
  <c r="A3505" i="1"/>
  <c r="B3505" i="1"/>
  <c r="C3505" i="1"/>
  <c r="E3505" i="1"/>
  <c r="G3505" i="1"/>
  <c r="H3505" i="1"/>
  <c r="A3506" i="1"/>
  <c r="B3506" i="1"/>
  <c r="C3506" i="1"/>
  <c r="E3506" i="1"/>
  <c r="G3506" i="1"/>
  <c r="H3506" i="1"/>
  <c r="A3507" i="1"/>
  <c r="B3507" i="1"/>
  <c r="C3507" i="1"/>
  <c r="E3507" i="1"/>
  <c r="G3507" i="1"/>
  <c r="H3507" i="1"/>
  <c r="A3508" i="1"/>
  <c r="B3508" i="1"/>
  <c r="C3508" i="1"/>
  <c r="E3508" i="1"/>
  <c r="G3508" i="1"/>
  <c r="H3508" i="1"/>
  <c r="A3509" i="1"/>
  <c r="B3509" i="1"/>
  <c r="C3509" i="1"/>
  <c r="E3509" i="1"/>
  <c r="G3509" i="1"/>
  <c r="H3509" i="1"/>
  <c r="A3510" i="1"/>
  <c r="B3510" i="1"/>
  <c r="C3510" i="1"/>
  <c r="E3510" i="1"/>
  <c r="G3510" i="1"/>
  <c r="H3510" i="1"/>
  <c r="A3511" i="1"/>
  <c r="B3511" i="1"/>
  <c r="C3511" i="1"/>
  <c r="E3511" i="1"/>
  <c r="G3511" i="1"/>
  <c r="H3511" i="1"/>
  <c r="A3512" i="1"/>
  <c r="B3512" i="1"/>
  <c r="C3512" i="1"/>
  <c r="E3512" i="1"/>
  <c r="G3512" i="1"/>
  <c r="H3512" i="1"/>
  <c r="A3513" i="1"/>
  <c r="B3513" i="1"/>
  <c r="C3513" i="1"/>
  <c r="E3513" i="1"/>
  <c r="G3513" i="1"/>
  <c r="H3513" i="1"/>
  <c r="A3514" i="1"/>
  <c r="B3514" i="1"/>
  <c r="C3514" i="1"/>
  <c r="E3514" i="1"/>
  <c r="G3514" i="1"/>
  <c r="H3514" i="1"/>
  <c r="A3515" i="1"/>
  <c r="B3515" i="1"/>
  <c r="C3515" i="1"/>
  <c r="E3515" i="1"/>
  <c r="G3515" i="1"/>
  <c r="H3515" i="1"/>
  <c r="A3516" i="1"/>
  <c r="B3516" i="1"/>
  <c r="C3516" i="1"/>
  <c r="E3516" i="1"/>
  <c r="G3516" i="1"/>
  <c r="H3516" i="1"/>
  <c r="A3517" i="1"/>
  <c r="B3517" i="1"/>
  <c r="C3517" i="1"/>
  <c r="E3517" i="1"/>
  <c r="G3517" i="1"/>
  <c r="H3517" i="1"/>
  <c r="A3518" i="1"/>
  <c r="B3518" i="1"/>
  <c r="C3518" i="1"/>
  <c r="E3518" i="1"/>
  <c r="G3518" i="1"/>
  <c r="H3518" i="1"/>
  <c r="A3519" i="1"/>
  <c r="B3519" i="1"/>
  <c r="C3519" i="1"/>
  <c r="E3519" i="1"/>
  <c r="G3519" i="1"/>
  <c r="H3519" i="1"/>
  <c r="A3520" i="1"/>
  <c r="B3520" i="1"/>
  <c r="C3520" i="1"/>
  <c r="E3520" i="1"/>
  <c r="G3520" i="1"/>
  <c r="H3520" i="1"/>
  <c r="A3521" i="1"/>
  <c r="B3521" i="1"/>
  <c r="C3521" i="1"/>
  <c r="E3521" i="1"/>
  <c r="G3521" i="1"/>
  <c r="H3521" i="1"/>
  <c r="A3522" i="1"/>
  <c r="B3522" i="1"/>
  <c r="C3522" i="1"/>
  <c r="E3522" i="1"/>
  <c r="G3522" i="1"/>
  <c r="H3522" i="1"/>
  <c r="A3523" i="1"/>
  <c r="B3523" i="1"/>
  <c r="C3523" i="1"/>
  <c r="E3523" i="1"/>
  <c r="G3523" i="1"/>
  <c r="H3523" i="1"/>
  <c r="A3524" i="1"/>
  <c r="B3524" i="1"/>
  <c r="C3524" i="1"/>
  <c r="E3524" i="1"/>
  <c r="G3524" i="1"/>
  <c r="H3524" i="1"/>
  <c r="A3525" i="1"/>
  <c r="B3525" i="1"/>
  <c r="C3525" i="1"/>
  <c r="E3525" i="1"/>
  <c r="G3525" i="1"/>
  <c r="H3525" i="1"/>
  <c r="A3526" i="1"/>
  <c r="B3526" i="1"/>
  <c r="C3526" i="1"/>
  <c r="E3526" i="1"/>
  <c r="G3526" i="1"/>
  <c r="H3526" i="1"/>
  <c r="A3527" i="1"/>
  <c r="B3527" i="1"/>
  <c r="C3527" i="1"/>
  <c r="E3527" i="1"/>
  <c r="G3527" i="1"/>
  <c r="H3527" i="1"/>
  <c r="A3528" i="1"/>
  <c r="B3528" i="1"/>
  <c r="C3528" i="1"/>
  <c r="E3528" i="1"/>
  <c r="G3528" i="1"/>
  <c r="H3528" i="1"/>
  <c r="A3529" i="1"/>
  <c r="B3529" i="1"/>
  <c r="C3529" i="1"/>
  <c r="E3529" i="1"/>
  <c r="G3529" i="1"/>
  <c r="H3529" i="1"/>
  <c r="A3530" i="1"/>
  <c r="B3530" i="1"/>
  <c r="C3530" i="1"/>
  <c r="E3530" i="1"/>
  <c r="G3530" i="1"/>
  <c r="H3530" i="1"/>
  <c r="A3531" i="1"/>
  <c r="B3531" i="1"/>
  <c r="C3531" i="1"/>
  <c r="E3531" i="1"/>
  <c r="G3531" i="1"/>
  <c r="H3531" i="1"/>
  <c r="A3532" i="1"/>
  <c r="B3532" i="1"/>
  <c r="C3532" i="1"/>
  <c r="E3532" i="1"/>
  <c r="G3532" i="1"/>
  <c r="H3532" i="1"/>
  <c r="A3533" i="1"/>
  <c r="B3533" i="1"/>
  <c r="C3533" i="1"/>
  <c r="E3533" i="1"/>
  <c r="G3533" i="1"/>
  <c r="H3533" i="1"/>
  <c r="A3534" i="1"/>
  <c r="B3534" i="1"/>
  <c r="C3534" i="1"/>
  <c r="E3534" i="1"/>
  <c r="G3534" i="1"/>
  <c r="H3534" i="1"/>
  <c r="A3535" i="1"/>
  <c r="B3535" i="1"/>
  <c r="C3535" i="1"/>
  <c r="E3535" i="1"/>
  <c r="G3535" i="1"/>
  <c r="H3535" i="1"/>
  <c r="A3536" i="1"/>
  <c r="B3536" i="1"/>
  <c r="C3536" i="1"/>
  <c r="E3536" i="1"/>
  <c r="G3536" i="1"/>
  <c r="H3536" i="1"/>
  <c r="A3537" i="1"/>
  <c r="B3537" i="1"/>
  <c r="C3537" i="1"/>
  <c r="E3537" i="1"/>
  <c r="G3537" i="1"/>
  <c r="H3537" i="1"/>
  <c r="A3538" i="1"/>
  <c r="B3538" i="1"/>
  <c r="C3538" i="1"/>
  <c r="E3538" i="1"/>
  <c r="G3538" i="1"/>
  <c r="H3538" i="1"/>
  <c r="A3539" i="1"/>
  <c r="B3539" i="1"/>
  <c r="C3539" i="1"/>
  <c r="E3539" i="1"/>
  <c r="G3539" i="1"/>
  <c r="H3539" i="1"/>
  <c r="A3540" i="1"/>
  <c r="B3540" i="1"/>
  <c r="C3540" i="1"/>
  <c r="E3540" i="1"/>
  <c r="G3540" i="1"/>
  <c r="H3540" i="1"/>
  <c r="A3541" i="1"/>
  <c r="B3541" i="1"/>
  <c r="C3541" i="1"/>
  <c r="E3541" i="1"/>
  <c r="G3541" i="1"/>
  <c r="H3541" i="1"/>
  <c r="A3542" i="1"/>
  <c r="B3542" i="1"/>
  <c r="C3542" i="1"/>
  <c r="E3542" i="1"/>
  <c r="G3542" i="1"/>
  <c r="H3542" i="1"/>
  <c r="A3543" i="1"/>
  <c r="B3543" i="1"/>
  <c r="C3543" i="1"/>
  <c r="E3543" i="1"/>
  <c r="G3543" i="1"/>
  <c r="H3543" i="1"/>
  <c r="A3544" i="1"/>
  <c r="B3544" i="1"/>
  <c r="C3544" i="1"/>
  <c r="E3544" i="1"/>
  <c r="G3544" i="1"/>
  <c r="H3544" i="1"/>
  <c r="A3545" i="1"/>
  <c r="B3545" i="1"/>
  <c r="C3545" i="1"/>
  <c r="E3545" i="1"/>
  <c r="G3545" i="1"/>
  <c r="H3545" i="1"/>
  <c r="A3546" i="1"/>
  <c r="B3546" i="1"/>
  <c r="C3546" i="1"/>
  <c r="E3546" i="1"/>
  <c r="G3546" i="1"/>
  <c r="H3546" i="1"/>
  <c r="A3547" i="1"/>
  <c r="B3547" i="1"/>
  <c r="C3547" i="1"/>
  <c r="E3547" i="1"/>
  <c r="G3547" i="1"/>
  <c r="H3547" i="1"/>
  <c r="A3548" i="1"/>
  <c r="B3548" i="1"/>
  <c r="C3548" i="1"/>
  <c r="E3548" i="1"/>
  <c r="G3548" i="1"/>
  <c r="H3548" i="1"/>
  <c r="A3549" i="1"/>
  <c r="B3549" i="1"/>
  <c r="C3549" i="1"/>
  <c r="E3549" i="1"/>
  <c r="G3549" i="1"/>
  <c r="H3549" i="1"/>
  <c r="A3550" i="1"/>
  <c r="B3550" i="1"/>
  <c r="C3550" i="1"/>
  <c r="E3550" i="1"/>
  <c r="G3550" i="1"/>
  <c r="H3550" i="1"/>
  <c r="A3551" i="1"/>
  <c r="B3551" i="1"/>
  <c r="C3551" i="1"/>
  <c r="E3551" i="1"/>
  <c r="G3551" i="1"/>
  <c r="H3551" i="1"/>
  <c r="A3552" i="1"/>
  <c r="B3552" i="1"/>
  <c r="C3552" i="1"/>
  <c r="E3552" i="1"/>
  <c r="G3552" i="1"/>
  <c r="H3552" i="1"/>
  <c r="A3553" i="1"/>
  <c r="B3553" i="1"/>
  <c r="C3553" i="1"/>
  <c r="E3553" i="1"/>
  <c r="G3553" i="1"/>
  <c r="H3553" i="1"/>
  <c r="A3554" i="1"/>
  <c r="B3554" i="1"/>
  <c r="C3554" i="1"/>
  <c r="E3554" i="1"/>
  <c r="G3554" i="1"/>
  <c r="H3554" i="1"/>
  <c r="A3555" i="1"/>
  <c r="B3555" i="1"/>
  <c r="C3555" i="1"/>
  <c r="E3555" i="1"/>
  <c r="G3555" i="1"/>
  <c r="H3555" i="1"/>
  <c r="A3556" i="1"/>
  <c r="B3556" i="1"/>
  <c r="C3556" i="1"/>
  <c r="E3556" i="1"/>
  <c r="G3556" i="1"/>
  <c r="H3556" i="1"/>
  <c r="A3557" i="1"/>
  <c r="B3557" i="1"/>
  <c r="C3557" i="1"/>
  <c r="E3557" i="1"/>
  <c r="G3557" i="1"/>
  <c r="H3557" i="1"/>
  <c r="A3558" i="1"/>
  <c r="B3558" i="1"/>
  <c r="C3558" i="1"/>
  <c r="E3558" i="1"/>
  <c r="G3558" i="1"/>
  <c r="H3558" i="1"/>
  <c r="A3559" i="1"/>
  <c r="B3559" i="1"/>
  <c r="C3559" i="1"/>
  <c r="E3559" i="1"/>
  <c r="G3559" i="1"/>
  <c r="H3559" i="1"/>
  <c r="A3560" i="1"/>
  <c r="B3560" i="1"/>
  <c r="C3560" i="1"/>
  <c r="E3560" i="1"/>
  <c r="G3560" i="1"/>
  <c r="H3560" i="1"/>
  <c r="A3561" i="1"/>
  <c r="B3561" i="1"/>
  <c r="C3561" i="1"/>
  <c r="E3561" i="1"/>
  <c r="G3561" i="1"/>
  <c r="H3561" i="1"/>
  <c r="A3562" i="1"/>
  <c r="B3562" i="1"/>
  <c r="C3562" i="1"/>
  <c r="E3562" i="1"/>
  <c r="G3562" i="1"/>
  <c r="H3562" i="1"/>
  <c r="A3563" i="1"/>
  <c r="B3563" i="1"/>
  <c r="C3563" i="1"/>
  <c r="E3563" i="1"/>
  <c r="G3563" i="1"/>
  <c r="H3563" i="1"/>
  <c r="A3564" i="1"/>
  <c r="B3564" i="1"/>
  <c r="C3564" i="1"/>
  <c r="E3564" i="1"/>
  <c r="G3564" i="1"/>
  <c r="H3564" i="1"/>
  <c r="A3565" i="1"/>
  <c r="B3565" i="1"/>
  <c r="C3565" i="1"/>
  <c r="E3565" i="1"/>
  <c r="G3565" i="1"/>
  <c r="H3565" i="1"/>
  <c r="A3566" i="1"/>
  <c r="B3566" i="1"/>
  <c r="C3566" i="1"/>
  <c r="E3566" i="1"/>
  <c r="G3566" i="1"/>
  <c r="H3566" i="1"/>
  <c r="A3567" i="1"/>
  <c r="B3567" i="1"/>
  <c r="C3567" i="1"/>
  <c r="E3567" i="1"/>
  <c r="G3567" i="1"/>
  <c r="H3567" i="1"/>
  <c r="A3568" i="1"/>
  <c r="B3568" i="1"/>
  <c r="C3568" i="1"/>
  <c r="E3568" i="1"/>
  <c r="G3568" i="1"/>
  <c r="H3568" i="1"/>
  <c r="A3569" i="1"/>
  <c r="B3569" i="1"/>
  <c r="C3569" i="1"/>
  <c r="E3569" i="1"/>
  <c r="G3569" i="1"/>
  <c r="H3569" i="1"/>
  <c r="A3570" i="1"/>
  <c r="B3570" i="1"/>
  <c r="C3570" i="1"/>
  <c r="E3570" i="1"/>
  <c r="G3570" i="1"/>
  <c r="H3570" i="1"/>
  <c r="A3571" i="1"/>
  <c r="B3571" i="1"/>
  <c r="C3571" i="1"/>
  <c r="E3571" i="1"/>
  <c r="G3571" i="1"/>
  <c r="H3571" i="1"/>
  <c r="A3572" i="1"/>
  <c r="B3572" i="1"/>
  <c r="C3572" i="1"/>
  <c r="E3572" i="1"/>
  <c r="G3572" i="1"/>
  <c r="H3572" i="1"/>
  <c r="A3573" i="1"/>
  <c r="B3573" i="1"/>
  <c r="C3573" i="1"/>
  <c r="E3573" i="1"/>
  <c r="G3573" i="1"/>
  <c r="H3573" i="1"/>
  <c r="A3574" i="1"/>
  <c r="B3574" i="1"/>
  <c r="C3574" i="1"/>
  <c r="E3574" i="1"/>
  <c r="G3574" i="1"/>
  <c r="H3574" i="1"/>
  <c r="A3575" i="1"/>
  <c r="B3575" i="1"/>
  <c r="C3575" i="1"/>
  <c r="E3575" i="1"/>
  <c r="G3575" i="1"/>
  <c r="H3575" i="1"/>
  <c r="A3576" i="1"/>
  <c r="B3576" i="1"/>
  <c r="C3576" i="1"/>
  <c r="E3576" i="1"/>
  <c r="G3576" i="1"/>
  <c r="H3576" i="1"/>
  <c r="A3577" i="1"/>
  <c r="B3577" i="1"/>
  <c r="C3577" i="1"/>
  <c r="E3577" i="1"/>
  <c r="G3577" i="1"/>
  <c r="H3577" i="1"/>
  <c r="A3578" i="1"/>
  <c r="B3578" i="1"/>
  <c r="C3578" i="1"/>
  <c r="E3578" i="1"/>
  <c r="G3578" i="1"/>
  <c r="H3578" i="1"/>
  <c r="A3579" i="1"/>
  <c r="B3579" i="1"/>
  <c r="C3579" i="1"/>
  <c r="E3579" i="1"/>
  <c r="G3579" i="1"/>
  <c r="H3579" i="1"/>
  <c r="A3580" i="1"/>
  <c r="B3580" i="1"/>
  <c r="C3580" i="1"/>
  <c r="E3580" i="1"/>
  <c r="G3580" i="1"/>
  <c r="H3580" i="1"/>
  <c r="A3581" i="1"/>
  <c r="B3581" i="1"/>
  <c r="C3581" i="1"/>
  <c r="E3581" i="1"/>
  <c r="G3581" i="1"/>
  <c r="H3581" i="1"/>
  <c r="A3582" i="1"/>
  <c r="B3582" i="1"/>
  <c r="C3582" i="1"/>
  <c r="E3582" i="1"/>
  <c r="G3582" i="1"/>
  <c r="H3582" i="1"/>
  <c r="A3583" i="1"/>
  <c r="B3583" i="1"/>
  <c r="C3583" i="1"/>
  <c r="E3583" i="1"/>
  <c r="G3583" i="1"/>
  <c r="H3583" i="1"/>
  <c r="A3584" i="1"/>
  <c r="B3584" i="1"/>
  <c r="C3584" i="1"/>
  <c r="E3584" i="1"/>
  <c r="G3584" i="1"/>
  <c r="H3584" i="1"/>
  <c r="A3585" i="1"/>
  <c r="B3585" i="1"/>
  <c r="C3585" i="1"/>
  <c r="E3585" i="1"/>
  <c r="G3585" i="1"/>
  <c r="H3585" i="1"/>
  <c r="A3586" i="1"/>
  <c r="B3586" i="1"/>
  <c r="C3586" i="1"/>
  <c r="E3586" i="1"/>
  <c r="G3586" i="1"/>
  <c r="H3586" i="1"/>
  <c r="A3587" i="1"/>
  <c r="B3587" i="1"/>
  <c r="C3587" i="1"/>
  <c r="E3587" i="1"/>
  <c r="G3587" i="1"/>
  <c r="H3587" i="1"/>
  <c r="A3588" i="1"/>
  <c r="B3588" i="1"/>
  <c r="C3588" i="1"/>
  <c r="E3588" i="1"/>
  <c r="G3588" i="1"/>
  <c r="H3588" i="1"/>
  <c r="A3589" i="1"/>
  <c r="B3589" i="1"/>
  <c r="C3589" i="1"/>
  <c r="E3589" i="1"/>
  <c r="G3589" i="1"/>
  <c r="H3589" i="1"/>
  <c r="A3590" i="1"/>
  <c r="B3590" i="1"/>
  <c r="C3590" i="1"/>
  <c r="E3590" i="1"/>
  <c r="G3590" i="1"/>
  <c r="H3590" i="1"/>
  <c r="A3591" i="1"/>
  <c r="B3591" i="1"/>
  <c r="C3591" i="1"/>
  <c r="E3591" i="1"/>
  <c r="G3591" i="1"/>
  <c r="H3591" i="1"/>
  <c r="A3592" i="1"/>
  <c r="B3592" i="1"/>
  <c r="C3592" i="1"/>
  <c r="E3592" i="1"/>
  <c r="G3592" i="1"/>
  <c r="H3592" i="1"/>
  <c r="A3593" i="1"/>
  <c r="B3593" i="1"/>
  <c r="C3593" i="1"/>
  <c r="E3593" i="1"/>
  <c r="G3593" i="1"/>
  <c r="H3593" i="1"/>
  <c r="A3594" i="1"/>
  <c r="B3594" i="1"/>
  <c r="C3594" i="1"/>
  <c r="E3594" i="1"/>
  <c r="G3594" i="1"/>
  <c r="H3594" i="1"/>
  <c r="A3595" i="1"/>
  <c r="B3595" i="1"/>
  <c r="C3595" i="1"/>
  <c r="E3595" i="1"/>
  <c r="G3595" i="1"/>
  <c r="H3595" i="1"/>
  <c r="A3596" i="1"/>
  <c r="B3596" i="1"/>
  <c r="C3596" i="1"/>
  <c r="E3596" i="1"/>
  <c r="G3596" i="1"/>
  <c r="H3596" i="1"/>
  <c r="A3597" i="1"/>
  <c r="B3597" i="1"/>
  <c r="C3597" i="1"/>
  <c r="E3597" i="1"/>
  <c r="G3597" i="1"/>
  <c r="H3597" i="1"/>
  <c r="A3598" i="1"/>
  <c r="B3598" i="1"/>
  <c r="C3598" i="1"/>
  <c r="E3598" i="1"/>
  <c r="G3598" i="1"/>
  <c r="H3598" i="1"/>
  <c r="A3599" i="1"/>
  <c r="B3599" i="1"/>
  <c r="C3599" i="1"/>
  <c r="E3599" i="1"/>
  <c r="G3599" i="1"/>
  <c r="H3599" i="1"/>
  <c r="A3600" i="1"/>
  <c r="B3600" i="1"/>
  <c r="C3600" i="1"/>
  <c r="E3600" i="1"/>
  <c r="G3600" i="1"/>
  <c r="H3600" i="1"/>
  <c r="A3601" i="1"/>
  <c r="B3601" i="1"/>
  <c r="C3601" i="1"/>
  <c r="E3601" i="1"/>
  <c r="G3601" i="1"/>
  <c r="H3601" i="1"/>
  <c r="A3602" i="1"/>
  <c r="B3602" i="1"/>
  <c r="C3602" i="1"/>
  <c r="E3602" i="1"/>
  <c r="G3602" i="1"/>
  <c r="H3602" i="1"/>
  <c r="A3603" i="1"/>
  <c r="B3603" i="1"/>
  <c r="C3603" i="1"/>
  <c r="E3603" i="1"/>
  <c r="G3603" i="1"/>
  <c r="H3603" i="1"/>
  <c r="A3604" i="1"/>
  <c r="B3604" i="1"/>
  <c r="C3604" i="1"/>
  <c r="E3604" i="1"/>
  <c r="G3604" i="1"/>
  <c r="H3604" i="1"/>
  <c r="A3605" i="1"/>
  <c r="B3605" i="1"/>
  <c r="C3605" i="1"/>
  <c r="E3605" i="1"/>
  <c r="G3605" i="1"/>
  <c r="H3605" i="1"/>
  <c r="A3606" i="1"/>
  <c r="B3606" i="1"/>
  <c r="C3606" i="1"/>
  <c r="E3606" i="1"/>
  <c r="G3606" i="1"/>
  <c r="H3606" i="1"/>
  <c r="A3607" i="1"/>
  <c r="B3607" i="1"/>
  <c r="C3607" i="1"/>
  <c r="E3607" i="1"/>
  <c r="G3607" i="1"/>
  <c r="H3607" i="1"/>
  <c r="A3608" i="1"/>
  <c r="B3608" i="1"/>
  <c r="C3608" i="1"/>
  <c r="E3608" i="1"/>
  <c r="G3608" i="1"/>
  <c r="H3608" i="1"/>
  <c r="A3609" i="1"/>
  <c r="B3609" i="1"/>
  <c r="C3609" i="1"/>
  <c r="E3609" i="1"/>
  <c r="G3609" i="1"/>
  <c r="H3609" i="1"/>
  <c r="A3610" i="1"/>
  <c r="B3610" i="1"/>
  <c r="C3610" i="1"/>
  <c r="E3610" i="1"/>
  <c r="G3610" i="1"/>
  <c r="H3610" i="1"/>
  <c r="A3611" i="1"/>
  <c r="B3611" i="1"/>
  <c r="C3611" i="1"/>
  <c r="E3611" i="1"/>
  <c r="G3611" i="1"/>
  <c r="H3611" i="1"/>
  <c r="A3612" i="1"/>
  <c r="B3612" i="1"/>
  <c r="C3612" i="1"/>
  <c r="E3612" i="1"/>
  <c r="G3612" i="1"/>
  <c r="H3612" i="1"/>
  <c r="A3613" i="1"/>
  <c r="B3613" i="1"/>
  <c r="C3613" i="1"/>
  <c r="E3613" i="1"/>
  <c r="G3613" i="1"/>
  <c r="H3613" i="1"/>
  <c r="A3614" i="1"/>
  <c r="B3614" i="1"/>
  <c r="C3614" i="1"/>
  <c r="E3614" i="1"/>
  <c r="G3614" i="1"/>
  <c r="H3614" i="1"/>
  <c r="A3615" i="1"/>
  <c r="B3615" i="1"/>
  <c r="C3615" i="1"/>
  <c r="E3615" i="1"/>
  <c r="G3615" i="1"/>
  <c r="H3615" i="1"/>
  <c r="A3616" i="1"/>
  <c r="B3616" i="1"/>
  <c r="C3616" i="1"/>
  <c r="E3616" i="1"/>
  <c r="G3616" i="1"/>
  <c r="H3616" i="1"/>
  <c r="A3617" i="1"/>
  <c r="B3617" i="1"/>
  <c r="C3617" i="1"/>
  <c r="E3617" i="1"/>
  <c r="G3617" i="1"/>
  <c r="H3617" i="1"/>
  <c r="A3618" i="1"/>
  <c r="B3618" i="1"/>
  <c r="C3618" i="1"/>
  <c r="E3618" i="1"/>
  <c r="G3618" i="1"/>
  <c r="H3618" i="1"/>
  <c r="A3619" i="1"/>
  <c r="B3619" i="1"/>
  <c r="C3619" i="1"/>
  <c r="E3619" i="1"/>
  <c r="G3619" i="1"/>
  <c r="H3619" i="1"/>
  <c r="A3620" i="1"/>
  <c r="B3620" i="1"/>
  <c r="C3620" i="1"/>
  <c r="E3620" i="1"/>
  <c r="G3620" i="1"/>
  <c r="H3620" i="1"/>
  <c r="A3621" i="1"/>
  <c r="B3621" i="1"/>
  <c r="C3621" i="1"/>
  <c r="E3621" i="1"/>
  <c r="G3621" i="1"/>
  <c r="H3621" i="1"/>
  <c r="A3622" i="1"/>
  <c r="B3622" i="1"/>
  <c r="C3622" i="1"/>
  <c r="E3622" i="1"/>
  <c r="G3622" i="1"/>
  <c r="H3622" i="1"/>
  <c r="A3623" i="1"/>
  <c r="B3623" i="1"/>
  <c r="C3623" i="1"/>
  <c r="E3623" i="1"/>
  <c r="G3623" i="1"/>
  <c r="H3623" i="1"/>
  <c r="A3624" i="1"/>
  <c r="B3624" i="1"/>
  <c r="C3624" i="1"/>
  <c r="E3624" i="1"/>
  <c r="G3624" i="1"/>
  <c r="H3624" i="1"/>
  <c r="A3625" i="1"/>
  <c r="B3625" i="1"/>
  <c r="C3625" i="1"/>
  <c r="E3625" i="1"/>
  <c r="G3625" i="1"/>
  <c r="H3625" i="1"/>
  <c r="A3626" i="1"/>
  <c r="B3626" i="1"/>
  <c r="C3626" i="1"/>
  <c r="E3626" i="1"/>
  <c r="G3626" i="1"/>
  <c r="H3626" i="1"/>
  <c r="A3627" i="1"/>
  <c r="B3627" i="1"/>
  <c r="C3627" i="1"/>
  <c r="E3627" i="1"/>
  <c r="G3627" i="1"/>
  <c r="H3627" i="1"/>
  <c r="A3628" i="1"/>
  <c r="B3628" i="1"/>
  <c r="C3628" i="1"/>
  <c r="E3628" i="1"/>
  <c r="G3628" i="1"/>
  <c r="H3628" i="1"/>
  <c r="A3629" i="1"/>
  <c r="B3629" i="1"/>
  <c r="C3629" i="1"/>
  <c r="E3629" i="1"/>
  <c r="G3629" i="1"/>
  <c r="H3629" i="1"/>
  <c r="A3630" i="1"/>
  <c r="B3630" i="1"/>
  <c r="C3630" i="1"/>
  <c r="E3630" i="1"/>
  <c r="G3630" i="1"/>
  <c r="H3630" i="1"/>
  <c r="A3631" i="1"/>
  <c r="B3631" i="1"/>
  <c r="C3631" i="1"/>
  <c r="E3631" i="1"/>
  <c r="G3631" i="1"/>
  <c r="H3631" i="1"/>
  <c r="A3632" i="1"/>
  <c r="B3632" i="1"/>
  <c r="C3632" i="1"/>
  <c r="E3632" i="1"/>
  <c r="G3632" i="1"/>
  <c r="H3632" i="1"/>
  <c r="A3633" i="1"/>
  <c r="B3633" i="1"/>
  <c r="C3633" i="1"/>
  <c r="E3633" i="1"/>
  <c r="G3633" i="1"/>
  <c r="H3633" i="1"/>
  <c r="A3634" i="1"/>
  <c r="B3634" i="1"/>
  <c r="C3634" i="1"/>
  <c r="E3634" i="1"/>
  <c r="G3634" i="1"/>
  <c r="H3634" i="1"/>
  <c r="A3635" i="1"/>
  <c r="B3635" i="1"/>
  <c r="C3635" i="1"/>
  <c r="E3635" i="1"/>
  <c r="G3635" i="1"/>
  <c r="H3635" i="1"/>
</calcChain>
</file>

<file path=xl/sharedStrings.xml><?xml version="1.0" encoding="utf-8"?>
<sst xmlns="http://schemas.openxmlformats.org/spreadsheetml/2006/main" count="29569" uniqueCount="3887">
  <si>
    <t>TIPO DE ELECCION</t>
  </si>
  <si>
    <t>AYUNTAMIENTOS</t>
  </si>
  <si>
    <t>FECHA Y HORA DEL CORTE DE INFORMACION</t>
  </si>
  <si>
    <t>07/06/2021 19:52 (UTC -5)</t>
  </si>
  <si>
    <t>ACTAS_ESPERADAS</t>
  </si>
  <si>
    <t>ACTAS_REGISTRADAS</t>
  </si>
  <si>
    <t>ACTAS_FUERA_CATALOGO</t>
  </si>
  <si>
    <t>ACTAS_CAPTURADAS</t>
  </si>
  <si>
    <t>PORCENTAJE_ACTAS_CAPTURADAS</t>
  </si>
  <si>
    <t>ACTAS_CONTABILIZADAS</t>
  </si>
  <si>
    <t>PORCENTAJE_ACTAS_CONTABILIZADAS</t>
  </si>
  <si>
    <t>PORCENTAJE_ACTAS_INCONSISTENCIAS</t>
  </si>
  <si>
    <t>ACTAS_NO_CONTABILIZADAS</t>
  </si>
  <si>
    <t>LISTA_NOMINAL_ACTAS_CONTABILIZADAS</t>
  </si>
  <si>
    <t>TOTAL_VOTOS_C_CS</t>
  </si>
  <si>
    <t>TOTAL_VOTOS_S_CS</t>
  </si>
  <si>
    <t>PORCENTAJE_PARTICIPACION_CIUDADANA</t>
  </si>
  <si>
    <t>CLAVE_CASILLA</t>
  </si>
  <si>
    <t>CLAVE_ACTA</t>
  </si>
  <si>
    <t>ID_ESTADO</t>
  </si>
  <si>
    <t>ESTADO</t>
  </si>
  <si>
    <t>ID_MUNICIPIO</t>
  </si>
  <si>
    <t>MUNICIPIO</t>
  </si>
  <si>
    <t>SECCION</t>
  </si>
  <si>
    <t>ID_CASILLA</t>
  </si>
  <si>
    <t>TIPO_CASILLA</t>
  </si>
  <si>
    <t>EXT_CONTIGUA</t>
  </si>
  <si>
    <t>UBICACION_CASILLA</t>
  </si>
  <si>
    <t>TIPO_ACTA</t>
  </si>
  <si>
    <t>TOTAL_BOLETAS_SOBRANTES</t>
  </si>
  <si>
    <t>TOTAL_PERSONAS_VOTARON</t>
  </si>
  <si>
    <t>TOTAL_REP_PARTIDO_CI_VOTARON</t>
  </si>
  <si>
    <t>TOTAL_VOTOS_SACADOS</t>
  </si>
  <si>
    <t>PAN</t>
  </si>
  <si>
    <t>PRI</t>
  </si>
  <si>
    <t>PRD</t>
  </si>
  <si>
    <t>PVEM</t>
  </si>
  <si>
    <t>PT</t>
  </si>
  <si>
    <t>MC</t>
  </si>
  <si>
    <t>PUP</t>
  </si>
  <si>
    <t>MORENA</t>
  </si>
  <si>
    <t>NAO</t>
  </si>
  <si>
    <t>PES</t>
  </si>
  <si>
    <t>RSP</t>
  </si>
  <si>
    <t>FXM</t>
  </si>
  <si>
    <t>CI1</t>
  </si>
  <si>
    <t>CI2</t>
  </si>
  <si>
    <t>CI3</t>
  </si>
  <si>
    <t>CO_PAN_PRI_PRD</t>
  </si>
  <si>
    <t>CO_PAN_PRI</t>
  </si>
  <si>
    <t>CO_PAN_PRD</t>
  </si>
  <si>
    <t>CO_PRI_PRD</t>
  </si>
  <si>
    <t>CC_PAN_PRI_PRD_NAO</t>
  </si>
  <si>
    <t>CC_PAN_PRI_PRD</t>
  </si>
  <si>
    <t>CC_PAN_PRI_NAO</t>
  </si>
  <si>
    <t>CC_PAN_PRD_NAO</t>
  </si>
  <si>
    <t>CC_PRI_PRD_NAO</t>
  </si>
  <si>
    <t>CC_PAN_PRI</t>
  </si>
  <si>
    <t>CC_PAN_PRD</t>
  </si>
  <si>
    <t>CC_PAN_NAO</t>
  </si>
  <si>
    <t>CC_PRI_PRD</t>
  </si>
  <si>
    <t>CC_PRI_NAO</t>
  </si>
  <si>
    <t>CC_PRD_NAO</t>
  </si>
  <si>
    <t>CC_PVEM_PT</t>
  </si>
  <si>
    <t>CC_PVEM_NAO</t>
  </si>
  <si>
    <t>NO_REGISTRADOS</t>
  </si>
  <si>
    <t>NULOS</t>
  </si>
  <si>
    <t>TOTAL_VOTOS_ASENTADO</t>
  </si>
  <si>
    <t>TOTAL_VOTOS_CALCULADO</t>
  </si>
  <si>
    <t>LISTA_NOMINAL</t>
  </si>
  <si>
    <t>REPRESENTANTES_PP_CI</t>
  </si>
  <si>
    <t>OBSERVACIONES</t>
  </si>
  <si>
    <t>CONTABILIZADA</t>
  </si>
  <si>
    <t>MECANISMOS_TRASLADO</t>
  </si>
  <si>
    <t>SHA</t>
  </si>
  <si>
    <t>FECHA_HORA_ACOPIO</t>
  </si>
  <si>
    <t>FECHA_HORA_CAPTURA</t>
  </si>
  <si>
    <t>FECHA_HORA_VERIFICACION</t>
  </si>
  <si>
    <t>ORIGEN</t>
  </si>
  <si>
    <t>DIGITALIZACION</t>
  </si>
  <si>
    <t>TIPO_DOCUMENTO</t>
  </si>
  <si>
    <t>OAXACA</t>
  </si>
  <si>
    <t>ACATLAN DE PEREZ FIGUEROA</t>
  </si>
  <si>
    <t>B</t>
  </si>
  <si>
    <t>dfebc9646f95eae760119060cadf1dece105183987afb7fe4dfdbd847a9f1b50</t>
  </si>
  <si>
    <t>CATD</t>
  </si>
  <si>
    <t>ESCANER</t>
  </si>
  <si>
    <t>ACTA PREP</t>
  </si>
  <si>
    <t>3fc7f8a07e2b0c176037208150878d43bbb81c1c19fadc84b3901681921bdef6</t>
  </si>
  <si>
    <t>C</t>
  </si>
  <si>
    <t>98ed0fb8f9b67798fe8f3bc365d1cb6b236ed0a9c0ed77ac4ecc120b2acae00b</t>
  </si>
  <si>
    <t>d94acd427369fc0cded82d1944c14cd637b77fe8e68faea3225205e904f61b00</t>
  </si>
  <si>
    <t>Sin dato</t>
  </si>
  <si>
    <t>1257944068cb100dc08f59b1f4f286f2b6d2ae0f79ccde33ad4c3b2fae651b4c</t>
  </si>
  <si>
    <t>7fd12165abf3d8a2086f43828add066c45bd5f35fca2b95c688b6d6f63489819</t>
  </si>
  <si>
    <t>sin dato</t>
  </si>
  <si>
    <t>ALGUN CAMPO ILEGIBLE O SIN DATO</t>
  </si>
  <si>
    <t>d2b713062120d44e7951a69cb439fcb1fd6fb6365ddc889572ed25bf276a9b8e</t>
  </si>
  <si>
    <t>23a9f798b01b47247053f7aefa6dd5c76d0e2881c095cfb8a82b11d2117d9db0</t>
  </si>
  <si>
    <t>S</t>
  </si>
  <si>
    <t>3E</t>
  </si>
  <si>
    <t>059f47d69d7c19b04479c8c1ae50bf6e0e4a70ec26772708578852b8d9122ccf</t>
  </si>
  <si>
    <t>b93d276c07ef4bf04269938d92bfa5c93b77d62b6ae19982eb7922dc13cc2047</t>
  </si>
  <si>
    <t>8cf23d0aabc69b56dc2392f80217ffce44fc8166a6eb32715571d6ba0e7add35</t>
  </si>
  <si>
    <t>0306bbd9e797ccf5770f91a6dff0ab48e2926c6dad1351d0fd1404ed1b2ab393</t>
  </si>
  <si>
    <t>ea0ca2e7c59a1b5994f37ec55930de6eca8b2a083b11752d6ad49af91e00ddde</t>
  </si>
  <si>
    <t>b5dd29fca3894c346ac5a96d2b033b09b18f1e74ccf8227e3723cea327ea918a</t>
  </si>
  <si>
    <t>ee3ca9ef3e33f1dbceee862349531f84f5a0142e9a215342e40927dd1a092199</t>
  </si>
  <si>
    <t>a0de9083345e3a2de454a4ecc642207bd804d87548e9d62fe2fa813913e6a76a</t>
  </si>
  <si>
    <t>a859ce7b7eb9c341cf5efacf0f9f060eb90d1f1102f8dc47c9422508fae2ad82</t>
  </si>
  <si>
    <t>64d812148aab82c6e09ac285d6fc17760e3d42c0c5c924d088a94b713e22cbae</t>
  </si>
  <si>
    <t>6440b7926ba412accfd195066019a68f3913799e9e50f82db21a0b4b3e7726a0</t>
  </si>
  <si>
    <t>531d658c07b68d64d841aab28213d274c8d73aca17592423c6884d91992e639c</t>
  </si>
  <si>
    <t>113c0acbfe7fe2f4d159ac3690343e3c249ec3bf00bb127354c491a6dc084540</t>
  </si>
  <si>
    <t>08205be36036f1ac1f52add96c51aec8e3bd660e5240735f9aecc7576cd03ed6</t>
  </si>
  <si>
    <t>2ca14040c00ac4e64464555af6b76ce6097144215b37c5dd9959dfe7d6a3a8a0</t>
  </si>
  <si>
    <t>70ea56f4058f135f4ae1a319469b3a4a1282e7a20f76554489aa023c3f116dfb</t>
  </si>
  <si>
    <t>4c91452c1202c63ac8dc2958c147cb26ea15d305c0e01c3748fc5dac527f7de8</t>
  </si>
  <si>
    <t>439a77f3a6a9ed021df08fc0d2a7f689ad590ec5cb6fdf208cdfdddc12abf1ed</t>
  </si>
  <si>
    <t>5966f1b3ba4e405ea2e2ec75ae352b88ded719dc76f881fb594f4ba513205ae5</t>
  </si>
  <si>
    <t>d0af273cb947799a96daf1fb93b080b3a51e4c83ef6fe153d5a9da973c7e70de</t>
  </si>
  <si>
    <t>bb547c4c6909d568d25973dab36e66585d95695fbcdba78c10920983513bf4f9</t>
  </si>
  <si>
    <t>E</t>
  </si>
  <si>
    <t>3e79d99e946023beec4bd3f9823ef69ba443f13b18e2f98263145168a3fdcc4d</t>
  </si>
  <si>
    <t>f7f1877a3d93c43106f477a5f30c0bfa7efa66d37dd2795128876bc302e4ac21</t>
  </si>
  <si>
    <t>119e507104296f988b7c6772d4ffcebacb4d28133cc81d8953a3bcbe49a88f87</t>
  </si>
  <si>
    <t>017b0c56903c8aacc2b2772871e8b1fe6e66ed2a3d3905fbcbae05892b3d6949</t>
  </si>
  <si>
    <t>b69198bba8aece7548a34c367047b1dadffd71c2c37795a6c7747f37d65b1a0f</t>
  </si>
  <si>
    <t>443e8b9f3498b07fce3386e37681245a27e60b7d380c970670f23a5cae9e0802</t>
  </si>
  <si>
    <t>a9591de94ccd5bbc939d7e15e2764b9343b3b72b99cf11d68fe90177fe1910ca</t>
  </si>
  <si>
    <t>7fa0178cbedfd4967e6eafe00c22cbf3cf983269d2ffe1d7544ae5d28416bba5</t>
  </si>
  <si>
    <t>ilegible</t>
  </si>
  <si>
    <t>ea8c8dc4a82c09f1a79e11bd59243ea796a5eac9f404cb8b582d9c2c2b308db5</t>
  </si>
  <si>
    <t>817a898b096f8c2f0b888a6c185bf61c9108b937fd9defbb29ea5583da379d17</t>
  </si>
  <si>
    <t>36af340825e0bb18f7775fc30ac339eee0f59d4bdccc857d1a4c5fe6549faef7</t>
  </si>
  <si>
    <t>0ba3b0c5bef665f2feb25d579d10f68a49d4c6cad62bcfd90847408e6ec9f321</t>
  </si>
  <si>
    <t>daffa94ff5f2cd4c88bfda93c14fc8048aceb58b1b4911172d0531822f36d4fd</t>
  </si>
  <si>
    <t>9384120800b5d93b4a26e3d8b7ac409350c98b7f743f6415f0e846e6f1c8e731</t>
  </si>
  <si>
    <t>35c49ffd0b1a292e15cef748eec6a47d5119694810e6f5aacd30c8ff8faa9eeb</t>
  </si>
  <si>
    <t>e64b124d572c7689b8d825ceb8d7a58080b645ab181a34bab3894a45b9c524ea</t>
  </si>
  <si>
    <t>d5be2b21cc82a260c7576e75ecb286403263a386bdf0bd5ffdbb95f963abe35e</t>
  </si>
  <si>
    <t>fbede02d2368ace594dc7693addc1fe8c1258433b8dcf107d18ac0b7db8c0e35</t>
  </si>
  <si>
    <t>2662d7c67bce112ae2dbbe8f80d569c73a2fa663c8213d2bd19cc04bf3885b1b</t>
  </si>
  <si>
    <t>122cf3ca7aa0a0553acb01617b560af6fba89642908e637b8b467d7481278ed3</t>
  </si>
  <si>
    <t>eda227c910a83229e7af72b3cfb00066d6b97377370040567d016eda04d2b848</t>
  </si>
  <si>
    <t>0edcb83bbd26dc127de565c5a71c8516eb95fb21fde6f80a7eb11ac0c35c32c6</t>
  </si>
  <si>
    <t>48bc05cd377502972d2870d0db5bf072c44b3d03b6951e38acf1b427cc5866d6</t>
  </si>
  <si>
    <t>158537088158d90b35b61bf010a56734c6ce28e9e8f181af6fb2a9cc374b4df7</t>
  </si>
  <si>
    <t>b95b745c61f1d8076ad89f3eef5f4fda577926c48afc01afee099eb4aacfdc74</t>
  </si>
  <si>
    <t>195975c7b5bce22c39147be132ae5ffb6e9323fc23d482aa112dacf16f0bf70a</t>
  </si>
  <si>
    <t>3faa95248f93efb645052216181b6b48e19bc217f63f8fb1014776780637192d</t>
  </si>
  <si>
    <t>5c40b197ca7761a848058a78c74061610e7ab57bcabe88804cd06a2204e27286</t>
  </si>
  <si>
    <t>36812ca8d33e7f4b9aff1bd6374b85b087352c320479875c47ee549aca83f29e</t>
  </si>
  <si>
    <t>580bf46bcf85e1d139c5fff2794f1d3827d85f709699931013d64f5da21031ef</t>
  </si>
  <si>
    <t>15b77d1e03e6562d242c54ae226a46fc75ba37b7a764ff1aa9d885742bc334cf</t>
  </si>
  <si>
    <t>808ce119fb708f17c6f9732446a2a76c4d05aa777bdc4ff3d47f47cde5eb6537</t>
  </si>
  <si>
    <t>c00111e8edcba37e5e370e99afd6904a42a9ac6b59eb7966092be5075af3db39</t>
  </si>
  <si>
    <t>501e850c8a59aa3363d07bdb22d70c82e6961048a78d3c9f55c9b92821d8faea</t>
  </si>
  <si>
    <t>452474f7e8f36736caaceb6c15351f9ef1e11912add62a5cd153c52f2c6835d4</t>
  </si>
  <si>
    <t>3b92ddef4a4d853c2acb5dcc88febdd4baa46ecfa62a04407288ec37243a1ae3</t>
  </si>
  <si>
    <t>ASUNCION CUYOTEPEJI</t>
  </si>
  <si>
    <t>SIN ACTA POR PAQUETE NO ENTREGADO</t>
  </si>
  <si>
    <t>7070e01455de4ea0864c94844bf2077d7290a330587952fb11446226ca8ce2f9</t>
  </si>
  <si>
    <t>16712647d15d99349301b7bedc1209a12cbc2084b5c1199738ed84e6aa2003af</t>
  </si>
  <si>
    <t>ASUNCION IXTALTEPEC</t>
  </si>
  <si>
    <t>9bb20614a98a7ddc3345e766d112162013d3f6b4e4e384d6a3e60ebc9ba63dc1</t>
  </si>
  <si>
    <t>58791605c68d637acaf1d6f0e9427fa0f1e7aedbf0abe0deb954d3a64a87c47c</t>
  </si>
  <si>
    <t>5862ecbb48f3e12e01c96b057140dedddd538bf03b78fab3939e54640bbf1bf7</t>
  </si>
  <si>
    <t>eac99f10ba3b04058bef7f4eaa78271ce9cfd6e73c2eb1fb7739366122c69be3</t>
  </si>
  <si>
    <t>f0c77622959bca5b21ac65ce11f68069bce26d7f23a2695eefa090bc9b64e963</t>
  </si>
  <si>
    <t>f7bd28ccb45c6ce4bb13d7c98eacc287c4d218cf8ea9687d1258e916d18e6f08</t>
  </si>
  <si>
    <t>f25652b9295da7509c7301042f757725ed142186de14876d9fa9d27008161966</t>
  </si>
  <si>
    <t>624e2a6abbb4526445011462c078f76fa1a72d0c33545b409a9deedfcceb8b21</t>
  </si>
  <si>
    <t>d23893eaa77196d26c1e71ba4c926dfe343554e66cc09c780e645b4826b4628e</t>
  </si>
  <si>
    <t>7b597a163b4a4cf7bcf457af535104b5641bb40e01ac8b6aa56875a759df0e09</t>
  </si>
  <si>
    <t>76943d71f04a1b16687bfdd89215f1fda1c928149a6d11ba44715683a30df8be</t>
  </si>
  <si>
    <t>8cff86e8f9e01be743e20a8c6637efd724b92b772a0b56b7f4149a63ec1f8dbf</t>
  </si>
  <si>
    <t>5fc4ce84bb0117c825c094c9478b3b1a039a80fafc9878845daedd848acbafa5</t>
  </si>
  <si>
    <t>5edae24d155bda59f17f3fd3891b2202b10a5a999b84ab08298c5941ae30ab10</t>
  </si>
  <si>
    <t>d6a5e077f4fa4527e088ad07fa2b31f2b9f2968f28ff5b16cc1562c143e9b3fa</t>
  </si>
  <si>
    <t>44485848043d10fa4cce459138f2e30ffce953eb548800895750fb59fe7ca578</t>
  </si>
  <si>
    <t>dff74abad0a8e9d5530844accf134fccf54848ef20bc40259465d1a1d054f908</t>
  </si>
  <si>
    <t>d8c28b0fc83d7fef3e0ad9855cbeb5beeac681662b438fe82d6e61e6921db64c</t>
  </si>
  <si>
    <t>519144cb2e3ec397337763296c91df630d619297a9e6153fbf808825ac57a464</t>
  </si>
  <si>
    <t>21f53241208f9a3269fa169a1e866015eaa6c64ac8e2098567807a8fc07b22f9</t>
  </si>
  <si>
    <t>626fe4ab987faee1802cb5b25399bdc012d217984cd8ba015538c7f70d1defcd</t>
  </si>
  <si>
    <t>b9e4fdeefabd7aabc92618f4496f7b70ed34a60835066f714f0f515383fa4d20</t>
  </si>
  <si>
    <t>ec8eec5bd641322bcc83cd3051d212870a549ec80292cff1d4ebf98bb250694b</t>
  </si>
  <si>
    <t>3316123ae520b7ac6736df18fcc1a25c145156ece98efceafb37a69f03056a93</t>
  </si>
  <si>
    <t>7c068a2afcd4c9abc1781617806e655198ba48919023851c82a107be4bd4b053</t>
  </si>
  <si>
    <t>86b48d48112d219920c15c163f45baf55eb4170de498385902587ca6abafbb85</t>
  </si>
  <si>
    <t>ASUNCION NOCHIXTLAN</t>
  </si>
  <si>
    <t>d854dea39ee5fcc7dde4c3f2cc0a48b2cb5934d633fb10047728b65674bc7778</t>
  </si>
  <si>
    <t>1b09b940906c32081186e071972b40c9a84f2a0cfefd1623327924f74bf7d686</t>
  </si>
  <si>
    <t>bffdb557c1af4bef149dc44c6d9d8af69c916181a2f82ac142c4daa60c951eb5</t>
  </si>
  <si>
    <t>ccb1513344b0c5ac0b35b81777cfac7241d782be876547df46a8243fb17fd14e</t>
  </si>
  <si>
    <t>007002ceb10c8866ebd660b9355595a770fcd4eaee638bfa6f0916b4114188ed</t>
  </si>
  <si>
    <t>CASILLA</t>
  </si>
  <si>
    <t>MOVIL</t>
  </si>
  <si>
    <t>ac3bdcfa3b9efe0a1e5d4d59f7c45ecd046966f837376e5a6fd58147408a85e8</t>
  </si>
  <si>
    <t>7eb3ac7174288e00a3764f05a19726f4d8b6112956954347d0324a6908b082c3</t>
  </si>
  <si>
    <t>d6dfe94a4d9ef9f581f600b26839c9d67d12c45dbe431c5204902e32a4711969</t>
  </si>
  <si>
    <t>e759adf6f7c2f462df56438918a3593b66f12f0ac750bb10017e4a0f7e1065f3</t>
  </si>
  <si>
    <t>5f88c710b023aef778f992a6151d869f394e90420b46c1b94b652afa33951ae5</t>
  </si>
  <si>
    <t>68ad5e32fc8220bc2b074ed1a336e588e13640a83eb71e1ac387acb20319e3dc</t>
  </si>
  <si>
    <t>a5b5e0da3fa13da6aa2a467f44983d0487526042159f25a4f584169234d313b7</t>
  </si>
  <si>
    <t>c2644916411a64e86272e90e137b662f00afa5ef243d0e542c949a003cb7254f</t>
  </si>
  <si>
    <t>f96088ddbd9e52bac5782fb66ec6c4d42291274c193a718b5cd583117814d264</t>
  </si>
  <si>
    <t>429d3bb2654b607ddd6202cea369d6bb7bf5a61541e00a85e827b7bb1092efbb</t>
  </si>
  <si>
    <t>e0a3e3da1de42240f028f60570a6ff03c8867392ca2b289f534e40ac934c83b5</t>
  </si>
  <si>
    <t>bfc180c6c9e2b472cb8c0085a40fbdd73d3de62f8e9f331f0ce8265e44aaf789</t>
  </si>
  <si>
    <t>9d0af61439041c0f1f17949908785396a3e592c1bda037338374b138853c05b0</t>
  </si>
  <si>
    <t>1274657f0cd823c48251bad0dbd3c2b6ac3bc4d27f323509741bfed5c2f0a9f6</t>
  </si>
  <si>
    <t>5df62ad838e0fcda2839de58bf6d12fe18d7b799909fd8e12b0e6b4521c48468</t>
  </si>
  <si>
    <t>69067e1386f9ad388d2c778e42afe21eb5008bd39fa89984fc83c8a5a62e5ff5</t>
  </si>
  <si>
    <t>0918eabedb5d6d4eae70eb1cacc6259f0fdb7fba0a6c6704d54097ac3ab24cc7</t>
  </si>
  <si>
    <t>5bddbd07dfa2f84a9eb17213cb472a734ebd85ccd79c79a040f130b7302ee6a9</t>
  </si>
  <si>
    <t>82a3c41b5085ffd7015ae52f0a1766142b8b1f9a2c2b33716df6e7a73fa3f05b</t>
  </si>
  <si>
    <t>e228516430d16582f34cdba872ebfae5ae04f857962d905ac9dcbf4d3d501b90</t>
  </si>
  <si>
    <t>cfeea5122d33dce4e8809d803e702be776fd84ae181a69fe8b293c75dffe96f2</t>
  </si>
  <si>
    <t>e40824a57c11178f17ce137879d26e48cab1fbfe8220d87c68ea9d8f6af96994</t>
  </si>
  <si>
    <t>ASUNCION OCOTLAN</t>
  </si>
  <si>
    <t>821fbf247b88423d4e502e3339b57509b9d21cd7ac62957abcb1f01436b9ba3d</t>
  </si>
  <si>
    <t>327233a7b9479101da0b710b90e32196faa6f925416d11b3f0f9cbcb56bc0408</t>
  </si>
  <si>
    <t>2c7248fe3735237ccd3afe6c88061c04958794033f5178a10383b8b5e40008ac</t>
  </si>
  <si>
    <t>1b4bd5d02a1e1006385abc410aa794f8ed7fe6b51f75429eb91661f4d62dac26</t>
  </si>
  <si>
    <t>938ad0f4e9d6c6cc6c024b9f737115cd3c4e9e5cd69eecc1b7379308a9688c84</t>
  </si>
  <si>
    <t>AYOTZINTEPEC</t>
  </si>
  <si>
    <t>6ecb6283ac0675f92fc0396839172a762c6f4ac28ee36e86d53671995c1169ac</t>
  </si>
  <si>
    <t>2f4e73530cd57eca7d33b9f3665d4064f9e2e5f62b317529d676ffeff12089d2</t>
  </si>
  <si>
    <t>4918336b2da8ed326574ba50312f42f51afd6246600c21f72e686e8c952b435b</t>
  </si>
  <si>
    <t>bdb69d3055b95f4dd2e769a34683006f7bd80cf68de0a69fd78a59204e9d645b</t>
  </si>
  <si>
    <t>61f24b4ac038a3c2c15e78e3b5dad187e2be6a4c73a10636f15662b52ae7818b</t>
  </si>
  <si>
    <t>4d74d006a4cd94251a57994001664bf18eee4bbe5cd5b48a2a6c2d36fc8ee26b</t>
  </si>
  <si>
    <t>f554d1b2be88c855939c3a118e00fb89c64d898270151efc15c8b5dd2abe427b</t>
  </si>
  <si>
    <t>2428cd778384706377996116964c132cebda1c768342773e715de04af44f9b8d</t>
  </si>
  <si>
    <t>EL BARRIO DE LA SOLEDAD</t>
  </si>
  <si>
    <t>e1ca14c391ae236e92b814f3482e5b63434ea105a385a3a5c92539a889050849</t>
  </si>
  <si>
    <t>034e672c26b9e511cc52b38d93c1eb9f9e580fdc0f655e6caad983649cfa3439</t>
  </si>
  <si>
    <t>5e368f13fe995a88a91da624bb6f627bcf677574d59201ca360a4d6d6bc1b353</t>
  </si>
  <si>
    <t>043f5388b975ea5d65f6a511b1d39d4d7a89508e3b221556042366bf19bd051a</t>
  </si>
  <si>
    <t>e9ff9fba18f77c03c9d05d44962153b678e831003905dee9574f4b89c84ea028</t>
  </si>
  <si>
    <t>dae69b2573c794e6c08e2320c1b032a7340f77ee6281c36c831fd120fd93f884</t>
  </si>
  <si>
    <t>ad28b5ecc37b311ada2cf871c38ca07b8acc8c10a4776476ffcd338a28eed32e</t>
  </si>
  <si>
    <t>5f7882f2c2a6373b99bbeb5597d263cd69e7e07d9016206e31b1712906402cb3</t>
  </si>
  <si>
    <t>1626c3f6ff315460ecbc9f6255c6155e2ca12880c53fef3c2c38376ba276367a</t>
  </si>
  <si>
    <t>a8cc59768c763ca5cf7e0188881c5ff88f25814391f20502ae2aa294e01fd881</t>
  </si>
  <si>
    <t>39d50553050c7fb065a18365d578605d33412c19224af24137114e4fcc5f7d5e</t>
  </si>
  <si>
    <t>e31e48c3f520cbd8766e3cb1ab182709c2e6a87cea433cd332947a4fa6779b44</t>
  </si>
  <si>
    <t>df990f4408b3f12adbccdcf80b7a3235b3f0e50eb341f1c412470935f54e2aaa</t>
  </si>
  <si>
    <t>a2c628a97a58a9fa0c9709afcdc77794d0a4b032adb82ecb2b76f34931c19d4b</t>
  </si>
  <si>
    <t>b8fb9f8322d147ce36ee5007fb007a88f99f9553560a28ea32e9d1ed8a612f77</t>
  </si>
  <si>
    <t>66845eb31dfa5ffe30899398ac76a8c489c33ace8a49582d5c11cc3b0dc29333</t>
  </si>
  <si>
    <t>8b11f55ee7e25f2631ec5f54fe1b6045dd782f29bba1ab7566bee0a0ee351cdd</t>
  </si>
  <si>
    <t>2b040175de43a95b16f109bdc7a04d719dc2815180b54be7cc0d2c43f27d552b</t>
  </si>
  <si>
    <t>57dd32a162b7ccc8c1888f3dc25de208acf3151a175b19d272c34011c9e3fab2</t>
  </si>
  <si>
    <t>b4fe365dc75cbb66fc3c127ab124a487dbaa152f145fbd977dd47cdd0c1c6aa2</t>
  </si>
  <si>
    <t>363b547734c7b9ee5708249b63267f3d055cc21ac428ef26beede2380a869ae3</t>
  </si>
  <si>
    <t>442a6420367d975e97c853e9a4632ce5a1a63f12870fda027b563d51ba7eeb54</t>
  </si>
  <si>
    <t>CHAHUITES</t>
  </si>
  <si>
    <t>7013c45746f6f6981cd593df6c8f9a75297abd081673515f23205506610b18c7</t>
  </si>
  <si>
    <t>50ceb4abbc1a4cfbbf6d3e0ecfc345a48adbe2184de1912e79878f7365fa8cd5</t>
  </si>
  <si>
    <t>c726117ad5d11a3ba4a1620869ae23916b806de2f47d7eac16ae4b9b7b875490</t>
  </si>
  <si>
    <t>7f486e6e1d9cdf5471158f675bf8834fde349c4c091de9e9512f373f83ae473f</t>
  </si>
  <si>
    <t>a234d75d2f4b9b3c0d789fc34125d61c1fb79a9644f25222c06d0a6a49c418f3</t>
  </si>
  <si>
    <t>c0c7b7b94501f078afd7d57f1afbd1dde980a845e2c8ddb1bc770ad8c081e346</t>
  </si>
  <si>
    <t>1f19a916ea92ab24c1086f4c54059fd347c25868501f2f024387f533ad535936</t>
  </si>
  <si>
    <t>91116c1f74647690f98ec2f3de8ef235936a5b976fc3f00818706ad84f412974</t>
  </si>
  <si>
    <t>da192257bd60b0db1f442eb92a3735c81dbb8ed3433bb87c2b5392f28c2eb9b1</t>
  </si>
  <si>
    <t>f892bc1893eaaf3edbcb74294972eafeef1000bd8b462bdc270916c24f6dc8f1</t>
  </si>
  <si>
    <t>86764bfa733248d4dcaa26660f495e0478bdead0f3f107f6ad01401507217e7d</t>
  </si>
  <si>
    <t>1d1918f87b05d22a7a971b5b257cbe2a3ab570a60c4ff7028c05a5affae46918</t>
  </si>
  <si>
    <t>d5cf710f61ceaf72f2b4a68b58d55382ce73375ec2dde37a943bdddfec1bfdcc</t>
  </si>
  <si>
    <t>61cfc6fc58c66da065bb36168678f9ce0a4df823daa56bab1f3868e463f49d77</t>
  </si>
  <si>
    <t>652269db5ddfc94fb4cf50a8259cc325f1e93a5d264b947ffed509b091e1d038</t>
  </si>
  <si>
    <t>CHALCATONGO DE HIDALGO</t>
  </si>
  <si>
    <t>33e6b699cb6a7b37c6520d8d86f29cc811dc34c826273e25cc9f1a537f348925</t>
  </si>
  <si>
    <t>b8e51ab56df31cfadaefd9a1ba33290e7f8822e8f022c5808c3540e6ac6bdc61</t>
  </si>
  <si>
    <t>80aea68f9d84e6b25f5128982cb7cbfbd8361cdc8db9e533af0c009488f7dbce</t>
  </si>
  <si>
    <t>1c6b3fe21d47ff8e2039287e48a02a75a1759dd354c3e4a7ec62f00d82eae3a7</t>
  </si>
  <si>
    <t>1b2d8b384736d412fcdac051606b8ae34badcf0d320b6a9157bb653e2fa62c80</t>
  </si>
  <si>
    <t>9f23cffe547c3a754b20699f9936c27931cb8aa5876e44d83ca6580a48041638</t>
  </si>
  <si>
    <t>60c85947c8c3c1cfd9c332946e2502dcc5a989254c38885eee3acca14b928b10</t>
  </si>
  <si>
    <t>67c2ddb36f6815ff860a6d951d20ca7e789fcfedb7c05f10d5c73024988cb9a4</t>
  </si>
  <si>
    <t>9a912c4a8a0ed8f7fb14fdededd1152fcb6daef22c4864a60ccf30cd75c28243</t>
  </si>
  <si>
    <t>d976bf5e05279d34d2c74a4d1b6432e2eb765c300af7c1d457ff34a2298a1ab7</t>
  </si>
  <si>
    <t>dde6d181d70f3dc4bcc752592fe60f9f04f5340be0ef5b2a6653d8a5fcaf37dd</t>
  </si>
  <si>
    <t>d0b11a8e65119652cf1ed810aaf90d406442f26919cf7954867b57c635ce4863</t>
  </si>
  <si>
    <t>637d0aad6d4f57989a84b79045119e980b72d98e1fcae45e4a91f1c7de52e97c</t>
  </si>
  <si>
    <t>e6a38339a9965730824ee5530e2b875abd099d58ae0576c70a1bd991df22921c</t>
  </si>
  <si>
    <t>CIENEGA DE ZIMATLAN</t>
  </si>
  <si>
    <t>3aa3096f9bc978fc8e39962ecb4af518747cd10a303e02da7703e1fd46322082</t>
  </si>
  <si>
    <t>938167531a8647b8bae903b761d519564a4f71b8dfc20879dea883416ec45dab</t>
  </si>
  <si>
    <t>1055781ea86a7eeb398f15d3b8eafaf7195defdb6d223e4fa32664b9c6394f97</t>
  </si>
  <si>
    <t>c95d9ac68341e16f22c60a056fabd401ca08b6e0eee350bbe3c41049ebd9ece3</t>
  </si>
  <si>
    <t>COSOLAPA</t>
  </si>
  <si>
    <t>1bfe9c195e0850158613d124d2d82bf45b5fc4a78dcef0b1e0d9c9b869019920</t>
  </si>
  <si>
    <t>3641439f6850b5ac12f28b2d9ffa7439675fd72b6d46cb98c07231487ff63490</t>
  </si>
  <si>
    <t>58d35e7e8719a38f208e10dd5e644dd8af7774372c243ffdd84b42543564aeda</t>
  </si>
  <si>
    <t>d53eb0de0c48cb834bd5c749fc6a6bb5c5de6451215e2ff4b322ccddac606074</t>
  </si>
  <si>
    <t>e0b82c0b227e5e91aad1cde30ff51bfaf6c1a23cbfc0eeaddbcd261665674853</t>
  </si>
  <si>
    <t>43cb50957a40c6ca9d8a52a8aeaf4001d1b2c67ba873eac3a70f6ddf4327fc81</t>
  </si>
  <si>
    <t>2e3624da83002b687d67cc6fb052d32549b5be413ccecd19279f372bbece2dc0</t>
  </si>
  <si>
    <t>4c4c6cd9de1ef73abc32566143195902e7d3dca395b1ba727d8fdc0d02a482d6</t>
  </si>
  <si>
    <t>c2b8c1d85277372da23b3795c7a907e04e2a64c063f6c128c575ff0d814968b8</t>
  </si>
  <si>
    <t>547df1f7bfa20575950896ba1492dff607bde0ba8834dfd3d02d77b778cf16a6</t>
  </si>
  <si>
    <t>f3c313580c25a73eb8eaae2ece594be830592aaeaf9a22f777eef5e5369113dc</t>
  </si>
  <si>
    <t>986703ecd6f4aa62c1b1198e0d6b863143c3033bdfab16d13400391afa3e98bf</t>
  </si>
  <si>
    <t>bdabc88ff43d36fc6b684f9a8b94d0b74b39dfe48e7d8d527de899aa3ce9def0</t>
  </si>
  <si>
    <t>6bb8181c1d5ed42b4f93189db1b797e1bd4db7680662fc38c4f0377742900006</t>
  </si>
  <si>
    <t>60249042b987652d8b7d7a8d3b53efd7b5d52fbaeace0dd2b35338d5ee56df38</t>
  </si>
  <si>
    <t>9adc17a48c135fb8caea32b38cdd96f82aca382b5e125a085dc6c93574ade5ab</t>
  </si>
  <si>
    <t>d6f255c924f992203d7bd1d4e5cfe2086d97f94795f1c7a9525fc31691a1670b</t>
  </si>
  <si>
    <t>CUILAPAM DE GUERRERO</t>
  </si>
  <si>
    <t>d9773f751eedd6333c7ae9a573d1b98bb398e0df13e4954a79019e8b9deca08b</t>
  </si>
  <si>
    <t>a4643d1e21965168e39644c48f321a07061144253d19f1d758494392c92f29d8</t>
  </si>
  <si>
    <t>15a77da47c3d1a28108563d2bb7ee03a580261c6d6dc207e00a25ef6812efcd0</t>
  </si>
  <si>
    <t>df18a3946e457fc1848ff4216d8eea762684574e969371279be91750170325a1</t>
  </si>
  <si>
    <t>0a1dfa9b9a9543207c3a2aa99e2cac5afe4b8971c45ee7d093edc3d47e2387f2</t>
  </si>
  <si>
    <t>94f07fe715539fde7aa70e389593a57735aca505c852dd475fb28d8d2445cff4</t>
  </si>
  <si>
    <t>c98da40387312ef1830223f5069d47dca54b078cb595030827364b7d2a89ecad</t>
  </si>
  <si>
    <t>deb835a0e759732882a05effbab8ddd94f1817cd2f49dd5e57147fe47244edcc</t>
  </si>
  <si>
    <t>89e23af35c498ec371e8d0eab7d09d873fc210316f14af735e3f31807edb73c5</t>
  </si>
  <si>
    <t>3ba4a206e8edb670f59784c21d84fdb2832c03e5399b43a67179cf3ffac68851</t>
  </si>
  <si>
    <t>c85d5b0608934980467ae52d1cbdd895c3d56b4046c87a061c330fd4991858f7</t>
  </si>
  <si>
    <t>f125334e08530b240aada93c8f8b0966a01d2f87215372f7aee05b5af70df8b5</t>
  </si>
  <si>
    <t>1ba7231816347e47db8f8851fe48fea1d10f43c4fecbfd32abd31f8643fa5fc7</t>
  </si>
  <si>
    <t>bad4e7c1c4990753fbd174a50d84dae110461fe12ca8368af8b3a2d094ac19c1</t>
  </si>
  <si>
    <t>4a653a2e71f7d78c323280366c9eb497a325b6df6190323326c6c3753513976f</t>
  </si>
  <si>
    <t>6116f0c812dc0a1470804ef9ce26dddc2c7d0bfd96474af2589e2dd719f68eb9</t>
  </si>
  <si>
    <t>cb6c6fddb7fa86618661810858637f1b335c9bc20036043518575ccae18b6e7d</t>
  </si>
  <si>
    <t>e1d51650237ff237af0bf584eb1cf4cec2044156d49db7883e08575453ad91c4</t>
  </si>
  <si>
    <t>a20335afe5dab27ba8fd0393863174c9ab2ee58c56e56ced6ed213b0964c1e11</t>
  </si>
  <si>
    <t>cbe3108bc372bf3136f71bf3c711abfd503e86d4fe993dfbe04fcd58f23708a3</t>
  </si>
  <si>
    <t>0e4d0bff69f4d84564ed562f08d3941bc583e68552636086d7dc82caaf5e4615</t>
  </si>
  <si>
    <t>be4a5e040754f017657c18ecd8c4734950bd0c853a0618367abe7234cd58648c</t>
  </si>
  <si>
    <t>4f4c314ff79af6ba9e5fa952cd052945706cc86ecc728b4cc61c7634bcff6a89</t>
  </si>
  <si>
    <t>f3aa4a779a0461c1ff0d8f23881f62c1c12c8e80108514ea1387e61d3b72121c</t>
  </si>
  <si>
    <t>aee15ed2f1270ce77d40c61efe994d6633fc3e826f0eea36c4319fe971f67951</t>
  </si>
  <si>
    <t>3f8148002c7e1659c84f7847c932b34c40c1ac7aa0f83ccc6bb01ca677328f76</t>
  </si>
  <si>
    <t>25837da7ea2f106d91191f186070003c7ed9263ba63645a82396f0792900bdf8</t>
  </si>
  <si>
    <t>45dd4c128915c1fef5b28bf3fa69a5071b91a68ca5f186b4bb9e08ff104f403d</t>
  </si>
  <si>
    <t>7f800d56ceaf30f23d7921103224d665ddd80c509b4a8b87c22e3e7504b9a569</t>
  </si>
  <si>
    <t>HEROICA CIUDAD DE EJUTLA DE CRESPO</t>
  </si>
  <si>
    <t>b2e9fabbcab3d4bc3775205c80885b2bece7e2bf3c466d93d43fcae9c4c7eb95</t>
  </si>
  <si>
    <t>17fcac1182132f46878a7db1de44d981201179342bf163fab4ea66fb6c57c2dc</t>
  </si>
  <si>
    <t>EXCEDE LISTA NOMINAL</t>
  </si>
  <si>
    <t>09b8a120832eebf25bea9c4e07eac69d4d10ada1344568d5c425984d10737ed7</t>
  </si>
  <si>
    <t>f9b1a17d919f3494085b84b4d09942b014e54b355d737c37af2b6010b0d1062d</t>
  </si>
  <si>
    <t>a86fbfee792e99032dd0b10b03a9bfd90dd0f24b4123e7844816cbde2d386a90</t>
  </si>
  <si>
    <t>944f54521e73c0db684cd12d3225c46cd4d8f9df9dbbdfd4e8b62adf03b4c02c</t>
  </si>
  <si>
    <t>fe7c3cd82dc42042708d058db6f3ee6a6270d81c1403b6fe215e5ae3ac655338</t>
  </si>
  <si>
    <t>c039bfc1a5144222f63702e9ec40395cf0e4a53f2d3bfa297d7d2626c2b56e4c</t>
  </si>
  <si>
    <t>a7bd081d836d5b0cdbe6c101aa68ed0530e379c5eeac69edc463bdc96923eff2</t>
  </si>
  <si>
    <t>4957fc72c73edf1497616d6f0e439a63342b856e5b991c367b02c6a31735013f</t>
  </si>
  <si>
    <t>8222bfdb63c3f622635b4fa40896ef2c85e7ad612af2419c76bb81a99f992e50</t>
  </si>
  <si>
    <t>49bb3afa446c0d62d489ea87f8d7d0a20e847c38019c26969848d6ce37599d41</t>
  </si>
  <si>
    <t>225f9dd6af5109d694afbbf3832d842a0ec84ad78ef67bcfc6154ef666a578e3</t>
  </si>
  <si>
    <t>c8066c303aa1fb6a98a8069f1271d645eecbacbabc6fd115dbaedff07aa757c4</t>
  </si>
  <si>
    <t>12cb7addebb7a98073f25a34ef9e1e6d736202a3d2605bc066b16ebe166c5062</t>
  </si>
  <si>
    <t>579c88963a9badd20f4f06feb819045c6fc7ceb3e7cb219ce2bbe9d5a7dc67a6</t>
  </si>
  <si>
    <t>c8c5436f392a0844bcd02b7fb0cd27e8ffac0ecc4c881baf6c979de5622c1650</t>
  </si>
  <si>
    <t>68b31031b3a32d3a7d20a82b9c6709bcd6197f60fa900822e51a8843a75d3c6b</t>
  </si>
  <si>
    <t>0b90530e5a554b34155ee3bd52a9cd1a7acd89f8f16910b3f035a8ecdc815b22</t>
  </si>
  <si>
    <t>bcb623904dded2f0d66ef65b6e6fbdbe34e0d7c379588634c727e56095dbc481</t>
  </si>
  <si>
    <t>b2881c2780025584378d218ae5845628ce0676f33fd420b2be90bb51618f634e</t>
  </si>
  <si>
    <t>28f9e31346ec8c318bd92a79248890f0f931b8a680d744bc9eeb95b7540b36cd</t>
  </si>
  <si>
    <t>4da3f29f58223b47b9b18d39315dc1c76ae4fa10aa3ff373ca0fcef93ea67b3e</t>
  </si>
  <si>
    <t>54c990ad676a3a89f213ed3639e55e8efb0c9020a38bccd3981494f681dafb7f</t>
  </si>
  <si>
    <t>26ba24a89697d640e0137fee9b0e89014d9e7a5f305fbcb1ef54e091fd075c1e</t>
  </si>
  <si>
    <t>2f1ded7c0dbf4ec9e0b96d12936d2842b629d726aeab2f9c5d6638b2fc0a0868</t>
  </si>
  <si>
    <t>b8711a15c2e869d32e12e06f6ca0d42c6c7c7aca653532d6141515e266ef392b</t>
  </si>
  <si>
    <t>1bde90a925be8b207e43efa230d87c98c45c5ddcab4ba3a4235125e51245ba5b</t>
  </si>
  <si>
    <t>8b40793342e60c9c21f968075624f53d7080859f1a4c198c11d1170fab92f089</t>
  </si>
  <si>
    <t>4340884711c8fc196786f98be03534d894ab714c9f6fb921de44e865365b364c</t>
  </si>
  <si>
    <t>c4997f8bdad2d211e1f7bf4086d05eedd069a26b61799a15b428c0eae7eee5cd</t>
  </si>
  <si>
    <t>7902b62dc688384db61770bef3e450d916fb8f413e630e53ef3e2bad743734e2</t>
  </si>
  <si>
    <t>EL ESPINAL</t>
  </si>
  <si>
    <t>3ab7490479461e893b9ab3ee3dc9e09301daaefa84081d28f3d0d5b7df2c7da0</t>
  </si>
  <si>
    <t>ac9b8badec915aacf401fcb93d45bd223c0cd9a2bc2591ea6e1bc0b04de15e7f</t>
  </si>
  <si>
    <t>26b1a0f7d812ec68d0d3736fc2a758bf81ae5c354cd78559185efb52eb6eccbe</t>
  </si>
  <si>
    <t>SIN ACTA POR PAQUETE ENTREGADO SIN SOBRE</t>
  </si>
  <si>
    <t>d200456aae57782b8cb844c582c59c95a4a412486f04215a395ea07d5fbc19ad</t>
  </si>
  <si>
    <t>a12cc5c43d955cdd5a7d724289d55a48fe3451a1bebff3623418c6088cc3aa8e</t>
  </si>
  <si>
    <t>87624ae150890213054ddf25f5bb7582049bbcac5df6086a22c275f4c84ada81</t>
  </si>
  <si>
    <t>0bcd1ecfc777d690ac1522f9674fc2c52b59cb77ae7c61654425e68057d7e253</t>
  </si>
  <si>
    <t>17d4e02fa82bd520d66d2f546da17b94babd25a3b7db9887a76c6fa10e212b7c</t>
  </si>
  <si>
    <t>34391ce08c200c3f356b51f76171b36e225dfd45e9c6df060c30f853347dcf8d</t>
  </si>
  <si>
    <t>1c807b188026a91d995cbdc06351d85b812cdc317571f4d6b9f26d58be18dcec</t>
  </si>
  <si>
    <t>61961b6087101a6bf5e96470e5cdf32361b1084efae1ee51138cc3699fe1d6f1</t>
  </si>
  <si>
    <t>c8ca0ec747cc762b2617d210c740e2dd6958167542d4db216e4b52cb2a69739c</t>
  </si>
  <si>
    <t>2b17e665f575566cf097e8728d053033c5292492a83960551e93806991502125</t>
  </si>
  <si>
    <t>595fcdcf6d1f344d272b1a729532b7322664915395b91861b0f2ecd107116c46</t>
  </si>
  <si>
    <t>FRESNILLO DE TRUJANO</t>
  </si>
  <si>
    <t>d8db4eff43b955e33d17c642705b9e63189c10a7ce442832ea5490fce194f20c</t>
  </si>
  <si>
    <t>0a1aca4c9dc182d9c0ba16392f04e78558e4192ac6b8e22576166f1457d567c2</t>
  </si>
  <si>
    <t>GUADALUPE DE RAMIREZ</t>
  </si>
  <si>
    <t>85d087949054d991b1ae3ca9b6ce0ebcd02cfdbdf03985e89dece24f90823a2a</t>
  </si>
  <si>
    <t>3a16024c1e7f83edc72109551e9ec0153d5f529ffb085abbe8dab19bf1ef5a5c</t>
  </si>
  <si>
    <t>c7fb7215839fc55cf5a789a1cbe0c4e9c4018b106d74b6358acdc17e923925b5</t>
  </si>
  <si>
    <t>HEROICA CIUDAD DE HUAJUAPAN DE LEON</t>
  </si>
  <si>
    <t>ac3f2ecc04ee3c2ac5f35a060cebfec440dd2f320511b4ea78651e83edaf1dc3</t>
  </si>
  <si>
    <t>5c3590f2497e4f056edaf18bd86ba33d703cefa09afb913846fc63423d3cb76e</t>
  </si>
  <si>
    <t>f65ede6c2f3dd2b20c4baa02e59b27a2769c2a873c8b65ef370c5837ba5e57a2</t>
  </si>
  <si>
    <t>7808aa3ba7e186bc73a271b95944454405ba38219cad150ec371af6509d964ae</t>
  </si>
  <si>
    <t>125179811665b96ef99677af6080411c7d695dcd3b291f151b15e9283309b000</t>
  </si>
  <si>
    <t>8ede326ce971b40b81af0b1c0fe42e09b4d8430e344e0d4545fa67daa5e96d37</t>
  </si>
  <si>
    <t>5a586a51cbe3ef39a03260ef6d8400946836b17c834c68cd9cab896b6d406d7e</t>
  </si>
  <si>
    <t>74706141e7801559f7394dada3e3b45df73b1e4d457e6b2126e8efeba14e2b0e</t>
  </si>
  <si>
    <t>dc477da1481ec5ae88af9ed86596b02065a992b18e6ec1c8264892812cbf5842</t>
  </si>
  <si>
    <t>abe6fc9e30bac02d29d2b255cef70cac9700ef8b1bc81b7e601b29276ab62043</t>
  </si>
  <si>
    <t>6c4653e24267bb51bfd9ba16241925dd9e291e8eabadb2c40548dde53dad9c50</t>
  </si>
  <si>
    <t>0e7852c609eb4f71dd06b139eb8c04b51a4ec24d8c667d6913bcd949af5f13f9</t>
  </si>
  <si>
    <t>0b673c3c35d374f86796b6e67839cae0c517e891072d3a8d3ef6224b2fed0830</t>
  </si>
  <si>
    <t>a6755c1339fd022664dae55a6dd73fd99a57df7fbfafdbc4a42839f8a90ed5e7</t>
  </si>
  <si>
    <t>548a9dcb1a1bc1a61d51ff3cdc731e58d3ffb5ec40eaa558791c67c0591faf7b</t>
  </si>
  <si>
    <t>b575079302c4993f0a7eb9abc1a0cb018ee7be27b985c5b5c830e8e6eb5a0885</t>
  </si>
  <si>
    <t>856e818eaecb4a014fce969df885b78954fe42e291055a2d9bb31134cb484e69</t>
  </si>
  <si>
    <t>5a6436cb5c74ffaa65c277fbef77b996e7c3f168719b59d769bb5bacf7924501</t>
  </si>
  <si>
    <t>388f776f43f3064f714c0b4d52c5ba3d247cc3609f61c4d73f2872c660fa3e6c</t>
  </si>
  <si>
    <t>76c2ddb61f1a0dc5651c4927dc451fc722c7df8c3b54d51cc0aa70559cf93eea</t>
  </si>
  <si>
    <t>06830daeb58b72c967a61c2b59bf6dec0df1de7af1ac089e7c752b9da15597a7</t>
  </si>
  <si>
    <t>32a5f169e18bb749f0e28520d94b3d54c15c8bc7dc186c971177f11cc51b44d0</t>
  </si>
  <si>
    <t>7c4b7f475d7b90d85f379579192bd6b71465ec14e968bc59dd904bc5a843052a</t>
  </si>
  <si>
    <t>742da2d61669b6e89d1955c72b673ec1e24af81e27b480ab7fcb4ba811882197</t>
  </si>
  <si>
    <t>9257fd134fed222b1fffbf0ddea193a2731795695bba736f6b1d630517f00172</t>
  </si>
  <si>
    <t>5597a58ff1fe6a017cccad8c1b5b97c180d094eef4474734dda02d97628fdc4d</t>
  </si>
  <si>
    <t>8ef7063330d548039e14ec26d8d813bfe94a27938a0d5f431ac2abfa746df262</t>
  </si>
  <si>
    <t>f578ff7f56dd9c0912f38880c3b984c00832b5eaeea8fc867fb397e3d7542efd</t>
  </si>
  <si>
    <t>4b86aeabf60366f457c69f64d4b7a8d5664350c9734b7b11d36e156cddfabffd</t>
  </si>
  <si>
    <t>9aa6528d63ea05e94173a8fe4fca3a0b2e3514725566e4ec80d07687b14491cd</t>
  </si>
  <si>
    <t>b0f1600f2321ae3805c87db200331e29ef73653671263ddd8a18742537682ee8</t>
  </si>
  <si>
    <t>9350b22c723dd0cfbc479c72168d4aa2fdd3539e425c828e9737956b0af6f6b7</t>
  </si>
  <si>
    <t>686bc866eb00d5b6c00009290cec811d1e5a27d939f59316db2c82c6ffbc1ac8</t>
  </si>
  <si>
    <t>364f7ec687257b10b33aef65ba95c065fef19d53587669456e07c23083b64f12</t>
  </si>
  <si>
    <t>85667d3cd135901ee1cec44c58dfabd60b5ad3f3c54e23ff96898c08c7e72a46</t>
  </si>
  <si>
    <t>9078a3a7a01881f27598cfb05b2113b000d884000174d3ccad6b49d05887e80f</t>
  </si>
  <si>
    <t>b5e0891e0dc822608d5df9d07ce5cebcdf61cd0b9e6ac6410dea8be7cd1d9d6d</t>
  </si>
  <si>
    <t>c0eb59f1210020bd56937cabfc6beadf2f3060db066d7f391e5270e432e2c6bd</t>
  </si>
  <si>
    <t>a5c95dc136b1d7e096d8abeeb673068d5b8d0f71efe80965a2b495c6920650f3</t>
  </si>
  <si>
    <t>6c22a317ef942b20e2974d564d1225d5bd1747200f704084daa0de5fefe43a93</t>
  </si>
  <si>
    <t>ac1e26e22ceec62e8aba7592e97f33532352f6c9008faaf47ff6d186857ce172</t>
  </si>
  <si>
    <t>38e5215dfc635ce04df45e4e5941d082468c37e2f0c73d577048fa67a0c251bd</t>
  </si>
  <si>
    <t>0bcf5e9490cdace68def55efebf9f966200b86041ff7d6626238f9090340304b</t>
  </si>
  <si>
    <t>d0b847f910b5838665efec84c85a7ed48cfd7ed694f2693a3c7c65c296d732cd</t>
  </si>
  <si>
    <t>87f8db6bea7b92f4d92edcf5820bef6a69156a280a4ed2a2350846f60384efcf</t>
  </si>
  <si>
    <t>5f7990edb315e3d1d77a36d9b7868e63d051ad5668a647efa11f6df4ce4cf559</t>
  </si>
  <si>
    <t>cfc886fddd0e3f7974d2d4b7a7b68b1a9a17f95d597c8cc13534a11fd298c6a7</t>
  </si>
  <si>
    <t>2c7d94eef7828297db830d467b27a290d3f08da4bf0b9351147a3b2f068d9d55</t>
  </si>
  <si>
    <t>37c1c208622842023172898916e4f9890f5cedca3fbaecc00a28a5f7d2e7bdb3</t>
  </si>
  <si>
    <t>fe8e7618d730937fdf56dbdcf1c93d4f59275e8ef1c7b3f27d5ed8eebb4daadd</t>
  </si>
  <si>
    <t>bd6612da07ea6e3d6c12a47fd5b8a36fa7f22c3aeb74f96bf5884e5c4a7eed51</t>
  </si>
  <si>
    <t>7d9873728bd319dee547b67d3a82beaf39a4892dbb5775726a16591da21caee4</t>
  </si>
  <si>
    <t>4ac0fdc120c45f21bc94fa6e24e09784ce90a40275d33c2a4605164284f75d86</t>
  </si>
  <si>
    <t>ba6d0a48e06d8ea1d6064934e0288415e65e9fc4c397cb3818faebb37e7a3896</t>
  </si>
  <si>
    <t>57fed3536bf979e236552bed3766686c22ac33799bec73efa63457535eec437e</t>
  </si>
  <si>
    <t>851c9448a6ed0bd4e6b4c50945b46f9c9e0ac791a9f3cb6e973c4d93bd503a0a</t>
  </si>
  <si>
    <t>1efb52d0113f959dcb070edbddd4c8bc0353d1eb30bd763690cdc7d9cf3c89dd</t>
  </si>
  <si>
    <t>08dfca2691685bbeebe13f85a9257cf0e116d8a42c9215c371770f7227826859</t>
  </si>
  <si>
    <t>7687828d1550413bea629bc331c6f2572fa6878d77bb169fa1931b0b403c7a83</t>
  </si>
  <si>
    <t>31e24960f2ac20957f3022c65b44872e4e201e3405091937497f6f409bbab045</t>
  </si>
  <si>
    <t>f1ec8a6caab7d49469d8464d5b10705be3ad743440d6a0c977f5bd58afefe070</t>
  </si>
  <si>
    <t>091ab86e268de0ddd28db9815864bc0681b3482c5e5cdf46039008e7a98ce6c7</t>
  </si>
  <si>
    <t>c6a7cf333fc097ace155825c12cc8767e9c3ffbbf261992f2664ecb51f1981e8</t>
  </si>
  <si>
    <t>09ea8058627a444629b537d48814203438ace6afe85d3b5a899bdaafdb18d083</t>
  </si>
  <si>
    <t>ce02d1520a5607ebba4e07c47c324e2c1c14c4df9993c63dc01c29f292fd3db3</t>
  </si>
  <si>
    <t>a7d4c7522489fbbb5751d718f954e7e7680dbacd7aaec09599eb68b9405941b2</t>
  </si>
  <si>
    <t>0e16cbeb0b740248ee8da2d8d4c8b6499399ab0d18005225a8000d5d1914d755</t>
  </si>
  <si>
    <t>d572ac2e839efa39d86a70ba96906568f9113a7f90f91811aad3d4bc33d4c781</t>
  </si>
  <si>
    <t>43ef0dcf6c101f0296918b3470bbb0f587b8443374a084445b07ef89cdb0d017</t>
  </si>
  <si>
    <t>57abf11c61fa56fa5e4c7fd2a94f2fce78eca85215159ae8cdd4d77bdb54ffb8</t>
  </si>
  <si>
    <t>2d3de2533d50d42b2887b21d7c366725b63b7a4859b3b7faf5d5ceed3c43a339</t>
  </si>
  <si>
    <t>e4147c7140921e509e47c89b027b21c44cd5bae3bae513ff64ffcbe3532d6c4a</t>
  </si>
  <si>
    <t>ac37db8d326057fb135063a95c3f814d5cae6ce27f525d053d5b73fe6ceb914c</t>
  </si>
  <si>
    <t>37966b1b0c24e185d6a0e4dcdce48d4fb02cde6e6a636cf45b17f6d49ba6e207</t>
  </si>
  <si>
    <t>3234501cd87e10192cd717a83ca0909330dfbbbb5f8b47ad832f39c91fecc19c</t>
  </si>
  <si>
    <t>aaf60b374636681919f26ff21220081fc54d18fe4a5b6beb5ca8a1cd0445bbe5</t>
  </si>
  <si>
    <t>dd6a0672245b87618bcd1ccfff6e779239b24dbd1d72ee7232c78ff66f15b8a0</t>
  </si>
  <si>
    <t>14663e8088fd8096fc8114eed2f7ed5ea98b33f845e27d6f0ea35ad99d533696</t>
  </si>
  <si>
    <t>0391a32843f081fcf4e3738f920566fa09f7e465fe2256ef0ebae7a8c493da8e</t>
  </si>
  <si>
    <t>947ec0ea453094112d06e74027eaa11b2689b10b8e0aa84e4d7cddfe2a271c42</t>
  </si>
  <si>
    <t>fc45250cb523d6561d52de290b2ebef6ca2aac9a997f36997c60976ca455590b</t>
  </si>
  <si>
    <t>8e31e31ff848e8dfdf474565cc638f88c9f59e2328e0e13da6b8c5e5cd898efc</t>
  </si>
  <si>
    <t>2301eea81b1040d562bd0952773619a23ffd8ead17d1d7ee8eec9af20586b235</t>
  </si>
  <si>
    <t>2f3abbde3795096f11434bed05db6993dbc30aec2143e0c663f394d158dafe04</t>
  </si>
  <si>
    <t>2cee483af9461601d07d25000d4af85b0bbcfa43c582735ec928b4a5f6b467b0</t>
  </si>
  <si>
    <t>a9df3f453f4547fc1a190a611677ed21c68a9551ff1426c0a59c8f7b1d43111a</t>
  </si>
  <si>
    <t>41e0bf6d5dcbc10fa97e91775297002c683c829b080c01ae35c0fdc1f7693982</t>
  </si>
  <si>
    <t>63aac2e45108823c3e43f002e1d4c7b297b07a401dbed75160f41547c40380b2</t>
  </si>
  <si>
    <t>9da289d0ea3114bd2903e4b93e44b35875c62ff03b22647ed302881949c8d908</t>
  </si>
  <si>
    <t>f13e87c89c949a4a65b10af556f46775a23b8ccf0d5477ee2e6c2b5b3a35a09c</t>
  </si>
  <si>
    <t>3d3b600a3a9bba93fb856392f79a8d98ee6bf1e99f2b98879fab4bfdce60f654</t>
  </si>
  <si>
    <t>06dfc340468bcede9c0dbb1cf0636f248fd90723707902f6c543a8a7a75428ec</t>
  </si>
  <si>
    <t>1a33d1c0d28ddb555ec194d291f386d768ac874a2cd923c3584874d3c428613d</t>
  </si>
  <si>
    <t>95b7189ef9d2d6683189cf031d4b696cf36cbefddcd24702e0c34d9b6da604f3</t>
  </si>
  <si>
    <t>8c6942613569ff1ed1cee718a2344253f0a63db86e9d263b2ddf842e9bbd6c20</t>
  </si>
  <si>
    <t>d3ef76bf4a56e6a33ce2f77ec00674adc4910cdc0c8e0f0036f08d1e5b07b9ce</t>
  </si>
  <si>
    <t>55100b9192c3c088eeb3b8e19d349545236c501782ae7d6383b8a6a46304cea8</t>
  </si>
  <si>
    <t>e00743753f544ff58bf6b803456a68dbbd9b8ebad1f953c1f4e1e38955efc9fe</t>
  </si>
  <si>
    <t>c36ce910f421890c6dc41424f198f8e75ce40918a23ea1406ae9fb33106540e8</t>
  </si>
  <si>
    <t>b285cc2c801a5c9d9b4e6e9ba4e279c9d11ce5f955f5f58e6080be413e708361</t>
  </si>
  <si>
    <t>5059d59606f1fce83021db66af555fb5afdef89c81710de564aca7c7fbcdafc7</t>
  </si>
  <si>
    <t>23a4463429929608248adc8a080e143c6ffb1ee122a6e15f7cc6dc0d3a573607</t>
  </si>
  <si>
    <t>54a5366f78e5afcefcefa8f7f10bbd3aa44b1f8ae73070ba0a18abf9f3ffc9d0</t>
  </si>
  <si>
    <t>HUAUTEPEC</t>
  </si>
  <si>
    <t>12f1a3eab92bdf83a20a68a4619be5da6550d27a0ed89bad996c6a5123b0be70</t>
  </si>
  <si>
    <t>a0ff6e375114ca922595323059e563928023e76fc80658ac10e87570e76aa4e7</t>
  </si>
  <si>
    <t>b3c2522f422cd21e7a584f19bbead277c536401f0f8d34fbc4c4f9b546f3569b</t>
  </si>
  <si>
    <t>c5f159ed37ce8593a6ad5c48fa785c9135d6d66856172eae9aadfa836ac3ad4f</t>
  </si>
  <si>
    <t>24586f085ea4146cfac99f8f3582521e136664eb2e7984212312e03e8deb3f9b</t>
  </si>
  <si>
    <t>7febd0700d92ac99a7d8665c51d263415dc3d6d6dda0aeb4cbe42d4aadd45994</t>
  </si>
  <si>
    <t>5064dec861f73cf9a2e83ac2dea379514e3a6f02562f975bd6fea3b6909570d8</t>
  </si>
  <si>
    <t>ae44b699ae1acdab9f9bb7e9773ba89856b4eba75dd91d29f67590a3b5aea5f7</t>
  </si>
  <si>
    <t>HUAUTLA DE JIMENEZ</t>
  </si>
  <si>
    <t>e64490083a254718213333900036d009d4fe5ac2591712aa3932af64022d5c3f</t>
  </si>
  <si>
    <t>ddfc77331d8d87928a242c87815b660e6bd606d8b537b149b7978c65d7b08f55</t>
  </si>
  <si>
    <t>59e0df14551374e29aaf1a2be58f04d118bceadae301a4ab6c2411af0744d627</t>
  </si>
  <si>
    <t>d79142337578e5385af6bf3a3f4aa2af799983d76e6d0b3abb1a2d9a53e15d6f</t>
  </si>
  <si>
    <t>f5ac5d465d5d4c81a73bb6ba87aa060ca842c305343d06711539248a8ab7dab2</t>
  </si>
  <si>
    <t>14aa2c892ec2554032c8ac9adfc4855bab08498f0e13e2bbe9519ee5110bbb3b</t>
  </si>
  <si>
    <t>6df03eea811847a607f10ff1bc1dcba0cdf3922a11317e3d6deb38a76cd8b2e2</t>
  </si>
  <si>
    <t>3a7f3d008b26439a5a94ecc2e43a6c93f129c8b555afe1894e328c5925c021a9</t>
  </si>
  <si>
    <t>52f57c36936a06f04b6b2bb833ac94aa54e444ce901db077b91e57e2396d3af1</t>
  </si>
  <si>
    <t>ee9a5988ff14cbd68775ad724fa2ccd76a8a29e8ae8adea00440e07d1a3d8382</t>
  </si>
  <si>
    <t>f749ee9c1acc705e877f26198ba97cd552fba0e20c23c67ca2617f474398f38e</t>
  </si>
  <si>
    <t>0d89e750b1bca308499c978b6939b694f7e694dbd4e5d6ba5fafe999d3e4599c</t>
  </si>
  <si>
    <t>a83f970af5ff3c2b09206c1e01a52e3310b8019510e489f56818fe8525af6304</t>
  </si>
  <si>
    <t>8a4804677e94fc5dc51ef7dc0002ed820b5959635146ec7a48130417e3798c37</t>
  </si>
  <si>
    <t>3b02cc4cda20b974cec6ab074a399b8cf772b81c5c98e753ff438c8a1e2c46b3</t>
  </si>
  <si>
    <t>4994be8e8a94c739582f97c27ffc2c02468dd6d8a393463113f48ffa1ec97968</t>
  </si>
  <si>
    <t>a7115d4883dfcd39b79c4af8acc4d1bfc4bfa3eb346450282f7eb2c6a275d878</t>
  </si>
  <si>
    <t>d5bca5634612299e97e30cc0ce2ba29728a66a22132e19d784827f245e7a346f</t>
  </si>
  <si>
    <t>dbbc1d2e0ca1effd2355d698e43040883fe5268c55cbb1e8939c93089c9b8027</t>
  </si>
  <si>
    <t>b306613a149734ac7c9ff8adb5c3a41c6b05a1165f390f677e40c0e7747ad5de</t>
  </si>
  <si>
    <t>9d12c682c465acf2004f64d29b75a42af5e50cdb16120969fce15ab437f4bdd3</t>
  </si>
  <si>
    <t>a318513d519c354d9c094bce0a30c64404c0e7083790c031f2b584be4e470b26</t>
  </si>
  <si>
    <t>fca1f816f9662995f4b4c3453d617b71d71cd662030c4dc4dc7871216b5f8291</t>
  </si>
  <si>
    <t>3497eb2294f3f6d1c058cd329b56c2d46cb47431600cbf11a935a35fa7e0dab0</t>
  </si>
  <si>
    <t>ee910c9e563c9fd1d368b84948818f09d3ef0a5f61916377d71f3f3e261261b2</t>
  </si>
  <si>
    <t>9e2d95aff39ca3fc408e923cd48730a7e30608bb99b4583bbadc8236872483ef</t>
  </si>
  <si>
    <t>b8a844165ff6c9b90d2e4675c15e84a125bae62fd123de321d554a0b33dfbda3</t>
  </si>
  <si>
    <t>7d951881b22841ce9876b68fec25418a82f3e0d08455d2caa59ac9fe67abb2bb</t>
  </si>
  <si>
    <t>a983e03ac15b5a719fc7b4c570f1b3ea97cafc1f8dc87c0e82b36fd7d49bff3f</t>
  </si>
  <si>
    <t>b4c4dd432841bf735a20c6ea74b922831d9c6e57ecd72363a07b2fade5847b04</t>
  </si>
  <si>
    <t>4b704e144672511b3d1eaf122564d7a3e357cf7a5055323b989fb8ba1e355a03</t>
  </si>
  <si>
    <t>a71f3bfdf022298fb1e0c3ecb0d16be48726ccace94dab392d88db2a8b70412d</t>
  </si>
  <si>
    <t>fdf029669f871707c050a6ad7ef122cb1f202256ee72d04788df0c77a2d89836</t>
  </si>
  <si>
    <t>8b0529165fc7a60193dff06692e38ad6f8f09d3d4f36f56c08be7efad9e8f67b</t>
  </si>
  <si>
    <t>10a999ea96ee497b804f6a89a353c3d69236bae343ebfa2458b123cabba6668d</t>
  </si>
  <si>
    <t>28d5c82d6fc26fe7386f8d1298a0b4dcc846db33837b65cfcf1a48c6405cc8fc</t>
  </si>
  <si>
    <t>21b687cfdda94efdafce93173b99c790f9e0688c222311e31f49123ce16d13ec</t>
  </si>
  <si>
    <t>0b6926541615380fcfcebd49487152069ed478dbcbc725a204d6d56f424311e3</t>
  </si>
  <si>
    <t>1134a617b6794dd7b0dc7b50988ac774cfba7f273c73623c0f235a1033cd9482</t>
  </si>
  <si>
    <t>1cd4b67a75c5276d674e44f00d5dfbf04a2c69c0adbd046094d86d8e75ff1620</t>
  </si>
  <si>
    <t>11e4d5f1e199b6415180d7f9be38312873c5e9b54b794e6a951fda942927b286</t>
  </si>
  <si>
    <t>227bf2dced84574692428159881282ee50e47e4149c5656b1a949c44ec20d8cc</t>
  </si>
  <si>
    <t>CIUDAD IXTEPEC</t>
  </si>
  <si>
    <t>8a970134a0da4f734dcc962975124eed4c4303e04baa01858ca04c1ddc116613</t>
  </si>
  <si>
    <t>50b10791e66de4d89e0b709b6db402c55ee2baf2e4bcb7dfdbd4dbc1544edf09</t>
  </si>
  <si>
    <t>7cbcef50160ecfcf84b4be11bff584f95bec09b83c4f4d76a1ed7c5576c4be0d</t>
  </si>
  <si>
    <t>85ef65f240f745fcd24b304417be28c5604e51b6bbe5ec965b2b411e248b6fb0</t>
  </si>
  <si>
    <t>dee87bb7d0438134340f85f7df5baac1cebc0ecb801caeb4d3fb953b54cb0b06</t>
  </si>
  <si>
    <t>61aad6a6bab61d56d27e28f1df0bbfd8b9466ca4d5a552c9a4464d9facab81a0</t>
  </si>
  <si>
    <t>bd0ea793bfca4e73eaa62b457c0ac163e4e8c8b78344e94084ee14b7f3f73ba4</t>
  </si>
  <si>
    <t>586af11f9e329c281dad8c690a20d8ad92d1225a8054724d84b3c24158698c81</t>
  </si>
  <si>
    <t>188f6ebdbf6e65ffcbbee20441cf3f1857047ce1bb9059cf8e316bb16261fb3a</t>
  </si>
  <si>
    <t>e3044005e4867d8500a5372bcd565ac1e9ef2b7d1658bb349fd24cc5d6237055</t>
  </si>
  <si>
    <t>809d5f7b808371e8fd714c655af71e0f28565e4210ee0eda0564f45596e9f843</t>
  </si>
  <si>
    <t>654fdc9a820dd3e36de95ddbf743d0bb9877d25f7946860710e426d921f6b8ae</t>
  </si>
  <si>
    <t>061de4b8dc24e42caaf7db54494394e90a96e1864f0fd0b5b4a29f19a2328c94</t>
  </si>
  <si>
    <t>c48940278df17b31c5a20eb0cf6279a8ced851e07ca8ac06e0bd1a017e76bd4e</t>
  </si>
  <si>
    <t>11816312f841caeabeaca2985f53da2fafd4ded7367b98269f6b49036be79f71</t>
  </si>
  <si>
    <t>5a831af83f433a6ae0fb2cbe5b2e046fd130c62d38960069a2d8426bb22aaae1</t>
  </si>
  <si>
    <t>9291eff8282272288e614060d4b8cfe95f51f09a10b6d99ed55a3793522aa1b5</t>
  </si>
  <si>
    <t>237320c66d39f63daf5a01804459bf1df624f0fd24206701f8510f9a1157f876</t>
  </si>
  <si>
    <t>3f59c977f106758ed1376ba5558bc30d82be62038e177eb56629eda25adf3c54</t>
  </si>
  <si>
    <t>2a6d7736f60098268a7c1ea6db80c1ebf476620b501074462505ce8b0b7b7c10</t>
  </si>
  <si>
    <t>0400a52f5119d9ff8341ec10337564b8e8bcb4f9883560f7ad273749a4d366f4</t>
  </si>
  <si>
    <t>0461c28850a7a817ca7bb0d5e6906af50c67bef7ab501ac0f414abd9e17faf67</t>
  </si>
  <si>
    <t>b23121c7ddaea7faf32f8b60d90cfdbe40ddd3ae0fc52bd4b19580597066a5ac</t>
  </si>
  <si>
    <t>5e2701c526ece464fbe400548960d9eaae9c9788210e109e850b658fd54b3092</t>
  </si>
  <si>
    <t>9ba34787d92e62c72c441ac55026faf9d4c4dc6280a2a35e9257a0f059bb957c</t>
  </si>
  <si>
    <t>15a24092602d1d987d1d051307f1de78c4a03e0817287e1b46c9dc103a322656</t>
  </si>
  <si>
    <t>3a752a5d6ad2b63c4cad3c227e12b56cad65b0d536a2218e6f362192b7396986</t>
  </si>
  <si>
    <t>b3652aabe1ad5c5958b212346332dda97ee6204516a1eeae5313be0fb1b04c0e</t>
  </si>
  <si>
    <t>85ff96f87c22a05bcc57711b427179645eef3a06ed725d79cb67d643fea106a4</t>
  </si>
  <si>
    <t>63a43a5e44601d9e7fddbde895f0211f4588def70d3d954d9d732aa47beab2a7</t>
  </si>
  <si>
    <t>91b8c7eba9b8d905280bf4b279055ec3f8149136af5688c49b2fad8b17d1bb0f</t>
  </si>
  <si>
    <t>f97763dcbb4aeb9a6f7f0df61832afd4f5ee119548d670f5d1db4787f26b29e2</t>
  </si>
  <si>
    <t>ee2417bb0f801df581e040ba656f9b1bf76854b5a82ddc03b5695f8de2c08d9b</t>
  </si>
  <si>
    <t>852d2d45786803009ae974ba3b8a8efda6a743e536eb787aa6e8c1f2f46850bb</t>
  </si>
  <si>
    <t>ab463445a85a5cceb042ccf28e4d6802adceaa91ca9d544496c1870f0e8a3bce</t>
  </si>
  <si>
    <t>00cee3f4eaaff8ee6db020a56a828c36e356277e2b4f5027ed4e077b3ad5d76d</t>
  </si>
  <si>
    <t>c986c78ce97454608eb3634d7a21729f02756c528242cdb2ce3c80ae6f78beaa</t>
  </si>
  <si>
    <t>da390374ca2585124bc308da1144f75f6e6db038a9fe413ea1bad8f3e9dac7f5</t>
  </si>
  <si>
    <t>fd4940ce555c11cb58bd650c5831707104b62b41d8e4dc5b2d8f8a4d26975fe6</t>
  </si>
  <si>
    <t>d69d40e09df2631b664be6de46bb40f94f7dca6aac285367c34f79cbac063115</t>
  </si>
  <si>
    <t>f1324ce7ee19dc2264ea21bf48f6ab83bd130649248f143fc155a2a7171762f1</t>
  </si>
  <si>
    <t>af651b7c654af02ebd68c53f756143a6346f0a12c7ebdbbd58df5d02055132b9</t>
  </si>
  <si>
    <t>943071c72b59c67294981c4e3a52821dd4df5263164829086719fda82e704405</t>
  </si>
  <si>
    <t>HEROICA CIUDAD DE JUCHITAN DE ZARAGOZA</t>
  </si>
  <si>
    <t>f87aae3df0535f6e41858158cb7ec5dac7b2dae8280399a94130440e50809e36</t>
  </si>
  <si>
    <t>dde982229a2e15a34869f03504bcd6a037faed7f3001a6dc193609d572560dea</t>
  </si>
  <si>
    <t>926b0d9a2d7a6714ac3d512e4380a6d6ae3c6b60979ac727a7857a07b54ef5e2</t>
  </si>
  <si>
    <t>62e1e6c281afe5605cb2ffd3f96334dd074cf4f7bd9fe083015657d46324e412</t>
  </si>
  <si>
    <t>caaa2dfc768a320e3f46dba767fa77d0e9c5bc0f881c5e6877f1b9513995a0fd</t>
  </si>
  <si>
    <t>32bf0ebcbc3a59f02d637c2adc8b319c0d2e0736430750d45d3b92e930fc92fb</t>
  </si>
  <si>
    <t>5e3623a44dede676760f302f9677f9181b87135da220ff7c1c0cf6bde8bbb2ff</t>
  </si>
  <si>
    <t>d817b43691d53522ad3e3a937cf182e8d8edd9b1c15141ae37f9693a90834a53</t>
  </si>
  <si>
    <t>893f4cede4a639203e65e83656a98e47f83b1eec6e7b10cb7f372c9d844a2797</t>
  </si>
  <si>
    <t>3a54b3c164e4e66042511ffa8b70488dc0d87000e94ad3e1b87c6ed3c31c1d6a</t>
  </si>
  <si>
    <t>6dcc18d4d7bcc38007c3ee33d280112ab1b555473cafc13f9bc7f10f30a5874c</t>
  </si>
  <si>
    <t>3e050e75a9df867da502c564eb6ea41c12c3f471e394f4d5cc2b1d045935077f</t>
  </si>
  <si>
    <t>ce353361b4dd7c554d10d475bd613c7880a86793a12751eec07d865489336f32</t>
  </si>
  <si>
    <t>fa14221e8771a64285d8f313290da5f52d8e8df990f1d07772b692bd993add8f</t>
  </si>
  <si>
    <t>fdd21bfa44348dde9a93f2bf17a2e90c4387771082366b6a234d8c81259dafa1</t>
  </si>
  <si>
    <t>61ca8392aeeff5f6ac81bbe3f90f6f69fc5185d4e9b1c4af7a212283c179fa9c</t>
  </si>
  <si>
    <t>ef24a48871194930f71aef2873aa8ce435627344cc330eca72c0b0bf4015e030</t>
  </si>
  <si>
    <t>092c957dd841bf3f2e4c406fa610f1f099e6c8ebbb36333b84d0b9999a125ba9</t>
  </si>
  <si>
    <t>0173656f49a5c70c8659fb01f790bde1e17b248cc318e965e3c3ccb8bf073b14</t>
  </si>
  <si>
    <t>2bfe8078e3c5ecfb5f9a42aecaa122931fd61fd8c0c3157c6ddc2487bb8901c4</t>
  </si>
  <si>
    <t>f8315fe988815f573704e5e724694610832aa1971019c8ed259593f557bc1911</t>
  </si>
  <si>
    <t>8f1b60703601ff8c308e1f7b6c86a5aa401cceab20ae27c0daf8611ad478e5a3</t>
  </si>
  <si>
    <t>7c5df76a46a9e737ea2946592a4b8df29a1789c9f3bb239734a94455d91f371e</t>
  </si>
  <si>
    <t>1e037afc05fe13b6d1cca315f7555b2c780e991597d8afd4eb69517976cf5cef</t>
  </si>
  <si>
    <t>c5768514a42f00ce03751f5b0a3cfd1fb36d711eef0f27303cd7a16dc7f8488e</t>
  </si>
  <si>
    <t>81d55247f1c1a6ea45c0730a2b314349cbdcca8339d8604f143df7c548008867</t>
  </si>
  <si>
    <t>b00f19e843712dd35233122bd641393ce16613b0db340cd98683f09c505d9ae2</t>
  </si>
  <si>
    <t>c8e71365d572de5dbdb65795fd9ad0378b752bf9c678f4632b6c92dfbb583d9a</t>
  </si>
  <si>
    <t>af49349bb2ab983f23d4d3dd27393cea0dd8203a859b96fd3ccdcbb433df1da0</t>
  </si>
  <si>
    <t>a663c57c21ad0dd78f8e47ac9e82c2b9f538d3d696cfd841d64dcd12e88457b9</t>
  </si>
  <si>
    <t>3d5cff183f063298656d6875497720ec2d021eb71a905d06ff5953f4718da99a</t>
  </si>
  <si>
    <t>9a46ae0918f4968ddf6bfd041e4f4d42943ee1e2109039433318efc2c7df611d</t>
  </si>
  <si>
    <t>e624c7a9a9dc150a3224d6fe80a255bbcdfe6346ac08b882d0b7b62b33421189</t>
  </si>
  <si>
    <t>e3c1fbbdda9328fd28644a3dae46100691aa14960e8673f8ec05b2dee09d5ad3</t>
  </si>
  <si>
    <t>9855a89e2aed707faadcea8e71b9aa5dbf513d35964176aa0ba1b374dbce037c</t>
  </si>
  <si>
    <t>cf23674042a8855ad684a18e5ce0a1fdde3b7f58bf5b977322ccae9036c7a04a</t>
  </si>
  <si>
    <t>7ce94f122d3652963137a8f8d5d4f95f50b6e83c14af734c4c95c59878b1575d</t>
  </si>
  <si>
    <t>ea129f8397e275054215faa16c7f630b938f320af571448dd2fd5e4d9891ce16</t>
  </si>
  <si>
    <t>c49265df1b1178685f503231d0aa44816fe9b11dd6d692a7654aa80dd868686a</t>
  </si>
  <si>
    <t>f3f4e6d10828d59a560bec021fac6a5d1586d84b8cc3ad90056442bf1ee49b26</t>
  </si>
  <si>
    <t>4c0d224def3bb0680801a14aad5860a786eebd223e3097060de5522c5de9f5ed</t>
  </si>
  <si>
    <t>16a53db823065715df14d19f5cdf81feb15d6bcc92f644c0fbec40583bc6e7ca</t>
  </si>
  <si>
    <t>f2e3385c9a467e53defbee774329173400765ca9222d22f7aca55bba8ed9b368</t>
  </si>
  <si>
    <t>f123bdfa1f301799b05907f7e4b1de633980eb4069bfda42e3a37a71880a6077</t>
  </si>
  <si>
    <t>47f16007af4112b8e96966e97058645b27db33ea3ff5283b75cef5817def8650</t>
  </si>
  <si>
    <t>3779979411d2f3ebed2cc2198d4049b8905571c53295a4325d21835b1456b648</t>
  </si>
  <si>
    <t>94879858a601fa3193b13967636e6f58137848effb04a443e16c17fd622e890d</t>
  </si>
  <si>
    <t>4e2f5cceaff6ebcb1ac235e6690d72c22cb4fe9366dc524694c4bb2279409b0a</t>
  </si>
  <si>
    <t>db07dff2c94315656d408d3990bba6bc769f37215616b1619460f157197fb52c</t>
  </si>
  <si>
    <t>6ec5fdb5516ac2ae83c9e193a998d58b2a7100756cd6e7aeee196ae5bf59b1bf</t>
  </si>
  <si>
    <t>59a1f478758d06b6ea3b3acc8f7d989be32e1fde9e8d8eed7472a5179d52adc9</t>
  </si>
  <si>
    <t>1bdfff81be408d1fcecd32a655d7a1510450dffb32c5603b2eeed05967d6d44c</t>
  </si>
  <si>
    <t>6614a40a9bdfd07c6d820fed8701d3fa6d059cea67f40dfed6929bde707242da</t>
  </si>
  <si>
    <t>8109c9fa07ad60cbb737b71b85d1cea8be09de4615cc17de04a25f9a36b41c0e</t>
  </si>
  <si>
    <t>940d742293c55549e7ac342f08470ca5a62582dac556d9c8768cb09de7907cec</t>
  </si>
  <si>
    <t>cebc0068a3f84199a4c6050f627e1e24a6ef6bcd3399161d60431ca4e825d514</t>
  </si>
  <si>
    <t>ede6642b612faa69f64e51b7c5e43f8e7b8c4a4bd3ff547d44e3c6f01d0c02ab</t>
  </si>
  <si>
    <t>1f3bed4ea1a52d4e8fbcc55b189b96f50ba4d0572c310609ae12508d1340046e</t>
  </si>
  <si>
    <t>cda5710e6b9f2deb0c57e7cda27ec0560b7f83d82cee3c70104b37f0814d24e4</t>
  </si>
  <si>
    <t>c3325865fd2a9e482ca9e16518e0129da794f4d712239b7a9e003d19f3aa9e2a</t>
  </si>
  <si>
    <t>b239dc16ab107fad3ca433dff9dce39a01d1326f11173fa2a68e618d15423764</t>
  </si>
  <si>
    <t>35a3a4c0bfc653c8b4d7d50b1434f3554293cdc1280edd08cbd9597bde43663a</t>
  </si>
  <si>
    <t>ad0647eb1fc2d53898f5f1ba5a8b8bae9126812e6d3b54aac038f49d389307be</t>
  </si>
  <si>
    <t>b893c8b2122600ba033134de57183d6e2786027bc050c1823bd86fe378483c77</t>
  </si>
  <si>
    <t>9ab7979d5774b06e8c91c34da8740f94336695362c246f7a64e9d568061075d1</t>
  </si>
  <si>
    <t>0848c8c6336d1d992c84d1b42590cd58fc8f73a16935537ab20baba74e500f7c</t>
  </si>
  <si>
    <t>2a97fa8228930ebf9f7732b547b9bedbbb33ca83dff0d388ea14281dd8c5d97d</t>
  </si>
  <si>
    <t>ab02c77ede6621ad2161543ea6fcc2120d1787b704de2a34373deedbdca961ac</t>
  </si>
  <si>
    <t>eafd0735ac8121086e48c50bb429d1cac89525b7e1d7ec1465c806fc803556f1</t>
  </si>
  <si>
    <t>09e0b37eb58e8114cc98c0e15b29712c49af13404220823fc2856a6238d1ddbb</t>
  </si>
  <si>
    <t>91da29a6732f6a1af25dfec9d573cf951ae6d71e827e96f2b488f8f2a12d15cf</t>
  </si>
  <si>
    <t>aaec790c6d8728d818419044456c08ad4164f5707e884c336e00510d7ac03de8</t>
  </si>
  <si>
    <t>931f52200be7c28812be8a0cbed991d3b1d45498114a7ff83dc43eb539a9c6f9</t>
  </si>
  <si>
    <t>339579f57c025ad696ffd1a000b38c8ad5490cacd359469e19eefaa8e528b53f</t>
  </si>
  <si>
    <t>c975f0fe0d3926e7f5d6ac2cfae17c26a9c3a603d733ca61415e698aa9ec48b1</t>
  </si>
  <si>
    <t>0313b1d0ee2a9b02a12a4f0eadbc6abcc06c3ca4dc33c779dcb62e8e3b047964</t>
  </si>
  <si>
    <t>b74e65b97ed7f48314d92740c925b468160a6daa37bc96919725deb22be992be</t>
  </si>
  <si>
    <t>920f82f1cd06b5e49aff2c06264a8e8aafbd2fbc8f6df9eaaa42eb1e8f68f232</t>
  </si>
  <si>
    <t>e683f33f9d4d0a0aecc1e33ac1405945bcc89a00caefb4fe43d1bdfa74ab111e</t>
  </si>
  <si>
    <t>630d0a48c59ff745a37a0da3f6d5ab1a5492ff4be8e5f47fa8cca2b722ed90d5</t>
  </si>
  <si>
    <t>8f3a80e636fb033466cdb3dbca59adb6c1423cb9215e79065a6dd947cf4a8bad</t>
  </si>
  <si>
    <t>bacc92937e9082b1b46a76deddece2b402e3d07ec1aaeb55a0911aac8d6aa7fe</t>
  </si>
  <si>
    <t>d35ec5b3dc94f562640d055c0f13ad31841f478141ee71e34665c406aa3fb5ac</t>
  </si>
  <si>
    <t>115b6984677a089a7c06e194050296d4438e6a4e32bc8a44f459f896933bfc8b</t>
  </si>
  <si>
    <t>edddd18571ce56c356fb1043475d9d28bf979ad5edc013cda415cecbdb532822</t>
  </si>
  <si>
    <t>0147ed019aeb0f3231e93f4e78b84ec030ac3dd581be1dd588e964b303f9f29a</t>
  </si>
  <si>
    <t>a7453fea5e91f24997947a79978b61994dbc714ae0147eaa1b6cb99e54663998</t>
  </si>
  <si>
    <t>b37271fd1c06632a2cfb7cfebb345fec6a953e05aa2b5fe9e048ec7cc08c7459</t>
  </si>
  <si>
    <t>26cc21ead0c00d1fc0ce4ecbeae33fa012ba21790eaff212596ac0e68ce1453f</t>
  </si>
  <si>
    <t>e693b5fe0088b78b58cb898012fbcac2d8b1cb4b4ba3a0c9b31821e07374bf09</t>
  </si>
  <si>
    <t>f15b2bbc972fe668ed73dea462840ed969e340f18e5f8f5fd7133ae43d765bb1</t>
  </si>
  <si>
    <t>b94a695f90bdadcb015b5c171c05318d78fc04430473ec0fbfa65d1c8aa78664</t>
  </si>
  <si>
    <t>61d9f107bab334808ae181451464ab60eec25bd59255c7c832a94189e21a1562</t>
  </si>
  <si>
    <t>ef5fe9307bf19750f357dbc017887ad49d04a8b921f9b72f1bfcddd203da8a4a</t>
  </si>
  <si>
    <t>2d522b09a5124411b6174990e2732e50325eee6e1eaa09ba856132fa8b7dc4a6</t>
  </si>
  <si>
    <t>3819140433ab1694f810b8e3fe931615a01886b4d8cd536b6c5d958ceeee7c58</t>
  </si>
  <si>
    <t>01a305ca6f5f71f45e646fcb6e83418bece6bdbe491ba85d51eb1da691489e58</t>
  </si>
  <si>
    <t>d1396f0796b681a70e2b171a86a203665aa0cd88be852542611a1ffca3905431</t>
  </si>
  <si>
    <t>c1b3ee93886d57417c6df05f06e7dfe8d66100dcc824be3b84d4c6e45ac136e5</t>
  </si>
  <si>
    <t>e054db7ba60066c2764acba55c3afb9e3c4f952e86506717231aa08534bc4345</t>
  </si>
  <si>
    <t>dc418e88a85570c01693bfe98bdfc9a37b8b5117be67d9e04d077cdef84bad90</t>
  </si>
  <si>
    <t>f98fc46b11574cb77de0525571947e0d7aa785666c8db739688d83761a4ee098</t>
  </si>
  <si>
    <t>52e9dd8dcf31ce698ed605a8845b7e3660ef6c018adc37bb15f3df0a6f2c7418</t>
  </si>
  <si>
    <t>e1347416c695929f2ccae03d88a47d3510a56b27c4354c00f89c979d6ca121be</t>
  </si>
  <si>
    <t>5e012badbb0deb35f2e6b30b04e5e71def6446bba99d66bf598b43e80cc1d5a9</t>
  </si>
  <si>
    <t>cc56cce5c4aca280287dad910c2b0f700a792631616cd894c796fb311b369ee7</t>
  </si>
  <si>
    <t>5654234b45c1b8896ae2e914bc927d71728271f45ab230405ea7c341e0aa3330</t>
  </si>
  <si>
    <t>6b197779d398aa32bc69976b4b93657c691ac5e72987432e526523aeff63cee4</t>
  </si>
  <si>
    <t>00d71769daf8929a24a01ec8c28ce5eadb887957814dff895b3d7e61a49fdac0</t>
  </si>
  <si>
    <t>a1d4593207a1a349ebef480994dd95c08b0bef3d54f29673901d26632cf19d94</t>
  </si>
  <si>
    <t>12d60cde84a9087f2b10efd2bf9493ef80e3be5cfa66bd8510cc56221822ce2e</t>
  </si>
  <si>
    <t>TODOS ILEGIBLES O SIN DATO</t>
  </si>
  <si>
    <t>3eb24cfe8444e2317726152f9989ba51412980b5124f078d76cb20b5eb17a2ca</t>
  </si>
  <si>
    <t>b91821f1b5ea144a67c79c643149770d9b370f612bb6f396b5a4902ea6f4c0d9</t>
  </si>
  <si>
    <t>a41843428d8d0eaf93afb8681c41502f6b4fac635b217b5c2ffadd93c5c9e891</t>
  </si>
  <si>
    <t>a190c2bab649efba36af31afe6604b5606193ec5b6ac9b9cef8bf4291a7a1722</t>
  </si>
  <si>
    <t>6527e6c144db70d0e9ef3c55ad9d00a0c9d5fcaeb9016787013d7c220c4858a0</t>
  </si>
  <si>
    <t>325f420f05e0df1a2814c10a69de203fd0cfeaa233ef6a4531009c773c9f8b7b</t>
  </si>
  <si>
    <t>6314f080fe040a219115e216d4851385bc92fbafeaf18e48f5247888f799d873</t>
  </si>
  <si>
    <t>258bda8b5b2988d03048667a8b075b6aa11ffaa4b95717ef83176cb7523c7c36</t>
  </si>
  <si>
    <t>SIN ACTA POR CASILLA NO INSTALADA</t>
  </si>
  <si>
    <t>a5a320ea7fbfa160f0c9c11173cf33231a3de8543318e1cfb580e858b8b65813</t>
  </si>
  <si>
    <t>815287b7fe4c53b854068c9197aa5f440b2566073890879de98908a830629aef</t>
  </si>
  <si>
    <t>a7527e41aded01cf694fcf1617e83adfe58c57ad3be8cca8294407ab95b8e81b</t>
  </si>
  <si>
    <t>4adec5269dd4d564b0532a9b91cce55a18f5ba64cbe508eb0a2adcfa8555623e</t>
  </si>
  <si>
    <t>6f34cba672c248b18825516592b6a229966870bac9a5a571b2925d57e56b628f</t>
  </si>
  <si>
    <t>75e53737569a4ec725f36940936a487372dab6d3d29b63257ec5ac7cec928dc9</t>
  </si>
  <si>
    <t>3e1957bbef38fc0a8d92354683e1abce8b14b00205c9d3b84d6d3b71efa21f26</t>
  </si>
  <si>
    <t>43bee487500dab113088bc61bcbb0554550d8ea1a49ce9138dbe20a7d1297169</t>
  </si>
  <si>
    <t>b4bc30ab12f25f76be22af672e2f839cd9df9d54c6de1511ad1e9929dd9be3d6</t>
  </si>
  <si>
    <t>6b18dbd08be6a21140e98ffdb314973e9c17dad9f36753adcf33f5de96ab70d6</t>
  </si>
  <si>
    <t>60050962627108f29086d7162c87efc7d0164e7f6e93457284c696aafe017c2e</t>
  </si>
  <si>
    <t>c16e5750dbe37c60ad5945b41ffcb6e0ed96159ee5f175adc3772dc78c0a34b2</t>
  </si>
  <si>
    <t>d7e07964ff876256c1a76d6ca8588ff7e87e058be4baf7725cf3d48322f2a7a0</t>
  </si>
  <si>
    <t>7e38909514c98e7a99f504ef95a791e3c81ecf2dee33c4da42fa68180129581b</t>
  </si>
  <si>
    <t>LOMA BONITA</t>
  </si>
  <si>
    <t>86e330458b5396d5c920eb0acd3f1dcb5bbaf1262c78f7b2b9a852c72d988794</t>
  </si>
  <si>
    <t>674229e54aca07b902bc5cb4eff2fa29e0635cb7faf5b7c1e5e307bdb178513d</t>
  </si>
  <si>
    <t>d79cadb54a9c344f3df3adabfda0b6586e1fc630d1c11d6115d85534fc48cfd4</t>
  </si>
  <si>
    <t>385db7991660d1a085c2400abebf2dabe66c55743748d74bbfc2390c2d374ebe</t>
  </si>
  <si>
    <t>d5e9b2f6b091aef527f3fbdefbacfce66014e702663091a7a801835eede82455</t>
  </si>
  <si>
    <t>ea84bfcc82daee25e96b64069a78b2a29b3fdf876b9c4ecdeb728e8ade159f71</t>
  </si>
  <si>
    <t>f669e82a2553012713e5d431dca74d56dd1d7f6f7e2afc7aea9b728432c09768</t>
  </si>
  <si>
    <t>3252b6340a28e5a880067ec997a71f327c786139b7e7bed3bc08d24c9f6ca8c0</t>
  </si>
  <si>
    <t>1777cff1af84ff911eabcea3bcc7c1a7d0f7dd2099ee743286b85150c6a2810b</t>
  </si>
  <si>
    <t>4552beb67e48e2cc8e634fc4841387f91b7eb2eb4104036da7c666d947ce4396</t>
  </si>
  <si>
    <t>2f5f983e9e00324d1559c68968878e31615cc6fab1f6b47d416b736ff01a193c</t>
  </si>
  <si>
    <t>4fe5b5e1f1a73f84d773dfd8eafa4426127c85733bed8876249b923b8d00e8a9</t>
  </si>
  <si>
    <t>249f4807dc82ed3551ebae082524315c51a6a48af37b955a74a6780b83dd744f</t>
  </si>
  <si>
    <t>2b11719a5a2cff3e61410f266f1407ab7dc14ebd0497495e787bc9786a055acb</t>
  </si>
  <si>
    <t>d7c694a5c596231a84d9f07c469b51cf7687ae96597c6ead9586efb11e240f9d</t>
  </si>
  <si>
    <t>0dece9b053bb223bd190da11d7a19087466061b2f517217f882c7d7811fb1830</t>
  </si>
  <si>
    <t>c57375676c9bee6dc89c3c49291fbc9a287cd3b40490b0a28a35bafaf54bab21</t>
  </si>
  <si>
    <t>32f060e2953246cdaaff15d4d9e8e5408cc438a97336c9a796f024a2dadcba3c</t>
  </si>
  <si>
    <t>252e7d194d3aa79a1d881a6ee9e135f9f58fe0e3a363e3c7c754785030d123fa</t>
  </si>
  <si>
    <t>80cd73c997676cc9888a99feec12e8f1de47c10a2cdd53011f89574e8b11a1f7</t>
  </si>
  <si>
    <t>29c773e8a3083c52622dff78aed688fa32eeeedd693c2f447df4fdf3a2a4fa71</t>
  </si>
  <si>
    <t>07d8b06c64c6bea5d866f6d6bb48af7789adfbbf2e7e698a08e856742c2974bf</t>
  </si>
  <si>
    <t>0d1df0c9f928e240f01954d1bf026a716f4777bdd0f613fac0aa07e40a3a87ba</t>
  </si>
  <si>
    <t>3df99c8734ef4dafa5c029df4acfd7921a329eb274687d93b9f75a0a02c1ff69</t>
  </si>
  <si>
    <t>d27acf18774bc494a02daf809932afca5f92d73ce9c21f2bdd9a150f7e9531af</t>
  </si>
  <si>
    <t>e9c5db2b4549ebc47be0aa2846c2dee1584de0a578b8f0f817836a9d6930b9a4</t>
  </si>
  <si>
    <t>3c2187a0678fde455e1b6a4de19f4ea5177ec20f74f178757906822718d8a317</t>
  </si>
  <si>
    <t>f3a0d734fbdda1bb0e8ab6f17bd772d8a7f20be17ab0dc0516a1d520d293db85</t>
  </si>
  <si>
    <t>5ef8f19691428d059b44f744aacfb7ab05469a180d37d76c6f9f09dfcda45f71</t>
  </si>
  <si>
    <t>10fb12099aa7a8768c643f7599a44ce3cf9572a06f5ebdb54e8f1db4353ccdd8</t>
  </si>
  <si>
    <t>54ce9dcbf5d9073023c4ff4ae9a706feeb1422d153dd6ce813c91a3bcb6e70cf</t>
  </si>
  <si>
    <t>9ff77124b0fe3d1467d1df10b6cae80c37b4e63dda8e63bc17a1450b0dd15a3b</t>
  </si>
  <si>
    <t>7599a5288e649d07a1c97a43e997cf1938cd9f10cd6227c5281187783b80e2c6</t>
  </si>
  <si>
    <t>d39c633ca87c2f2ab239c5fab0252cb5c4dd5cefc007a8898040af3a25eb16d7</t>
  </si>
  <si>
    <t>3e21353bb670e83e2646f99c3b709187b29a7ce3e6d76cea0c29ff08739b0919</t>
  </si>
  <si>
    <t>b53d66238c551cb670833524a1e0d57160f8e4b392ec1532728fce2e7a28d3d4</t>
  </si>
  <si>
    <t>34d57d0b4b8dac6abc962f4d605fd1159f52d22f66f2f962b48af5db336f62b5</t>
  </si>
  <si>
    <t>f70160c0e9e0df946fd9fb2601b336a9e9647aac968d9c28192e5b1596c38ca6</t>
  </si>
  <si>
    <t>1461cdc756a2260d2970a81882fa021cfd2b63a6ee71ae4d4d0847ee582b3c29</t>
  </si>
  <si>
    <t>8f74e8c8eaf6e0dd4452e3eb01fd71844125d65cb3462dc5ff84a08e0b433c33</t>
  </si>
  <si>
    <t>51a42c06dd471c09f661be791bd948d600bb568409fdd2131ce1bb1b9c99641e</t>
  </si>
  <si>
    <t>cb1cd326c14344f9c912d6e35d36b3feca7c74952bd46ff6e8d3aea2d04c8c71</t>
  </si>
  <si>
    <t>a31ee6d126d0e79c4ba8e6e0c7b534cf3d49d987fd65f5df97ae670aa440a9ef</t>
  </si>
  <si>
    <t>33642ab251657604e0ffdac595109cf7e94f81e9363b36682e491432b83867be</t>
  </si>
  <si>
    <t>1f4d061aa5ff398c337afb7e632371d1606e3e4d9083a44e9d27bd83f0e27fb6</t>
  </si>
  <si>
    <t>001fd7ce1051951998c63c2752635e7dbafa9f6701a88b43dad1f2bab545be3f</t>
  </si>
  <si>
    <t>50051e8156303517d2ffe9c76973d82f2e6e183c4f672444b7a77bda77a2a1dd</t>
  </si>
  <si>
    <t>6860c438c8d84dc52392d89e075b3c739911a56942e376b7bad48a95fad428c9</t>
  </si>
  <si>
    <t>2b02706feaea7bac606527b9269ff9a9afa6544bb386ecb0b089627d89c29742</t>
  </si>
  <si>
    <t>e4502c72ca9f5a031715a5c6c6e3e29dbdad5f7ac3da3517bca3e4ba53782568</t>
  </si>
  <si>
    <t>e2bb394a8a8c70bcf2e292c89632a8deba8a79e343a1917147070dda933e7211</t>
  </si>
  <si>
    <t>88ddb6dff845fad536d9bd04b52dd5545ee709d1bf2a22859d723512661de531</t>
  </si>
  <si>
    <t>a4b91e0992ba11b9147ffd8fe9fb6d1e2ebb9da7045e63664c6d371960902781</t>
  </si>
  <si>
    <t>ed8f5f437b0643efb982fa94675624097fba5f3bec91acefd3c39b05e7d30c36</t>
  </si>
  <si>
    <t>8087ed46a30f2ad79f6db96697db502852cc8104d16e6206481f4c2964084436</t>
  </si>
  <si>
    <t>bc528a76547de96bac0f985020927424de51b50744b782a9abc38f32df26e1bf</t>
  </si>
  <si>
    <t>53060723365ff24858c3aa30575caafe11f274897d6921d984f92ee887c841a0</t>
  </si>
  <si>
    <t>20cfeed2752441e55ace43f198acf9a19aafaf341a611425429f7f3363309483</t>
  </si>
  <si>
    <t>840b5c38480027e05ab9c773a87228e71bbec28e9cc2df9adeca3b019656fe21</t>
  </si>
  <si>
    <t>5d68d7397a502044025efa51b373069b2c33579e18f34d82e0a21872b9e2ae9c</t>
  </si>
  <si>
    <t>MAGDALENA OCOTLAN</t>
  </si>
  <si>
    <t>22e75c006aea48b6e9bbb18365e0b8c17ed1de6bf8117806cb9443264509edbf</t>
  </si>
  <si>
    <t>09702724af9937823251e6c3b7c0f9f7cd5848a338c2425394c7689118a1f016</t>
  </si>
  <si>
    <t>MAGDALENA TEQUISISTLAN</t>
  </si>
  <si>
    <t>4e6598ca292e4c93439d9968dee620a25d22cbddcbf0cec3bea280ee3bab2235</t>
  </si>
  <si>
    <t>ce8d92ccb737419d6d7363307269164e568afcc9d50ebb3e68ed9093c8e6db59</t>
  </si>
  <si>
    <t>dd89c81bd3e519e164e5205a8421a02c667cc8965e809e701633180d87336e28</t>
  </si>
  <si>
    <t>2c618ce94673390c009859507cda1dd4df893581b18973f3a4682cb7eccf41cf</t>
  </si>
  <si>
    <t>2f9caa1e350a2f8bc013043490680860802daec09eb26acc7c105538bcae1246</t>
  </si>
  <si>
    <t>f21ae46f0483d5568b534e3a9d3b5f8c51f0209cda7e6e39ca87e71995d1bec0</t>
  </si>
  <si>
    <t>0626eab746de0abfbc4b24adb516e6471d8f93e8e872e8d7421dc4ec746e19b7</t>
  </si>
  <si>
    <t>69a716aab290391547d4c88402ab6b027be7b874452dedbe5c720e7f31653041</t>
  </si>
  <si>
    <t>a19809f89d2022312b0357aa75bb7d9c4a1ac42cbb19761447eea15f238caa14</t>
  </si>
  <si>
    <t>b768a87bf860cbe9a0accc0fd67329d8f5a80170f3f5208e3d4ce6aaecae5889</t>
  </si>
  <si>
    <t>94177220ccb639bec10c4f6189b241f880794d9e5d6b5dd7a5973493b2e3dc73</t>
  </si>
  <si>
    <t>MAGDALENA TLACOTEPEC</t>
  </si>
  <si>
    <t>e875acd7d6404a066c6a072e10e3c28e823d33ce865a53a5e6ff848dad0b9467</t>
  </si>
  <si>
    <t>64f8d7802aa7ab536be68cafdf9bce75891be04b1a5c9b5ae891d58b01a15349</t>
  </si>
  <si>
    <t>MARISCALA DE JUAREZ</t>
  </si>
  <si>
    <t>e70d013a4f8933be471f98992831b233e2819d45eb8fffad99c030a90a8becd7</t>
  </si>
  <si>
    <t>41714a091cde075e10ce84840248abafc9b62bbf3acdccd43744e6562f5b07ad</t>
  </si>
  <si>
    <t>03191e269acf9f6a524581b3fbe5cb971426854009f8410727c8762e5c529c7b</t>
  </si>
  <si>
    <t>2d302c8e42c2bcfbc6007e332b97b739077caf0a261c22faa310e6a242e0d0d7</t>
  </si>
  <si>
    <t>d229fd406aa756b062d81d105b55ba1e55ae2b7effd5942df2b6606b35341c01</t>
  </si>
  <si>
    <t>c70909005887d345c6073a8bae0101b989a8f87337bc7bd92ee37b3753798170</t>
  </si>
  <si>
    <t>90e5f5c1fb395c51a33e194b7f3ff21038a5863d39db9afdbbf45d4270f0a947</t>
  </si>
  <si>
    <t>3f098f3f38e3f5fc81c3ffc36e911cb45dccd2b9001093d29e9cef8503078337</t>
  </si>
  <si>
    <t>MARTIRES DE TACUBAYA</t>
  </si>
  <si>
    <t>0d0212a94fc87f2a387d0a0ea93191b3054bf886dc09c90f8fee60525cd61512</t>
  </si>
  <si>
    <t>face1f01d2272c1e406c0ad387d61eaf8102b6a0af7cf36916af950c88b624e2</t>
  </si>
  <si>
    <t>d5e5e4a36861ec2aaaf7b9f88c6070040b198bbb849bb0db51c712435bb58950</t>
  </si>
  <si>
    <t>MATIAS ROMERO AVENDAÑO</t>
  </si>
  <si>
    <t>3a72def3af7305db2b479f6cfda43a70c0af6504391f16c63d9252af9d8cab80</t>
  </si>
  <si>
    <t>fab7871fb4774379cbee457e94f42c99039953379f23415a9c15d8e4a3e8a296</t>
  </si>
  <si>
    <t>f894964448303c189e4cab898c07fe5cd27a91966ad2fb5212801e9689f8face</t>
  </si>
  <si>
    <t>72b80aa6e301e27d4e65447cf7b0a3c57aec1ccee161cc36c131b3c0a8970adb</t>
  </si>
  <si>
    <t>93f0c0fa1c24feb3f9306843ddc3aaa1e2b98f1f26720fe022ecc9775704c502</t>
  </si>
  <si>
    <t>57754f9d4d2478a73a06d024437f25983a345cef3f977d1d2375a447f260a2ca</t>
  </si>
  <si>
    <t>d4ad9fe6716187b2fb7c22a75148c5507c456c741ca4933c1e15dc2382a8080d</t>
  </si>
  <si>
    <t>08b46eff5355292f44385bdff87ff3b965fb24b180a3c2efa4f18d054d75c9c4</t>
  </si>
  <si>
    <t>29b4428eed78c051916f628b67d25285900e724af70c15f6755da0b05a7fc738</t>
  </si>
  <si>
    <t>ce1d01131aae3cc095af988706a625cf6ddae0296f12f6108303f66e27ea8cc3</t>
  </si>
  <si>
    <t>105b2d4411c05b792d301bf4663e932f64f1a7b36c4bf1aae50a56014dc0d1d6</t>
  </si>
  <si>
    <t>e8b044338969afe85bef9f4692860fa132683ff05b47077628f06bf4d30a1a75</t>
  </si>
  <si>
    <t>c90fdf877c20fe8551be9d580952e8af33fee80e2135e4c0bc951eac05c8f2b9</t>
  </si>
  <si>
    <t>e69508fa6a05ce34e3c3e5520c9520a737b10dad1c91a31b1f972c58057301de</t>
  </si>
  <si>
    <t>76781fcef7293480b46ec2cce4e9e2f7819a90bef250cb3cb628f42ded6bae00</t>
  </si>
  <si>
    <t>cedadb8bc4779537cea89e535a6ac2b0fe8056edfedc2179ec2cc95a8a59768f</t>
  </si>
  <si>
    <t>c006f1cc365903b51b1b5213a059737fd274d1b65d14eb20a133e3ae41506a18</t>
  </si>
  <si>
    <t>a33e4325a8c2b84a56a5d1124b25f38c8a3dd9d52141f061a9eb86bac108060a</t>
  </si>
  <si>
    <t>34143be9daecdc194c99631037630ba9f9dccf9faf48baa65119859994c4673c</t>
  </si>
  <si>
    <t>2bb798d69c6a5b6301f5a2f72f0c7c51b5eee5a33502903b440a85150a4977b9</t>
  </si>
  <si>
    <t>7351f4433bbfdb9aa6f0edff0277e559c508dcb01fb8b7ffb758a9bd3b35ee31</t>
  </si>
  <si>
    <t>9322ca991a680315b6f15064769f5546d5d911d8ef2cf0d664247683cc53ed82</t>
  </si>
  <si>
    <t>c2d528e48517bd14d226b22654bc8a21727cd9f3bd970108b1df5412cb285cef</t>
  </si>
  <si>
    <t>2900a0fb8288f500b4e932498631fcd5ad2ca3924557581b6f6e2a543213d7e4</t>
  </si>
  <si>
    <t>d734e570cc2122c64485b4675be8fdc72f66748e460a8f4866dc7626d7cb5814</t>
  </si>
  <si>
    <t>f5c4bfaadb8cecce828e6144a1d9cdbc5b0a8702694a06a8b670bf3297474c0f</t>
  </si>
  <si>
    <t>87d8aeb4c8c1cf23f0fbdf48d7615cfe3625b4bf31968f28aa6e657f8dfb6ad2</t>
  </si>
  <si>
    <t>1cf38ca16b975e6d817516d29a39c392e31bcd88fd4a4555ff0a9b3e2ea70a25</t>
  </si>
  <si>
    <t>f52aae1885c38722495834a5a59f1cad9ef0477965d36a5e3e91ef5984c10d41</t>
  </si>
  <si>
    <t>053b208b81e3bd272e95c4d836abc1ac10be9abefb2d5a4ce4ab623e82ce0e9f</t>
  </si>
  <si>
    <t>92f9b8bfb885b0a18e05bbc016bb5c6bd947893512161a4c16effe9cf7b61d4c</t>
  </si>
  <si>
    <t>57f7498cba0791367e41c11a383f2ba2a9a45543eac7547941a065893c7876ff</t>
  </si>
  <si>
    <t>f162b9a5f17eb214f628b2971a6ea8b95289260ba7d5d18e60a0ede725c1c12f</t>
  </si>
  <si>
    <t>7b317888d38e75ea651ce4b4d1bd9f3e06ff1ee697f0905e40be962d64d10de0</t>
  </si>
  <si>
    <t>5b8310edcf7a81922ca3c7b1f51f30edd9cffba4ee4e899f77872b483d916ce8</t>
  </si>
  <si>
    <t>fe822cf82b3cb6f68abe34e372a235efa303bf53e80335ecd3e67df31b0cc1df</t>
  </si>
  <si>
    <t>1838ea90197c560a31e506671530820cd1185f35a5563a3faac84389be179c64</t>
  </si>
  <si>
    <t>d6b478f7dd9947dce142534b5cb500eb7cd850331a3a2782acd70cec854bb5f0</t>
  </si>
  <si>
    <t>acf632af324237448f8632bd994f4be409c12e8d1df5373fdb721ca7c9585090</t>
  </si>
  <si>
    <t>d854b4b078c9f7c77639c59505925425b6295be695fe639744ddec1411fbeac4</t>
  </si>
  <si>
    <t>dede65093a97317d1dbf5b62c151cce3ffe240ffcfce6b6ade6a658ab39e595d</t>
  </si>
  <si>
    <t>0ecee6565356c6b31a49181c57bb2b0caecadddf31d7f42ecd9f52fb293f3a77</t>
  </si>
  <si>
    <t>766095fc03fb68e947ba10a4fd312694de548ef9f2ec24dee6d9f15e3ffb7e20</t>
  </si>
  <si>
    <t>59fdb7ba4b216f41ded3463e027971b6895847f94d4051894cdc96d6384347c7</t>
  </si>
  <si>
    <t>a4e2eb4ac82d4351761568fdc7513daa016ed21e1e3dac103e787a946999b28f</t>
  </si>
  <si>
    <t>4e5eeefd1489ed5ebe960f75b8bb9c5f41d6cbace0a2fc8b675878e8ed4ef8d2</t>
  </si>
  <si>
    <t>abb45aca9744a4b08b71dcbca2c09a3bf7c5cf246fe41c0034a58e80e232e03d</t>
  </si>
  <si>
    <t>d83b064f0cdc5e3d3f5e6e4f8fbdaae1a64ed92378acff4fd04baf77a8fd245d</t>
  </si>
  <si>
    <t>1a335715793b9982350eeabbfe8f0e3f093372f4ac859c74fcec30a900788566</t>
  </si>
  <si>
    <t>ee42cc15b8be02ae2a4e2d29cb728a944c4a2f54f77f0e1fe7d51f732903dd78</t>
  </si>
  <si>
    <t>845fbd3ccae38fa08abc9f324d212ffa7c8c65eca80611701da2180d014d1f97</t>
  </si>
  <si>
    <t>2cfbde7f92d0d8f3798f3975717594fcadf582149bd6ff85a26478a50e6c420d</t>
  </si>
  <si>
    <t>0a9b63b4be7d2e5edda5500c577d23da39d774b3b414ae83890119a0914b4bb9</t>
  </si>
  <si>
    <t>bc9adc0aa0ac97d0ee20d90c07ed3c2034c3ea38c9a4b34767a9c55b7d6d28c1</t>
  </si>
  <si>
    <t>bc3db9ec26a5f807d90109ec464fd8cd198186a6a6f66ab544331a1077d15d55</t>
  </si>
  <si>
    <t>ffcc6ad51ff37db2cced37ff273d316f0aca9e748dcc750d8e22e2e9d283dd83</t>
  </si>
  <si>
    <t>57eaf34a72dc32cba7fbee7cd3878626f5d0ca8e8528adfb17bb3a6fa0ac6ddd</t>
  </si>
  <si>
    <t>440db07b59a761d32860881bd7fcef98e24408743220aba31b853613adafea6a</t>
  </si>
  <si>
    <t>MIAHUATLAN DE PORFIRIO DIAZ</t>
  </si>
  <si>
    <t>ac0629426b7558da45b59f2f44094cfe78a1ddaf27f7a4ac49347c71230f9d64</t>
  </si>
  <si>
    <t>43e8bc1a20bef0128b14059ae0391d31bc797f105ceea09d3fc409ce95fe315b</t>
  </si>
  <si>
    <t>4c07f15546f4c2b551689416d69573a163208f2d623e6feac9a8de73bbeb2e6d</t>
  </si>
  <si>
    <t>1773a6d78b85a6c0d8b137c89eb7358459373c210c4cde646d787d326bec52e8</t>
  </si>
  <si>
    <t>b65f06ba4e738509d798bcc6086e30f992b3d2e93b73d2eb9e1f6a2d03959ddd</t>
  </si>
  <si>
    <t>839618c6c87d0d1205553d2b03ceb76f37a27723fe8a26e53d45bece87121b77</t>
  </si>
  <si>
    <t>6ed3dc3b722954d07864283795b0eb05b971583af4578dc2a5ad3790da0aedcc</t>
  </si>
  <si>
    <t>1e7c795558f8fdceb8c1a0eb67e391333593efcd22a69c06a9d90b5c60f513cf</t>
  </si>
  <si>
    <t>f2599fb98c96e829b4e476a4be5bab0cd72f0d17b32f0731bf7b8e68a4b4dc77</t>
  </si>
  <si>
    <t>04d746cefe0bcfa6239803100cdee46761d6b5392f4c7cedb495d7b22571ea5f</t>
  </si>
  <si>
    <t>ebfaf910f67c944d2a6f3f568908405d190a544e1a3e481ac8d0ad18e08fe317</t>
  </si>
  <si>
    <t>19da35872bcc776e993c26dbb01152d8b2919aa29021dba79850f7c621b11f79</t>
  </si>
  <si>
    <t>a1a173b242a0da955479d01a4e6c7399d127d7e3e3152749fade8f26470fc5a4</t>
  </si>
  <si>
    <t>b200b8ff93c8e7acb6766959c7671b351208e88fe7161d5e0df95f07d0284579</t>
  </si>
  <si>
    <t>c2d194eb9381e66622527309555a395790423a0e6ede7ede285f19b810f2117f</t>
  </si>
  <si>
    <t>265c9b19664713a9db2d4fce8ca857c9f76cfeade2b03b9feacacb6c01ed92cf</t>
  </si>
  <si>
    <t>203773f8e706029bf78e772272587e1e4535ebb35903f4f180aceb9fe34e8b37</t>
  </si>
  <si>
    <t>9996c131a6f6120e656b41ef667e7561ad4e33ed40961ecc25dd98a8cf526b74</t>
  </si>
  <si>
    <t>f7c6c23164ccc38a0dcba217e6173d110afb19da5ca48b9f4b11e53b24945cfa</t>
  </si>
  <si>
    <t>251395a56b2cd7ef8e28af544c14f6223e7e269a35afa267da12c46dd9007a70</t>
  </si>
  <si>
    <t>72fa57f382398fa7c1e46c8a2913c4658d900dfe469413c7809df5d61afd4f4b</t>
  </si>
  <si>
    <t>6a4e1287d8e1861b0f125fce7b057d58f1aae5855b717793415afd62cf065707</t>
  </si>
  <si>
    <t>3f829ad571a375ed0624b7ea325cfdb35a1f59c5da4a6b0fb568e90924125ee3</t>
  </si>
  <si>
    <t>4470cc9b805e620dbd10c47a443f70c9e6f92946987b9b503b011d3d1724c6e3</t>
  </si>
  <si>
    <t>4808122a883262e7ea65a65af5275871c17fff93fe1aebc234921cabf6a030bf</t>
  </si>
  <si>
    <t>f31d5ab99a283c980c9d1090beca2bf2e92808f0dc68cefcf4bdfb676d05ab35</t>
  </si>
  <si>
    <t>9b081c8c5032a617db16437b5a4ab87aaa654e4f03184135a84627e1079a2332</t>
  </si>
  <si>
    <t>c26387cdb48a9b0943c9f0b9d91913affd6016c1e495da04580a909406abbe12</t>
  </si>
  <si>
    <t>62f00c7746295cd923a84395501f00340e973e07762ade249cf125144678f7fb</t>
  </si>
  <si>
    <t>60576872b9c83c857d904a3f52a32919a7f7d3fbc127a57c5ebfa90a026bebf8</t>
  </si>
  <si>
    <t>f2eb2f69427f268e8705e0ee211bfc04a6805724e09c704af62fc326299aeb0a</t>
  </si>
  <si>
    <t>d24e76f57d800080864190be0e547a2173461edc85ad8f806df97e095b025044</t>
  </si>
  <si>
    <t>8bb4076de7d9dc2c53428ae1908257ddcfafd3871a53e349b549e75e6e1dd368</t>
  </si>
  <si>
    <t>87bc84a8fe168872598150932d51858f24ea8f26468770f1e4d7ca4f08f24693</t>
  </si>
  <si>
    <t>a71cd93caa8333b5229544f72b91f4c3a66ce088fc76098733c53c447e2c299f</t>
  </si>
  <si>
    <t>6b1ed8206f72dae536cf96096675f5d4aaaac54e64311be60f4c55120a5f35ea</t>
  </si>
  <si>
    <t>30c57016e825ebbc847390b2db55d4124ab08429c7f2d105ba75dcbccdeca412</t>
  </si>
  <si>
    <t>9fa8f49de68d7742d041ac1987c2508b8135efb78b7533863bd8c3448f2fd3f3</t>
  </si>
  <si>
    <t>a128c26b1539437095e40608e0ef65c93269c38287f82dd004602dabdd0c95f3</t>
  </si>
  <si>
    <t>41cfc1819519b8caafb65e3fe13fa76217517720760ee8c4ea6e2c1d53393148</t>
  </si>
  <si>
    <t>2c0a22c8d2f4550b8c3e64470f8219754f2c531538e0a48484090e6f57b282ac</t>
  </si>
  <si>
    <t>710b571e0be153edfd407f488afe17183cd80d042cf698de18958cfacf0f865e</t>
  </si>
  <si>
    <t>7e0b4b4649a19707f7066508354098514110a82523b3fce48f0f3580bd12c46d</t>
  </si>
  <si>
    <t>e2d2ee0011cc5adcef69b154cb32ae15b3b356c38cfe91fae07389334f4e3d24</t>
  </si>
  <si>
    <t>be1d3b76ae95c258b5e85ac42b5b6e81d7aa2334e761fbf24da014988dd3c0b2</t>
  </si>
  <si>
    <t>b86e264d1848ddff45b172e41246e5a4471bb4c0997d65c0e7dd78339f623da3</t>
  </si>
  <si>
    <t>924fe3d8fd6371651ac9810dbf10bec6ca82d21f14e4587bbb63274142cfbfb6</t>
  </si>
  <si>
    <t>e5d7670aaf2cef4e7d2bb2309f0e2b5008ec54a99da90f8bef1c165749564e38</t>
  </si>
  <si>
    <t>6fa2bebf9a8e2fa579e9a77fdfda8afadb8c7df4415002ec49d67f184a180313</t>
  </si>
  <si>
    <t>12af08f80b837bed7c6c6d19b613d7dbc9e2283141504d81bff81dbd4df7600e</t>
  </si>
  <si>
    <t>49b9c2107f483709aad63f31c96d2e9b9113f1881d5e86ab1296525e8f56fc2b</t>
  </si>
  <si>
    <t>ae97b17e5f5fd21f2bba68d1f18ac2384fa9d906819fa5e98dc6d2061412e3ae</t>
  </si>
  <si>
    <t>4fafb334ebd5ea1412a26b4eddd113edad173e7e2f098d33847732c0bb1782ba</t>
  </si>
  <si>
    <t>9c233803bc445fa915e2fb5a52f566a85e3f81dbf35393b90461b87d79d1d91c</t>
  </si>
  <si>
    <t>304adc0d6b86e0e948f4e54d9e512e028c9e606441597eae9aaa032d74ed4a85</t>
  </si>
  <si>
    <t>fde9bbaceac3a78518353842f439013df35f8b3184b50749f81f5d62ed3749ec</t>
  </si>
  <si>
    <t>4ddfc2b81614fb2e4f0d8d409b8708792257521615e995e04f305c8211e6e57d</t>
  </si>
  <si>
    <t>544f9ad27057f6fb27ad0bf7d3fc2ea10b1863b4f291391bc8395813b2e584d7</t>
  </si>
  <si>
    <t>d30feba91ae9e9009b54709273eac67e1b534047054203668e0c5d4340e87c37</t>
  </si>
  <si>
    <t>4e3ea5faa54363ed74fb0e255e3ec8089ee3c610aac086bb2cf66c1167c258bd</t>
  </si>
  <si>
    <t>6113dce415012cda707413c2324d144bb679fd929a32b6ff3f6e76a74f1ad3f5</t>
  </si>
  <si>
    <t>a15b01a7bf273be9c583226f92e41d9cea50ac2142188d563472d1f68b81551a</t>
  </si>
  <si>
    <t>65eb236bee45ed406b716754fb3909b2f6d3e0342e6823b36068409e956f26ba</t>
  </si>
  <si>
    <t>OAXACA DE JUAREZ</t>
  </si>
  <si>
    <t>eb3448ac4d7aed2a37ac2e5ed1d3a89a5c9461a326532b4f30d212247d51ca21</t>
  </si>
  <si>
    <t>69f96d3b9659043ae5ac08a79321402a6483fa49140973cc792379bd0618925c</t>
  </si>
  <si>
    <t>59b56fa479b38edc2b650039a34e66f5c71b5f2a30132fd4ed8cadada3402fa7</t>
  </si>
  <si>
    <t>7d2c6e857e5d0834a018ac06b01fdb2853f3c52ee3cf2ac806d1a2fd6cf9cd60</t>
  </si>
  <si>
    <t>342115350f4e0d58eb7094a7c8698ea2305c9eb3f6bd7d0c6d09e533fd18c894</t>
  </si>
  <si>
    <t>d9edc82b0429d2c20956ef6170c430b34dcd4f3ddfd51e2dfcf7b61166301c6c</t>
  </si>
  <si>
    <t>59c92e5cb5ee4af622d83f7e7215c688b948b038469267960809cab5c629e953</t>
  </si>
  <si>
    <t>f58ba7a95e5d9751c7a3fcf0cf4868e1f7d5b7e0b65f3362fb6079369d8074dc</t>
  </si>
  <si>
    <t>84941ef8eec0acfc804f7cde3683b951e4b7671104994df202e542201f3a51ff</t>
  </si>
  <si>
    <t>6ba020a7392033a8b665352fe0a906f7006f0e14a77f6ba898e0c0b832f240cd</t>
  </si>
  <si>
    <t>fc9cad68733d24678be2f43abe5d33d4401b5820b9aa63b63be7d6b9db764053</t>
  </si>
  <si>
    <t>7961af6d810d96ce57e8774c390fdb1f1d36c63b35aebbe2ef87ffaf6c964f46</t>
  </si>
  <si>
    <t>ff7455d7309a1ecc1e61470b4d4fad09e8a1cc097efcb684da7434ff05ea5c4b</t>
  </si>
  <si>
    <t>c7b4ffeaee7dee5cff6868375878a18488b175549a64103520555a0d9ac035ef</t>
  </si>
  <si>
    <t>f7ca04eae0e6e8f70eba636db63456e99cae05614f67af2094095f825bc5d4e3</t>
  </si>
  <si>
    <t>ac79ebaf68190a65dd4c52d81ed37ac97c1d2affdd184b332cb4a6ee7e62a332</t>
  </si>
  <si>
    <t>c01a0f82692055d0ac084c30099ba6754889f474584ed29ce2da357ef6cd42e3</t>
  </si>
  <si>
    <t>fb6b314e6d2dc167da1cf4757311427380a4db5565b423a1c0a6f4523332a31e</t>
  </si>
  <si>
    <t>fa8c9b4bd19dbec200d35d87dcda93c318420090a1b277886df00c18d846ceb4</t>
  </si>
  <si>
    <t>94c2332ce94babfcfcf0a65fd5e052b33c55daa04146b473d2d5ee45bebb066a</t>
  </si>
  <si>
    <t>26c31346f1983cf5c108b7c0f5d90dbe1bb9f5df6c39ffece221f128eefe2291</t>
  </si>
  <si>
    <t>4a666bca5ebb577c6ba991ec12bbb7b49fb5ee0fa85445975aa9e6766ba9eb29</t>
  </si>
  <si>
    <t>669edb71603da3523c386cb7c92c08bb9b8e958af5fb1b04a67df25bf4b4046e</t>
  </si>
  <si>
    <t>d6dc918f420b46f046420176a72f6004021ffd025957c4e2ac364e4e2f343524</t>
  </si>
  <si>
    <t>7a68342f5d925b321746c33ec7a2688d713157a8af194764d2319e30daa8e210</t>
  </si>
  <si>
    <t>4262289a781b038b10b1c96fdb41da99cf187d6f1ff125f5e1ed361afa1ef1a7</t>
  </si>
  <si>
    <t>42903649d9763df3d4a040744ec746be99ae6bf3bad36bad06c810b56298927d</t>
  </si>
  <si>
    <t>154af2c8a635be36a4442f57fe67730e71c96b9f73e487ae35e98718f1798927</t>
  </si>
  <si>
    <t>7dad221ae53a7d7aaa9c8d6ada82637cfa8710b78473aee7fdc08e396e4eb693</t>
  </si>
  <si>
    <t>f4da6f596080262bbcbb136622eadc62e67133bc48d93e4bab380179c0c00e8d</t>
  </si>
  <si>
    <t>ba3f964f0280d1ab79ed42291e439388e6c749cef59b18f8c240c6f7f13bba85</t>
  </si>
  <si>
    <t>2579e6af9c19b8a1c2dc7db2a1491b1f618d5153d5b198609238c07ced47124e</t>
  </si>
  <si>
    <t>ef99bd6a1367ebcbab031698291b8660987502b2bbfb1996a088f33b99c565f9</t>
  </si>
  <si>
    <t>acc13f4b8b2fc25f2faed666c3bf9c5040ea17e9339c1de25263a6889af152a9</t>
  </si>
  <si>
    <t>d5522e77d77436c0653e0fd255f71ad5a12c558a8772900ed7fa02fcc0eab66c</t>
  </si>
  <si>
    <t>4c90265eb75b83f9c07f7a779872d835425d2b324b3a2b74daef3f5cc2702c61</t>
  </si>
  <si>
    <t>5fae76ffeef35eaf6b0372e0b7c3474779a7805fe315463e0d3e426dc4ce5c51</t>
  </si>
  <si>
    <t>043398524afc79be7c8dbb1f2a92e1422ff776ecb6ebeeda08cdece0bdc22e87</t>
  </si>
  <si>
    <t>993e91f4e293e3d14d8e848722c3eacba275af2baa3f542ae4fb7fb544bcf51e</t>
  </si>
  <si>
    <t>62e6b5f664be13eb6b6a6e77736bde7796616736ef8e82b32dcdba49663c3e9d</t>
  </si>
  <si>
    <t>acf8aaf2d1d958e11426b1f87a687807c7cc7794f4d41f45489408a9cd85f7f1</t>
  </si>
  <si>
    <t>a56e3c8129896ed2d6ba615112d805a0a8a9401f7390249777e26f97681678e5</t>
  </si>
  <si>
    <t>1a6409a43f0d2143272a0a3bafd5fd5624a746a8589b145207c2368999a5a883</t>
  </si>
  <si>
    <t>2ae9e6d27f6d5826c6372437da722beb86a018362fd9966998af70c52e899d8c</t>
  </si>
  <si>
    <t>183311c7f78242a8a91ac6dc24bcb876b9e0821aff34c83758ddeb6b102b3b20</t>
  </si>
  <si>
    <t>021bb7111a85ee6a1a0d2779d9a8cd571086db5d3a3f0e9531fc7b01b7f2d817</t>
  </si>
  <si>
    <t>ee65a34354fedcb107ccf528624228378ac56f898e74f094eff6c9be0a5c21ba</t>
  </si>
  <si>
    <t>f821d4c9574478e39d212a53ed2a97ff758c4185d2e11dfea421715f782731c1</t>
  </si>
  <si>
    <t>ae5f0f87ffdcab2bca3a1f8b415240d551533dc040bd8f90f549bc2141986211</t>
  </si>
  <si>
    <t>4ce7227ab59065259369c935fe6059f7a47da54aa6f2d560ae7616e0f6b0e786</t>
  </si>
  <si>
    <t>fa2983e60c7096e9c3031cf3c7d3a78d8006fb2ad46052b623625af8823d3b6f</t>
  </si>
  <si>
    <t>9835a0f444ce76fe54cb2bd624cb3ede3cdbe435392990606697073656e20b06</t>
  </si>
  <si>
    <t>23cac301c9e41126d1a4b806cbf59cafc22c1a67c8697a9c76f857503486d77c</t>
  </si>
  <si>
    <t>bcbd70f3750c1be5f7788edc6e439a0ba1e85ee3125a77d549580feda5686881</t>
  </si>
  <si>
    <t>8b7d9665787461023f3ab4114a062bdb0a743e2efab202eb420f06d19bf25534</t>
  </si>
  <si>
    <t>0dbfb877cbc454976770b629ce2ce19ad79ed9c4da8ffede37ac9e4ec9aa471c</t>
  </si>
  <si>
    <t>6bd97a8d09cca4d302c8a92f77e3c4b5169367a3ceef4ed2c6be79cb1723a521</t>
  </si>
  <si>
    <t>d9461b8fbf5fcffb51b16a4d283de48f283082d2a8c3d7199f5046d87e93a5f4</t>
  </si>
  <si>
    <t>65ec8d6363aeeff2e03559cb72512b514bf0cde860f6cbe102b808e2cf86a6f4</t>
  </si>
  <si>
    <t>207df3156a6c2ac1dc9d369007748ace48e9ceb74ecce5ff50d05c4d8f2e135d</t>
  </si>
  <si>
    <t>982ff303d31fe564a88129524f1e5c58ba5fa903d1c5302b78d18dd91a0df2b5</t>
  </si>
  <si>
    <t>8511322b3a2d80f5ab566ab1c2cb5099d9f651d9229aa82c5c96b319545fa164</t>
  </si>
  <si>
    <t>c7e3a75ef1b7c98773b5189908abf25e2d48dfb34d7672a439c9d000ee24949a</t>
  </si>
  <si>
    <t>e8b002df6bec1966464b7319448dc03a3772f3612cdfe108319582106c5ebcc7</t>
  </si>
  <si>
    <t>7f29dc9eba2bda7068ee0d1c9dbe6497dca596c8df7ca2c54fba0f10e7dbc9f2</t>
  </si>
  <si>
    <t>60763085413539f35894d04e60cea3335041fe35dbebc139b5506b67fae61e5a</t>
  </si>
  <si>
    <t>3a4060ce090d85fb9e50b249b4711fc543c017d19a52d6ed0543c8504d212b0d</t>
  </si>
  <si>
    <t>ceb0917bddc63052ac1e011d26da0b4c73efec3149b7d9ecb1aff6c01e6911c3</t>
  </si>
  <si>
    <t>924b29e1e3268e7562dfa40c0b8f85a83fdda26ee64b386aefcae7a0361eeb6b</t>
  </si>
  <si>
    <t>959a5fc15cff35a79d26161502a2cc8479c238d135cfd2cb539d2cc07a27b6ad</t>
  </si>
  <si>
    <t>4766ebfe3f567c8d739d3290597b6231734af02305bdaf14bc95feb8a2c964d0</t>
  </si>
  <si>
    <t>ca36b9dedc2e9ff91a862aa630743e93a5af452ad778a3d3fe284fbe4155ea7d</t>
  </si>
  <si>
    <t>87fcadbb0e895fbb56045abbfaaa5400eb5fc7c6d4caba0e0974c9ff1b8bc476</t>
  </si>
  <si>
    <t>317f4b359cc4e859c887bd86927197b1eb9ffdfdcfb7f6e65ab5cdbe542eba4b</t>
  </si>
  <si>
    <t>0a35fd812fe5d24f43b61df2fe73161dad6a991aba419bc31d069d6ff793888d</t>
  </si>
  <si>
    <t>a1414a2db72e3ab2a0da040d17054cc0ac7822dd5ecc0d4e1b726c99182ef9dc</t>
  </si>
  <si>
    <t>712a1b9e20c52055dff7bcce423e1bacf80c3321da063928817810a38c93a38d</t>
  </si>
  <si>
    <t>48d7e1fb0760f887e0ef2ba74f090cffaab9c841bf37ac1b187c2849281dd931</t>
  </si>
  <si>
    <t>69b938ad8efa0a698029fd02cdf0b5e46aa27159cca6acdf915f0409f8c642be</t>
  </si>
  <si>
    <t>9254e1de85cd9e572aebafb5c483bc5a5ed6cd216836768af93f6469ec850d34</t>
  </si>
  <si>
    <t>2c08bab40d4ac128abdcb230fd4825ccae7387a1a0c0027244c6873e7e10facc</t>
  </si>
  <si>
    <t>a600fb24332cb8a57b3fe9f091881533e6ad35ffb6ca7ccc80e0e1f421db5cc6</t>
  </si>
  <si>
    <t>591fd70071e046b439092bdd59831f4dc09712e5778e7db62862a3e44cbefa6f</t>
  </si>
  <si>
    <t>1535eb3fee851b252f11a0deffacc23643ac3297db5e5f4fde31e9023d03ef8e</t>
  </si>
  <si>
    <t>aa34b12333aa01c770e9cf07b352ce1e90dcf5ea5fbe92507aed8b9058289339</t>
  </si>
  <si>
    <t>e85892295c0ada82c1dbfab933c609f6ba7cd42b87ab47d8681621d105287f69</t>
  </si>
  <si>
    <t>4bcc21dd000c6d7c8dd2e059fe6d2e6e9eaea4e3f5fe278ad7d5a044c423fe7b</t>
  </si>
  <si>
    <t>b8c19d9aa238c5a6c50b20a7a378a6b216f4ca0e5ed68ae90286d61b92133dad</t>
  </si>
  <si>
    <t>d479f4e53efe17e964f72ec8e6255a089e7bb97aa29ef7a779db426574902f14</t>
  </si>
  <si>
    <t>4a4cf6186abf5bb8a75d7ee9ec7d4dcff4277a8ba8877e2bf709ab0ba19458b9</t>
  </si>
  <si>
    <t>d28a07e5c194b9b38a237019ca08653439fb2663b39834b20c66b301639c3b65</t>
  </si>
  <si>
    <t>e027cc5013bcc54a3e270b1c41a3bb47c25c97bbd8ad3a1097ad5d932818353c</t>
  </si>
  <si>
    <t>b140fd4a02ec12ee45e985de23642c3050318cd10ca2c05de74012a463b7c499</t>
  </si>
  <si>
    <t>9aedc4359b6d995a2342cc91fd79832b3fdae037cddec17f55345bf3e803e009</t>
  </si>
  <si>
    <t>c94ed498b7b141ac0e2d8137d0542d1bccae098d9152ca92f308dc642f497403</t>
  </si>
  <si>
    <t>8ba6c052adfd40ecda4212182f9f5a51c0e0e1921fec27d46dbe42421a0f19bf</t>
  </si>
  <si>
    <t>7b72b464d75889c7d972978490237cf58758f49719eeaeea723efcfca9b2b8af</t>
  </si>
  <si>
    <t>0a7fbc78a00ee29a4932a7dbbae13a747be495b6004a630df0177ffd92401ee4</t>
  </si>
  <si>
    <t>ad6c288e4e297845c742976722688554bb4a18adff967c2110c3c80babd51df7</t>
  </si>
  <si>
    <t>16e030a24a1a92be4e2cfe4cba6966128d9ce780153315bb35c138d949c8a1a3</t>
  </si>
  <si>
    <t>bb9ca76136ddeb9045ef8ee7cc310612fcf9ba3296c3e36e3b336e51576c39f3</t>
  </si>
  <si>
    <t>1f73fb24960de1f3e91ad1f8d15dff558e7f56e04768e998b2754a4e27bd4c27</t>
  </si>
  <si>
    <t>9386e326ae5b48026834697b7aba81772d2112cf57f5580f36a61e4a37e4c401</t>
  </si>
  <si>
    <t>b072cc86dd32324552eb2d8f7d0b74a5b2f857f5c4a12613fe7a1d23ee9addc5</t>
  </si>
  <si>
    <t>c9001b72a4525554e8cec5b779c1462a3142c59e7e98d2a63428f4d8b1cdf81e</t>
  </si>
  <si>
    <t>7552f857f78e2bb259eb34667d59a0d8b8a84bcb5f6e0263557d9ba3ee8c3781</t>
  </si>
  <si>
    <t>aaf8be389c0adadae2301f3c4824498dc25e86b9ee2bf030a33a7f564380697d</t>
  </si>
  <si>
    <t>bb24cc66db267790f4cfcb1b43c32f114cbf1f59eb4c11bf10e92f4883df6600</t>
  </si>
  <si>
    <t>a6b5869a7286a2004ff4b03c34ebc139d2376877cd3ffe86b07e8758046f45e5</t>
  </si>
  <si>
    <t>d1e5759eea1ea3dc69cb19e131f60abf27319a255263e63884cb3b35a4d6e11d</t>
  </si>
  <si>
    <t>7dcae48d25a67b9e3074d87ba8d7b6c2490f694ab8963e42fe031b8994dc3bba</t>
  </si>
  <si>
    <t>5957b8707ebec751fc69d0be6ce0b05b4b7980595dc564ea746363efe4c26d83</t>
  </si>
  <si>
    <t>b1ae3e7d189a1104717e308352822404f0588642f030f50a2f0a9d809de0fe98</t>
  </si>
  <si>
    <t>864e214792c69683ebb5f4a178b54f33c68552951db14f946967e4e964f8e98f</t>
  </si>
  <si>
    <t>e128fb25baf833390202c1c4a16c94f99d103eb7640250b75fb281ca0161b2a3</t>
  </si>
  <si>
    <t>3a7b7bb2609778d12cb57f87be795ad47b122daefa199f8d9249737602167c19</t>
  </si>
  <si>
    <t>a587f47cc5dea2810a0336abc83d6d0b2e38c9fd78729af84ac431ed06a230c3</t>
  </si>
  <si>
    <t>26e538fd7ec71443da6319caa4576847073d6cc881f81b5c4e5ee9d5405586db</t>
  </si>
  <si>
    <t>c721d8a07245dec29e2cf2b65a71e1c55df7c31062347ff5c386bf13bc3c8e74</t>
  </si>
  <si>
    <t>facd4de755b2ca99aabaf1bd7692baa7af2fe09acdfeb6da01eb3770ae060e4f</t>
  </si>
  <si>
    <t>74bbced4d8e9f606d41c267dd0f47239154a812ce32fb4ba7dc167024e073d93</t>
  </si>
  <si>
    <t>e21d7c43632a0b881afc386b9c922990c5280d5ebbedafd7e11c7985aa70c77c</t>
  </si>
  <si>
    <t>95b5b0a183b0796eaa8d865487282658a8db9ee10b4553dcc241c7e18acfc438</t>
  </si>
  <si>
    <t>715da5516280cba780d7bf3b3bf3b1d446e788f7ab376ce1ffd5e3c938ec8b5e</t>
  </si>
  <si>
    <t>9b2feba87673d95af4a9a35765c698ba71b44c72c8275c3abdd995d031532fde</t>
  </si>
  <si>
    <t>9527ef3e47619c9004f85be3af8455d6668c590ae5f1525a91f0e7468f3354ae</t>
  </si>
  <si>
    <t>6aaef8516e9bf84e3ac1bccbe61b416d478f44668b39a8504067bae7382b5593</t>
  </si>
  <si>
    <t>3ee42e33a47db6766035581e4d2dbbcbf10cf75fd4f23187ac61738052caf300</t>
  </si>
  <si>
    <t>5bbc99b0256bf5876529fd665b83ead5ed0221f962202f7d6c2a7e4779a92718</t>
  </si>
  <si>
    <t>6f7fa8e0291045d3f667db3a26e501e98e0267f8b69bfcda14e81e92b56a5fb5</t>
  </si>
  <si>
    <t>447e993e095f880a146ca563e6f2973a4db89f30aadb3f3614b22a84283fda5f</t>
  </si>
  <si>
    <t>a61f119e05f3b723d0cf26d702815cb195ca2dbf3b6282315ac40593140e5290</t>
  </si>
  <si>
    <t>5ec81aa63aeddda49485f57b82f8108888a6e8d681d788644fce77c7293d2c61</t>
  </si>
  <si>
    <t>3d39288e674bd2752a5328192b627b2c83b2742ac9edc6337a017f221c2e35b8</t>
  </si>
  <si>
    <t>5382c6c0b11e96f1ecf8ec1f0fa61ec30355f24f49384a3a448b522af26bb409</t>
  </si>
  <si>
    <t>aa8dda47e7a716aec5ffc35789b3a8608b98600dbb2f495451f668027b5ec4d5</t>
  </si>
  <si>
    <t>7eb5134ecc85fad404a9618c84be85441eff21f6e3d5d14c7557c084c91190fa</t>
  </si>
  <si>
    <t>16a7d333c682fe7eed1cb5bbb2328c3edeaf4e4a4f8ce1d0c3bb9d00276e1e17</t>
  </si>
  <si>
    <t>325fc870b0c7a1e286082d76fdee5258e8d80dfc305f3e6d2a7456d271bfeb4b</t>
  </si>
  <si>
    <t>d86117f3b591ed4efe05f2085586f9e2b306a913b4ec964b2dc216ae5b99bb62</t>
  </si>
  <si>
    <t>842f6ca4e7d89b7943b9d2f93094d2de5bb5af8c2d2dea112d8ce3f7d100f0a4</t>
  </si>
  <si>
    <t>5c3701ca37ecbb5598895e9d477000a2e6859a8c9c2ae35c62b5957f1f7f7797</t>
  </si>
  <si>
    <t>0dbed117d1ed672cd0ea2480e077ba2aed9f117f0adb84f6ee51d19b5bdd96ff</t>
  </si>
  <si>
    <t>c9511eff63f2f1d0fc9c4a5d6878b8a8c2238c262c6c72a203b778763af1b3ef</t>
  </si>
  <si>
    <t>6acd2e319a4d5de4294ecd209db6305bc221b503e2e019ab4929c2a43364b24c</t>
  </si>
  <si>
    <t>b850759fcae6d49b597ed437ac06f34c849fa1b5a9e3fb7d9c495bd99923520e</t>
  </si>
  <si>
    <t>9e6daa5fdf9cfd0e55bcfd2e082d27e28bb791c33aefbc59281d858947e12d97</t>
  </si>
  <si>
    <t>fab5798b7e09569bc0dabc1e3d881269c7b2362eaca3764423ee181cf631ec4c</t>
  </si>
  <si>
    <t>334fcd4c05c63c7d72009033a020b5aec9ae4f1f9dc7c4d10cbec40fab232872</t>
  </si>
  <si>
    <t>7994c301b1545ac1b694c46931f546270ada62bc9c4ea4a53242486ae8e23920</t>
  </si>
  <si>
    <t>d2815392db99dd7492e3e3e5c40ca14d21b2634d6a42e5c55ffa13d83a03eb1d</t>
  </si>
  <si>
    <t>53c03965660e59e64e8ac2588ad8c9a298a66f26b8cc7fcad8b2684af07b0346</t>
  </si>
  <si>
    <t>7cf44030b83af4b5acda7cc70353af3bd8277997f6480bfadb9ea9f86396cf97</t>
  </si>
  <si>
    <t>ac21742af57c02fcfd8d2f4ef4a9307e6c08cfc8bfee20729150753370f73824</t>
  </si>
  <si>
    <t>398796ac9840defdf716d7d7824b8def98c279df4d6504e90ef42dc02460c8cd</t>
  </si>
  <si>
    <t>1d5dfe79e35a967ca03217d41999eec901bf186eeb6a9407b5620756b1e551d9</t>
  </si>
  <si>
    <t>ada0bc4ae6c96fe57b828a422672c3cbd939f8b13b2b7f04e15167fa54c3abe2</t>
  </si>
  <si>
    <t>7b53826dddd9b4757d473fb25f23eaa926b7cd3b77dfb92e5480d6b96ed76d4f</t>
  </si>
  <si>
    <t>cb7f02a0d78fe4fdee5f1e48bb5af3b7cfb3e21ef6788dbdac93e82b1c613a04</t>
  </si>
  <si>
    <t>655f6afb9243625755c5a15d1e0e2bfda708ef67069d0621cea5daccf10504fa</t>
  </si>
  <si>
    <t>2923505a6d61d208a7197f3bb9fe4e1917590a7d7b48240290fa31c1ea76a015</t>
  </si>
  <si>
    <t>292891aede57e2f1939d95704bb75d9fd3a5b4da67cfbb911ba27829992bec01</t>
  </si>
  <si>
    <t>fc4f1ef46aff647f4634696989a7cb7f3b9f60f9507c9f15cff9cea125aaa97b</t>
  </si>
  <si>
    <t>885bdcd4969a73af19d3f3db358ac3b6ed8029baa4067fddfec401f3d71bbb89</t>
  </si>
  <si>
    <t>53a5015b12b823a785107917ca32c0ec334cb0c874861aeeaa6d8f273b1d780c</t>
  </si>
  <si>
    <t>392bb34d4277cd83de75618c38320d1e3bc5a338d43ffb2f80fdeaf18f461a81</t>
  </si>
  <si>
    <t>9414e43810b548039bd40bbbc1011ca1cc3c2a9b3823d3e3c1ee3e1e86d43596</t>
  </si>
  <si>
    <t>6c53374fdc9b5c484c0052a860a652ed62c2ac7094fbc314b564c3dfd5f73d2e</t>
  </si>
  <si>
    <t>c442adb1b54986399e1ecb3e11951b777e09689bcd16d8e3e329d700d1d4ff3e</t>
  </si>
  <si>
    <t>67e9e30629fec40bbdba5c395ca116776efc4f30438130f093ca55966e027273</t>
  </si>
  <si>
    <t>d93d1e6b88d13e518767d05a6f8f3aa00ea7b6841e089391ea7d0e18b4980d72</t>
  </si>
  <si>
    <t>23ed38122479b563efb1f0b2dae933be5993a2412c9f9ce98d255044797ad140</t>
  </si>
  <si>
    <t>f9e39b09b53d01249aaadc23efcafc6a6f6e3c4551a0989a764f2da3a25d8e13</t>
  </si>
  <si>
    <t>eed8072bb99d43df66b3740e0a82d1e86394545ccefea131025b3b8993d028ac</t>
  </si>
  <si>
    <t>d217e1d2c3b2fd67608cf7bf6883b1d9a210619d194ae45f079359f46c2426ab</t>
  </si>
  <si>
    <t>7e0184c9cc4bcf52bb0220bc4d1642936352986dda18a8de7dc38d5c5b393b77</t>
  </si>
  <si>
    <t>703d6e7481255abcf9d36ac9cdd7a7d6b7ab2507f8d3822eb28a1c0f7659ea9c</t>
  </si>
  <si>
    <t>5a54c4b1d042ec3f6cd8a75faf9c9d556e525eecde9ea53b8f1969c133dbbd10</t>
  </si>
  <si>
    <t>1a50c11ed615dd03afcd293c5b8680963403b316df5fedda663e9016934bffbd</t>
  </si>
  <si>
    <t>582b9fa75bf69afe81fc9c79e8f506c8d8e0b96abf745e4d320bb1c6cb0cdaa8</t>
  </si>
  <si>
    <t>4ac2d00647e96c4b513be4f00ca06fe9bacdfd62f1fa840a4e266f5bfc7a9828</t>
  </si>
  <si>
    <t>4c6a7b77ff7c56b00c92e7fdccab3d937b414079f97a88dc96e1c5adbcf84a8a</t>
  </si>
  <si>
    <t>d9ad241853a822f829d6bcf5989f052ff287938cb8467d9763781927353b9739</t>
  </si>
  <si>
    <t>c87522aef5e0ad6bb64e79d1cfd960093a02de29bf92f042ded51f6f1b91b2df</t>
  </si>
  <si>
    <t>e6f6d0ed00a1b450921250a580dc86846191e9c91c55f2a90e70fc713617566f</t>
  </si>
  <si>
    <t>a0071a1ae83bc69d30c3c594e78e4c5d7efe3407c5a8e02e62d26d2c60115551</t>
  </si>
  <si>
    <t>27dc2462f1f9067921528e327e8612ee1cf09dc4b7db5521a09ff8d75a64087c</t>
  </si>
  <si>
    <t>70fbd2433c85e579dad717c3e3497484570941892475e2b42fc1312cccdfb0a6</t>
  </si>
  <si>
    <t>5210a5fdfebb172f4394b5c6f33e6ca2672eb65dad63c2b2ed48588ec614d6d2</t>
  </si>
  <si>
    <t>08e5f31d5211642f68103f27250b0f0860e4c609ad8f73ddbfe6a25660c2de66</t>
  </si>
  <si>
    <t>f16f6ca68b48a239680735a246c92622186a86a6803a0d04a799a7f8bdfa6896</t>
  </si>
  <si>
    <t>2e2045efd9bc261b7117a847a997006c1d0ab3668d1e31babd0159e61c3d2e79</t>
  </si>
  <si>
    <t>852938c0faa8019b5806af11066a32d4a6550d3be375dfc30edd42cace19f7f4</t>
  </si>
  <si>
    <t>05920be242e06b4548f5f33459643a342d58408d1fc46686ee159241aee5eeb7</t>
  </si>
  <si>
    <t>58c8adb4eb49b8158e8c83ca1764ce1d54d1374ebed74fd572b9cdf5f7496231</t>
  </si>
  <si>
    <t>ba7fb5c6e5cb62c8870f28b81f04e7de9154ae04f62a83729fc4dc35585b4620</t>
  </si>
  <si>
    <t>c29775b1323ddf80239d225441ce50f8f3d16d3791a035440534a8f8d625343f</t>
  </si>
  <si>
    <t>642cafffddbc5bdc51688eb9e3ff8147216656e78f01897dfca7490bae7da143</t>
  </si>
  <si>
    <t>7eff0d458c479ae118e26ae18db18fc73b06eef0097a058d5c18289e707ba73d</t>
  </si>
  <si>
    <t>f0765343988332bac350b65a656b643e6763f73dc68ec02cfe6f219326092d93</t>
  </si>
  <si>
    <t>726d25e1e1a7fb7b2ad64d9922c94274f04cd59526fcb24baca0e676732b87ef</t>
  </si>
  <si>
    <t>9a63a68c2c3a17558885a9a46ca9af26db94f5e4b9da2bbe6b5277c9b28c0115</t>
  </si>
  <si>
    <t>fa625b6c7cf7bff6dc0233321b82dd802feed242754484226b8d4403156f949b</t>
  </si>
  <si>
    <t>7f47bc696f4cef5f28ec3f16942e7e0f8cf7e6f649f92fbfde0b30124ac2945a</t>
  </si>
  <si>
    <t>f06a2ccae41445e044f72872075abec90b4d0cfa48771c78cb0548ac5ee2b6fc</t>
  </si>
  <si>
    <t>1a2d3508afa95f4d2f050a4febcf2489fc89ca7df7b6b624315f15f0af5900fe</t>
  </si>
  <si>
    <t>44c49f786064793b4391c13f1e6b02247ef6486311f3302dd299c665f7be42bb</t>
  </si>
  <si>
    <t>92ae540191867427aad484c179b8fe3055c94acb03eb2fbc5ca47984350f6813</t>
  </si>
  <si>
    <t>2878ca58d8e8a037fa538b83945cde169479c7c02d4ba1fa024ff9d47c30bea7</t>
  </si>
  <si>
    <t>796564f0d3d82d287df090359bb291d57d11513de51c8b95f9949e91baabab8c</t>
  </si>
  <si>
    <t>7dba36fc1b435b93334871ab793261f4a51732863b2e52f63dfba45cf46ff4f8</t>
  </si>
  <si>
    <t>286f98bdf51270ae86d25f1393acd8992577cefc5384e4af239ff42301260e2a</t>
  </si>
  <si>
    <t>9ca2884bdd1635c958e81191cb991a041444da6f630d07427b8d84b1c67700c5</t>
  </si>
  <si>
    <t>5709adebf86c765a68644921ddebee29eefbfd6d6b315cfb24b51e6928dc4122</t>
  </si>
  <si>
    <t>1b854cb19d0bb1176382e018489b3d382bdd483e4c834ee233d37597172c7e74</t>
  </si>
  <si>
    <t>f8db5a85adb96a1e930ee034b0de24923a1504415ddeb00a49aa527a6e7774d3</t>
  </si>
  <si>
    <t>f6543a186637848d4a4695d03695bb0c75df2f252a605e4d961fff427ca2a1ab</t>
  </si>
  <si>
    <t>b86d98e1117bbc9470e13a7071df0680c6c38e5a3b5653e67a5d344791d5e0aa</t>
  </si>
  <si>
    <t>73314aec72bd89bd0cc36c0bd1b4ccdbbdbd9d4c73f1f5a464d3c0a50715c409</t>
  </si>
  <si>
    <t>4ab13112168a1a813e53da605a708843f5a9780921588f86ac2e3a7b3917d4bd</t>
  </si>
  <si>
    <t>9884b1c850951b9b3e68b452bb401ed2ef8af2bbcb3b0332eb1b44fc505e774b</t>
  </si>
  <si>
    <t>453b871c8572c52820f6810da565e65f9469f9fe95e7695bc7a453e3e801e6f6</t>
  </si>
  <si>
    <t>0948e1f5e64b1fe99432e36ef1923a474017c6ca5029cb62a645a51048fdf6db</t>
  </si>
  <si>
    <t>0a2925637c5080bf93df2e7cdcaebc39c11fb9e3da3a07294e3d5a46c7a5224c</t>
  </si>
  <si>
    <t>a4cb6a83bbb9023dbf34a6799ec4876167d9dd5deeca93a9104d6d911aed2e0e</t>
  </si>
  <si>
    <t>55d178a4ca71beb7c8ffe1d3ad082f41db84d549fcef1e272dc05b86430b38ce</t>
  </si>
  <si>
    <t>b83a053b47780abf77165370ca0cd0ac023c1fa82cef508ba36d329bb712f7df</t>
  </si>
  <si>
    <t>244c69605a5f30d0ea977da7c526ff55400d1e0e2fdc7af836510ed09998aec3</t>
  </si>
  <si>
    <t>0093e25425805a45cda6d3f8d601e39396320150a8e84968508f5404391f0aed</t>
  </si>
  <si>
    <t>9ce06537d924327f471c79202a374ba95a449d41b8b4b2e1d42af418ac6cf2b7</t>
  </si>
  <si>
    <t>9dfaad36ae23551177efc2a98d5e2f1afa3de6a626cbf003c13b1a6a23f82216</t>
  </si>
  <si>
    <t>1389b415d4eab5d87651086bf270192866638ae23d8ab3e68e34826e11d9f45a</t>
  </si>
  <si>
    <t>c6451d3647c40030187003bbc49b3b0f1a9dbda8f391f1e51ac2c807edfcd981</t>
  </si>
  <si>
    <t>27148fdd9c0de40d66da3db399e9429f49d2ae2cf17bf618f5fe6fa4cc395d46</t>
  </si>
  <si>
    <t>8687124291fb28e7d0f3f0fa7642be6bed695cb6f16872e71050eadb11119257</t>
  </si>
  <si>
    <t>54e3b59348012cc949f1ae58fa107204c98c19027637a8a1992092453392f4bf</t>
  </si>
  <si>
    <t>7857355b2995efc3c64467092a77c3834e56cf87242c3e84d3e775cc61641460</t>
  </si>
  <si>
    <t>1d26e50923338a881aac53bf441ae35fe0208ff403a2aa08906e4cd783f5b347</t>
  </si>
  <si>
    <t>94eba245076d28d2f63b2d10e3df8c259ce617965bb771930ce4c9b4a6be0c60</t>
  </si>
  <si>
    <t>4d14cf9a14db174cb7babf13b7fab9fe1599042b274ee73a13b1f49a1d31b699</t>
  </si>
  <si>
    <t>7f86df1d557933e6d18f76d660f8c1363f6670e7335e4a93865dac5ac623861c</t>
  </si>
  <si>
    <t>5b9420d601a19e28dec7fd8e7ccf9fcf52f86d38903a880be17759f971bb6305</t>
  </si>
  <si>
    <t>bdf27212c55dcfbab43eea212d4508a67e037f8238c7b45101ac52f85263dcd6</t>
  </si>
  <si>
    <t>6749afe40815b54d14bf9b4fdf04f670224a587ef92b382098c7735c4621bd5a</t>
  </si>
  <si>
    <t>37c697131a89fdfa251b94e770bda62c1eb1467d740a3e95890c20f0c94c911f</t>
  </si>
  <si>
    <t>1d6aa30977eceb2ba73bdec535002a64949edf9ca2a0f51023cf246ea645b560</t>
  </si>
  <si>
    <t>5db63be74fba6b9de211315ba37cda159a30dd7a1212c4ac589781712944db1e</t>
  </si>
  <si>
    <t>272e871490cbdb5ae6213fdfe103623e1a2c1bef3d44d970c5f2f06a8d3e3681</t>
  </si>
  <si>
    <t>03bc8abee6446f29aeada8e07a0151f944ccf7a01c298bf524982224c755dc61</t>
  </si>
  <si>
    <t>560b153cf25b76efcd7d728a4d7237ee8ca4a0985947f9a29fdad047a7ee72dc</t>
  </si>
  <si>
    <t>74f321f38f4a438cc9b36407ffa586ce29b2c2307b34142e016c9196e5c34b44</t>
  </si>
  <si>
    <t>e1983e28350f0f242039ccff4dbf30af7a19e7441df53887afe0a67436d709b8</t>
  </si>
  <si>
    <t>1558bd6cf6ad4b55b3d48568193223b5822053f01af2c0647c3868128ebd7b83</t>
  </si>
  <si>
    <t>e13ae2478982d9c3b6f65e1149df8bb099d6fce794168634f6c494c628373ecb</t>
  </si>
  <si>
    <t>b7abf50bcda31fae763d29bd371b4254fc8612ae057f8a33171821f847324aec</t>
  </si>
  <si>
    <t>086edc1c71d49902af7501431c2eee1c3975fa9a6ae586798692ca56a78dcc04</t>
  </si>
  <si>
    <t>96a2e981e51a61ef24619b2c4cfb4fa72ae76e34e6929ad8da594dac54bec1dc</t>
  </si>
  <si>
    <t>3abe96d79bfb6bb978c8d602d6eb9e993bfc96ffd20d40be4785ec7c80bc6498</t>
  </si>
  <si>
    <t>d987cc52b34eb3961e2d09d25359ccf49d711671b53b0d1d708479576d5cde1e</t>
  </si>
  <si>
    <t>d37909f87cb6d0ce1d8fcd842be2bdac09cdf9ea4aad4eaa92ea95cbc4752668</t>
  </si>
  <si>
    <t>e7acb228b611133d8bd282bd9f57af983e2cda105ce1645ec562f0a0bfb40049</t>
  </si>
  <si>
    <t>62ff4e317d9c2ee93d6ac7ad2051b48ade40b96fc511086e6a497b0cfab06fbf</t>
  </si>
  <si>
    <t>a792e8016293e685d0686c72c01e112ccf41783a02a8f54466fd4673307428d2</t>
  </si>
  <si>
    <t>af9b6777623adf673bf8b7918fc844e365c10eabcda5dc576798772f9503e315</t>
  </si>
  <si>
    <t>c4a9ee8a0fc04b4c93d07bf8817938096aadd8dde92026e638ace21eccad9a4d</t>
  </si>
  <si>
    <t>6b91e24ef8c4110c508a67066005f917a411fb0bb8f6c40a7ce5d09c075e7060</t>
  </si>
  <si>
    <t>f57340d279bc8027a1d4174edf460a8f880bcbb527ac2fd76a6ca279529c112b</t>
  </si>
  <si>
    <t>12f8848a8cd773c9c4151bfc79017e44db52e427ba6b5f3be1b54c762d196aa6</t>
  </si>
  <si>
    <t>cf25dffd18d0f76a52d38c0439e7c397b24e755c4fc47e81d3f10576c08f073d</t>
  </si>
  <si>
    <t>6b0fc29fc00e225fbe5be3eb5a917b17ee0ce83857fb3040190f4d40fe88194a</t>
  </si>
  <si>
    <t>2414ebb66c505361bcb83ca6e754d853c20a0c0db51cf2823ee1365e57787546</t>
  </si>
  <si>
    <t>18e7bc4e3685d0b4e495335efef8099f1f06191cf8c58af0e2f1d3f6037081f1</t>
  </si>
  <si>
    <t>4acdc40ae723e89b62b0ae1f7689e34dfaeaed591f15f6a0f4d248c5152db154</t>
  </si>
  <si>
    <t>2fcb4f16fa31fc56ee8cffb0a3b6fc465845138a449dfa6f7ae206cf99013bfb</t>
  </si>
  <si>
    <t>8c48bd4afa01a0848a12dd71a2b2b0b4775ec18ba2bd6aaead0181174c42ea34</t>
  </si>
  <si>
    <t>18135d5adbc03412513346b377a387ec0fa8f486ae55189f509e1f5ebae9a1da</t>
  </si>
  <si>
    <t>39beccf352690659d0c59e5985180104469d68ff18d676e37295cfd33aa64024</t>
  </si>
  <si>
    <t>dffb0914fe4731109097305557d5b83d3254a8ddc1c6ed9647d32954c2003d9a</t>
  </si>
  <si>
    <t>52ba8e3e4ea85088cba9e22268383561f1deca4914a301d0607c0cb980078c93</t>
  </si>
  <si>
    <t>b600227ba4bec195aee47898e7d1b5e8a987e6ff5628091e27c92d6ed75b0d61</t>
  </si>
  <si>
    <t>2e2d8d8d95e0dfb2e30322addee42013e5432ed94d4903eaf88ab70bb1730cc8</t>
  </si>
  <si>
    <t>dc4d9a9d5bc9720b3ed6d64138c0e4cd4b24a36e20a7f9883cc45459e9a22d9a</t>
  </si>
  <si>
    <t>367acf372c94645dcc38b055a95691338461da6ce6a5c8fdaf7b944dc39d805c</t>
  </si>
  <si>
    <t>12089b68167c6a0765b719f4ef15247c4b0acd4fe29c1977e998303b5bd0e731</t>
  </si>
  <si>
    <t>8eda8a16c38aa5e5e9501621815431d801d4b3287d1411c5bb0f80d4f989adf7</t>
  </si>
  <si>
    <t>ca8e4698132e0819a34bfffb6028ed20a26a2f6e1bd210ade30bfc8ab451ec16</t>
  </si>
  <si>
    <t>48cded8f6925e53e891ecab1978618b29e5f4847dc80d265c4b480230467472a</t>
  </si>
  <si>
    <t>da25790b6d6cee5d1e34a42cae9c289569d9c4954862fc3bc2cd72e8f506bf65</t>
  </si>
  <si>
    <t>7c1542f6c014a0e7e8157f7bfbd285aced80641247ade9d2b433a98aa5ed0cb1</t>
  </si>
  <si>
    <t>d22222db759186bbf5bb6f4f7f730dec00d8b9e0d2308d24d601d82db3003b57</t>
  </si>
  <si>
    <t>3e0b123b907c5cd5013cf74099a6647612006104f20fd03ce9c738058ca1d118</t>
  </si>
  <si>
    <t>94d8594c240e3925752330db8c6dad6026e8ff2b16180be62d175ed509aedad9</t>
  </si>
  <si>
    <t>855dacb4785f890efaad010b9541fa485c173c6ede5f6c26a07fbd8aded7567c</t>
  </si>
  <si>
    <t>1b52f009374dc265d781a65d02636a855027901edf007fae2ed2666a260e251a</t>
  </si>
  <si>
    <t>975ebe306d5ba1928bb23bb7c3015835bed269c8ec3d9bbe159cea1bcb991746</t>
  </si>
  <si>
    <t>d014f7a6ee10d8a34b23fc3244b394e7e496c3012381e4e10c11fab8444f762e</t>
  </si>
  <si>
    <t>0ad25141898fbdb4d1d0e0f5191450d9101382228b3f7c941a5824bee60320cb</t>
  </si>
  <si>
    <t>ca770b125adc61ad5c547cb083451949f5bda53b6663cf5a6263fc70c93718dc</t>
  </si>
  <si>
    <t>6ed491a5d5a3f9aff0577a03e0b17750780f9d4c7d37b3e02bb363cee1a66239</t>
  </si>
  <si>
    <t>9cf804906296934dd6b5fc3dc4fd2bb84e7ee2a8ebeec26a2cb46da4d6053b39</t>
  </si>
  <si>
    <t>eb372b7b9fc395aa08379cdecdabfff9bd4e6f057999ea7116819f13e4b9db2e</t>
  </si>
  <si>
    <t>d068b53988c1da0f88f28edf4d6d2fa5a4be27675ffd2ec28f41853538a46cee</t>
  </si>
  <si>
    <t>0ebc50c4c4da990a0e1e092e7451098f18eeb08e42bc702376416c92f692434d</t>
  </si>
  <si>
    <t>b7800f09ce0c1c050c7878f5b1e7a7c329a5183274e0b80553e13166aa368e2f</t>
  </si>
  <si>
    <t>0cd2133cbb0c380b562622d46e4cf5d916d4399cb9717fc78ba0408f04680929</t>
  </si>
  <si>
    <t>462764e77940aba6604ba6a0841c7afeb7ac26c4c6bec3b18c0043f0f0ce30f2</t>
  </si>
  <si>
    <t>841be21f26e191ea3c8f46be5c94f210a9fe12087ee2e48a9ec6562830a42e0e</t>
  </si>
  <si>
    <t>b51c56842e533060b54cac1a1364a4e1c1b973e8999236b355549f3cf401df45</t>
  </si>
  <si>
    <t>6254ac43173796eeb478f28e5d9c696c54cbddc593402718c758f30fec2d8006</t>
  </si>
  <si>
    <t>f5830413203050c3a581ccae9380e00cfb5c10e7305c44f29d2309a4a753e632</t>
  </si>
  <si>
    <t>1cc1576a340573e5642b1cdcc8645b87bff3dd1124ab0a6b4b9c1f82e1ac9a56</t>
  </si>
  <si>
    <t>447f9c0c41c070fd553c9a07d3946855b4499f4e36a8248e644d22568854a400</t>
  </si>
  <si>
    <t>877646f7f667865b68f0d00e288a7ac9f824428e74418a485887e467b42288a4</t>
  </si>
  <si>
    <t>5920dd061a1944c9b89986f11817eb71d5ba56d4ee41673e977a23d741250b1d</t>
  </si>
  <si>
    <t>46c1a9dfbfa384ce30f73de6baa65bb1e00c29e84f9d7ebf3a2608db9d695bdc</t>
  </si>
  <si>
    <t>e0a141d919becb01e64d11572e5d9224bb4a879564e86b11b4da285fa76696bd</t>
  </si>
  <si>
    <t>4cc6e411eef69adfc8414c5256ad909d502b8d53f6df20c9ed89742388a0ea68</t>
  </si>
  <si>
    <t>41a2344d8c1010ea5db397a5211e3b13b0ca6e7d712669feb9254ab1d369f5d0</t>
  </si>
  <si>
    <t>db591aec7620aae3085dbaf5a6d31af2b8f147d15f760c22ecb12fa17972a370</t>
  </si>
  <si>
    <t>e8bd1088a3fbc1f2e8d87ce7414c638f13761da178d661880f44caf6954bc00c</t>
  </si>
  <si>
    <t>66c941939876da46205a1fcbb92ce8c1cee5418ffb06317776ddf0a36844132f</t>
  </si>
  <si>
    <t>cb068348b951de2ec62222b834bff524ac9c8880e993979157ea99c9c710fa8b</t>
  </si>
  <si>
    <t>a0fe2ef657aa3933d3f3f5c3075d611a041729c7772616bfd7f7ccf7aec3a745</t>
  </si>
  <si>
    <t>ea80a8d5641430e1642eb63974ce06188c9f1d2480ed90693e3d944dac411d5c</t>
  </si>
  <si>
    <t>855420121604c99917a6c60799cc0a706f25fb9475a22896983fba7d33b13174</t>
  </si>
  <si>
    <t>b32ac5cea911aeb5f18402d21c147e99785738c5c713266598a6336e3dfb1627</t>
  </si>
  <si>
    <t>1c0560f2bbc08fa4777ac6101ef061659fcb7999b4618fc24b6de3414f5b2ff6</t>
  </si>
  <si>
    <t>48db7dad21126ea496687b5d65251605d51819d55f6b1cf53ac064dcffa32583</t>
  </si>
  <si>
    <t>2a32343ae23982870fbd484176a22da7c671ceeb76794fde9f2c39c72e869ebb</t>
  </si>
  <si>
    <t>04acdabd7ecbfa7c4a7b11fb747987f81c5e4e17992fc701cf935482765a8745</t>
  </si>
  <si>
    <t>9c7695ab0747e18bb7f4dedcf78f9e259881f51b16cf02d2a53bfc10ed0ff818</t>
  </si>
  <si>
    <t>4b18c657dc1805012356644f64d9f54791aa106d3acc19cc9c6f0f08cab7ecdc</t>
  </si>
  <si>
    <t>912f73188819233f56f487495127ff876b6a97ea9f4d6ef4167d72e83b6909de</t>
  </si>
  <si>
    <t>11380d7698f4629e8bc3d60badbb5372ed64bd15e4f2b5ac2f6be79cc008d582</t>
  </si>
  <si>
    <t>cdd43a50dfafdce9b5f732977e915a17bc90c33cc8c3a2c0030438dfe1af6b75</t>
  </si>
  <si>
    <t>ac6c8cd93b39a63917c9415ec2936daa97e2bad591a62e4985c45124449cf9e5</t>
  </si>
  <si>
    <t>4e7e04a79e3c51acd5788e3335b8b1a85757a7b7081a27578b2083fcae595388</t>
  </si>
  <si>
    <t>d44dd8d4f63930fb913933d547e3056cd8c08db50f7f5f5189408d08427287d0</t>
  </si>
  <si>
    <t>8c8777adb6b88c7a73ee55ede2440610b29eb71de9712c4167112417fe83a503</t>
  </si>
  <si>
    <t>0c4eea4c6cefc28d76a9a1ef36f743e9a57fcc904f119a284028fb7903ccc310</t>
  </si>
  <si>
    <t>45d6088e90475e8c8f3654ffed26fb41629290425f1610ddc3d5f4131c0c1baf</t>
  </si>
  <si>
    <t>a94c88831ec1cc278cccb1edb91ef4261e1e213fd348d73acb78891be6242418</t>
  </si>
  <si>
    <t>a3a091c948f7ea83bf4bc077ebdf5741aaa61f3cbe3db16338f87f14dc9f3e06</t>
  </si>
  <si>
    <t>8da263a84a187ef42c27668264b622bbb18f69587601619a7a00e333be75b4b4</t>
  </si>
  <si>
    <t>b751a0ce3c70371f37702cd274249fad12e765a0c217af2490818559b07f6b89</t>
  </si>
  <si>
    <t>a8718dd3ca1c845d634cc13dfc0788e6e125b6840b2d283a9d47af840e63b0e2</t>
  </si>
  <si>
    <t>d5c4ec3d9e0f68e7951418884f83e85080b3a2ff24ca7285d955ff83eaf41db3</t>
  </si>
  <si>
    <t>994ba5cf2686dde0af07a5df3406a57747f3d4c3a01975175ae49aef55ede20f</t>
  </si>
  <si>
    <t>da56632f3e302c7a9462812184e4e6a2a555e0cc974414811f00551d9ed476dc</t>
  </si>
  <si>
    <t>e455d29a3dfbcdfb7e3561e7982a69b04d98fa99b8ba035c6643967e13db0da1</t>
  </si>
  <si>
    <t>75d62252fe4d5d0993ed54b10132741289b8368cbcd19d1a746190805f656a60</t>
  </si>
  <si>
    <t>86784dffecee8f9e75ca7055d1c31e3a8b2f48584482f9e578c7ca4d12bbc5ae</t>
  </si>
  <si>
    <t>c65298d54010bd2bd5bcfd49d0f8a3d4258304903098ff033303ecb72d83dd45</t>
  </si>
  <si>
    <t>22654349e2fdfd26737f6254f698e8e6bd3066227e2fd61f5868b8df38331b76</t>
  </si>
  <si>
    <t>b062836c6e3cf40e1f28a09b2364943930210e0171c477af0e3db4d82dfa25dd</t>
  </si>
  <si>
    <t>48100df20c0c282e1d2ce09ab4c5c0cd99618a5b2e62c97edcd4539153178eda</t>
  </si>
  <si>
    <t>e648a15b2da20c98a23f40a92808700680aaa26b25c52eef754b3f8f85f12fa2</t>
  </si>
  <si>
    <t>dd47c37cec651ca002f664703a2631dc3a2b707f6baac83b9357f012ff0c1ab6</t>
  </si>
  <si>
    <t>28756b2baf3ff833ebdea819770077150014c9c69855deb44bf0f4abfd7e4942</t>
  </si>
  <si>
    <t>a259bcd34848297ab594609a9cd94ba7aad5680ada888326e5660eec9d08a382</t>
  </si>
  <si>
    <t>df6ee8ae2c362821bc4f6adabfc5cc51c7c0a4eb067cbfe653690f7520d580bc</t>
  </si>
  <si>
    <t>00655b2d0e332e64db50c7677aca1e0604abc97322a4508b759cedfebbf51122</t>
  </si>
  <si>
    <t>9f455b4c8fd6c354f11f858747e3cbac8cbc4fb9e655f45f2fca74c5e89e87d6</t>
  </si>
  <si>
    <t>9c0835fcafec7ab69a602c188231403fed2b177161936fbc8ca0d692caef2370</t>
  </si>
  <si>
    <t>42c505bb4e550e74842c3c81230e0ba0fb5f088696dc78c76b09f0bcbd6e3e78</t>
  </si>
  <si>
    <t>82c2b7d1bfe12705bd9a18a6036b17b86fd0dfcd31ac66f21f8424c7971dfb7d</t>
  </si>
  <si>
    <t>409667297f349922b1d1927728116e4b8bf9a3752129fcb4e2a10c9582586cd5</t>
  </si>
  <si>
    <t>eca6953e9b37322145ee5026082fc009293b99bc531919bd8bf917b8a518cd1a</t>
  </si>
  <si>
    <t>3f503524a6bff225c1468748e8364ef4275dceba28e010c1348110fcfa97ae6b</t>
  </si>
  <si>
    <t>043c663e9f682f4823364181df8ed18c226e928c640f9a34c4e64dae92838cd0</t>
  </si>
  <si>
    <t>44d328ff1dac0c92f878a2bc28941987d87c955b52ec5863d3d0fe6921463936</t>
  </si>
  <si>
    <t>71d40c4e1b6f82f124b03cbacc8b267d82753b9f372562a871bcd5ab4cdcc4e3</t>
  </si>
  <si>
    <t>29f3540237c9d25233e6bee5aeee63e5a0f37393cbb997325d3b3df7aa57f155</t>
  </si>
  <si>
    <t>6590b3b25b499bcdc37fb1f5e66c012a3670c808c082f092cf45f3abc3415171</t>
  </si>
  <si>
    <t>b8a115a0918a284116d4fe8678697e47d473637fc8bcf54a2dbe44c43f0ca914</t>
  </si>
  <si>
    <t>d994ade0a6620f4eb7173bab9663ccf24985a294230d7441c792b6e8001fab1c</t>
  </si>
  <si>
    <t>7e91a95568d159ee81ad9e9d1c5100a11db0afa86bc4ad9b6d34597fc062cd14</t>
  </si>
  <si>
    <t>87b3ec7ee290c33c58ea509cad16509efc61b44b81305e8d5c09720ffb05f435</t>
  </si>
  <si>
    <t>d41dcfe10c6a81ba5dd33ee1fe1082730090139c29f973c27e941646d142ba01</t>
  </si>
  <si>
    <t>5630282d17bc0e82d24dd4704f013d4be2ae593e855b02a786c2557007586f43</t>
  </si>
  <si>
    <t>deaee21289a970e1a4abd7f206babe68b32053be558356467724fe581dd39267</t>
  </si>
  <si>
    <t>9c340e724b8cba99078ee1bf959091bf3098ae7c49d921f8c947b456f229caf5</t>
  </si>
  <si>
    <t>d39eaf20344fb8ecc24840c83d8e711a23fb3b8da2580e5eef6bd0a6aa1a9044</t>
  </si>
  <si>
    <t>5dd0475ea78ad809ff1cb0108f602159a146edc5cc0282cf13e4d291713b98ef</t>
  </si>
  <si>
    <t>8085b020df927c284bd094af8d1d206570d79545ffe4ae06f26d43151d62ee5d</t>
  </si>
  <si>
    <t>86cb688f220e2a4e8026388983f623ddba73159d9c04b87595642a5c68f8e0bb</t>
  </si>
  <si>
    <t>b0b2ec6ba84aabfbe075ffd016b8fc310256e719a7c13cbdfe14209d4684b043</t>
  </si>
  <si>
    <t>afe59775952d667829049a047bf0584030883316ac8a538e52bc6fb280a41eb2</t>
  </si>
  <si>
    <t>12daeac22a11d5157de1eaad5a1e9622c3857de9a28a5b720e3577480ffeeed9</t>
  </si>
  <si>
    <t>55d8dd220515175fb083992142c8e7af3f3aea81de4519789839e3c3f05984fe</t>
  </si>
  <si>
    <t>d64849b6941613310e36e9fdb0c1f6584d8b1552701fe666d1aace2eba9b3f28</t>
  </si>
  <si>
    <t>cea0f1732567dc0bbcb798c38447dcd177b8ad1a0744a261cc154a65945568cc</t>
  </si>
  <si>
    <t>OCOTLAN DE MORELOS</t>
  </si>
  <si>
    <t>a5ad9b4c70526877d1dd84551606e468a23029213444d2c26163d8652a2b64a8</t>
  </si>
  <si>
    <t>c553b4b49f3b97c70d438549f8a18120e01ac52c6c74bf0522cd4ca38b39ab5a</t>
  </si>
  <si>
    <t>1011e550710583411080c814418b8489104be81bfd77d243909d63b89240c223</t>
  </si>
  <si>
    <t>8f703c90585b107c0af2a7da75e739a49069d84710b73d7c6759d46ef662aaf1</t>
  </si>
  <si>
    <t>99b880ffdf539bed48d8f5c03d11b6a058a52b12ae0fb5b12abf3ee29bf82fe2</t>
  </si>
  <si>
    <t>7cbec4c237374f2390ef1cf637c929f3aea344ac55c62389ee96bf6af4622b77</t>
  </si>
  <si>
    <t>ff664a4c085259d256c6855ee8f1c0bafcb34d54de4d00765016f2ac2c0a5ec6</t>
  </si>
  <si>
    <t>aeeae30f3c59704b1d74b283cd7160503faa2a90dc8530ead66d2c2a82828376</t>
  </si>
  <si>
    <t>4ee50f02853dd3a57d410f624edb441eb6243fd58fff5d74c9cd182ba59ebef9</t>
  </si>
  <si>
    <t>46ae9c8ed2494dee2732d84005f368a246be02d6cbdbe7447db73fa959088ba0</t>
  </si>
  <si>
    <t>21a9cf1b91f5fa89523882b5fec61834dd94701a1b136a11061c3872ffb564d4</t>
  </si>
  <si>
    <t>dd0228426b9d2e21be5e16786415961582d98186744a23e7729f5d087ab3a206</t>
  </si>
  <si>
    <t>800e54d44f132e434fff5f363be194f21b7a4c41f59de5b3f18ac8dd66a6a6af</t>
  </si>
  <si>
    <t>d67c3c4ea76b5f273d9318fc3d682ec845455f082eb9a9f7db4598ba6eca3f1f</t>
  </si>
  <si>
    <t>ef16991b9e368afc8d2039627154229948af7e5406a1cdf6e60b33c8e14cc6f1</t>
  </si>
  <si>
    <t>7b55ed62c26eca350825d8bbe1430da0a05da3ab449091b4df0a9fdfffa26cee</t>
  </si>
  <si>
    <t>a519c84eb29dba779ab5e5b9297c8b616376a0e199c2df03fd2debb5b0263aa9</t>
  </si>
  <si>
    <t>7a006aa048ab2a2bb44cba3cd1710090985845125fd8a75777ee11cddd1b9706</t>
  </si>
  <si>
    <t>d1e11ae3132e4bae996146ccf41bc4edbfef30d269772773d13efe5bd353bea9</t>
  </si>
  <si>
    <t>8f0a0d9f6fe3e518873d5837cb252fe0f0f519c6c48b559afd82f1cec876ee2c</t>
  </si>
  <si>
    <t>a4f2465d36ff5df2896868b8d00b79ec4ebc8d7b5eaa94045243f46cc9b5f23a</t>
  </si>
  <si>
    <t>389ca7384051937d294f039a9709ffa5ecf817f894a072e113e3f7ed1dd201f5</t>
  </si>
  <si>
    <t>01beb0fe2e5c6dd26af8eb6e118223c1eb09df9498e6c9a0c945847a816e132f</t>
  </si>
  <si>
    <t>d473b911aa493ebd4e96bae988d1c2b51bee11a338a191b99066b9222296388a</t>
  </si>
  <si>
    <t>07246d336bd3d50861d425e7e3d7b7d6bafa121ca97ab445efdf5de5b60d2e7c</t>
  </si>
  <si>
    <t>e92f4f20217a7477304a03a8b74592eb8794dd6fa165a4ec312cb55921ea4eaf</t>
  </si>
  <si>
    <t>482edd780b8a6f37492176124d475e623b77d164d4bc6e085a4672843d094b9f</t>
  </si>
  <si>
    <t>f96700e2371a5a8aa2fec49877470ded63c847f0905891f860e0e0432501dab4</t>
  </si>
  <si>
    <t>59f926c3ccbe867458866c4f024e74a372142fe89f7b32247a30dc773677323c</t>
  </si>
  <si>
    <t>d41376e73e590c4155b9f7f9d1d4e41e950372d807d596779ce1428cfe9ec628</t>
  </si>
  <si>
    <t>20f9a5df92a1e1ca549262c755ce87d0cbdb3a2936c6f27363323fe67752de70</t>
  </si>
  <si>
    <t>203bd60f962c07ef812e36d84376e26368be1746cbc97b3cb1e7c2c0943c8fd8</t>
  </si>
  <si>
    <t>PINOTEPA DE DON LUIS</t>
  </si>
  <si>
    <t>4bb86300661207881a1ac5c3ab908a85a2e534e9de0f8eeffa03cd64d1085d27</t>
  </si>
  <si>
    <t>7f96f49e06013c4b7bf5536c1e166da55474248b6965e111e91ab3e0ff0a24f8</t>
  </si>
  <si>
    <t>fa33f6e2c91c476cac08621a6024b5fafed9620a560b459bdf0211372c57d523</t>
  </si>
  <si>
    <t>932355290e2db67fe17a270bc96a6cefefcbe50122987eb485c4e3489a914c80</t>
  </si>
  <si>
    <t>52d722cc3a3b882ae631556996ac0ac07831329e077efee7821457dcbf7dbb57</t>
  </si>
  <si>
    <t>e79adb0941eefa042b8e4b447f6c77d91a47247a47b13c053af5dfb01f9c95fd</t>
  </si>
  <si>
    <t>48da0f3aa31c96cdd744b84f548963bf086364ce9dd5659f7edabd1c2d422e71</t>
  </si>
  <si>
    <t>74440766d2d592717d193bb0fa2c0a145a5d2b973ac40bd35d1c4aed611835a8</t>
  </si>
  <si>
    <t>db93db40d1f5e13a66164414b478e140c1816a6eade4a4d396542b089c0af5d3</t>
  </si>
  <si>
    <t>PUTLA VILLA DE GUERRERO</t>
  </si>
  <si>
    <t>f06126784cd266706fdac61bc26656bb8fd12734a5e724538ba310c07966c2f5</t>
  </si>
  <si>
    <t>cc26e1c35450dba9d7bb69b568c79c8a8b1a2df91e4a4df54b8f27b8278ce605</t>
  </si>
  <si>
    <t>CC</t>
  </si>
  <si>
    <t>ef1431cc33868dfc2844a3f13ddb4300024b9018752d6759548b7a5143cf2ea9</t>
  </si>
  <si>
    <t>218962b07953f782a1c9e0c357726c8d35f39cc7d7f5e7ddcd4392f31758b9a3</t>
  </si>
  <si>
    <t>923c7db6c3e623a0278d82459cfa8cff7c08b0f9ed4679644222551d73256e3d</t>
  </si>
  <si>
    <t>450537609af51c78cc9448d8361640fe680ff79e3020301f16d43ad6566567df</t>
  </si>
  <si>
    <t>3f47be3da2da2bc46fe11a51bc0a9b7932943a4f7966cdddef7b73c1c810be38</t>
  </si>
  <si>
    <t>f4e76a8366336d50fc403ea555bc2df428f9226c29b7a2e2d389fabdaf86cec8</t>
  </si>
  <si>
    <t>2983d1c3b09b3f75783d3094728f09045696cad12333b1ce311fb619bc301bb5</t>
  </si>
  <si>
    <t>68e9ae0e47f13613f36bd86a1f97b6900db19e9c05b00fedca301bfc9b7b9208</t>
  </si>
  <si>
    <t>cb0301dd11fa33e07cdea622e821cd9676ce6fba2f2f7a93f4490a980e7b2c13</t>
  </si>
  <si>
    <t>520e5e67447a3ef638eaf6a00390640e8a976d6f7d8a21b0feab5c13c7b1ba90</t>
  </si>
  <si>
    <t>6fe8d9115305fb2a689c4bd4fe93f8591b596c4fb314fc491e8b2231290df654</t>
  </si>
  <si>
    <t>0a37428d924f71c925c7fa57e0f272d31bed76df771f4baef3db205807e0a7b5</t>
  </si>
  <si>
    <t>a9b07f5f0411ee827c8d350521d13b57c604c19786b3eb9698411e6f86388314</t>
  </si>
  <si>
    <t>9ddf741214058c62dee85f60a098471cb155201d4b2bcc3f2b26df2e6f9b3b79</t>
  </si>
  <si>
    <t>1dbb15a4af74e9fe0a1d7a19544b9950efc4f6119e931704b4144aaaca239dfd</t>
  </si>
  <si>
    <t>4cdd47bca9763e16f14c3bdd60cfdfc0d2b1ec20599d43b022cfc3dd4a06040f</t>
  </si>
  <si>
    <t>ff136ce7751daa16170477da2fcc7a536aeb26c72efc295dc69b788f5ffaf744</t>
  </si>
  <si>
    <t>331a5d89d1b532bb21e79c094fcf63d691b8e800c75d6ce0e83a53038e2db224</t>
  </si>
  <si>
    <t>318d65b3cd93a3d3d5de572f16eb2dbc9e45fb659c9537ae36037858ad1888d0</t>
  </si>
  <si>
    <t>f40568769c11930fda15b2e3d4555d28c19aa620284ff038ededc2980115cc5e</t>
  </si>
  <si>
    <t>a777f63c6e9ab03640cd3cbf549996e280ae923e43ca089a7e66ec45107ccfcc</t>
  </si>
  <si>
    <t>e84480b5ccabdf13e458c99c35db513c58a211b66749b8a8ec93f19d7b879146</t>
  </si>
  <si>
    <t>5ffb5b8b2c2af691d8baba3a1fd50e877fbe6ba8829c3c0f85bf114bd114b3a8</t>
  </si>
  <si>
    <t>6fb161eaed5c6c0452e183046e284fa509a64f980f764d4e74733814193f3002</t>
  </si>
  <si>
    <t>744497645ffae2f94c6fb38a082e36bee8d446535c02b7785e667d5bdfd46ba5</t>
  </si>
  <si>
    <t>68734c8d199ec35802fbf794139c592cfe4885717b4efc79dd6aee950ae73e23</t>
  </si>
  <si>
    <t>33f6064882e0aaca8cfc746ee6fffbe0228f0c7b57f44784e5a5ca12d0851caa</t>
  </si>
  <si>
    <t>d66cdfd2c7d09c9d8f293ed74688e5ebf91a9bd0b5b9f7a89791e5591b6f2533</t>
  </si>
  <si>
    <t>1e21701f088d680f8edf20abd5f3a0dc60dc22d9644624102a658dd56be0ccd3</t>
  </si>
  <si>
    <t>328a34e9f9a0aea68945830e962b78682ae64eeb108e20b0b4b551ffea390572</t>
  </si>
  <si>
    <t>b02a762552622ae98d5f62cd84cda85b36b1a164351720e629f156f5b164ff8a</t>
  </si>
  <si>
    <t>99ad03ad91dd6f4a356600935fafd888df52d9d9c71adac5bc305bc4b700a70d</t>
  </si>
  <si>
    <t>e89ed3b4044ad0e370845899a0d18f39734260a39bfecfc4a9dc86bf45a1cd91</t>
  </si>
  <si>
    <t>7ef19c1b2d43a08c7704f0c55ee7d37dec6b66d0b178f8fa5b3289f58f6cdf17</t>
  </si>
  <si>
    <t>dd4b54c7602d8e4a5bbe6e02dfb651f26f30cfae1c122f819d739dbc8c614009</t>
  </si>
  <si>
    <t>238f21767da5367ed2ef2b47ee284a916604f4cd661ca878e576ad4a80f748e7</t>
  </si>
  <si>
    <t>c3138a03a72c0598d2e22138c698175b3655aacb87f19f56a6f1df15aaffc5c0</t>
  </si>
  <si>
    <t>54c0380ff672c4bec80dbb53b0720b68646d2551935b2118d695c1e71f30a90a</t>
  </si>
  <si>
    <t>73824d38033fe2a0acdda4f5efbf74ce8e94536bd871bf9cd00cbae8b1c6db35</t>
  </si>
  <si>
    <t>8cf88e0be271b288312ad0f3fcc3356f4dafb092bfc27cabba2c13b9c11c262a</t>
  </si>
  <si>
    <t>dc156254d7238e38ee9ca7ab6cc4a2ee12617b4a26d6983d101b461a374c57ef</t>
  </si>
  <si>
    <t>REFORMA DE PINEDA</t>
  </si>
  <si>
    <t>2255fdd9866ffc53736263d88b0c060613241c0d9bcd53baddfcca6e28764dab</t>
  </si>
  <si>
    <t>57bc4ed28e777fa97f511f8080d9982f0aeca2ba9c6c4c1d170c67ca142112c6</t>
  </si>
  <si>
    <t>eed14f91fbb1eb466180c365c47a1ae632b92ef96fcdc9f0d75e694b018d71d7</t>
  </si>
  <si>
    <t>84bd10d0c42c4a38d7e03cde36b41bd081785008749fda5cf90f4c22772b7873</t>
  </si>
  <si>
    <t>SALINA CRUZ</t>
  </si>
  <si>
    <t>0f44f99e55bc2a49fcf98d85db523b66de18cf153499448c20460b0ec5a6a09a</t>
  </si>
  <si>
    <t>b3ecbedd001e172a0aa1a8fc1e68f08b3774e0855e424e8a71cbefe6443c9538</t>
  </si>
  <si>
    <t>02f52dc2a1781fb322b311e1434e0a9a9796ee8f11bc45fbd10ba1b2538053ab</t>
  </si>
  <si>
    <t>e3a2d608ca7937c7c47b841c9e814821e01af71025868c0c86af8a78807a64ea</t>
  </si>
  <si>
    <t>2021e171de3a18bf9f6436f280e0d43c60f0a8d0c4c81446ded1988782195c57</t>
  </si>
  <si>
    <t>52d55e5e27913b21c0cb867b257e56462acf341ed0509ad862af57d312700c01</t>
  </si>
  <si>
    <t>82836641dd8f823a2f48030c039cd297c0604c1b46a009ed854c8dc040467eeb</t>
  </si>
  <si>
    <t>e1b04e52d9ac83a1d39f97b75efc31a5be473af5d0c5028d150012149af69866</t>
  </si>
  <si>
    <t>fa50c52972e4af392bbd60e306cde71f6294f910803f31329f60892e6541bfb1</t>
  </si>
  <si>
    <t>2ac41958a692247e4b60066800a105dc78a8c6468093ce6e6d0e9df3e0fe31f6</t>
  </si>
  <si>
    <t>9a9c0808077931f0a1d9003146c11cdd5bc7a63db378616877ad70bd9180d4dd</t>
  </si>
  <si>
    <t>22f9b820e18c9b77bef9c02f00cc8e7ac01c16049057e0ce2505704a613b709d</t>
  </si>
  <si>
    <t>755472c8c7878f10a2ec0a590113bef50e3d2eef8e90787d271f39195c385fdd</t>
  </si>
  <si>
    <t>83fa7b0c748ea903f57e91d461122a1e2d031681ea36a47be53d1be24e6b44f9</t>
  </si>
  <si>
    <t>3d5d46f6c5bcb89826e6430fbde14f242b6984fb576332b64c0c005ee8eabe5d</t>
  </si>
  <si>
    <t>04644e16064fe7caaaa67cc389ca2ebeb821b20315be91824bdafad4d2880e80</t>
  </si>
  <si>
    <t>3b989c02fdf50846873ab4dfa8d1deda99625b017e4b1702d4f9f66c682b56d4</t>
  </si>
  <si>
    <t>4dcaa19f249b15f859931fdcd476a8da8dd06f57258c84af92d516cd55be7b1c</t>
  </si>
  <si>
    <t>6368d483f066744942394d06cf906daf9132c2292474a399b9ed6f2ee0f3b9d6</t>
  </si>
  <si>
    <t>50a4444c3b32e7b30b92929b2805a9a6b852beba30514080cacd1d5a09fd1814</t>
  </si>
  <si>
    <t>7b20fdb9d92a3540476e6638fd51c0d878499dd45cbbd0bb21a8c3b5e2af73ab</t>
  </si>
  <si>
    <t>60392840d9257d500387a909b06372e3eb8cf14ea315eeef7eb3dda23ae54eb1</t>
  </si>
  <si>
    <t>27b2b0e771a899590d22a1ec47f9af60c8ee4d6d77e945579a2092e545be339e</t>
  </si>
  <si>
    <t>3a6d8e010f1baa49ad374996793160897277ccf7548b5ef02c4343ed1d1df6f8</t>
  </si>
  <si>
    <t>11a7ac87f336a1597a77474d28fad32a44eed7a88075a753b827a92111bcfb27</t>
  </si>
  <si>
    <t>299830ac09a32ac81316a2368ba1b9146dcde88425d7fa9e4430043cb663f2db</t>
  </si>
  <si>
    <t>2392fa58477e8d2221c626db6c4d11ea6f4e50dac468f8f1b27c15be2ec85c46</t>
  </si>
  <si>
    <t>909c82968864ad63491de61dfec61bf05388750e980f2efc585e915a33e39e8a</t>
  </si>
  <si>
    <t>4ed58406726f3f5c255d42f7be534f24ac489b26005be6c46d5356894648087e</t>
  </si>
  <si>
    <t>15b1cf7aa0372bc8ec70990e8f7720b4dbfab15104112554a5cb5254538783f2</t>
  </si>
  <si>
    <t>dc1d2ec4ab6715ede3a5d29e0028f5ad51c9a255eeff4d889109186cd883320c</t>
  </si>
  <si>
    <t>f1f3b209fc24770be508327216dc347357bc0d4509cc0f1a141c408fb2cf6f78</t>
  </si>
  <si>
    <t>9dcf589731b8678a81f175667c82d73a30b83a987ac3b606b1e91669e58e309d</t>
  </si>
  <si>
    <t>38d80f890c358b40c4ec7234bf38147c54d58b2a206d4e72247b153025c8fbbe</t>
  </si>
  <si>
    <t>437f852f0446bc2fbe0e49f55f9e23677116b31bc216d5d242920ec5d9769b99</t>
  </si>
  <si>
    <t>84a2b78b22bb56dce94ab22beb6bddfd44261797674d4f6ee6f5a60204e488bd</t>
  </si>
  <si>
    <t>15bf9c0eeac8f6854773d536ad1772cc97aabdb90deb181de95395c7f3d60561</t>
  </si>
  <si>
    <t>d497c6edc0e9d9f51906f3b59f84480dd854acd61e8ad59fd2a6a132694725d1</t>
  </si>
  <si>
    <t>b9c4ee8d89fffa0bdd9211e30be71b464174524dcd39cf00e48c64e319762133</t>
  </si>
  <si>
    <t>7a84e9bbb084285963e739855c401417b9f1d8b5c3be7ca3dfb6fd3ef72673b7</t>
  </si>
  <si>
    <t>63abd10301680506c533557073950700e8f88a4e9e7ce9377cd277954691e26a</t>
  </si>
  <si>
    <t>d12fe9fd6025b2a2a96dcff2ea005a0c604f5c2bb025d64f57f596e54e0dad9f</t>
  </si>
  <si>
    <t>6190190f87b2fb1fb8b98f309c66c8946346cd27a3b1a4febf7c2c09987c8e09</t>
  </si>
  <si>
    <t>6c5b3e9ed08d129dbd5caf8ffce2f8bfbc403851b0c936ee2cd2e593289e9b38</t>
  </si>
  <si>
    <t>fe3fa2c0c5789cc337e3fa40950e53463a0a4b3b32a119598c1ff25fb3c7d158</t>
  </si>
  <si>
    <t>fb66003a464dae4b4c91040c90fbf83cc7f447117a5819bd5a9f822e3072216d</t>
  </si>
  <si>
    <t>4bca00ebbf0870d04ba49bda009540a7be1e1a184ad178abe9241f47fd6fc835</t>
  </si>
  <si>
    <t>ce74cc920f3336e0fccd16ae7557be5fbdd58ea4c2fa0a6c0632c7e715da4fba</t>
  </si>
  <si>
    <t>134d333a864f909430cca009b409cb9cebce8995f95185bc42cc9d158de81694</t>
  </si>
  <si>
    <t>bd6fd524ae1e51270f3484212e42587e85ec9d25e912128a61b5fe59469aecaf</t>
  </si>
  <si>
    <t>a77de3c87c76ded264e41c44392f9bff15bb6301c8750a4710743233c21e6372</t>
  </si>
  <si>
    <t>d655c449b5dc70e461943a5fa68a4b1a68ead69329ad2f9ec4f75e9530313e9a</t>
  </si>
  <si>
    <t>7a9349589ab52beabddeadb4e5b5082c3836fc151d5e106ddb0fa4c1a57c31f4</t>
  </si>
  <si>
    <t>82ddcdb536ee9a8e65918240e0ee195c12a2146993ece6496b9af4bed0180bea</t>
  </si>
  <si>
    <t>675449e15a0509a5345d1f60f9bbd3daafd187533da464503b134826b92b9a93</t>
  </si>
  <si>
    <t>0762c6dd911708994100c3a3cfa0c48eea515bb51fa5042fa55d36cd98fcbd86</t>
  </si>
  <si>
    <t>0918f363f64f4223dae9003a94e08f32bcadcc8c1015a00e61793b02b1e17ed0</t>
  </si>
  <si>
    <t>2cd4db7cfb657f2c46e974875ac2fbfb379d00157e7652b7856fac1188aab512</t>
  </si>
  <si>
    <t>bd0b40ceb4c122cf72bceb9bf16e74837e0229fdd2df5075d27945158dc93f36</t>
  </si>
  <si>
    <t>d335f190b04107f1acf1f9e2ab6de91ceea2fb03f7b2751679177da11160ade3</t>
  </si>
  <si>
    <t>4adeb81875613b63dc64a20d410a68df0d89079b0e6c00470136bbb803dd7791</t>
  </si>
  <si>
    <t>75d269bab3c270dcecbc8d995d94d0c074fcb9e62929c204a3323474de11aa09</t>
  </si>
  <si>
    <t>bd51f50215ed2af37060f1e51cca2490d1cb095f6df4c90994c7204748d7c1d7</t>
  </si>
  <si>
    <t>76fbe26d38a59f978f83520ccfdc90308825be5c0de68a1fb272f7b7253fd7f7</t>
  </si>
  <si>
    <t>0f85dc8d082aef771fcaecb4083c48678cf420c1cdca8aec156db960015ab427</t>
  </si>
  <si>
    <t>d2c593704fd6c447377741851e3ef98833a2f6d5dfd8055a41cc88070bd61c5b</t>
  </si>
  <si>
    <t>48f21f0433f60fc03deafd6bcf1e81eef1deae5b2b77e830d9044efeaa5cc91c</t>
  </si>
  <si>
    <t>4dd478432c66a8534c2b3352dc2add2b550f850a8e9635d45840f953e7d0bed7</t>
  </si>
  <si>
    <t>ca206be00254a19b9328631823f1c7e34967f46725f19a2681edc661c4985785</t>
  </si>
  <si>
    <t>8cab37074b2d6aa2e8d7c3d5257332da16ef42a22577cf05ca79703282cd2eb9</t>
  </si>
  <si>
    <t>e5b37468f93f34c16e98db86a0e72cebdd631d0d7a18b6798af96f2418b6cd64</t>
  </si>
  <si>
    <t>b016df763c6850dcdff53dee00105fac7efca4daaabb26210e36cb12d79ad22d</t>
  </si>
  <si>
    <t>59452fc4ad390b1ff9ae03354c02f9ca3cd640cebaab894b2359ed881f331841</t>
  </si>
  <si>
    <t>367e79747b9680ca63422c5f982ae62cdceea3eea0886389dfb7c5beff0f094a</t>
  </si>
  <si>
    <t>25fde2c1e3bb7d89bf9025134b747f0bca3b424e832d41c6dae13af1a2959b31</t>
  </si>
  <si>
    <t>121bbca9170529c1e8cdcb58c4f8c3ac1c915f8812cd879f60b7f0de3a3cb478</t>
  </si>
  <si>
    <t>c827f4c501f6cc93afa835c8019b823a3627befa5a36f1cf6cc3eb035fb84726</t>
  </si>
  <si>
    <t>5d5f0031c6cc50949d208aad8dd47b7bd89b97509946b90abac197ec4df54492</t>
  </si>
  <si>
    <t>599a0ef50bdf3d86f964a389f7078ca5dfb542993d58e00ebc640189845cf93d</t>
  </si>
  <si>
    <t>6a40552e4db6deb40be3eec4468e1e1e04879c21e374d9432d7c8e0a684383db</t>
  </si>
  <si>
    <t>9dbc8f692993217763e94a42de28ab4e737c9e87510e8a7d95f1fcbabcbafed3</t>
  </si>
  <si>
    <t>1520fc68f003fdb273355a1ebbcda141ae4f8953a1470d7267c206a36518cef3</t>
  </si>
  <si>
    <t>9e91674a1f2fc36484bac0af8797d4626293e9b25ab6441e07951e66d7365ea2</t>
  </si>
  <si>
    <t>b9434c70e8e8c9330b21b39735b84ad5294beba23038521a4e32f2753fb1b98c</t>
  </si>
  <si>
    <t>8835ce3821360d37ed9579d72940fceef4a55850207728ccb679b5f81a828b77</t>
  </si>
  <si>
    <t>2cac4bb38ec2cae1b0eab4b84f9c4a83f4a4cb92177639cf0c7f56b2d7b01f8f</t>
  </si>
  <si>
    <t>8e4d966601b969464ef89c4e7270cbf430526c9b38751e33e4ecbac7b80b6d1c</t>
  </si>
  <si>
    <t>04bb1b729c0a5ce0577b201110acde3dc6edef35e666273ebde1a3b89e14f128</t>
  </si>
  <si>
    <t>153109add146dfff4322bef828e60de7cd5e641efc2bc98c29b1244e0a6e4ebf</t>
  </si>
  <si>
    <t>c0be485d090bfb2718047cb5c9a9f66890af3e257feb71b2a1b102e289a3c1f5</t>
  </si>
  <si>
    <t>5c568e9adad21922157c950b5dd26d1d715278283e8198fb5fb126b6b99f522c</t>
  </si>
  <si>
    <t>5cf522f93991838a1a592650305ade3eac07c73bbb056be892d0e62dcb963e20</t>
  </si>
  <si>
    <t>f46faef4dd2a065260ca4da6fda1607f26fb2937297fa5cd8833972c86dabb0b</t>
  </si>
  <si>
    <t>cf5fde1b21e6eae09b43950fc2f86be3c373094f131ac524c0f0648e6faf61de</t>
  </si>
  <si>
    <t>8f860744c43f04b9de4c034c5c3a8e5c7da8dc25b7cc806458620ac34f634283</t>
  </si>
  <si>
    <t>d94b18546d068784169b24e93233a2b7c841d399976784218098c8b4e8351370</t>
  </si>
  <si>
    <t>f23dd86839b7f2e345555622611dabd6bef7663afbd66f103d07f46e170b1ad9</t>
  </si>
  <si>
    <t>92cdd5cd9f09b8b736c52258106643d0e603faa4be470e3752a4e8c444b55e97</t>
  </si>
  <si>
    <t>c49e0f658f1170fbe1058e508321e9a429786ce6af5910e516af98b3c792cc7f</t>
  </si>
  <si>
    <t>960266f2455dcc94c5eaa707eec5c1cd73bde10f1acf6ed77a143cf28470c5c7</t>
  </si>
  <si>
    <t>dbe8c2862ec333fd6eeeba04d266f0ee4c87b625b9ee31a07e4fd5581c9c8386</t>
  </si>
  <si>
    <t>545aa816ed0c97e8951c8506dc84ff4e4b18835f9b74ab4d907a3a797c124c80</t>
  </si>
  <si>
    <t>cf3a7531a7b47be850fa1803e5ce425c769c0ebbc19cd9b27a7b69a0a37cb4c0</t>
  </si>
  <si>
    <t>e502e410ee30ada3042820b1f1b9ccafdf5f297e69ebef8dcf6a8592dfaffdd3</t>
  </si>
  <si>
    <t>980a0934d5bfff7ae55eb663e58ac7481ed308c307de53bf8743651b4d00f04a</t>
  </si>
  <si>
    <t>0ec1f58773b70fbe3b18b84d0a5193081c4f20588ca1adcc9ee50b8961f618fd</t>
  </si>
  <si>
    <t>099f733260786c7117feb1f051c5cec8cb2305c1faa8bef32ed841c0fff2f63e</t>
  </si>
  <si>
    <t>9939ca3c4d926b120ff5184e2f1e280c5af01acfe1bc0629abcb2a27e43df9d9</t>
  </si>
  <si>
    <t>5f498881649405aaff2ef848c1d01f53357e8b50baedc28bdf0f84262624fba0</t>
  </si>
  <si>
    <t>87017bfc4dd6288b11fda34e234495d700160af96ea2ddec55abbfad6f7fb7cc</t>
  </si>
  <si>
    <t>abff7401f7033d226df52be56fa2cdd871bf30fe2dc943c23118d311918f6d49</t>
  </si>
  <si>
    <t>95a870f832a6a80786df795068c6b2bc3b7a5bfb75ac4b19e5db25bfbf32659b</t>
  </si>
  <si>
    <t>SAN AGUSTIN AMATENGO</t>
  </si>
  <si>
    <t>8edfa86bf2bb878b42ff281f2a6d59365209ec2c58c492ff5d02155f548210f8</t>
  </si>
  <si>
    <t>2af11c1cfb854b63104534fc200e4493e1f7ee2dca7a991c531e66232b1e67d8</t>
  </si>
  <si>
    <t>SAN AGUSTIN ATENANGO</t>
  </si>
  <si>
    <t>104f50de3c4de9fc58c603b20b96673a2e588385827d5634d2e8952fd8215de2</t>
  </si>
  <si>
    <t>086aae4307bd463893e935e3dc54a03056d274a1a7826118f0a10586f79db2cf</t>
  </si>
  <si>
    <t>3eaba6d13bfb94d1db18e1251ac1a7cc2317003b3f1793ca6ac1d0681ebfc130</t>
  </si>
  <si>
    <t>SAN ANDRES CABECERA NUEVA</t>
  </si>
  <si>
    <t>7a4c5e2f58e30e4f29add5f49b040d5372f2c495888b194055ad46de5f609718</t>
  </si>
  <si>
    <t>03a63927f3603ce2efd86f581303dd2343ce84563b5fa439b6f3853566ac4700</t>
  </si>
  <si>
    <t>cfc695ceb1078884d5e7428b53a081ed75f8fb4d0162a3bcffd8fae83d2a5fa9</t>
  </si>
  <si>
    <t>50bdc29891294665f96428c5da808d3291614a4c7d9dbc18c8a340c9b6fe1969</t>
  </si>
  <si>
    <t>cae684553abc2e94312e82a72bdcb7cfd882094630d9c705b5d2d11d668eef12</t>
  </si>
  <si>
    <t>SAN ANDRES DINICUITI</t>
  </si>
  <si>
    <t>0e5b510697f5fbdc788257e831d77b5ce7e28c47740cee1f06b16b502fcc60eb</t>
  </si>
  <si>
    <t>e3da754c10e6ece0cc812f7cf993556f120ef9a018f497235a82affcd4e661df</t>
  </si>
  <si>
    <t>d66ec8bd2cf7d0f6bfa708372086d993d91df11b8e70f96608954ae72cd80a59</t>
  </si>
  <si>
    <t>eb0f529d37c68fb1791533c622cd4455ca6d553eeb444545d071a304aeb8d4f3</t>
  </si>
  <si>
    <t>d2f9228fe4c99e0dd4b406612963ca20c643de41003aebd104020498f32f678e</t>
  </si>
  <si>
    <t>6ba43b2a2282b8a6154b82480837a71dfed32af1791453cd6468844f8792df75</t>
  </si>
  <si>
    <t>SAN ANDRES HUAXPALTEPEC</t>
  </si>
  <si>
    <t>eec814f0b12288666149737d819be2bc3da3071abec347e486393e70d2532af5</t>
  </si>
  <si>
    <t>f59088744d867c63a5cb7df8f4cd9307e228015ea0bbe6882c50b449585fcd64</t>
  </si>
  <si>
    <t>39ada2a57578af60cb0bdc7eb04f6d85f2a30b813f38b60511d0fb03624c5f08</t>
  </si>
  <si>
    <t>3a395eec393eb3b6d08bc51414cd7df328969a7c5f6b732e5de21971fded669e</t>
  </si>
  <si>
    <t>bdf09d6fa31f70afdb592cfee2401b2cb7fb01ffb65a5001d1bd2283d1a87a47</t>
  </si>
  <si>
    <t>026fbe5a91540797ec5d26b21fdbe465867bfed97ac9ed5c0c1ab84d9e322345</t>
  </si>
  <si>
    <t>29744e8c9cbd9b5a196ba706a64904bac034009ad37d99dfb6927626655a83b6</t>
  </si>
  <si>
    <t>edab3e3d7d254da0bb0f011c921e0042830bf3e9405996dcba44c2005ee0537a</t>
  </si>
  <si>
    <t>SAN ANDRES ZAUTLA</t>
  </si>
  <si>
    <t>48fd25e67c589c61058ca02133668b95916f30e78c7a3fa09008f83e446e15c4</t>
  </si>
  <si>
    <t>cf8fffe502162ce515a6c514e0533df4ee53bc2a6651b2aa577a0ec28fc8d1be</t>
  </si>
  <si>
    <t>3f6ca5ba679dc22ceec0bb693ed976171ac38846f4e50ba4d429480a52add8a7</t>
  </si>
  <si>
    <t>88d897425b7006e38c05d254f4e29fd29030c00126068b7c4d44c0dbac485978</t>
  </si>
  <si>
    <t>a783cd206279e10bac40800e9c61aa29acd276cd0aeb814427c840267e9311a1</t>
  </si>
  <si>
    <t>SAN ANTONINO CASTILLO VELASCO</t>
  </si>
  <si>
    <t>715de837af46cf51aa4e9238e96841d2769dcf429b1cb1125603b5fe8e8c71c1</t>
  </si>
  <si>
    <t>7ed617960b7ca8cc06b94e7aec1fd16de629e2fb10980e512c5b08e6f82468f6</t>
  </si>
  <si>
    <t>eea3dda0f645df51da0d966ea3d6a3fe99c3f673f97733fa615ad6fc07225ef5</t>
  </si>
  <si>
    <t>bcbd41e142b51f51c621ab635b669e6d205639d044653a36691767174f0a6e47</t>
  </si>
  <si>
    <t>203d3dbef2137f6cd1432120cfbe844d1af0cf0f251665402fe68a73e73f00bd</t>
  </si>
  <si>
    <t>0c705fa43b614af145ca65847938b2484be72f188e0a1c19c6d1bf986d6925b3</t>
  </si>
  <si>
    <t>8b4a2d9077ab347b47a4e1a8d3b23702c4aa747485ceb5941b396c6dbd748355</t>
  </si>
  <si>
    <t>80a9e60d518caa2395e2a1493e09c501de86ef1b16071e48cc9ed8679c5d0a68</t>
  </si>
  <si>
    <t>f5289526583cdca9f5d43354ac95877d21f6060dc1d8fb338dea8440052dc36c</t>
  </si>
  <si>
    <t>SAN BALTAZAR CHICHICAPAM</t>
  </si>
  <si>
    <t>2223187c40a2814069de78ee5a0a1d78d3b47f5324d65c9da72eaa4ae8dcf214</t>
  </si>
  <si>
    <t>70fbbb74c1af02746e8f92d9a3acfcccedc54c7933de3cb83490f858d4df01eb</t>
  </si>
  <si>
    <t>897aa75bc5dfa6af88f703c78c00291cef7568743656a5920934112a3cdb2a84</t>
  </si>
  <si>
    <t>c1a8a2063bdac6f2354ff9607fd1639f5a54ce2b30d0ad397d85dc60545fd0b7</t>
  </si>
  <si>
    <t>SAN BARTOLOME AYAUTLA</t>
  </si>
  <si>
    <t>f97f8a3ec6d41b5a87bb1bc407c7f26c356550ebb294955ab1dfef0d1272f364</t>
  </si>
  <si>
    <t>556ca13824757961c8f298418157d2834bdd786d765c2b2b2506aab43de2d9ed</t>
  </si>
  <si>
    <t>8a339d24e4b4c2c845d739569ef38e47e9c7ed1296c2602c263caf2c6a497f17</t>
  </si>
  <si>
    <t>dbf527fc999251612df481e970b3c7405b446649cffd3670078714f608eb1aee</t>
  </si>
  <si>
    <t>5741e0d6d37bd222cecc8a5e9f70ed5b9d9bed4dc0579f7470d63a1be1c24ac8</t>
  </si>
  <si>
    <t>SAN BLAS ATEMPA</t>
  </si>
  <si>
    <t>1fb785b9d31ffff21545d09b6abd1b5657cf4d66e37a5a36cf31783cf6949833</t>
  </si>
  <si>
    <t>82b9e487e3f2ceab18d5e1f5dd54d54480b45abc305687572c30fde05277cfca</t>
  </si>
  <si>
    <t>1e630dfb1abf31e20c6ad64c16286d9d9b924c4bd40c810dc582d0d17c0f7ccb</t>
  </si>
  <si>
    <t>011b0c2640ebada0302f9e8e88f862f14a1a14c1ef9633b4a20340ccfd99d792</t>
  </si>
  <si>
    <t>55e80dbf9ed0c71cfd9baee5398121d41fb0fd1fcb5155d3f849217e384b1df7</t>
  </si>
  <si>
    <t>f5de4f36b0902b8afaa58ac09c15967a7d5b6a08094cef686dcec8b18c8c8c35</t>
  </si>
  <si>
    <t>5fcff13ddcd544fceabc03a95a099f9d826943dac2664647b06d595f797b60cf</t>
  </si>
  <si>
    <t>7dee7afcf8e321ca9ba923ce49f76897fc33a9144479e69fa18911adda97a57b</t>
  </si>
  <si>
    <t>a0134be08d1a97ae3edd409b9443aa2171b392be33531eb738a28d297d2eb315</t>
  </si>
  <si>
    <t>057baf7979a1b07be85ec33f087016480311175521f36e30497f218e74fbac92</t>
  </si>
  <si>
    <t>f7da0b12db1940261e72a8b98fa1a8a78634a884fa50b29e2fbc9a9e8fe04ecb</t>
  </si>
  <si>
    <t>742a207b6cfa57e3fe88ac7eaec3a3ab761f4642a42f0ccfc4e58f35e36a8bdf</t>
  </si>
  <si>
    <t>370cf39779bcf1459737c9fe30bea6b688a98bced9bce6fe910acd35d29df035</t>
  </si>
  <si>
    <t>e02bdd93f32d4408efaf97927a6f30d78e8425809c5c831f2bfbf2b732a14bc7</t>
  </si>
  <si>
    <t>034a6951bcb2f274d7953d95cd340879df0a1aa3196dc77b68fe21641f6309ce</t>
  </si>
  <si>
    <t>ac2a49b474671337a03a50330e2cd043dd1602acb60a63d0e0c49648e350a6a9</t>
  </si>
  <si>
    <t>11d26fa0c2ca3a42adb965025cb2c6ea9bfe1fc78d8c59861b6e2a918f0b41cc</t>
  </si>
  <si>
    <t>634492cbd9901d8a1f40469562aa0b95d2ee7714d4ce6482e497c30b09e56167</t>
  </si>
  <si>
    <t>1527822bfc1584fc7659750226621fabac651c2793f30022b513c74f5d67d19b</t>
  </si>
  <si>
    <t>eda0567fc33d2154c42ef5539882bc1f400fe8dccf18b44f55a8dbcd22c528fa</t>
  </si>
  <si>
    <t>1aa0d4863f96e3d75fd5100f0950bc48fc1be6f2badf6b3dee8b7f64a1c3d199</t>
  </si>
  <si>
    <t>2c6046d94a6c139cee452059e2f15d9f28a3bf374f9688e8f1fe8f64834b49bd</t>
  </si>
  <si>
    <t>d6ecb034c64ce1cfae5aeca63c207a3f70fd0442af4a454f21fe0ad280531129</t>
  </si>
  <si>
    <t>910c80002aa1ac7a1cbafce4bd9c39c75abbef13baa4a6f80b8efc0a7f091aad</t>
  </si>
  <si>
    <t>5086821183abb9f9550ac3d0036745f817f8a75863aab07eeffb09dbf5c61811</t>
  </si>
  <si>
    <t>SAN DIONISIO DEL MAR</t>
  </si>
  <si>
    <t>fd5f4a7844b6cbf6865b4093dcf0a025376cabc248883073fb8e3b90bda9d39c</t>
  </si>
  <si>
    <t>bae91d221c2dccda773a65e3b16a05255cd27387a12240510d3497b651ac516b</t>
  </si>
  <si>
    <t>96b14a7fc1d199a1f64596d1d97eb10f55a9872df6bd1568ac74e26f70237f77</t>
  </si>
  <si>
    <t>8269355488e4c6b627dc862350783ac990b59d28e6d60e64ece24b9690419db1</t>
  </si>
  <si>
    <t>c8dd51a3cacd0deb6c0f0041a77948e7d085c4725745fd541cc2778617921629</t>
  </si>
  <si>
    <t>8731c7b56ec76419b45c8414583655f6343fcd848e33fc1e77ee96b9ea06a970</t>
  </si>
  <si>
    <t>507ddd6d91b01067c0577d5d598754cc08d8d65aa98531b84f46932fd8a82ca0</t>
  </si>
  <si>
    <t>SAN FELIPE JALAPA DE DIAZ</t>
  </si>
  <si>
    <t>3e5a616cfc16191bcbb31d2eb1428acfbecf495f2b67e5e1e2d9bdf45bf60949</t>
  </si>
  <si>
    <t>dd239834d2db8f2a59d4dca5c140cd74b0e48337ccbed64e355e10d6437bdaef</t>
  </si>
  <si>
    <t>30512572c86668ead13ba1e72a13b282d6ed25f0e66f5b19239d14012c181bb3</t>
  </si>
  <si>
    <t>5e2538d531d71c8afc71e3be65d42f06b34af9004cac3e895f7cc0cdf6f4aa68</t>
  </si>
  <si>
    <t>791a50266ce653e3b06ab6cbade96b8fff920bf0d582971bf70a763121042a65</t>
  </si>
  <si>
    <t>fab5d481406a323997d09c69534183554ff857ff0415acb7f24c48255443d7bc</t>
  </si>
  <si>
    <t>729f076fbbf63dae12624a0d4e1e717bcdbe828d5f980bb1f9a35aa9b2386f09</t>
  </si>
  <si>
    <t>089b2b8941ed23110df485609d7e831801dbc5b80d543ca1b9a527acce81720f</t>
  </si>
  <si>
    <t>5ce76d4e4b67721a7f730e4644a397caca42144a888fa9efefed50f9f1233083</t>
  </si>
  <si>
    <t>faa3e360b40a589cabd6c3fdae5304c586bd400a6a7a944f99c3416ded9a7424</t>
  </si>
  <si>
    <t>4580d247980c5149a9804f3a5fd9b2c3f0c30efe346773470f1123b151198820</t>
  </si>
  <si>
    <t>489e8285abd5201d7fc813a4317c11a214749e427de74252aebfd4514e183d02</t>
  </si>
  <si>
    <t>eef6521e6955e49d2d55232d15abb86d3476977b3505466ccde3ff0d2fce844f</t>
  </si>
  <si>
    <t>4abc8f92fc6e2e127edd51ee2f4353cb86b56088f8642b24ebb1afac12307c02</t>
  </si>
  <si>
    <t>e7645cc922e54ca0888837bb33ec5d5fc61a15c52923209918f5781dccf6c095</t>
  </si>
  <si>
    <t>347241223834629079febc728113b53342e1fa6587c2efbb6c0bf5ec5542dc85</t>
  </si>
  <si>
    <t>2da68103ce8670827fbeb96145bfc4289e750accacc3764da34979d41609da80</t>
  </si>
  <si>
    <t>00d3617289c2a8dddd0ee0cef12f0ce0038816050e974561b036096396ba32bc</t>
  </si>
  <si>
    <t>90076569cc7ecec0e7d3c1cfee4cbde2dc85e53b06834e29e13d6f6f95dea923</t>
  </si>
  <si>
    <t>2cc8742732660b815aef1ff4d1c4142e7a3ff4d56c73c12bfc57d6dab99b8784</t>
  </si>
  <si>
    <t>cf774ee8a7ba87756f5798c618f1dcc8ca57fd0af774072969027844dda02417</t>
  </si>
  <si>
    <t>521ef2962e6aaef1826752881b470208388284506fbc0baf966d28a272829e85</t>
  </si>
  <si>
    <t>5777469a73dca2726a73efacaf391890a13e283ef9cb6cce23ab1256808220df</t>
  </si>
  <si>
    <t>ff909a5cbccb7c6e1f31bdd73ce9c2b9429770542536350abcb28689b97194e3</t>
  </si>
  <si>
    <t>9c49dcae4e7995d300f7e14c8e6bce311d0320d6ddf742dbc3cd3d50257d6465</t>
  </si>
  <si>
    <t>f6a4db1351258b2d48a699623e2328e23bd40b9d888293182bf799ade0b7fd3f</t>
  </si>
  <si>
    <t>ca6efb23e4777c35db7af5438ac858f2f9702e3be45e97bb3873ddffc4d71806</t>
  </si>
  <si>
    <t>93c8fa7dfb44528be9a89d0a6296e984982433cb561b256bb0270a4c03c643ee</t>
  </si>
  <si>
    <t>37607e292bb439d72a22dc77682a1c4e54accb570ebc43a30f2614b1d820e9d0</t>
  </si>
  <si>
    <t>1f599bc00d721197d2c49b1826053f859fbe99ff9a35dc423e5d848d96790e86</t>
  </si>
  <si>
    <t>437935753062ee635f7ac7225a6a247210b72bcc39e62b1549aeed007f4f852a</t>
  </si>
  <si>
    <t>d73f9a506ebab6049711250ff4e5f060d98c783aaf13ca297258b05dba6e7402</t>
  </si>
  <si>
    <t>4229f1cb4cc77c5ef34d90d4508256065c5872842bc51e4cd31d17d6e753a750</t>
  </si>
  <si>
    <t>62213642df74e319b3e72d0263fdc9adf489d704fb173fcd9489e205bfca8353</t>
  </si>
  <si>
    <t>9855e46a24103827c75d96b58ce4f41d88a93357bdf093dd6a483d4a73bfc8ef</t>
  </si>
  <si>
    <t>c7022bb39c5d3ef47ac50efdb2bfb50f00177638a1cb3b469ee3b75a7345c5b6</t>
  </si>
  <si>
    <t>SAN FELIPE USILA</t>
  </si>
  <si>
    <t>6a0e1092b3aad25686341c35da9e145aa6f2054d937b4de6b8e0dc27dbb92fb4</t>
  </si>
  <si>
    <t>71e2708c4fd44b47d64679df02be94229bbc8fb71d2cbc394920a9ed430527c1</t>
  </si>
  <si>
    <t>ad2ca4309558fb03d6371f4bfdad9cdf52b6307d7f34eac91270825240d90276</t>
  </si>
  <si>
    <t>11cd6fe270316e4d3a6f9037d137dd900529f5ccdcc4b188a1235e81064daf05</t>
  </si>
  <si>
    <t>c1ff51e30d410f7f6d229a4efe5ab874c802cc0764641d936c79180b88040935</t>
  </si>
  <si>
    <t>ff742643c195be86b6ac088c1b716dc4d2e849c1ccc07edc4c5e211b7c77137f</t>
  </si>
  <si>
    <t>884c3145e5739884186509954d972c2b252f91fae21ed5639720b49cad9dbef8</t>
  </si>
  <si>
    <t>1e51cc62cbb64023dc8aa7b43c6d9d6bdb3d86648d8da2d60fba560264a745d8</t>
  </si>
  <si>
    <t>914264908ee51fb9e16d260bd8e61e466a5b9a38c896bcf25c1a12f0781328ac</t>
  </si>
  <si>
    <t>9aadbe211c0375b6d5b39c8350ff2ea30ee6fc3f963dfc69e5fa0dec97447e96</t>
  </si>
  <si>
    <t>48e2593f2a39537261553db054efd1ea4c2b54a16a8515c86b115deccbd046e8</t>
  </si>
  <si>
    <t>32cdcd20ca957e90e2d55bbb3dbdb47b9950eb39c7f2c9e607e3a1d428b0c9db</t>
  </si>
  <si>
    <t>bce43e5d1e9928a6a36af3b8b24c9b86d710da672cc52c1845b55868a2623b44</t>
  </si>
  <si>
    <t>5879f193cd16763820dc48d494bf85096e4abfe63ee8c70548dc1abcaa4c4397</t>
  </si>
  <si>
    <t>4e50e7e40ce073da36ac8b65553e4e0487c2b2d781ce3b4df438dc347210277b</t>
  </si>
  <si>
    <t>59e3a4fd4e192505ab8e3d23ede8f62375de890f0c2b9d4ef4f37711c0ca3f75</t>
  </si>
  <si>
    <t>ca32919bb696daae85006b3058f922ae0ba6ce86f0173685576bdec8199b695a</t>
  </si>
  <si>
    <t>602a01bc39fe1bd777e12b322856208465cfc995b8be073e868ca444571b4bc3</t>
  </si>
  <si>
    <t>SAN FRANCISCO DEL MAR</t>
  </si>
  <si>
    <t>c326f10152dd2153b0fbb6f0cf413ecee9a65701223be00c6d599e6855ecb63f</t>
  </si>
  <si>
    <t>26b81617d57fe5d2839db0395b219c7203f494b1bd3f282a5c201f9fa60f77a8</t>
  </si>
  <si>
    <t>c84461a51fa320ed7a4e68cd9fc9cc80f0f507b350061da3a154d4277aace099</t>
  </si>
  <si>
    <t>a83673b71a40560da6c165a581bc856bea291b3cefc1d42f4e5f0e3b2c5ffceb</t>
  </si>
  <si>
    <t>8a61e613f00fdadf4aa9d7a5674c82d14d246cc5546efc6456c70f5580cc5d5f</t>
  </si>
  <si>
    <t>4034cfcff146ee20b088405586ae00afe45faaed91eade95bb8212393e7c8fdd</t>
  </si>
  <si>
    <t>69891d843c686025b80ab170e2f15db1f5bbea2143accb26ea72cd961c41a75f</t>
  </si>
  <si>
    <t>11b0b12fafc32a0f77498181cf99276f4c874f410435186c59cccf735b5d7277</t>
  </si>
  <si>
    <t>81be2445716b9e14d20bc00920a55c68fb1bd7d01e8e26883d6a2aabfaa444b6</t>
  </si>
  <si>
    <t>4a8b477805b6b85378d167bf0873758982b40fd7b4641f826420738697b70b24</t>
  </si>
  <si>
    <t>ce5e638d8ae825f7cb9a16419eaca9ebe822995fdac341162454a9270de0c9fa</t>
  </si>
  <si>
    <t>af84714419594d67bb0d3451fd47d140f070ada3ce6ac8b3cb234446433ebfea</t>
  </si>
  <si>
    <t>SAN FRANCISCO IXHUATAN</t>
  </si>
  <si>
    <t>e5f7ba555b95ebf8d02f21b1c1302ca98131630d861bf1f14f83c60a385556f2</t>
  </si>
  <si>
    <t>b412f806ad25f86465930c5c87db0fa239d1f4a5b3cdff321ece0c58bdd2fdd0</t>
  </si>
  <si>
    <t>7df44dc39b0d119cc32cb19babcc5e8b79aff6750e2964154932441b5e265210</t>
  </si>
  <si>
    <t>3662c568a3a875dfb324b9980288a3f1a43ab70c918102a78d26c161b35dc03c</t>
  </si>
  <si>
    <t>8e85fa8b21ce66457ad2be631dda18701001f7b9d9a961e352e36c8152c13b0a</t>
  </si>
  <si>
    <t>873dfacfa0bc3b2545b9f4dd12d7dfb17f77c32abb0d444c486d13d974bab98f</t>
  </si>
  <si>
    <t>fc42834ff17d9664a54cf04127ad576cced23c18826168f7ab9f7e24ab154a3a</t>
  </si>
  <si>
    <t>1bc8f43e9b136f097888a83f6bf597659864e0d7031f1e5b8f05105549fba5f7</t>
  </si>
  <si>
    <t>52d4eeca578502803336338568dda641b9c8b7ece5dc167fa6a7ddc9de3cf2e1</t>
  </si>
  <si>
    <t>dba0fa13a3dafd9dcfa5c7df9cb7d8b4d6b54112f47cfaf95c370bac4343b2ee</t>
  </si>
  <si>
    <t>e78f22d6f9ea051bdc0c3a87618f1d571f1245030258e45d9f83ea09ad72c07f</t>
  </si>
  <si>
    <t>d23cc9fffcd55610506945555e7c019984c9cd2737b0321b37bdad601c2c35e6</t>
  </si>
  <si>
    <t>bbf1350338a3d0ae9d0b831d438f626fe3b72532cd152e7b2dd55551a6897036</t>
  </si>
  <si>
    <t>9b383364a90cb884f42f5771b786695766f5d0627bc1eb230fca74e8b428c33c</t>
  </si>
  <si>
    <t>344544a75505ea498bc4bbc716312cdf9eb53cfd6c5cf76f3a67dc9690349f69</t>
  </si>
  <si>
    <t>4629ad9a8f1ad30c91630e94f7f96f4a2090ca81532f28980944d72fd147083e</t>
  </si>
  <si>
    <t>SAN FRANCISCO TELIXTLAHUACA</t>
  </si>
  <si>
    <t>fac4a7690fcca1382be4c387df6f25f0a81c5e62acf10af9e0ec0d9e1f3493b6</t>
  </si>
  <si>
    <t>27276c88940b56b6d9372f2a98fbc84ebfd2830360115d809a88279542c4ee63</t>
  </si>
  <si>
    <t>0a2e924c17d1f2c4f7175bdc5aa54f44a7a0c50eecb63261ab5cdeb05b12c3a9</t>
  </si>
  <si>
    <t>de8ab34c444bbf4b2d7cac3ddca3907b9cdbe406794b51feec5dd3c5a216d05e</t>
  </si>
  <si>
    <t>0ab7175b07fbe0a01f74374c82ddb5efa38b87c7ab481267c69a298c2e541d26</t>
  </si>
  <si>
    <t>9053e35ea8dffde2643d1b58b801117db624798b20715f4a9829ba821a723da7</t>
  </si>
  <si>
    <t>4b4f64933b42d9d09670e64eb50e4444a84193ca7e9321bff64be888fcf01c42</t>
  </si>
  <si>
    <t>437b0940ac7f45ecd83e10bd8342deab73e625fe6bd8aa331d9363e76c0603ac</t>
  </si>
  <si>
    <t>84aa735bd49aa0568af3e4cf5193aa721eff9d5a0ac2a6b2036204e7044c1e61</t>
  </si>
  <si>
    <t>4df3ff4faecb49030ce2b178d976273069fb0d4dc862fae2e442e6be099c149f</t>
  </si>
  <si>
    <t>7bac38f5ec2fe5dbfb6bb82ee76397a725c00d38daa45fe0dfaafa5d67a200ee</t>
  </si>
  <si>
    <t>297899e9bca5eb0a3ee75ff477279fd64820d623484d3b52c90a58ebb4899d5b</t>
  </si>
  <si>
    <t>6d6fdfa2bee5aa76a5ec017b397f70b001f60feee5cace913c22223787038051</t>
  </si>
  <si>
    <t>618b5015c08aaefbf83a213711b5de6db05e03bd055577364988c30587d0f6e2</t>
  </si>
  <si>
    <t>1dfaa584819367f6661ea04b4bfca33642b057faadde4587cc281ae136f941f8</t>
  </si>
  <si>
    <t>f2ff30d60576b7d1b4c235d81bfe73e77e7feb706bbab1757a369d1c22260443</t>
  </si>
  <si>
    <t>4879a60bbb84bdc5e4022e439f224c77ed1c72938c4f109b8d811849350f207e</t>
  </si>
  <si>
    <t>SAN JACINTO AMILPAS</t>
  </si>
  <si>
    <t>d5f9cad21746dcf84ad8f7aa4eaff31ac4892fdefd2270ddf4f370649309e2c4</t>
  </si>
  <si>
    <t>719c9d31fd7659fe53a1737c125ccc678abe01e61a105eb3193a8e8f75fa4a01</t>
  </si>
  <si>
    <t>0c7298b52f2bc351a5cd873f85dfa8207bd074faed76576a623383d4ca63f81d</t>
  </si>
  <si>
    <t>c36b1df19a680c6d2a0dcb733dcbeb31e2259b07e53de867a9269fb171d8131d</t>
  </si>
  <si>
    <t>5c6e3dcb6601f2d39453909860efe361bd47a8e96fd4ffdece2fd25b784d490a</t>
  </si>
  <si>
    <t>405b494e43a1c8790cd251bbddec323d235812154a4e671457f4f81566698441</t>
  </si>
  <si>
    <t>70f9f149dba5f88c0d4358c4fd0617755cb6fb6bfab0f2555a75516a596f0676</t>
  </si>
  <si>
    <t>7a9ba5216080393da7f59600890df6902df5a2d1b3e2ebb787e94d5d0f194c87</t>
  </si>
  <si>
    <t>3110bbdb93db7944d914c750df3273f2bb2e556bf6f7466b05a06aff285e81c7</t>
  </si>
  <si>
    <t>9d364b581a5a4eef7e5d120963af1b26b5af975b12952a77cea73500a05cbc6f</t>
  </si>
  <si>
    <t>4c22c30797866a334b00b65608914de0e1b0c013a1f85fb5f79d1f783e9c299c</t>
  </si>
  <si>
    <t>a7eb3af9dfe3e1e9eeb519cc20733394c50aabd33fdd2522528bb36fadc71d3f</t>
  </si>
  <si>
    <t>b25b56c49d8b92f0a231a7e3bfa9ce5c454142870a223eb8e1bdf7ebf9d962ad</t>
  </si>
  <si>
    <t>87044403aedebe5e79e1380ef2fd8cdd4139704b34b80987d50b2a29423d24b2</t>
  </si>
  <si>
    <t>9c1d03b9c7db41ba6a4c37d6a9727985eb173fdb8959eb411781b3307ab33d9b</t>
  </si>
  <si>
    <t>c6592318d6a05e14f07ba4c14917ef7925e6da77ff4307d1c7c86d9373eb0137</t>
  </si>
  <si>
    <t>1194afb993ebacea53f817cd40e630f6f637acaa341908ef9e3a06ffe8d87d09</t>
  </si>
  <si>
    <t>9be8fe9f8af9234042bd4cf2b6ce514b3d61cec7b0be0b5a62b0b3f515432fc0</t>
  </si>
  <si>
    <t>SAN JERONIMO SILACAYOAPILLA</t>
  </si>
  <si>
    <t>25fec7147ce61ff29f577555374ed9f06eeea519829433a4fa1f6426019086d6</t>
  </si>
  <si>
    <t>6344beed3665edc809e950f79bdf863d989b5826a114d879883246a6d9d0ed12</t>
  </si>
  <si>
    <t>SAN JOSE CHILTEPEC</t>
  </si>
  <si>
    <t>82331c375200c13bbaab26651e143d5cfb0b62f862f48f65e2ce762149d3aac9</t>
  </si>
  <si>
    <t>50d25b99d748778389659780e658c9cfdbafd0037910c9b39bbe9e810b9875bd</t>
  </si>
  <si>
    <t>054b1cdfdcbc15c4e07ebe9c383f1d42794d2022c3715ff975fefb86a4970fbe</t>
  </si>
  <si>
    <t>2d32998039c7bcc4039eaa20ac773f992fac32bdbd361802638b875eb1930f8f</t>
  </si>
  <si>
    <t>6a473d7c750e943b49c9211f2203449a1a396f9bba95d7ac5e64aaf542a68171</t>
  </si>
  <si>
    <t>04ccd3c9bcdb2dc1f6e9b90030c7b39a7e3e2bf2a12420a79a8f5e1a9ff509a1</t>
  </si>
  <si>
    <t>b96c9bf1db29608e791cc5d805fe18888b7d2aaea6c319f1efa4df013b6e7a53</t>
  </si>
  <si>
    <t>5b4e29158c112882c38edd3f42ebd6601c236b81c2e8ae972db794c0d0df8efd</t>
  </si>
  <si>
    <t>eb62eaed893a27b152543670dfeb93995d18f476bf681e791653393fa91bb4b1</t>
  </si>
  <si>
    <t>704fe440b268f6d1ebbcf007f20009e0bf7c79f50f16b52d8e6bf9c00c4fb51c</t>
  </si>
  <si>
    <t>24d0e31a0167fab67e3ed95c4348be6ddd32d4e164ab2cec3e753ceda919e4c4</t>
  </si>
  <si>
    <t>98b3bd63e495f2cf7f984007c339d82c4d4593c355d3cf4e237824c4005eb396</t>
  </si>
  <si>
    <t>da893ab0a863a1daed5625fe0a37d69377c00238b78f89201ffc890178537e61</t>
  </si>
  <si>
    <t>8b05dec4963fbd7f584a88ede9ec85bf8178e31cb7c70cf4c4502d3b4b8e093b</t>
  </si>
  <si>
    <t>SAN JOSE ESTANCIA GRANDE</t>
  </si>
  <si>
    <t>833eb650c0a1b1bd645bd106b8fef546efe019ca45cf5fa06cd99d406db3d56d</t>
  </si>
  <si>
    <t>5404e3ece47846481f9c157aef164b4a6982cbe80b3c6af3aa6ece33a03713fa</t>
  </si>
  <si>
    <t>SAN JOSE INDEPENDENCIA</t>
  </si>
  <si>
    <t>2737a780ae244beab20bbcdc60891ebdfac156e8e4c4bd4195996df44014e63d</t>
  </si>
  <si>
    <t>3f4ea10508819debf3f4c39891a7c94f546944d459b43d8a891632aade3d7e29</t>
  </si>
  <si>
    <t>a9cdc913068bd1eeb20914338a8c70d784eb843bd517163a2bcf33bdb28df272</t>
  </si>
  <si>
    <t>c372e058018218562a84ba2f674739f25e8d5343b32b48486c1f66d0ad0279c5</t>
  </si>
  <si>
    <t>c17f2c62870bfea08dbae31a7333bdacf79005d91e01f3415455d93c86586eb8</t>
  </si>
  <si>
    <t>5b0801bcb018cbd020c695933a8341eff7505233bc090e723d48325e178acfd4</t>
  </si>
  <si>
    <t>SAN JOSE TENANGO</t>
  </si>
  <si>
    <t>7f9d90bf724099124a07eb41ec23db4da8d1e4e0b2fbd9a1fbc60ecd139b89bd</t>
  </si>
  <si>
    <t>3c866c9edaf280aed5010f894792efe97523792665d1ad7cdb79de12beb785f2</t>
  </si>
  <si>
    <t>11fcf7862322a3b89e44cdb6c218304a281f8f7655fa237d9a92717d895499b8</t>
  </si>
  <si>
    <t>2e432b1142459df5167567be46625c39f7c95b6e46f5703c47ab9d31fa9aa1e9</t>
  </si>
  <si>
    <t>5cea64d23d9796f0c48555d3cecdc41f3f7ecec58929ee3aee1dfb196330be5b</t>
  </si>
  <si>
    <t>15f7ebbd5677ddcbdee45e5c025764ea97f73ed448d7d26e43657bfb39b250e4</t>
  </si>
  <si>
    <t>46faced6a1fa0868c6d7d029c85e64ccbf1944e7dc83cd1e4a31902138419891</t>
  </si>
  <si>
    <t>cdbf1184d84a4516761a03c0dfb4478bce0811700656e28fd3e656d46ae35f7c</t>
  </si>
  <si>
    <t>bc012ea648c1e6910060282299d5fccbe4f89a14f43a4a39a595e4e7a13427e2</t>
  </si>
  <si>
    <t>847567a8b01912b82105152a16b6dab807a67c4a3f836de3570d86dc4ec9bbed</t>
  </si>
  <si>
    <t>ff2ab81f69c558e437b4a9d3d9e17fb5e207fa6cc9bc2e782cb696464a134c3e</t>
  </si>
  <si>
    <t>cc466080eed5f4a7a6b590ff1a19f5dc7feaccabd76b4315a2f601cc0f36a4da</t>
  </si>
  <si>
    <t>10cdb1c314d1e043d15c58c66f42aeae14c9c86ab78709d6b3b84fef5b3a25d6</t>
  </si>
  <si>
    <t>a3de30aaa2b0694b46590a4d2e2480007a4265824f66821b093570b2334f02f1</t>
  </si>
  <si>
    <t>2504091f8092c6a207af9a74eea53800e55220475feb255df0180f758eac5512</t>
  </si>
  <si>
    <t>a01ec030e190e8b8e938c67032337e11704bbcf142c5a71225fb0b1cfa14dedd</t>
  </si>
  <si>
    <t>47f533fc6161c61782838b301fd45aaab040cd6b6c3e8e65d4a517bc251cca93</t>
  </si>
  <si>
    <t>5facaabe6950fb34523d010d297d272881b87660c7826ace5d7ef971ce2aaada</t>
  </si>
  <si>
    <t>9eaabf79c8561b44bb76c06a935f14e394c5d34ff06dfcc78e01e5a53c9d578f</t>
  </si>
  <si>
    <t>840f9c9c35004f8a11938cfa9a42b0463c11f621ac3f041270bf113931712fc4</t>
  </si>
  <si>
    <t>7f7700f2371ac38a40fd6901276fdf22a96587e26c6769e2cc8087ea1d16b240</t>
  </si>
  <si>
    <t>b6009f13944b3a763563a35b2133a141a271c016e5c8f7fbf03e9f6e027f3a1e</t>
  </si>
  <si>
    <t>88fdaab58edd4e498e44603de8752cfc763b1a4cfdda1c17efcd73d3bf5644ae</t>
  </si>
  <si>
    <t>92a2a0813d96827a3b37298bb7e53c7b6ce9b22e9dedb4768374e060e077318e</t>
  </si>
  <si>
    <t>fc324f98fa57308fd928c84b0b3cd751a593031b83b910e463e6a6d7e1b4b727</t>
  </si>
  <si>
    <t>5da8c48e2f68a6f1e90d3bed5f000534bbca31ea59136576fa35f51ee718e8ee</t>
  </si>
  <si>
    <t>8132f52007650809e6290b1e8a80d078359fab23aa1aeedddac1017dc56646a9</t>
  </si>
  <si>
    <t>SAN JUAN BAUTISTA CUICATLAN</t>
  </si>
  <si>
    <t>c68c01f009c52b25446744f0b043508f17aafcae4851136242df106b2f52de5c</t>
  </si>
  <si>
    <t>43a935a2615e582874982f3067cd9c5b25cb59281edb3ffb840ffb88c9131f8f</t>
  </si>
  <si>
    <t>eaa744edf9c065f717aa8c349c3f77a9677303b53154346d647e6043f0ffe931</t>
  </si>
  <si>
    <t>6763f77bcc4f6776ce060fb379bce5554d8ee97e80fbc4858c4ed856c42c841b</t>
  </si>
  <si>
    <t>e5386e425dbde4e61cdcb1a354ab8dd8af53ca521e73e83519c674f2be75357c</t>
  </si>
  <si>
    <t>32d3cf5f00d8900cd97fd97ee020c7ad9e26536a444a0d7e45478d0cf22a6e76</t>
  </si>
  <si>
    <t>4eedb0e306f54a1a4113e7f9eb9223fe3de6d9780203da687a15c572eec22981</t>
  </si>
  <si>
    <t>e243e8bb2dd1fdc8151558553757ad246dfd6978777709f1382c8fd2e3025b87</t>
  </si>
  <si>
    <t>5dd9fd61ba291167b4779c6c326c34b2fd829f122f5f98c5f2e386b34ff0aba7</t>
  </si>
  <si>
    <t>87645daa522e365136762959e4b6b6ffef3c491a2319d17e53e7ec23e37098e7</t>
  </si>
  <si>
    <t>8c5df2389c86e2c90205116f9d7dfd365e3532f3a960130ab6d6486eb2f8d8fc</t>
  </si>
  <si>
    <t>6d626a21c346c612d4d3ef82f2558a7a4ed250740a86ce845b293aa4c214cf8e</t>
  </si>
  <si>
    <t>35bace49187ae10508a6abf52b70c1c8c8b45a54973583eb35a1a8022f22a973</t>
  </si>
  <si>
    <t>980d05e8b2382774a6f605edc078d71f30507ec720fb87c3f1e8fa9d8a553202</t>
  </si>
  <si>
    <t>dc457462acdc94c283da923d4d2ddec73684ef5c5cfc18d0fac180edbfadd70a</t>
  </si>
  <si>
    <t>fa4232ad703b684fc64ba9f3ade91fb014460cfe7cdb3f39b4a61f5941b4e12d</t>
  </si>
  <si>
    <t>2338ab0e013f3c2c31d38320fc1347d142829bd8af01e973a9cbf358f0bcec04</t>
  </si>
  <si>
    <t>41722d64cc9266be4515f9c45e74a84d3bf405b03afee8a96ccb752f9b985324</t>
  </si>
  <si>
    <t>f65e19419c69c3e5ab3b569e4488acf1f97c69802cccffb562fd275e94ad804e</t>
  </si>
  <si>
    <t>c1c23c0fde24840e3fc395bdd4e2e1ea781b57fbb1a7184e04a97fda2ed6dfaf</t>
  </si>
  <si>
    <t>SAN JUAN BAUTISTA LO DE SOTO</t>
  </si>
  <si>
    <t>a281cd4cf4c694164c22abb50152de65ece3dc849ebbef8541597caeb202ae2a</t>
  </si>
  <si>
    <t>afabf4069f27b5418cc871ae3a874f1bfd75e4132dff5e49c9dca9ac76fd2636</t>
  </si>
  <si>
    <t>33d900948abebc368bf96bdfee245c87320b96b00b2beac3bfd84ea1177bb5d9</t>
  </si>
  <si>
    <t>c1763a2c8bbbe5f71953dffdd20bfe59558a4322a77858e515b7b868b6367c59</t>
  </si>
  <si>
    <t>SAN JUAN BAUTISTA SUCHITEPEC</t>
  </si>
  <si>
    <t>75461a3e0b18f34adb96cf5a693ba8a603c86f99a98ceeb2a093da84e4f0f08f</t>
  </si>
  <si>
    <t>b7e66e63805c03d6f0287bcaacf65a9e4bcf56a7d93d64ed1da66dd204b856dc</t>
  </si>
  <si>
    <t>SAN JUAN BAUTISTA TLACOATZINTEPEC</t>
  </si>
  <si>
    <t>9428f13c6d453383e16ac0def151dc05e5cd857872e27a3ca749540102bcb367</t>
  </si>
  <si>
    <t>28dc3db5b5593a5db07798fedb8f4c4c4fc19c24d06df30e60bcf81576df5d52</t>
  </si>
  <si>
    <t>3b921b5ffee96337496710859ad286bafc3f95ad8dd7a3fb70ab97f664652ca4</t>
  </si>
  <si>
    <t>5cd991bb5473b209476c2df2c0fe4d5981381d239c3c7e96d1f99998d74be9e5</t>
  </si>
  <si>
    <t>SAN JUAN BAUTISTA TUXTEPEC</t>
  </si>
  <si>
    <t>9a95dfcb6951bee8daf31e30a5fc16eb29c6e59cb3ac83e10621829ac2c6428b</t>
  </si>
  <si>
    <t>b1e7efcecaefb95de22e3db8296b4efe659629020eb53d5ead0dcc13a1267fe9</t>
  </si>
  <si>
    <t>a040fb789e53d4e05ed40b7c4ed498c1c616912cc73ec9157068f8ed973b5951</t>
  </si>
  <si>
    <t>99349fb3f2b144805df88cdbc8fc39d594354bcd54b88292688cba1ffa7d7c5b</t>
  </si>
  <si>
    <t>41203b18ef70a9a2db531e4b7dc8ba61fe1054631d5e9f68729f85132409217d</t>
  </si>
  <si>
    <t>bd762119b226d8ce45e1499a06555879b6d1183992324bfce2f3cfe83137292f</t>
  </si>
  <si>
    <t>17a034bc4f5715fb307402f9e86a2f18d0572d90d31d759f5067377878df3778</t>
  </si>
  <si>
    <t>526dc4dab773fadb75afae3c0f3f2fcc14aa598b0d854c53e7b3b385420bad64</t>
  </si>
  <si>
    <t>09a234f035f63bcfef764795986ab05d332d07de70917360bdca0f92a3b05fab</t>
  </si>
  <si>
    <t>d28cb18eaa3e943c436a9028e7a3c0cd1a4928689927aa656c070ae39364c1da</t>
  </si>
  <si>
    <t>69ebf1e963091fbd69b7976e93f79cea7709c190728bd20bab34509a8a9494e5</t>
  </si>
  <si>
    <t>a52044dac9f6d20ace398aa314510c235d00d560698738cf69abcc31fb90fbc6</t>
  </si>
  <si>
    <t>047c8b6e983b2750dc5c41ce376acc180dbb2917cf4fbaa40b5556fae17f21c7</t>
  </si>
  <si>
    <t>470f7ba5e6adbb3159b4f82e25c1a08e45ae74467b5e5174bb2d11ffe45f745e</t>
  </si>
  <si>
    <t>21a6c78cf4f06af6d9b86760d0fa4d929d941c329701a7cb692a5b5a180dfa4f</t>
  </si>
  <si>
    <t>a12e193aace539e7f1f509d71f40cedb5660b40ec5ae7263b580a7c2c9b453b7</t>
  </si>
  <si>
    <t>1d9738914b24ef8818c404780b9067245c8c197cc305b9fe08dc9566b3f7e05b</t>
  </si>
  <si>
    <t>96b44a07969dc01e4a61d27578f771f323d24883f69b7e048b330a69f334b8c6</t>
  </si>
  <si>
    <t>a1d44d04b64dfebe7c77d59be0cc8c938a5328c5d7f0d3e3c41278e5c31199df</t>
  </si>
  <si>
    <t>cc22d514e040d6c7b42dcacdfb80134bc0ee010db58dda6992b5332f3ce6c13d</t>
  </si>
  <si>
    <t>47bcfafd0bb3c399b5f6a3c30243a446e5f2043a855ef72791c7635ff5b31a1f</t>
  </si>
  <si>
    <t>8a04ebecae3e44b580a7a9d375250122dfbbb93ea0dfe66ab2f4e26050a348d3</t>
  </si>
  <si>
    <t>fc5e7d70239b2207c0af6f08ee27747e9ec84eee927bca997a0e21b4c1a5c55b</t>
  </si>
  <si>
    <t>4d35cc7f3a1271dbdfd2ad113d0a7f45cdb713f22b5a400cc01e50ebae9d778a</t>
  </si>
  <si>
    <t>8a14247238be09500a6f253a1efe05421b43534960f2faf1a2509661d206f6dc</t>
  </si>
  <si>
    <t>1f1c1b7a95920092e44c981e5f42de59bb83d04db978b2eb93e98a9c1e71ea55</t>
  </si>
  <si>
    <t>afb2e3c5392e1c7d76e41a2f5c7ee8cc76a6c425bad744c1c60670db17ba7524</t>
  </si>
  <si>
    <t>b79a0ad11365b5b1bc87e84a33237b2baa01eea2663341dadb3e3d5534a18d12</t>
  </si>
  <si>
    <t>d24a80bbc2f4344f306bb0e1c81cbc42ee0580576771ff7358cd1d117bb793da</t>
  </si>
  <si>
    <t>3d7a8617fd30803c5eb38bccd3d3ae46753ad6efd3d98eb9f64d504bee5fcc34</t>
  </si>
  <si>
    <t>864797c1cd764d2742c785ae8ae7c71276a92b6dc7596dd40bd8bd90bf0119af</t>
  </si>
  <si>
    <t>621bd2b67879f2c8ebf54ef5d367cd5ca10625274fd88d2846223d89268f5642</t>
  </si>
  <si>
    <t>ff07546ee4d715868300d340c881ca1e715decd46008691d5d7077bcfb92b206</t>
  </si>
  <si>
    <t>58b90a6ee3a0255ba4a663ec17049d2a930654e68f20e95346848a6459302d39</t>
  </si>
  <si>
    <t>fae8627b1d930edf8d84139a42b885c608c03115bfc5f27ea0449fc41c0bb88b</t>
  </si>
  <si>
    <t>9f4da0ed14c1d36eb06b07cb42dae3dbede25cb677edb3a9143abc7925535ee6</t>
  </si>
  <si>
    <t>58ce044c50c6bf0c41338b30704843e1211f017e6d4d572ff9116db1a6efead5</t>
  </si>
  <si>
    <t>400fc57719732818dcadd250795fa8e80dfbd559c31e875b2bcca8e4bdc2b581</t>
  </si>
  <si>
    <t>24ffc407871aeb7814851bd9211c2a3044e71820d2d6ca042d339966c4ae70fe</t>
  </si>
  <si>
    <t>RPP</t>
  </si>
  <si>
    <t>0e80dda36feb50d94aac40bf6184a24721cc1d33b9686c8dd994ff9ec941b145</t>
  </si>
  <si>
    <t>660b41dcbb507629c98c92a4879082726073d6c13f1000c2fef9f5fb3fb795ed</t>
  </si>
  <si>
    <t>8a3f5c1e81164f8e434ad417ee426c209c913f6370eaf4030dd38f24db6c8cd8</t>
  </si>
  <si>
    <t>8ee10b862d0b83eb9993c687328f8cfc532ebf39601713be52a78cdad65cacdd</t>
  </si>
  <si>
    <t>af9483e5c1fce19d15bf24e4ed15f818889b1e89964554590b5310f6dadc4ccf</t>
  </si>
  <si>
    <t>ece9a8663574fd69bdd0dae6c359435af95bbe94defe2c1a4d53265927fed837</t>
  </si>
  <si>
    <t>8e19b5b28529542f87da6aee4cbe45498b3ce61b0b17d03d9f839f957bf32589</t>
  </si>
  <si>
    <t>469c3cbab5bd83c495fc598a69b1e234287acd7156574e01cd37a10dc71b328a</t>
  </si>
  <si>
    <t>0e0d1c3e9761807c841d2f38fa7b4f1d4f856a2a39f42bd73c4a5d99242931c5</t>
  </si>
  <si>
    <t>1cce89929c871b4e2bb6edf752b1e06e332b9c1c8b4657594db08e2de3eb42e2</t>
  </si>
  <si>
    <t>448536b3dcb8929f5aa269e891b92b892821813037fff20010208a353107d736</t>
  </si>
  <si>
    <t>9e1858c2858d954da5a24e1b133215a1ad230bb9c88d04335d658aa97da2f996</t>
  </si>
  <si>
    <t>51e3f27ddb4827e3af8606720ff34f3f4527a8ca29e7de06e2e3ea283cfbb8d0</t>
  </si>
  <si>
    <t>f1f4020c9f552a7e721068f7abac23f4e8a71d57b88c1c2aac6b16398db8dff8</t>
  </si>
  <si>
    <t>5fb7317cee9aca229356a6aedd6e650fa9c9063bb385a5368cd1dab939a54c91</t>
  </si>
  <si>
    <t>0476bf5dea447d157fda5e7dbd2d94e84fa0dc86af9fe0a0c2a66fc3f6f9a672</t>
  </si>
  <si>
    <t>c54a177a34aab2bbbb1c3e40b28241aa3dac31cd447c3aeeaf94259f3ddd9f87</t>
  </si>
  <si>
    <t>9826cdc387f4021b9d1f8b5ae7f3a970d5199d5fb02e6bc87f4bcc93076f2dd2</t>
  </si>
  <si>
    <t>af62b612768770948f1675bdb475a02b7816fc6086dce2e9e5fa93ddd66803b8</t>
  </si>
  <si>
    <t>098abe99123014fdec64d18290036f52b09be7fcc66bc40a740fb51fe0f0ae76</t>
  </si>
  <si>
    <t>264b1c208638e718ae00980f06f8cbc3a06d644306c3e4f902dc1713d13f2a22</t>
  </si>
  <si>
    <t>d693784e2b30294f52d4cc735ae4e9bd67632804d184575ba684fae8ca4417b8</t>
  </si>
  <si>
    <t>b051b6c4043d33bac96b43e1dfc3ecdf3229143d702eea3210e29d154daf5e22</t>
  </si>
  <si>
    <t>09e750e2de78b410aae0ef0371175bedcd445b649eb72313d828073a2e51b267</t>
  </si>
  <si>
    <t>9056a06fded0f5c4c27e468a72e6cb25e4ea571044d0216ad5a66e18115ad21a</t>
  </si>
  <si>
    <t>90245c43b06b736723d531c909cbfeb9393de0edab90beb71899975992d74c9a</t>
  </si>
  <si>
    <t>e0f9ed7a890cabb177ff8da06e20afaab3b268c118e114f4181b66545dcc1c3d</t>
  </si>
  <si>
    <t>4d0445e6f6f1a1477c7f909f8e66849a5d0480aa93863ed7a54451ec10383b8c</t>
  </si>
  <si>
    <t>61e77a8659c0b31cf364206757701461909154dc1c6bd09bbbe32590802903c8</t>
  </si>
  <si>
    <t>d6c7bb2bc3fae27efa628657508eb1ce04a3c868384bd96c99e30325577ab54c</t>
  </si>
  <si>
    <t>faea5b8ee4ae615372b6da69c249480af411ebd7f1a00c77a4f8cb3e09bc952a</t>
  </si>
  <si>
    <t>da9af1bd4142c1ec708ecdfa776a1230997cb2db6dc7479c610ef8bccdc6b2c8</t>
  </si>
  <si>
    <t>4ec415d1c5ee6bd99477b608c6310cf112cec163490e06cada8ee3c711f273c6</t>
  </si>
  <si>
    <t>b4313a24c31802d4c67e700112a859ecc2af286005c341606f430c14812fef77</t>
  </si>
  <si>
    <t>3eb28fbadd4a1f702253b096973dcc87d61a85deaaa8996ea888b5c82ae589b1</t>
  </si>
  <si>
    <t>5564db9e43d70925434456b0e1547dd627a8ba15359a4ed62d7342ec282599d5</t>
  </si>
  <si>
    <t>be376f708329d8cb2c25f8c20d9c0c8aaca170fc8470214493f836a76966a281</t>
  </si>
  <si>
    <t>86a297560d8db9a40521ebf79407d4d4d63c0266ba6882efa4382a80722bea50</t>
  </si>
  <si>
    <t>3ea3b2a304b857838b713176db6bc820ba5a3acba103d418cc4d22ed58603ecd</t>
  </si>
  <si>
    <t>3796d74357e3755c67302f289141c62979fc7edd67db6a768f6028802dbc8cbc</t>
  </si>
  <si>
    <t>15334ba171400890834414b42307928ccab180550c0998ecfb505f8e5e27ed4e</t>
  </si>
  <si>
    <t>20a8976db348ff7dd1a3e8bb9b7057886d6a656cf44bb84a50e0649c05e42618</t>
  </si>
  <si>
    <t>b92f6224da1f78ceab948571591f0c8c9ef3f7efcfb676fe5787af25ff8ed324</t>
  </si>
  <si>
    <t>b3d6ad3ef19bcefc5785d93018f4e930565c4baf5910cf0bd0e90f090ebf79a5</t>
  </si>
  <si>
    <t>37a28f0a757bf7b7f1a47f06b6ff7053df8ea01375f9925da30233d02598ace6</t>
  </si>
  <si>
    <t>f86f38e9b6181274f59668c1d95e1ac2c13817cc6f9a55a556a32dce27d5e566</t>
  </si>
  <si>
    <t>123ee32e39838295225ca5140fbe87bd5a8bc97854913fda9dac0fcfb9a79176</t>
  </si>
  <si>
    <t>d7ef3ed0adc23ecf729ada3c2255358696b922b6ad67d263fdb97f0921981cd6</t>
  </si>
  <si>
    <t>5b4a9959da4cf48fc1d8cffbaca96efbe813ffb1d12f729c2dbd78829cd9be76</t>
  </si>
  <si>
    <t>21d1c49facaf3648b0a56c53850717f727f8961b1f9a99cfa27fe13f7feb50ce</t>
  </si>
  <si>
    <t>8fa05f398ab6c236edf4cf52fd16ff67bb60144c239073d2c5c587b1e123e835</t>
  </si>
  <si>
    <t>4fe4a37c19a56c58f271cc8d27322f405eb3f7c03f512f340937cbbcb8c47016</t>
  </si>
  <si>
    <t>fbcdaaca107fba5a91d4f028157f37ee0777e384f28078aa0aae723129ada52c</t>
  </si>
  <si>
    <t>f7ee92977569fed77f1f684584fb6c99c372c6d234096308a5f062c1f9c7305d</t>
  </si>
  <si>
    <t>865ea46f0c669295b79222b3b87190837be8170797e5a4d634fa4ee7c0629bb8</t>
  </si>
  <si>
    <t>86eb7d95cc97f5c0c3f000dab444e5d8cd1bdf2f3ccc7527a6c65052ab48efe5</t>
  </si>
  <si>
    <t>de415e97c4cdba64b4817f5b279f88d71ef1b9d4bb5e196c11ce5bd400aa24ff</t>
  </si>
  <si>
    <t>99266a0c013f147702e526fd7f071c2bfb09de8c1047b51a2f2375abaf5ff698</t>
  </si>
  <si>
    <t>b0d641a811b1309f4ab05a2ae6460eca89c98b97f571f1d0a7557ca91fc54f47</t>
  </si>
  <si>
    <t>9a91f1bb38cd6285ae283260d12856a0d4dd44a94eb8134cfb4f4a9ff3fdf327</t>
  </si>
  <si>
    <t>8d9e55da0aff255b3d4fea881d820a2ced3297960c63986bc4e732492d21da19</t>
  </si>
  <si>
    <t>fc08fb14ebed8a2960f418b262557790df482c96f30a39f6b4369abd7d23b157</t>
  </si>
  <si>
    <t>87062d0cf7f71b969336348afc3c3bb3b201ca9136a09b813982d9af72f3ba01</t>
  </si>
  <si>
    <t>851acf440863e17f3c4fc98279cb9a880c51429f01ab557d805da1ea18470b57</t>
  </si>
  <si>
    <t>036946325a52bee1c74d20b1bcda8bf72ea5b2ca41a0b02ab573a48bca4400dc</t>
  </si>
  <si>
    <t>0c74dc69d6467feffad6ffc66a1ec13696f467b6bd26da427eb9b852ccfd47a2</t>
  </si>
  <si>
    <t>bb5974d3e261414d23c9ce6bb9af02661335e5242c6d8686a678a9f13c80a988</t>
  </si>
  <si>
    <t>d50f136744d4166a58b1eea4add1f0748a92ac3f150c7779ab9170cee1bd31c6</t>
  </si>
  <si>
    <t>bab9542f3cf9be96c0123e72f1fd4aeea74eebd8be85205b2134f2811501b003</t>
  </si>
  <si>
    <t>c7c537b27fff3b65d0a241f1a34a4c968463605cbae0448fae3bef5d29469189</t>
  </si>
  <si>
    <t>7629f342b519102fbe25a8fae3523edcfaf3cf7336d842881321deba39cd3950</t>
  </si>
  <si>
    <t>c016a1a411d511455b5eb7ebc12c48ffcc32512cb5711cfc276b3f93dc02e57b</t>
  </si>
  <si>
    <t>5386b484f21aaeff414e6f7971b5e65aadb14e73bdac6eceaf94b0348f813050</t>
  </si>
  <si>
    <t>f9a0651bd9e8c535e14c30e7e3837e121a3fbd262daf216fb4b4f14d3a8b9429</t>
  </si>
  <si>
    <t>22bf86c7b64b53b2eb95100c8d929446f476697070b2d4460726e59890cab73c</t>
  </si>
  <si>
    <t>f4d9d7e877eaad206eef6d40efb168a59e28b3d3f0513e6e0d10e9b12147db63</t>
  </si>
  <si>
    <t>3e56861563084fd01067de712edb6bb1d67d8b21b4eda90b7cf63ebe50bd9de4</t>
  </si>
  <si>
    <t>1668a88b60945e2f101fda2872e44530c1aa79b0f63166923cea0f4da4b96ddc</t>
  </si>
  <si>
    <t>81eb6f51d9bf740b07d25cae6e1d6d03bad38c111358fd9d82e7095985ee2f6d</t>
  </si>
  <si>
    <t>1ed18829d724d79d107a1d85f3cce65f6b3e2b9d3bb829f8b2f6f2d670015e22</t>
  </si>
  <si>
    <t>aaefb4f7366fb4e8c57379104e24e84cc03379d5dc9f87c6b18e33bd9bf4db9c</t>
  </si>
  <si>
    <t>ea9f136733bb99e237eea5f7c02830b42cbf32154513567722e86cc284e2f4bf</t>
  </si>
  <si>
    <t>63d99c28b21215281fd3b2ff57ecf227cb86acc1c7df90c1c6b1d845a4665439</t>
  </si>
  <si>
    <t>596616b98cca53338d2dc426b69379214461dd0704d6efcd60f2c17bab2aad3c</t>
  </si>
  <si>
    <t>173a49fd4aed9f6e80f90eb6c7665f5b0db7015b7925ae244cdbe4e4205b54b2</t>
  </si>
  <si>
    <t>ef1eeb0508a231c73f27052e68f2139f88108cd4d1440b803fbea114b20c0a8e</t>
  </si>
  <si>
    <t>fab06dd660a7b5d7bd7b753c0c70ef19c269b099127e9847a12aa159aee72469</t>
  </si>
  <si>
    <t>60277042e1fae4e4131eca525f5a9a5ca673ebdb6680de37654a9f3ab74d4e86</t>
  </si>
  <si>
    <t>573fbd7c7060a7cf4fd05339feb66c73b38b38fc1689f29054fe050a828248f7</t>
  </si>
  <si>
    <t>ead4485f9037e67d09e837b792c541a99070ee569cebc3b0d81575576db11d42</t>
  </si>
  <si>
    <t>bad6d640a0f50afeacc9623e50848e70df701bfb082d2faf6d256d15eb75f5c7</t>
  </si>
  <si>
    <t>93beafc612591a2e2562345078c78ced62bebc3a440699428e043fb6f822fa2e</t>
  </si>
  <si>
    <t>93b27f8a15ffb9c24d4c45d407171c385b66dbb622052298044139a74e77a84f</t>
  </si>
  <si>
    <t>6a6274dc23a2ab6d4a74cabad3ba76924bc6ff57b95c60e4663adffd9249cd6f</t>
  </si>
  <si>
    <t>ffae33e7a97ff6203dd217071dfe8f1de1f66dc7f55277377162adf11be73751</t>
  </si>
  <si>
    <t>ab5e75eb55a7b7b4ee8df96fb76eaf297915a7b8e10923460885626697f82754</t>
  </si>
  <si>
    <t>74b95881fe6bce2d74b88cfdd9dbc6a2635e083d2f4dcbb0436cd90bfcbc75ad</t>
  </si>
  <si>
    <t>9c3bdf02a05025d1444cf7c25dcf809cbf47d8a142d6c3ce04ce07513c67fc4e</t>
  </si>
  <si>
    <t>5e7861455add3cc15ad8d232001f5445bd36e0ae16957206bfa37b99cd05c3ce</t>
  </si>
  <si>
    <t>e51b752fe10ad0c6afbd513ea08a8a1d8ab12dfd79c44d4320cf79172185ef97</t>
  </si>
  <si>
    <t>88cd17c8d1bd616e9148385e0c5137c146e9c77e37c331eda1d1a8677bbe8ea5</t>
  </si>
  <si>
    <t>ccc95db556299df607934f190a94290923a07c11d7f1c3754480af4e30cf01be</t>
  </si>
  <si>
    <t>7f46d9710b3edace671857d461147d47c90a63e303a5b666d56c607121f8e76d</t>
  </si>
  <si>
    <t>91496a3d299ffb3c3efb398229b05c2dcb2a262fe34e05887010e8ecb8752d44</t>
  </si>
  <si>
    <t>649d65d45ab12e3742594ff3b116e0f15e6ac314f7041a6598fbc2a3eab2d555</t>
  </si>
  <si>
    <t>1f98c32ff1e74ebd4e443155bb5a4b785283ae0eb23fa984ddfe7f3b2dcab625</t>
  </si>
  <si>
    <t>b2c946ea3f54a2460dde421868ff34bc29b1393499f3c5a4adbbed615a294a29</t>
  </si>
  <si>
    <t>6f83845e91ff69eb39fa4740f8ae5039a6c6b36a3e9638b85c2499256b1a65ff</t>
  </si>
  <si>
    <t>fe5bee972ca9ae85fe31cee41434ef771773a6afb154008e0cd0bcd04955a214</t>
  </si>
  <si>
    <t>1855d8005b215d9dcd90b4d2720e83b0f25d6b23f73bd0b168ad9c43a0822431</t>
  </si>
  <si>
    <t>4f6c4b2da00bebf972f0efb1805f3cd7af945b1067119dce687d419ed6051dcf</t>
  </si>
  <si>
    <t>86e7d635ef20490afd8d885ce21c5623056e33fa08dbfc257c70ff742543e0bd</t>
  </si>
  <si>
    <t>83e297f3979e081f5a3d8fd534647409442b34fe3451cf4e268e9c0cc8221eb7</t>
  </si>
  <si>
    <t>f5b5edd28032f1c54f040647d2c3120c4504a0e1aabeb70e78876705626532fc</t>
  </si>
  <si>
    <t>8afebf22375ea29ceae7e56b5d48466afdc83be3c23c6f5ec14caf319f2931b3</t>
  </si>
  <si>
    <t>44c86aea04c94fae8365dfcc84661d2c54192641042ab39d31307035a0a7a24e</t>
  </si>
  <si>
    <t>474fb32a75398aa03f9f2dcbea50bf1bdba19f63cf9c18a6bdbcf96ba85084f7</t>
  </si>
  <si>
    <t>70f32c57edf7dbdc78117f53e3af471aaf3d1be83ff62fb2c378e3f2577fcfb4</t>
  </si>
  <si>
    <t>5eacdddf0fc87640eb825538f31f9ef0b95d14c977ef8c5443585acb0e122836</t>
  </si>
  <si>
    <t>841aa11922de32f58a62614a9258b9cf71d4521bdd4b6d2962a616e25c718182</t>
  </si>
  <si>
    <t>33752c072921be9c5736f4bd49c11b62d1598a2254a2a80fdb7bdebfd8e3238e</t>
  </si>
  <si>
    <t>a1de534ed73dc9f4d6f87b02e9129467b0470cdae23b02223cc4666e5d3154ef</t>
  </si>
  <si>
    <t>c4f468921d443b59535ddf44075cff42b89c58a934144515039d9f32d58cac9c</t>
  </si>
  <si>
    <t>20bded08a5e990ad611632a9e725b60da4e434222bb9988f1bbb6d7f6749d1f0</t>
  </si>
  <si>
    <t>03ea7632103f55b92f1d6537a321042d1098a7a6bd4a5dd119a39a18a4f2a45c</t>
  </si>
  <si>
    <t>dfe73fef40c83b0f00f3ebfd5075003ca539cee14cc179fff0b26d162927ee85</t>
  </si>
  <si>
    <t>a0a675752090a0832951682861715a2b9c7b6c0f3f5a2452a326503a027aa506</t>
  </si>
  <si>
    <t>373f72ca73afe9832030428856d43ebe4bc9ffeaed55b8df12ce9d2724c5a7c8</t>
  </si>
  <si>
    <t>a7abd5db9efca22d6d34c455fd1b0a914cb719b928522a41c377fb80a8a55912</t>
  </si>
  <si>
    <t>c668fb43b8354fc7189a05ed3779cbfc97bb317c2051d2be9c47074502d767da</t>
  </si>
  <si>
    <t>2da55b60bb6b5095a9417b8226b34ba4c94012d28dd9056701f4227df5e792e0</t>
  </si>
  <si>
    <t>4b0dd7493016256ee01fc4f077aadeedc0cf31462c082251026304d4d280966b</t>
  </si>
  <si>
    <t>26d48b0a7157003d0eeefdaa12878198c68bcc7858ee41cf7ee3a90eb5831971</t>
  </si>
  <si>
    <t>3af33143b21fa5cc5ef7381abc6f5e1f4881e9d330ddc76839bff3252f9d4591</t>
  </si>
  <si>
    <t>dcbe2d0f2d90046885d8326d8ed259efdc712c1c5a2a8ac7ae0e5002820633b1</t>
  </si>
  <si>
    <t>5771f2e2b6338ee5ed19ad7d32eea1e981ce38e9697d38a27df2a20538e19bdc</t>
  </si>
  <si>
    <t>1b02962dafc8f86efd8bec0f49f8ae7905a59b0e5d45977f95f00cdaf90f591d</t>
  </si>
  <si>
    <t>3442b2f6a2fe324b2b23367c518fba0fc3ae8ddb7cb91610c9352d3e43ab4ca9</t>
  </si>
  <si>
    <t>f39d56425558da054babd57f51911d07e6e41081668713bf9350d4b2768b5937</t>
  </si>
  <si>
    <t>d8566f496f9c1fe0a6de73ab5e8bc02b0850cc20113d1e4c7963093ec8db766c</t>
  </si>
  <si>
    <t>5beb874000495db1cb965fca791df6c33764dc6467f818337d53548524fa828d</t>
  </si>
  <si>
    <t>2a260a45d56dad0fffb6f09917c8f386d342f4e7f887831443c074b368f6b271</t>
  </si>
  <si>
    <t>1155a95d8cca57ecc8f243eb33117cc21ca799337f4fdc31a88c09c0f6e51871</t>
  </si>
  <si>
    <t>ee0bb586151d5630934deac94efd5134dadf5863a9bb8d6b0e3646ca3abb5fff</t>
  </si>
  <si>
    <t>317b0d7dea28067ce25909ac05bfde340009d6e7e0a877179071e13751766fd9</t>
  </si>
  <si>
    <t>97fe57bbfc93864dd8914efa4372805145386777d6a2941877b1e3f87384ce8e</t>
  </si>
  <si>
    <t>434ad16f2ccf55631e32b9fc2e0a8364ae61ee379da5a3c237704cf149e438f3</t>
  </si>
  <si>
    <t>f780d8f3647929b4b1e9446dc79d14c8c3ff70403f1c3775225ab7c2e2240a6f</t>
  </si>
  <si>
    <t>ba7a035a959c4dfc91ff7a7ced8a137b7e95d73fa1516f2f709547bf940ba426</t>
  </si>
  <si>
    <t>9ee9cd39d7231f48e4c724b64bf8f3918bf1a12a0b707c03cd4f1e4cc7ad58a2</t>
  </si>
  <si>
    <t>468e77d53dc7d3f3a08145586276f01dce2361710a345e861d62dd923648a064</t>
  </si>
  <si>
    <t>aff1522bf4719d3e530a346b4c2c80adcc52c74b6299d15c8af69c4cda14d073</t>
  </si>
  <si>
    <t>da7a90f246b840ca8efb6515ef59209f9c5ad78579515026d5e15d57b033c5b2</t>
  </si>
  <si>
    <t>70ff506f9f1c97a2c426a6f635d7b30ab67d5d386c233dac04af8a9b47440b93</t>
  </si>
  <si>
    <t>8bac89b57ca6f31ad06314007b737dd36abb503ae897d56ca2af7b54c96a59a9</t>
  </si>
  <si>
    <t>6a756e51497d6e7c4d720f17e1a6f7138385fc64aba90aeb21ef5ee4deb93af6</t>
  </si>
  <si>
    <t>8146295b9efd712d36e5b6dc85803a1a0872819074983e319baed75d5cc0258f</t>
  </si>
  <si>
    <t>f1b553ed5b9a0bfee83a6215abce7103a77e83feb95304e71185cde5b2fd0e24</t>
  </si>
  <si>
    <t>0f588a7481f3852575629de472bff4bae415bfccd6055215439e26d8a837dbd2</t>
  </si>
  <si>
    <t>9c626f0545248fbc5574f5319c75788c359db5e0e53baf6877b11650077dfbaa</t>
  </si>
  <si>
    <t>7b3b84c09b133ddacf2cb60fc919bc187db4168218268d717c105bd03a622cc4</t>
  </si>
  <si>
    <t>286dcefa244d4af03d48705d3369006821911a251650fe437844272f201082a0</t>
  </si>
  <si>
    <t>5b51d4ceef80beef360546d026342dbb6c20b7d840d5452ce04bf3a48b9c1bc0</t>
  </si>
  <si>
    <t>d7b17c03e9292e8cbcd7f0ead7f2136b8958f4a88462a61a53de6eda5a02c55f</t>
  </si>
  <si>
    <t>1198f62f57e7ee94422852a56cab6835f3d75da249c7f05f0d7762e740ddb642</t>
  </si>
  <si>
    <t>3352f8b985b336ec48ad55e56e763137f0491b6f5d3a5ca8394c8ab7e210b876</t>
  </si>
  <si>
    <t>SAN JUAN BAUTISTA VALLE NACIONAL</t>
  </si>
  <si>
    <t>0e7ce2afab9e7304d14ddee95576211c198fbec6501189c35fcde0cdb4c21e4f</t>
  </si>
  <si>
    <t>f6a0ab88df219b181e09e60ad98e90f58ab0f1171e410995a416c82bf6383242</t>
  </si>
  <si>
    <t>c4ac94a619493421656f9f67db3d41051e132803e472cf382023d81df93c61e0</t>
  </si>
  <si>
    <t>5e5dce05043a6285c127a554cef99a610fb1d64404b9ddba8b0f6bd9f6fa58c6</t>
  </si>
  <si>
    <t>244f5472d36ec2d9692ad232b62c63d30930183a3f99bc825c1c193f7577ad65</t>
  </si>
  <si>
    <t>842afbb5d33583c8d312533f6833a3734ea45abfffcb5b3179383a15a254321d</t>
  </si>
  <si>
    <t>c87d02085d560fd9e446d96485b9bc684edaf0c63d944bd33babe23fd51e40ee</t>
  </si>
  <si>
    <t>d0441638a27a263d1bce04f630ab9fad1220b192b84f22cfc91ac3ec062dd443</t>
  </si>
  <si>
    <t>b067dff0c9270876f747944111bd2a7c818f8d0b6a84429e8ac51253ba8a3726</t>
  </si>
  <si>
    <t>44c01c9121bc4a6e46aa2bfa3d29855f3cd8b0d770a3a68fbd6b511ad1884a51</t>
  </si>
  <si>
    <t>ec01af40dd56b62aa898a1cd31217de6bd61222a07f827e9da844954459e0e1c</t>
  </si>
  <si>
    <t>d49898f5591f545eb0712c888ee1a74a727cd376c6ed6ad6b5b7d1272eec117f</t>
  </si>
  <si>
    <t>74e395b0a391dbe3eac6b6df1e5054b285198ac0afdbc1f31ca27506aca04aa1</t>
  </si>
  <si>
    <t>9fbd96a9f2b0d47b8576c1bddceab768d2bd4e548bae6bcb722e9ad584f3cc95</t>
  </si>
  <si>
    <t>31c88ba1ffc3e245bdf3ec8b9d57d402efaa4b888ec6406eabdcca121a685b1d</t>
  </si>
  <si>
    <t>f4a0e37862cbdda85036ed83ce8c610fece3b1cbbcfe1629e8485b023ef59b49</t>
  </si>
  <si>
    <t>bd2ee17c9510a7bf721b408544d9dab40cfc5e7b928f21ec59f826ea46bc3fe3</t>
  </si>
  <si>
    <t>2d606ca6bf01422f5583dad051914a44cdfea438fa876478955c990f7bf94525</t>
  </si>
  <si>
    <t>c809fb854edea3538711f468b9db6a589f4df00992053bca0eba8cc9644ce0f6</t>
  </si>
  <si>
    <t>f5c0131daae33d58651c621e7d96b542c6414260dd20ee3e00885e2e9b2b5cfb</t>
  </si>
  <si>
    <t>9f53621741971bb2a49272ea697567759891da0c6389206cfbec77a686b95a1c</t>
  </si>
  <si>
    <t>4e805c681469d2a072e32417adabac003d2d971128b7c5c9359a22c130bbe8a2</t>
  </si>
  <si>
    <t>e26d74d8b338f9618c36badf29921141e621454748dcb03ce81d1f1e1ee9a8b5</t>
  </si>
  <si>
    <t>fadfca301a822fce52a5abf833e18258aa371aa561e5f53526e7f7fdefca5e95</t>
  </si>
  <si>
    <t>c7a978875c5bc067c2c66eb196ccfaf866bb52890bfd30db44fdfca2bc76cc12</t>
  </si>
  <si>
    <t>f69299e9327ee894f6741b79be701790aef2627360ac41e4cc238799cba0de6b</t>
  </si>
  <si>
    <t>8fffb82b027df6fba9b69558ea0f2f142a02c7b4cd545d9c4565a244e86957e5</t>
  </si>
  <si>
    <t>86390441e446eca99602ffd05ca871e6f53c8b795a82c15dc802dc7df1a91d38</t>
  </si>
  <si>
    <t>7e359d00ba82e13864bb9565d331082b0921fa8458d85fe29ee41375722aaf24</t>
  </si>
  <si>
    <t>e92001c171dbeb772bc889c9825e9f1a4d357250202fb6fad8224063ac00954c</t>
  </si>
  <si>
    <t>0bb50457bbdb0fc0a39ba8e789df533ba580fcffc3b1d55d796e61a4569e940c</t>
  </si>
  <si>
    <t>ad3fed0e0082f0be2e05e56b58acccc325b82895f56546f81d8ea8fc2707c306</t>
  </si>
  <si>
    <t>77d8c201932a224485a993e211eb452bc8c60fac67d5596287909ead2096fa9f</t>
  </si>
  <si>
    <t>85078b544a278ab1d7e1b407c0b153a7fd437b546efc617f6b73799c3a8e4077</t>
  </si>
  <si>
    <t>57dc09c4f485612a36d5485919e4396b7bc3acea43732e75761647d523310c26</t>
  </si>
  <si>
    <t>SAN JUAN CACAHUATEPEC</t>
  </si>
  <si>
    <t>8cb5085f4813d0732471a4c98d9b106251a00f91b357eed1a4b9aeb82fe62c59</t>
  </si>
  <si>
    <t>0ce605e8a67d5257051ea4171cde43447708da72dd480e46d56d996851d3299c</t>
  </si>
  <si>
    <t>d2faeca647a2924066622fe0f4b288dfa3563c8bfd7bc6f50e46a3d9eeb66595</t>
  </si>
  <si>
    <t>d623d58c8a0cdd6b79dd03409585eda3b5e12be03c012fcf4b6ccba773f3be12</t>
  </si>
  <si>
    <t>31882cf98e30c1d82a7a46ad8cd41005cce938c7e046bc83a3b59740ffc64f7f</t>
  </si>
  <si>
    <t>51c929fd2b26a9d9067815b06ad6c48c4d63785b24b7968bb477a4bf5c2bc4aa</t>
  </si>
  <si>
    <t>fb50605b3c506a5bb89c8248e31e06dc33624504245e95960a8468deae939535</t>
  </si>
  <si>
    <t>e873f88b768d68231cc0a76b382bc60d2f153e39e308855f08714faefd81731a</t>
  </si>
  <si>
    <t>c5e2d6f4aba9da82cfa078ebecee50c513a8c27248dca5f948df5abfaf52de34</t>
  </si>
  <si>
    <t>f15ef6824297d7300280b44bcb971996473d7e67e085fc4d23b517778c689ad2</t>
  </si>
  <si>
    <t>f85fde39c9682e93484ca026bfc1294f6b61417d102b8bf8dab367b2147164ee</t>
  </si>
  <si>
    <t>3ee804cbe9f08218048dda74150b9ba84a2b81b140efb33c60f300c33ffa8db9</t>
  </si>
  <si>
    <t>SAN JUAN COATZOSPAM</t>
  </si>
  <si>
    <t>fb07765d498d4a086b3498aeb29ac2af9825cf202b4037bcee0ed87ec8a1f35f</t>
  </si>
  <si>
    <t>cc48b1be58036a0dda4d3e46d60cb8282009fd537499c28d1cfd7ecf67e6c6db</t>
  </si>
  <si>
    <t>17feca23af416d189850e0d742778cc542e4d2fb99889de8ff42be6314316b55</t>
  </si>
  <si>
    <t>SAN JUAN COLORADO</t>
  </si>
  <si>
    <t>2306b72dcafa012bcc7065652ab01a75c25f8b62afd88c963fcd568515c3ce88</t>
  </si>
  <si>
    <t>60053cea4b3b654712f79ad46101a36a2c6037e3fa247f1f8fb3cc1a81ebcce1</t>
  </si>
  <si>
    <t>92bd74d204d3fbec510892aae25ad0d6e32ff3cfa84f9000c7dfdb82fbf86f67</t>
  </si>
  <si>
    <t>78cb2dab21686bbd0908fc054e8bdf9ec7284db10ad86709db228fa5b1e48d3a</t>
  </si>
  <si>
    <t>9337a1d3ed58837710a345b8aec0fe2a3656cc4e1dad0f1d2f9f3e63fc2ccf72</t>
  </si>
  <si>
    <t>8ee6f739af165495bdfb7c9ed21230cd136124b1d7777898a6c2075ed14ac22b</t>
  </si>
  <si>
    <t>e2696ccfe94981c1f7b05ec4721019420345f69322877fef59853aea3aeca2ab</t>
  </si>
  <si>
    <t>c7057a7668f6e594fcdb6826233c45fe77a0a2fde85bbbcab22dc82652a4ff2a</t>
  </si>
  <si>
    <t>619b08d60e839f3b9776dd852447e277e62d1d5fa29633809072dd7406a15925</t>
  </si>
  <si>
    <t>9c3f6feecb882a966605f38edabf02ae18828cf4322688083367923e81fea7f3</t>
  </si>
  <si>
    <t>40d24f05a6744960d7a29844d9103abb7770bcfbdbea4f96fdee1e5663aee958</t>
  </si>
  <si>
    <t>8e8a48ad4be132dfbcf7d102886cbb49d75e5c6eded15d2457517a856fb9b2f1</t>
  </si>
  <si>
    <t>caf2638537d5c3f8fb0908e863ca61e61af846633c1a1fb911f332bb36a3ed3b</t>
  </si>
  <si>
    <t>SAN JUAN GUICHICOVI</t>
  </si>
  <si>
    <t>e66fd68a9b88dacc115bf6b5e47e89b84174ff4f086696d39f025bd6411c330b</t>
  </si>
  <si>
    <t>13e6c0b4c9332d364cf1f6d73e6b0cd4abd3fa862013c50cc45dbae06862a1eb</t>
  </si>
  <si>
    <t>95a9984fc8f3fcd4289de3b81f0bb806cdd758227f8281606f3659787ebe49b3</t>
  </si>
  <si>
    <t>6d8868ac267807632dc974e9f4afa5d213a6842ba173c2ebd836931ed7b73715</t>
  </si>
  <si>
    <t>ac13cbd62510dec84961560c6c2fe49a04cd741693e43194d470940c6b01751e</t>
  </si>
  <si>
    <t>dbe4fa1aebc09e66665859d060a9689790c9667888310684e847701a29842ade</t>
  </si>
  <si>
    <t>7ff5dff510f578149e6b1eb85d58b737f8f007fab9942476ce3338b6898663c7</t>
  </si>
  <si>
    <t>623fb1a9093ee602e783d0044eae9ca458b6c41d001cd188dc065918a52457b6</t>
  </si>
  <si>
    <t>92b84f0a967c396301d8ed5b62144fa9ee4b2f080f5f6a1b95ca1fac1fa2f2cf</t>
  </si>
  <si>
    <t>f0b6b08e63fe4269e3900ad9a84c655ce956fb8d99e0904bc1e9f3e44e0c5866</t>
  </si>
  <si>
    <t>ce8586eaff9ec90dc56f75f10a65e29e9278fc728838accb2b694f44d0956537</t>
  </si>
  <si>
    <t>31e026d3a1ecc6541a772f75ac4d58248bddab762463f8759ef5f39aebc9e85d</t>
  </si>
  <si>
    <t>279c9cada3f239170ece9acb0aec7eb7a6c3bfdd8d7c0fc7ffca6031faa0f923</t>
  </si>
  <si>
    <t>1a15cb1dd303ced477d09ec1ad80ba09472dd8c5d893d6f9ec6e4e09be945e42</t>
  </si>
  <si>
    <t>1aab01450c4ea3fd2f1c02374b1247df23143eb07cc7acc9dc1ea4521e642ec2</t>
  </si>
  <si>
    <t>3b1a9608b4c701147a5a09a0bebe9cbfbb5a014fee9acb91c20ec950ae7933ce</t>
  </si>
  <si>
    <t>922d28191b8e7c89f17247c0a108cf6a362dd79c1524b182483b4503e131b2c0</t>
  </si>
  <si>
    <t>1c2bc9a75b28adabfd5ca67677895ccdff033dcc979c6595bf86271f785eec79</t>
  </si>
  <si>
    <t>45fc6811fbd3596f81510f57e8d57a8cf0c68707bff6bacfc5763b6735274654</t>
  </si>
  <si>
    <t>d01941bb7d4034652c6cb520d2d9218496909ec8e35486b9a6efed478e6081df</t>
  </si>
  <si>
    <t>1312ecb869dcd2d1f4ecae42971b8aa25ece1026542c3dda6826f3250e566df2</t>
  </si>
  <si>
    <t>a91ea18000a9c678d1d97e63d73f7b428b95d6a5befda02825a84740f91f9512</t>
  </si>
  <si>
    <t>23a34d0850a3d533d0afa03b3471c8074e0f336fd1e561c40131dfe1944a1432</t>
  </si>
  <si>
    <t>c07968fcec9f36c46cdcb67a19a40bea61b452e526aaebd848294266c6907645</t>
  </si>
  <si>
    <t>61646b328003d690db8194ef7929dedee50587a7ace092548068de101edb9e59</t>
  </si>
  <si>
    <t>f91f10932818bd5eebeaf80de3e3923d7af9e1faa9b8c92df7d14f9bb63eebc4</t>
  </si>
  <si>
    <t>21a1b028f7242627c17629d7e476b618737c3d96610acb48eed084c47f3191a1</t>
  </si>
  <si>
    <t>de049b789ad8a307033367292a45e4d6afe9f05de7c4d576220ca1b7874db96d</t>
  </si>
  <si>
    <t>496f2a2c09251ae1eab909cd41dcc51d54edee14277994b8fb6a139720ff907d</t>
  </si>
  <si>
    <t>6de01327ebeab3cc9b360baac3e44675e99bf67f261689552cab1f15b77dbc0b</t>
  </si>
  <si>
    <t>105799206f0f7477c5f90ae20d200c085521565d0e5dc731f35355cdf30d88a5</t>
  </si>
  <si>
    <t>ca1b5bfd7980ed02214be476afc984246a6d072f0043681fe954dc8cd47cde76</t>
  </si>
  <si>
    <t>f0b24d8bfaf629422b9f8c688c7ec4c59fb922664fa3c0c0441742cc19df4897</t>
  </si>
  <si>
    <t>455cc7d84493999541f58d4a24790c20b57be1b2ee85556ff0ab5fb64ce4eda4</t>
  </si>
  <si>
    <t>c401ce820dad52fd264ddbeab6e583e8876ab2c5b1ba81875a05b6410c2dc251</t>
  </si>
  <si>
    <t>1e599b7398b2da2448a817b1b963e187ff9543f4ca7c54668cc515f3376bbb38</t>
  </si>
  <si>
    <t>fec24f50e9e8d2744838fa952f2f43fed2820440b8b1379cadc84e5fe9bce869</t>
  </si>
  <si>
    <t>058641e6750afd0421fc0e13e22026daeedf43e75940bdb1fa78e38113fda00e</t>
  </si>
  <si>
    <t>519d94b812fbdc629d5329f8f38140d33dc24aae7b235ef21afdf15ba132d53d</t>
  </si>
  <si>
    <t>888d96062076d6c4c57c1af198669f8604744d114d58c5cb487de50426f9b205</t>
  </si>
  <si>
    <t>da767dbc739927a34493c9f0d1c5369c678ceffcace0c51a45d0110021896139</t>
  </si>
  <si>
    <t>6f481dbf0c6560bfbc6fcaad65934f2b8cb77bad6ebcf0a4e2b8b90743340b89</t>
  </si>
  <si>
    <t>004850dd873bc5ea0ba40a532c56e8f1f601b31bb365809ca97a9a868e0145b1</t>
  </si>
  <si>
    <t>8da76713a69e373c586ae123e8a077a829f10a4c4afab28a885cfac8a09635be</t>
  </si>
  <si>
    <t>c22c48455a2128c694827a27cbf8fb5fc7fdd1c7c8a5c58a5b3443b9ae64b4e2</t>
  </si>
  <si>
    <t>3b30c4c2cad901a18d0ef8ffe8dcfe8fa36ef5ae48b43049634dc72671fbc82a</t>
  </si>
  <si>
    <t>f94bd4288566b16e569f2b61b74c3dc4b7779cc958bd2d42dce658311213e430</t>
  </si>
  <si>
    <t>84e12b4575b37eafec539116b7ab1f12fe58dcb8ed3cd9cc417bffa4df0602aa</t>
  </si>
  <si>
    <t>304c52e4e07548b534c6aca098c8b2566c76a295ff24e223afc34f5f0b378bb1</t>
  </si>
  <si>
    <t>93a0991f7ed501e27738e7dde3f344416f7e1d7c3cc3e85f9d7e29fc2d3f3968</t>
  </si>
  <si>
    <t>02ce7ef481a5fd8a619d66edf9474065a4fa31640fdb263fa7c72ebd5229947d</t>
  </si>
  <si>
    <t>bef138bd994f4fd4e2342ae63613f177907a3c63df1a90f8d64677dd9d1521ba</t>
  </si>
  <si>
    <t>SAN JUAN IHUALTEPEC</t>
  </si>
  <si>
    <t>054dfa245184f3ccc80f6905460419b59e74315785f2a985faa3261a34cf5e56</t>
  </si>
  <si>
    <t>e27a37a8e78b94488f706a920497cf6062deb3de447f872e47123b1a9b6f2849</t>
  </si>
  <si>
    <t>SAN LORENZO</t>
  </si>
  <si>
    <t>79a2e75f52473ca1e854bcf4f269fd1707d116715e93fb9936222704d07e1512</t>
  </si>
  <si>
    <t>7e7028d7a525af37e57357cc78c4dcc39056715e2e8748f273fa66f83527811c</t>
  </si>
  <si>
    <t>fd0863196e7ca7adbcdc01491299d1dd0146e1f20902a4f684f815636250b983</t>
  </si>
  <si>
    <t>791707856af8ab1cf06b758c89e72de02d767f5041f9a3fec90fe230e7f633ce</t>
  </si>
  <si>
    <t>99bb5b4b58eac7fbc0ee226c9677892497864f1c0f953c270e1e225e97c947e2</t>
  </si>
  <si>
    <t>f40542d7a54244c33cbf7dec6a6c5a4930feb9146f797951d4b5cac5cbe83abb</t>
  </si>
  <si>
    <t>16881dede802ff7547a70276f00b3ed51b8b4aea76ec6ac1cc84a664e6353f99</t>
  </si>
  <si>
    <t>SAN LUCAS OJITLAN</t>
  </si>
  <si>
    <t>12b8b9d78b48b6260ef699cb43b0a1785bbfd6d5f9b6865ecb6fe0dbc0800944</t>
  </si>
  <si>
    <t>d4beb6ba2cbd0f3b541f4d6e8156485408c784c5e6c2ab577917a93374ed7363</t>
  </si>
  <si>
    <t>2d77a633cee16e77211dbde96fa2e8159235eff0fe819f3acc5d388b160025c5</t>
  </si>
  <si>
    <t>a8eb467aec8f64a9cb52547b38969d1c4ad01702b5e87ab5a6b0f81b06a88cec</t>
  </si>
  <si>
    <t>9278e4e39046dd386452ea365353e365f50d3ed23f8743ce34671fc53895b33b</t>
  </si>
  <si>
    <t>4083ae70bd86cd0af9a1b1fa1cbccb0979148e82d14bfade4b88139fd68c00eb</t>
  </si>
  <si>
    <t>39d329de49bc69c9f907736a750974b63a42f1a4a562bf72aa74204a63cdd212</t>
  </si>
  <si>
    <t>092ef92df432f60a63152c1f4897cb4ab37166e96293c5e4b1c4678e61e8abea</t>
  </si>
  <si>
    <t>bb70dc1e5e13ba37f404a3db930d584220a1b2ba12708db7fe36e31575874304</t>
  </si>
  <si>
    <t>79a8313542ad8125b7361f63c20fd37b6fab1dd1a9c220291510a364adbb0225</t>
  </si>
  <si>
    <t>4d2201a19dfafae5e0cda933ad2b67baf422d2eab358468b0c6ae671911dd0ca</t>
  </si>
  <si>
    <t>f220a4276d064cb5ce8e0280e6e4eb2227c2e109c193ef44707d39c03e427361</t>
  </si>
  <si>
    <t>471a6d7f69a1b0d7e0edafa06f8afcc71ec3876917d6144edd28437cb9501f2a</t>
  </si>
  <si>
    <t>b13d0c634e965745151fc0a97600781eed2aa3237210b3ed31044d0df7aa4bfd</t>
  </si>
  <si>
    <t>a0c61020471470c46d9d1f54edb2fdae532dc61fc9073e0dd1cb9c20ab238062</t>
  </si>
  <si>
    <t>a251414531a7f251d9e4a545b7233c4a71bc846a523675cd896d38a70d2f4923</t>
  </si>
  <si>
    <t>3ce0e6a66d9dd8cff3e725e8d2efbcf8c186c46ea9c0e840d39e0248596c6ffb</t>
  </si>
  <si>
    <t>424a67c01b6cbd44363d6bac61ace4045bfd5dfb5eebbd7e0d460229d580a321</t>
  </si>
  <si>
    <t>6c4b247174eefa5d88519a2a8cbe002ef1aaf4c812e5b1c89e0877ec66cc1dc7</t>
  </si>
  <si>
    <t>1dc1e1b4cabbccb0607f97e75e2c5aebf36fd63e4f8f011be11d88afbbcba2bd</t>
  </si>
  <si>
    <t>fa0fd70ab0a82a53d1983d1285375ec79522dfce1d75643879227017037fd62a</t>
  </si>
  <si>
    <t>439625ff496f3a8311a22126ac98d7f5828ebcd6744dd2ad94ba755d8eece9b7</t>
  </si>
  <si>
    <t>137d3c6f9b0ed2e00b0bf433e44742ab46708d0bc0a5310b1b1b3891725a1679</t>
  </si>
  <si>
    <t>64c812be7c863af895967e87098692b2740ef5a7922dd707d18d20dfa3d1ff72</t>
  </si>
  <si>
    <t>5448d028b76b3ce59379b6b9a14440fdf8e3afa6023d34f7182899643b6ef941</t>
  </si>
  <si>
    <t>6ec2b436653b99b5761cec8ed066aad638c8574e8f2bc3ee61cd225e12cc6142</t>
  </si>
  <si>
    <t>22b0d4ee2bfc7805307449aa2e942e29e4151617d181d61527b3f512db411bc5</t>
  </si>
  <si>
    <t>3120eb14148d0b3cd51f4b5721a9ed589fcfb40bfa76bdb742b335043b3a7ca0</t>
  </si>
  <si>
    <t>8aa21b5f586252478bf0be9895ead6ae5ca921f25b57553b9dfddc0422ebd1fa</t>
  </si>
  <si>
    <t>2df87dabc7b976a16459a5ccac05726aa9387acec148f11824e9ba76c17727db</t>
  </si>
  <si>
    <t>011202be93628c4532b942dd0c6b44c7fe96532a7be5dc728466604f9b8b04d4</t>
  </si>
  <si>
    <t>5cc023c0ae4b5298b0078d5027520d74b43747d5aba87bc6f168075d1441bf68</t>
  </si>
  <si>
    <t>SAN MARCOS ARTEAGA</t>
  </si>
  <si>
    <t>6abaff3b0a4ea3466f9200951c1c4c2357115df1d9800f31daaadff284734cf3</t>
  </si>
  <si>
    <t>a0b9d5a9a039fcbf6beba7736fa118cfb65ecde9c2044f21055598df046effc7</t>
  </si>
  <si>
    <t>4b5e123066de60a4d17d7ab51fca69adcd2c09b731a77a2050b63367dabed83f</t>
  </si>
  <si>
    <t>SAN MARTIN ZACATEPEC</t>
  </si>
  <si>
    <t>b717adee82be4fd0ec4feae80adf66e57f5ad191ebf4baca08161323e9d116a7</t>
  </si>
  <si>
    <t>d13ce7a7210219893c1d892305d63406a94a4a89b283a60012ca9cc6575b520c</t>
  </si>
  <si>
    <t>d9286ffcf37d0a8e44ec68b8f78144d602c6f74e3202002e563b2d82159868e1</t>
  </si>
  <si>
    <t>SAN MATEO RIO HONDO</t>
  </si>
  <si>
    <t>880d63812b17322e5e4ce66b62f5f58047fa48acfef1af22419a84352396cfeb</t>
  </si>
  <si>
    <t>38bd8819d1c8a7d9c0967ea50129f3448e4d19a60e885904d1e973c6612a15d2</t>
  </si>
  <si>
    <t>73f155d0ff09dc2ab6a01e39904649e0c43a165722fa891da7ac384506f21b6a</t>
  </si>
  <si>
    <t>dbab5b8b322c48dbfa763d31bb57225e4c88e33c82d68e5d73bdaa6f0143923e</t>
  </si>
  <si>
    <t>5e6bc43df4ede9476e9317f7c2e780ea60345b45f8502dd31104a08a8e0ef0d3</t>
  </si>
  <si>
    <t>a0de46ec4d5a31ecf2de0eb47bb84aaa898ef5aca7898b44b8b19cfc2f05db02</t>
  </si>
  <si>
    <t>SAN MIGUEL AHUEHUETITLAN</t>
  </si>
  <si>
    <t>9441394cf1344d30fb4e425468396825550d77c6c69bb6cbfc1601fa543c8e55</t>
  </si>
  <si>
    <t>0f6e8dea0373063c4265c7b43874c89f34cc6da36a01441e6fd9a38aa7ba0d17</t>
  </si>
  <si>
    <t>9b3983db6734e331c5ab2aba57cfa4e0ccb8336cc1e546f26f071853d51812c2</t>
  </si>
  <si>
    <t>SAN MIGUEL AMATITLAN</t>
  </si>
  <si>
    <t>333a90599f69badf054be2eb1e8e9b429556ca0b68b243c9c6e0a72c83de1a17</t>
  </si>
  <si>
    <t>5a3108d4b819501d8b4627ac5765d10faeb420c769a5026824266f945e34cab6</t>
  </si>
  <si>
    <t>37e4f09f97e6d9ae011bab551a68c09db7280be0480b814370d165249d821254</t>
  </si>
  <si>
    <t>57e26b261a9509d97d6c0d5052036b5f78fbc63fa2c6a183f5700d51cd3c89ae</t>
  </si>
  <si>
    <t>604821227d96b82dc1e6708d01437f5e787b1b4bb9dc7f9e6c199a315969242f</t>
  </si>
  <si>
    <t>4270c04e20eb14ff5ec065c1b865a5dc80d845b5557ce8d7026b1b32669ada55</t>
  </si>
  <si>
    <t>8a9637a1e1be3c1fe7aaf3d5bed4284788fdb2feba57756e3f41ff64a6de0c86</t>
  </si>
  <si>
    <t>10be9f1d09f9675828bbb75f27c3c4be01c6d311fb2de23f181bd1db7ecd53f3</t>
  </si>
  <si>
    <t>33a3c06a63e76df975fde00ffd6ef68546634b2760601e8740b248106457fe2a</t>
  </si>
  <si>
    <t>b1eefb542827d5e92950140cb7b95416b68ff85bb8616d26cb6ecbc6cce8a8c6</t>
  </si>
  <si>
    <t>ceafc6c25cc0d6779f8d609a379c3bf9ca1a3778cd71c2ce5fa05f20cea40748</t>
  </si>
  <si>
    <t>be10d0a72ba4c3c9426a97d49cb137a5a2715b781275789126bd1bb50436fe44</t>
  </si>
  <si>
    <t>72f35b702b97efb9deab737f31914e34e2f42a865550d0dd984221d4c35fd127</t>
  </si>
  <si>
    <t>SAN MIGUEL SOYALTEPEC</t>
  </si>
  <si>
    <t>c421f723742925454c6708fc3b4f1d4f603301de9502c73c4c0666ea64701378</t>
  </si>
  <si>
    <t>2ba5e79ad3a4e935462f501bd1e022f7ce3befaeaf57ceb389e3adaa5f2982a7</t>
  </si>
  <si>
    <t>a9a0981a32e4cb6909df5707cf3a69ab04d08fc52ef849d586c84ef2db54aadc</t>
  </si>
  <si>
    <t>0dd79c18eb7f1e2fd927689041beaebbb5b928d3cbccc6fee6c134663ea79293</t>
  </si>
  <si>
    <t>ef62a872739fe339fca94159d269ac925539502048fe7e4b0262cf685b6368a7</t>
  </si>
  <si>
    <t>e8cc0f73895dec8d5f14c59f7dc451ddf41564d86e44b09d334c47679cfd83d8</t>
  </si>
  <si>
    <t>414e8d0d53c06a77d73536bbf3632a19114b2c72c06d9804691bab1476a4b2d7</t>
  </si>
  <si>
    <t>5dbef861c4671155a26bfa05331f439d4b5afe6c12eaa6c76068b9ef5cce1985</t>
  </si>
  <si>
    <t>e98ca68a0584e91820ab899b25e85cdfc631a8f684ad068833891011da524213</t>
  </si>
  <si>
    <t>2c9b8abe0eca72f178114bca1a6ee84fc54c497403e68e5df2f760c394f431cf</t>
  </si>
  <si>
    <t>25dc496f64b3535b0f4c3643acecc9b061afb313ee1582ca5858b2103cb8a56c</t>
  </si>
  <si>
    <t>635a6ea6830c1c7e9f66bed18c7601b9796d26fa090b8e1d41d43d5b5074b8d2</t>
  </si>
  <si>
    <t>12812cbb59cfdda38f03ab83750191cbc4736aa3ae1ae42aa6e0481d506e30cf</t>
  </si>
  <si>
    <t>f453042e236877eff306635cbf9667a78bb8c060b9150edc96f8c4b82becef19</t>
  </si>
  <si>
    <t>f2985f9175b2e760f5802fee702a4533cd39173b35c82cb41a4bb16495b319a3</t>
  </si>
  <si>
    <t>6569364ace4b2f691b9f6ee065eafd3f711ff6648aa9772191082b4e057a7a9b</t>
  </si>
  <si>
    <t>68d545b6edd03ac1648b9b576c1beafcbb1b14d0a2c407f15414507b3a213acb</t>
  </si>
  <si>
    <t>a30e6fe4e4d4b0e7fc5ca1d97ca2fb0b364e0b31ed084731ba4c4ac5f8f6bf10</t>
  </si>
  <si>
    <t>ebcd00e2f8df768381818f141ab20337506e14bd72c54b0067f8a25dfe710dd0</t>
  </si>
  <si>
    <t>3e01cb830fd71b78868b681742d3ad02474810a8a23134317492ff8aaa9d2931</t>
  </si>
  <si>
    <t>8d324b961f9142d44b2fd3692d0d78ba69ad39cb0e32964a1c535bb45b74aaf9</t>
  </si>
  <si>
    <t>8b0a5183ffa18965ef17e3e83c4c522bbf1406000fb0202bd61b017976e57cc5</t>
  </si>
  <si>
    <t>1fba5de52070767620ea6b59aec862c18c1671bc12a456bdac2496c291b18b96</t>
  </si>
  <si>
    <t>b38acbefc3421c070252a9940ef2ae45e4e45db3b692e88c89e7eb5b6ed2ba8c</t>
  </si>
  <si>
    <t>58c25274bf8ab08c0e1e3e6d13018463a03e18131edb194b334e1143710e7eae</t>
  </si>
  <si>
    <t>feeb5f955e689fe14dbff481cb770a5b4ea5f8c1033c76d4799b0803d2cf80c3</t>
  </si>
  <si>
    <t>3f196a951b662db793da9281bd9dec6eff61ec041de0ec7bd75e7c35d2dc6b13</t>
  </si>
  <si>
    <t>d6e7ad0c54eed95aaa76637d69d3ce46488e7cd923fc2a0d9cad231fdb67202d</t>
  </si>
  <si>
    <t>66dbd04b38b3fdcdd6cde50b6d5dd33ac12c30b82dbbfd20039f2995a436b245</t>
  </si>
  <si>
    <t>b1b738db39b95bdcaa18dcfffbb5587d157bdc9fbefd054dc089482757311536</t>
  </si>
  <si>
    <t>0628199a7ada3a6f00f133cdc7f3715199e10e57d9942ec853c2d380411098eb</t>
  </si>
  <si>
    <t>8fa729297dab71c57534a434b0305b1f51edf667e4b86ce32b53ca30eefb39fa</t>
  </si>
  <si>
    <t>7f8ea094462c3f38fab5e83f02c60b8f21dc6e91231c77dbfac60006dd7fb130</t>
  </si>
  <si>
    <t>2aa4b9566e6818586983db01306b9bc111c375a33339a804a316355a77bd58ea</t>
  </si>
  <si>
    <t>dc9d9819dbd144ab0cc13933500bf952ff11cd146f9c896210d743b85e4700aa</t>
  </si>
  <si>
    <t>97ee99d7367871d93d331cce45373d34992aa0ddaa576440b1343d7365885c08</t>
  </si>
  <si>
    <t>ca19b7778cc8fee7d394dad95bab58d788adb866171161aeda219ae3693b6655</t>
  </si>
  <si>
    <t>1fae3d164b61c9d91447eaac779dcc472750b4f7d4e280cf2d29b1ca97ffb246</t>
  </si>
  <si>
    <t>e0d9057dc02babc1086b79d7c6552bd7d4f277b838284d59fa9b3fc64101738a</t>
  </si>
  <si>
    <t>f9dab1e63f1dac5b84e722763dc197ce78023d5966a53556f9578a38f16bf2dc</t>
  </si>
  <si>
    <t>2eebe9b9d479a016e94a30466480a6e7db4d9b14e3cccab4f79b6a996e8bcc9d</t>
  </si>
  <si>
    <t>931237a18c563a079552e23fae8b6f97db865a1d27032afd1bee73195e4a6a92</t>
  </si>
  <si>
    <t>1df9db53f15e6edfc19a1e831b3a33f781f0820ed62611539d911e504a8ef0e6</t>
  </si>
  <si>
    <t>fecf5386b8f964fd25772ec08b75146eeae7ea99d8d9b02406b893831b006f5f</t>
  </si>
  <si>
    <t>b6291e72f51b10a45770221ac722b5125b3d76d2f718659b545833af1c7a4945</t>
  </si>
  <si>
    <t>70d7e41d8874792f4bfc683321aea2f29383353eda648f92a6d8127b9a1a6102</t>
  </si>
  <si>
    <t>b3e0fcfff1b60410c7fc2987128b7c6a3ed3c13b0b1e13cceb970be383830cd0</t>
  </si>
  <si>
    <t>a21eda8bdce6ae32941b16502c2ebe3759d7eb60d28997d2f6d56dd27b8836b4</t>
  </si>
  <si>
    <t>5e1c7c92a7dc7d902576e5b903683fe808441e90efbb24066c3461c22b78e9ce</t>
  </si>
  <si>
    <t>c49eb5fb3e8398059e70d71a3766268531e82ec154b5bdfeeae68ba3a04f3fc0</t>
  </si>
  <si>
    <t>8d7035256c258a1df9e36f91fdff09a35f3759c88810fc234908ba0822a0cde5</t>
  </si>
  <si>
    <t>7cce2d42b6d533c522d5a5090d7fe81d60b2a0a006aa3423f577e196ff4aa168</t>
  </si>
  <si>
    <t>f97137855669c44f43c3dffbabee57a92af2ee8dfb3418649862d8444ddf0587</t>
  </si>
  <si>
    <t>2b7d75686e3e629d451b7d29586a6a807ac6ed8deac27d178c22f2acb167e940</t>
  </si>
  <si>
    <t>b9c43a766b779573424797a711b2850293fb8e1491c78f51f2733dac0048c9b2</t>
  </si>
  <si>
    <t>66e543abe0ea25aeecc6dc8c8e203ff51c72402b9656b21aff2bd9027fd22157</t>
  </si>
  <si>
    <t>b2f194ef09d70d71c8a6ba018d7ff0ed3dcc8cfd265e9872748425a66516482c</t>
  </si>
  <si>
    <t>SAN MIGUEL TLACAMAMA</t>
  </si>
  <si>
    <t>dddb5e81bdf7db78a7049a8757bc637dfd66bd7a23f176730324ddd210ff7ded</t>
  </si>
  <si>
    <t>b5f1f00eccfe6872235bd0f0b064c70618cada3ef5e92b0ad7b06e2dab7dad73</t>
  </si>
  <si>
    <t>93a5a107a2cdd2b4a93a8ec87486f3897f6b81bea116302f439e4eeb199e212b</t>
  </si>
  <si>
    <t>110186a8416441551adac29872451c5783a53fb02685a8efce9a5d36c58b3e8e</t>
  </si>
  <si>
    <t>5190425762fbb85356719f375d706d3e53672b5ebb40c41be6f9265ab47f7471</t>
  </si>
  <si>
    <t>ebde0b1f369e7b2bb861f00b243884c0181df7d42402b6ab1244ba4553bcef73</t>
  </si>
  <si>
    <t>SAN NICOLAS HIDALGO</t>
  </si>
  <si>
    <t>c702892d9c5602b53dae2d1ab090f487879de719666b07962d451c2295a8b589</t>
  </si>
  <si>
    <t>5a654d3dcc1383db94aac14cb9ffc8c38afdfd293bf98a057371090472bf72f3</t>
  </si>
  <si>
    <t>SAN PABLO HUITZO</t>
  </si>
  <si>
    <t>630046085480a63ba5af2f64c698eeb3e758bde61f3d05c756feb26091efd823</t>
  </si>
  <si>
    <t>3dea4cb8f3e7d7326c706a32e0f3be612b7acfd99747a9d2c2fd18ed751a7dec</t>
  </si>
  <si>
    <t>7a02f9054b21ccad1158a0e2d061a737f82f77b73b7ff49a6fdd37ab6f8e474c</t>
  </si>
  <si>
    <t>b8eff0a2ea165b5c5cc589bfce2ebcfd8b439d5dcb06d69a1564cca784d68871</t>
  </si>
  <si>
    <t>1c2465d0255b7d49011a105c63510fe5aa32565ee03feb9554d2ad01d612d269</t>
  </si>
  <si>
    <t>e35400f73a8f9c0b03ea7843ceb318f8f7d49c1255ac7fe7a3fa365968aed4ae</t>
  </si>
  <si>
    <t>443a9d819e9bbb573da2934cf0cbb62a7efc5b8c98cdfbecd745c81419553bbd</t>
  </si>
  <si>
    <t>c73ece39a3df0da500c1938e8b89d48e953ac8e58519d3328af1b76e57f593dc</t>
  </si>
  <si>
    <t>a8904e10ffef8ed84313d1433a95952cf6f5189963d52da9a3e690da48fbac2c</t>
  </si>
  <si>
    <t>66c522ed4db200b711b22ae1c97e52fbc1f2f7495f956376d882d10a894ebd7b</t>
  </si>
  <si>
    <t>SAN PABLO HUIXTEPEC</t>
  </si>
  <si>
    <t>e459e70bf381b582732c055c7df9f8ffd7d36250dc70b653fb0c0afaea8f1a04</t>
  </si>
  <si>
    <t>e53ab0ecf9423c35258a705d6d443a7b32df86b755544b10b05cdf5b6368f006</t>
  </si>
  <si>
    <t>33c9653e494f95bc42c564f8b9c3a8d29d26f6a2857467c5fa6d85bf3970f001</t>
  </si>
  <si>
    <t>0480caf6d696f5926df468200eb7bd1160b9014038a557b925795a3d35e77f07</t>
  </si>
  <si>
    <t>f5eb176ff766da429b55cd724a319c13ccdf2601874f8253d8de1e42d886a0e8</t>
  </si>
  <si>
    <t>b5361c74504c903d542153360ebc51871f91c1bd807c0cb5a54e8241a33e28ae</t>
  </si>
  <si>
    <t>481ee53fad7c9feb53982a57a148ee32e7c135e769bca538480fa38b2882e54d</t>
  </si>
  <si>
    <t>19892f8403dc40cbefc30030ef5c1ff97a8b3a3520490e8ff17652899389cb3c</t>
  </si>
  <si>
    <t>277553c3282f18375ba6010c654437a5992b4ad5a08876fc20836b93662bc902</t>
  </si>
  <si>
    <t>56a3d6ed712bac973281a7cea3f50813fabcf007b96ea6f8976d7eee0e27fd62</t>
  </si>
  <si>
    <t>eb4e76036fb32f28f090a04ed8a7a76402ebad8173e6d5392d7385d60921c38f</t>
  </si>
  <si>
    <t>e3a34c2541f027ac6c1c0f476ddac6b733c0c54066d31f1411f07d81cb0c43a4</t>
  </si>
  <si>
    <t>b6bc7949ec38f30e8d8b6c3a3e9f43ca23d949b6f58455c75bebc4794f6a7fd1</t>
  </si>
  <si>
    <t>SAN PABLO VILLA DE MITLA</t>
  </si>
  <si>
    <t>ed74f03aa454a74139b7c3f7f9a29c4495c069b7a8fd857248d3b3ed29a01e71</t>
  </si>
  <si>
    <t>a8fd14108f8fd79293725e3e0e3e01d6ed6202cb23cd3ec798cf50dd3eeb02f1</t>
  </si>
  <si>
    <t>a06c05edb07c58662a732b01dea249d56e1e34a72b75fe0586893fef2dcbf5e0</t>
  </si>
  <si>
    <t>8e64a674e67878506609a4e0c8ff069ad6a81cfcebcf39d6eb19598774ccc7eb</t>
  </si>
  <si>
    <t>29c3ab5a8a4e6ebe2af6a478e48ec6b19d6887039362f11b5e4cf655af5f32d6</t>
  </si>
  <si>
    <t>7301e145d110fa6698d379455e99094c85b133754742f5007b099597fb2b8540</t>
  </si>
  <si>
    <t>35a99181c4176f62aeccb9e903cc2825c82e97a14043a626d9219048a406c76b</t>
  </si>
  <si>
    <t>f3b27604165213f5ebd9cd62f05a6d4bea9db318eb059b7a3be013e8b35ade12</t>
  </si>
  <si>
    <t>55416d7c616362704991b8025a069152368a53c6f9d8722cc36e418dd9d79929</t>
  </si>
  <si>
    <t>89a60f3d2d6bcde64229cf04a262c723712b47d7e04e1520643d5e2224acaa1e</t>
  </si>
  <si>
    <t>8e1b8bb57776b5a70075b9296a626a04ea1748a25f4f9704c0f30f453eacf422</t>
  </si>
  <si>
    <t>19e8e0ef97b6ce20ff26cc877c2f97098c77fc571d83c63c9026767c8ac4f738</t>
  </si>
  <si>
    <t>d1ad7602933b2e30de9e86096958fd12996374d37d53c768f6c7f9c79e49b2db</t>
  </si>
  <si>
    <t>feeacc47f29b9676e685998b4559c38b30d9dad00f25ccaa40f4b1f4783a6341</t>
  </si>
  <si>
    <t>60c83f9ba14593dd6bed4a475e4011bfd3c3fcc29ee672e3d7a8a17d47b85f64</t>
  </si>
  <si>
    <t>76e31211b6e5d5949da7513179002183c8c2da4dd31aebad9ab47e45f3e14a2f</t>
  </si>
  <si>
    <t>a9536e9ecbe425bc96dcc21578161e7903d6c66025085abdd2ab6124f734fbe9</t>
  </si>
  <si>
    <t>341276833176651ff65fa67fde763ab8086ba774de2e3fa91cb7fc35f78aaf7e</t>
  </si>
  <si>
    <t>SAN PEDRO AMUZGOS</t>
  </si>
  <si>
    <t>c76f469f3632be5d82fa80525c59aaa9d8af4b08878bd967ed834c5edc206a4e</t>
  </si>
  <si>
    <t>d1c6d67766baa83e7923b5b4c966991933676b734db20e8c6e9291671be33871</t>
  </si>
  <si>
    <t>a2705930c6aa3843de97fffa1270b4f27f71e0762fe41fdd919b1bbf8479e8a6</t>
  </si>
  <si>
    <t>fbaca67b9cc5a59ee42aeedac1550ef4518abebea17f58a6cde9b79f13799278</t>
  </si>
  <si>
    <t>5bc7b0a65b37aaa8fed6c0942f685cdc6d429bfb652cf9c7a28a8ec9c657f600</t>
  </si>
  <si>
    <t>9d761a7e03a4de85117fe9e23c8a6db050d3690a71ee1ded719a895a5edb2099</t>
  </si>
  <si>
    <t>463c3c6772017c11033d40df1d431eb6eda8d8ffb402ebde669264a471dc440e</t>
  </si>
  <si>
    <t>9d843021517340b68600fe8b0a8910104330ed1b502ecd31bfc8af4b6960972d</t>
  </si>
  <si>
    <t>95fa8177100e56cdec9021351d8a82328ac975399a255c11994b4c4265c768ab</t>
  </si>
  <si>
    <t>SAN PEDRO ATOYAC</t>
  </si>
  <si>
    <t>5df0f318b4bd32cde465703026ccd7bc75c20a5c0dd314c9e76be5ca34a42a82</t>
  </si>
  <si>
    <t>1303be499ec24ab665da1b72efedfb818a79d1b2492c2871b7c726516aeadc5b</t>
  </si>
  <si>
    <t>4cfb7baf544f3e8a20f53330e347901947c553d1c5d22d867a4ee43e07c8b855</t>
  </si>
  <si>
    <t>f2a61fb011892a75e1775860e55c02af53afb7e89db7abcca85b0beb8b961917</t>
  </si>
  <si>
    <t>4cd01144b8442c7f9645d9062e56b86fc822e71b0b84772f1ebda0ebd8175322</t>
  </si>
  <si>
    <t>a1c360437407df17ab8a4012adc47aaaa82a65e11ac95a7b995276ff30541d9f</t>
  </si>
  <si>
    <t>df56bdfa19c82387a0281ff465df89b6f4fd3ca1e2fc85598be2305cc95ac77b</t>
  </si>
  <si>
    <t>SAN PEDRO COMITANCILLO</t>
  </si>
  <si>
    <t>f9a453550b40f868b342228cd3b444b8a9cbbb67ce753c26cd67a6c02125578c</t>
  </si>
  <si>
    <t>d7b41b1faab0885bcd10bfb52285b41f1ece4a71fa414f539e76ed06d771814e</t>
  </si>
  <si>
    <t>bfc0edcf857587d1a6e009cd92d9d64987b6c60e5a4420e7bbe5e555237a8ddc</t>
  </si>
  <si>
    <t>37bf0fc5d8a7190a787a1f7b65042af8f2ce9bb0d9932bc56f70e0c220968a03</t>
  </si>
  <si>
    <t>44d8ba0cd6d14765f4f3d09abd53db4909a3249099b06ef774bcabe83ae65657</t>
  </si>
  <si>
    <t>65faf6b8678cde25e97fb11a873548c3bc5c202ca0a1f675834b3e329ff5163c</t>
  </si>
  <si>
    <t>SAN PEDRO HUAMELULA</t>
  </si>
  <si>
    <t>fcf815e8f417253d20d992920621f9fcfe60f36bfd2d66c384a03ed00977002a</t>
  </si>
  <si>
    <t>970565d77b4abf0570bef4ac46e0e287203b5a8f94acf61faa8904a068f53cfc</t>
  </si>
  <si>
    <t>e758a961dc6bee4f2d397c45141458af88a165d8826ce087bfa8925b1b358054</t>
  </si>
  <si>
    <t>6827315f37f4247b770b540f11286f15f92537b799e31ebab5ccb61015b3146f</t>
  </si>
  <si>
    <t>38353daa6ab8222194b8306f0757527a56a2a439477b689c37aa04523f896d7e</t>
  </si>
  <si>
    <t>9acba8380d7553090778ab1b030f5a5abc2ef8e55553bd550661f5fbabe7ced1</t>
  </si>
  <si>
    <t>4b1c79516238a81fc55be8fde8184b110b11c06b740421d61ee8a02421c39a6a</t>
  </si>
  <si>
    <t>cba18eeb0a35b235116140fa898d67579ed9d8318207a8c516976fd3454bc9be</t>
  </si>
  <si>
    <t>5b47bda505aed1094a438fe214bbceb228fde9b78f7d15e356d3eeb83a79da88</t>
  </si>
  <si>
    <t>0e5038673cf79df072f957b2dc13faff6ae980f04f47042c7e7dbd62a3fa83a9</t>
  </si>
  <si>
    <t>c4f0bc2dcf98f42d76efad00ea2273fe6919c3b97818ee45a2dec6466203dae6</t>
  </si>
  <si>
    <t>f9cbe26b14877959e83faea1d4c5ca03552d9d7a4c05db069ec61bc68065503d</t>
  </si>
  <si>
    <t>e7cb1d383962a2a31c73e12b7904fb84c43af0bf58970e3e483c216b98432bf3</t>
  </si>
  <si>
    <t>40db4cbff01c7682317ee9b8efb80bdbad131fa2152d9dc449ca59ed21e448d5</t>
  </si>
  <si>
    <t>b5899d4b639ddcc718431277995bbbbbc08e74c2d5137889e4d2fa659062228d</t>
  </si>
  <si>
    <t>SAN PEDRO HUILOTEPEC</t>
  </si>
  <si>
    <t>4faa558a216999de3c28befa36771b25d8f5fa10c965c376e39424e1bc47492d</t>
  </si>
  <si>
    <t>1cd869321987a4ebf5ef8c23e2e854b55167b16aee0eea6f87f87a1e495414b5</t>
  </si>
  <si>
    <t>49489adf0f6bf2fe16df1d9e6b0a1a396fa4e97820635a1de9e934ca2bf28baa</t>
  </si>
  <si>
    <t>5c74fc04402dc23d3f1093585bdde566338436f38a73f86627f1496cacd843fa</t>
  </si>
  <si>
    <t>SAN PEDRO IXCATLAN</t>
  </si>
  <si>
    <t>f03703fbafc7c619f8707c56dda3106e55a06c52cab917c7c8f009da773c2ce9</t>
  </si>
  <si>
    <t>8204dae9f2f220e495b065758f1436b2c4a7980a10c5543f90658d340c9551d7</t>
  </si>
  <si>
    <t>eb1fe0b548e64a3fbd4e6aa0c14c29135171e54378e5565a9b80004784facaa8</t>
  </si>
  <si>
    <t>399ef321a457fa4c8836be68acb7c1f39cbd1d6b6195dbdcf8724dddf05d582d</t>
  </si>
  <si>
    <t>cb59416f9314bc5e2062c729e397ba07739d01e310d4e5de1f8eab93ae1adce7</t>
  </si>
  <si>
    <t>da6f2198f12e26fcf56d136a848567e7849957c64860c393265203be5a7afbdc</t>
  </si>
  <si>
    <t>7db42c9d11dd4be0b3934bb634c662fe4a8769f455e406dce4315a83d60fcfaa</t>
  </si>
  <si>
    <t>6e686cb8aa94baa11da10901f02470ab606fce05d234eec2bcd663e33b2148d5</t>
  </si>
  <si>
    <t>6186cd349bc31cd9e5d5863f3f5dd11fda480a7e31a523b9fe553509bd3e12ad</t>
  </si>
  <si>
    <t>6446e42bcaab086fe0aa2acc63ff05fc3147b24fec2168b902732469394dcfab</t>
  </si>
  <si>
    <t>d65b9ebf5c32fe23779e78e23c0840828d24c1b0836ed9a0b8069017fbd91e65</t>
  </si>
  <si>
    <t>e5acca7bf3ff40b50a6cf2184e1fd26c52cb28a10cffc17a2f42598ffcccaf3a</t>
  </si>
  <si>
    <t>9da209a2b5d6e548befecf024dedb79e9a71a1e86bad77f12776c98d14c104fd</t>
  </si>
  <si>
    <t>7b5b3de1b1adb3682736b2978c3d26b034314c2d4cd3fa9d726ef671921610eb</t>
  </si>
  <si>
    <t>aaff767769bbe824c7ee6746673996a14a36980f61d39c21c6e7ea7aa11c282d</t>
  </si>
  <si>
    <t>a6ddb455f558d20f4e13035eb6ba57b62622522411043ffd184da862e3e1c7e7</t>
  </si>
  <si>
    <t>ef4a17f751004fbfc53d76c8c6c9231cbdf4e1862b183eedad036e09155af360</t>
  </si>
  <si>
    <t>SAN PEDRO JICAYAN</t>
  </si>
  <si>
    <t>933e5aa0e7b5da63b0b6e7f37a20e33a34302ef83fda7e5f7739924ee51362e4</t>
  </si>
  <si>
    <t>e55e9531074a60342148ee2c00758d1e1353013d7ecce1fbb3db1afd1f30959b</t>
  </si>
  <si>
    <t>a56026a6c490438e67c9a8f590086d56defa8233c42f65ba7a9a2bb2dadd6cf1</t>
  </si>
  <si>
    <t>bd3f4b2d8ffe573f4e0eed96355c0a024770dc434424cd138ffe2a76e85d154f</t>
  </si>
  <si>
    <t>695377c512683bb6dcf808b13b8260e5c451afdad28008f41f9d9f2b7c413756</t>
  </si>
  <si>
    <t>e92b64d5a00d8f3f73d5278470e2a5d982124094a37ba2ca92f21ce7fa4d3bbb</t>
  </si>
  <si>
    <t>a2ee1ac66df5afe9c4285a340acbdd9c2efceb2982656510547218e6ec0be69e</t>
  </si>
  <si>
    <t>cb8fa5aaa17b843dfd4ecf815bb2741051a5da5ab9f2e2712ea8e38604f744c8</t>
  </si>
  <si>
    <t>96fed204d175e666d51e6a1d2c4d0594c10c897fa268b22f92a54733c858c4c1</t>
  </si>
  <si>
    <t>b9cf77f2ad772ab04e9c8d145b2c7d943745f22ed4c056baf05c974617711505</t>
  </si>
  <si>
    <t>42ba541f77a7c5e3babdd052db269ab7379394e645f5d575e802adb1fc294c72</t>
  </si>
  <si>
    <t>2563099ab1fb010b3fc4575c1c73ec45c5e118c3f5de40955e814bf96a3b5c45</t>
  </si>
  <si>
    <t>04429ed96045947efa690410e8ecd0a55ede988e10ca9379c87be70c20ffcf26</t>
  </si>
  <si>
    <t>91a882307184b88647ba476aeb1d7c046381f10ee7a897aa4296b9bc99dd9a30</t>
  </si>
  <si>
    <t>d5338d2b2fb368cd82bd279a8c5fef68c315e483e76a6f44f63e0cb2812f4362</t>
  </si>
  <si>
    <t>SAN PEDRO MIXTEPEC</t>
  </si>
  <si>
    <t>6f3359fdbe8e82f662aaaddd35da2d0def392112eae28ee62aec45ae3769fbaf</t>
  </si>
  <si>
    <t>95f72ff681c95967bd2a0e32bc653d46739e1934c30f755d8fd2465f0bb4f7ff</t>
  </si>
  <si>
    <t>0d7f3c681186c7e92ca93618bd5abdbaedd7d90e9f3c360b6906ca605fd8f804</t>
  </si>
  <si>
    <t>fed160d601dbdc49fcd034502eeb639a60c761f12d1176dfaa833d3f6186c561</t>
  </si>
  <si>
    <t>ff15e9a5900681936c91ae196dc0df19c534ad7cba46d4880e047cca5cfd9879</t>
  </si>
  <si>
    <t>cddf7cdfc3cdd21aeb4e749dfd2fd09dcf5968c5205774a821235fccb32c2597</t>
  </si>
  <si>
    <t>738566d696181161359c29f42652eed76f33f6bdff6c7bf6e01fe9d9dc7eb8ba</t>
  </si>
  <si>
    <t>ff676d46214ddf4ce8ca82650a02dadbfeb281d7b38bc379b3553ea1f40824e0</t>
  </si>
  <si>
    <t>efd6486311fceae6f6750a4c6456f767a66e189c4d49db36c9853c0765011fd0</t>
  </si>
  <si>
    <t>4a9483d5944bca754bd0b90a19cb77bd85836b9eb86b8a189057eaaa558c016d</t>
  </si>
  <si>
    <t>a8a8a6167468423104a8a5f5d94d25ec4e0beeed1dafd818552b69737ba78835</t>
  </si>
  <si>
    <t>77f344442194994b5cfd52d61e4f5a561877650ff1d1619e7dbbca76fdb3cfb7</t>
  </si>
  <si>
    <t>c82e771e8bed4688a27bcd0269ba19283aa51f61383bbf7de6f9da8969a9e315</t>
  </si>
  <si>
    <t>52f6c291436aa721d0426cfb32dbac422b0e3b466424dd7f03cb6c4536132b59</t>
  </si>
  <si>
    <t>1660452b28432155613f07bf8692f09436d36ec3f04b3e31f44622acd19e1759</t>
  </si>
  <si>
    <t>b9c912ddf384113877135d2ae4df5db56995e96e2805113e277bc118815ef526</t>
  </si>
  <si>
    <t>187c94bd98028457f6972da7b2e599a4fa19ec7e6940fb9835050e3658ead337</t>
  </si>
  <si>
    <t>3328fd9116309a0f39234e6141db6faba45b15bb85ab6a91d2ddf147ab802345</t>
  </si>
  <si>
    <t>ac2075c50298ec12de2772aca558f8f28dcc42e17bf40e58e7a90a6fc961a7ef</t>
  </si>
  <si>
    <t>f4a4d742a33749a0f257d31a7411f54c1029b55516e682b61534f0025a8944ab</t>
  </si>
  <si>
    <t>dfdba7486c3b5f1f5f630e98f64de054cfd0160c087b1ebb41faed15ab0612a8</t>
  </si>
  <si>
    <t>26a27488e842d14a07f0824205b4cbba5da66fe5b97775d6076aaf4f7047577e</t>
  </si>
  <si>
    <t>9505b12d2e9d96055b40137ad204bfa0185bc8475ec44848098f1f43501b426a</t>
  </si>
  <si>
    <t>cc039d8a0540f3137298d9173c268e25cf3d270c30f1e7a21707ceb6614f4118</t>
  </si>
  <si>
    <t>2210cf69bd48531c08f5838b432478d31d14757cd296a493a0bc8deae15509df</t>
  </si>
  <si>
    <t>e845846fe8f1dc4e6acb075d908480cadc0aff7f98519ac029fdf212f6bec8b6</t>
  </si>
  <si>
    <t>cb19c04ca112015f8fd45422d9c7f11a2492c0e1df3a40b7c6520c0b8cd70e8a</t>
  </si>
  <si>
    <t>8b63480e66cdc91eb09b94da2796be2e4a719cfbb01e130c1d0e90ba2bb91078</t>
  </si>
  <si>
    <t>ad24bdfe7deea09b65678aaf66e86bab3ef40db02bafa22de684212278ef429e</t>
  </si>
  <si>
    <t>9cbf3945a4eb87380ba4bd636158654c1e22184938cce7b66fa11987c222cce1</t>
  </si>
  <si>
    <t>cfb9b534032f3f2b8158b2061f559945934a63056c84a0c71eaf29e944d8926d</t>
  </si>
  <si>
    <t>5c5c23a482ba60007e482e040ab12ec50ccfab0b74501e688de06a9cc1634737</t>
  </si>
  <si>
    <t>3d5e0af8f07349b168c8d045aab5b15d2197db8c869a1ddcd9719eccc175cb25</t>
  </si>
  <si>
    <t>ca4786282e76572904425f62c862ed8b6eb2f74edb5d19eac96a40924c3c2af2</t>
  </si>
  <si>
    <t>c71f196c47732daa2c23794545103acab813eb11f49d7143049df21c324c0e2b</t>
  </si>
  <si>
    <t>d545e56629003b2b0eb399e52c89382f05b29cde8d632efde4102e4501a381b4</t>
  </si>
  <si>
    <t>09d60804500bb8a64094d4e7545c2575faeebe523bdc7a2045d9b0f7756fd7d7</t>
  </si>
  <si>
    <t>fc454d6eae33a89d1f68e860365427bfda9e1d5a6c70d329b52c13d9e6699c01</t>
  </si>
  <si>
    <t>db088f8e10a6c7a96a0781964d75b85675afc6e8179ecf9f4b95be9c7d0fb56a</t>
  </si>
  <si>
    <t>de81d0d24a7dd6a98c4581b0d6ea22ea5096f13f00b82f5d1b6764394083ba89</t>
  </si>
  <si>
    <t>be6fe6b1fa3f1386e147d79ff1334870a073736f4a74a95cc9293228600bb0ae</t>
  </si>
  <si>
    <t>6f392456974ff37398fcb2bbfe69939c21da262bbd1766b8ef0db43eef23f1e9</t>
  </si>
  <si>
    <t>537b821cb3bc4c9c02d1876ce351be146684168b5963680463f4d98740219f19</t>
  </si>
  <si>
    <t>b666b28d69113a7fb4cab08c5dda954c7070497677f07322a45b78277e93be35</t>
  </si>
  <si>
    <t>19783560c53e86be12dc7892000af88c80d7171a72efae674bfe7d3ffb5aae73</t>
  </si>
  <si>
    <t>351d7a37b3408e24cf2b5fadde2e762af017fa806128f0b2fe2aa892d1c6553d</t>
  </si>
  <si>
    <t>2cd75bc706b5223403e23445899e091bcd93b2d60907d498715c93d1679ce84b</t>
  </si>
  <si>
    <t>9a4d3d90de13b568704b07a85f18adc598ef858877920b9c4cf54139814b86a3</t>
  </si>
  <si>
    <t>f70d3f309577bab35f842ea54d4f7ba4fe44e5a13e36656cf59ce1f73edd1864</t>
  </si>
  <si>
    <t>f04b972e6e330ab3f8f5b15ff49033ac2ad53781aeb77159a28634b04a17f775</t>
  </si>
  <si>
    <t>39c9bb476d61b5d669222a196aab56fef4fa4b977bef06626dc3d3398646233b</t>
  </si>
  <si>
    <t>4eb10908ae444d93283113ac421a68d1034cd76d25b170f154be85fe26178413</t>
  </si>
  <si>
    <t>4cab8a93ff71c858bcfb7af9054ab8558d0fc3c9c9f527c3a2d3c90a2a4cff4d</t>
  </si>
  <si>
    <t>001a5e3eaaa0bf162981ac3fada25195a1ff905f8687d772dc87a5d6356760b7</t>
  </si>
  <si>
    <t>012a13279a05ef2bd468479b14d6101bcc2daff739494c50c356c13ece0ff373</t>
  </si>
  <si>
    <t>3edda279fa719ba7ca7d8d5bb1beae0b2801ef7aee90412d282b55e0ceab6e22</t>
  </si>
  <si>
    <t>2c7a5bce59a334630d879693d1a082edfd8d256b0516a418fdb6744f0c933675</t>
  </si>
  <si>
    <t>4db1dd676279a001ff394d4f58fd248e5b40896c3df4f0df34da8bcf4b8a0685</t>
  </si>
  <si>
    <t>532d8c67efc2fb8f88a12ab883f1e6e80cfd4d3dd730cbdbc025556559d9c1fc</t>
  </si>
  <si>
    <t>f306164927c6592009b2d6f9f5873109922e30532eb5a4ee6a03b94423e1107b</t>
  </si>
  <si>
    <t>69989fa17eb36e39d035bffb4f4d226b72100495e53ee80920e2a4156fcdacfc</t>
  </si>
  <si>
    <t>SAN PEDRO POCHUTLA</t>
  </si>
  <si>
    <t>63973dcacea4ba6291e92c480d0e5167b1df03c323c98a7826b63a1ad23617fe</t>
  </si>
  <si>
    <t>4f7fa7ad7645446493c72279e07c989f1d340df378fd62f3ac0408e690696855</t>
  </si>
  <si>
    <t>816bf775c1658d928fc1e888af5bf3b8ee35846052ba14fb42a595328321e90e</t>
  </si>
  <si>
    <t>868823e347322d40db1753dbb66bb81c144ea0b51dc79e0961f1d26c04141d6e</t>
  </si>
  <si>
    <t>07e5fe805e3bcde262b6a57d4e3bbdda9a8483fa6225a667357e35cffd409732</t>
  </si>
  <si>
    <t>5fe7c1fada71a61dc14afe7d09772599fb256e531170c2b08d851837a863f271</t>
  </si>
  <si>
    <t>4da2ff67a729492d9401482116226d5253263679b633947ff9343d4fa4e32642</t>
  </si>
  <si>
    <t>c9de9f0ef5c6007445171fc58514feae50c631ebc303c705a03366a3623b6782</t>
  </si>
  <si>
    <t>2cd7a70be184519c4a95b0958e3a1ed3ab37665601d6928b16c5564ca00d158c</t>
  </si>
  <si>
    <t>43974c1ef014d5f4d369701d8671019f9b9d6991556f097fa83862de517ccb09</t>
  </si>
  <si>
    <t>f821b02fa4b24b273538217840f258d8309aa53d6b2d38d052962915cda2834d</t>
  </si>
  <si>
    <t>9136072d010a01f00f7c733f273a49d99641446feb0afd903865d70ad854477d</t>
  </si>
  <si>
    <t>ecca913294365ca60a042cf99fb3af58e133d58bad56e9d4bf96e2c8d4cc44bf</t>
  </si>
  <si>
    <t>6379abf1168deef128de7e95add93eeee4f980f02d9bee120f1216ea230150b2</t>
  </si>
  <si>
    <t>18c4ea7f139daa7e903accf3eb031d04e946ca941d5ccd3d525ea20d82bf6510</t>
  </si>
  <si>
    <t>07908cb33ab9f03a8fbf2e073d2dfa2b97a6be08f87fd9aa534b65e9fa1600f4</t>
  </si>
  <si>
    <t>20753b034753349e05a70a41589d772c81d7bf37ffd76de7c38bd9a254bf3462</t>
  </si>
  <si>
    <t>ac6bf695a179d019f14ae12fc8ed1c1983f43c855cad76d3227933eae88b47dd</t>
  </si>
  <si>
    <t>aef18940159964b35e8fbb3428cd268a8bed831fda9bd0e819c47fbb0959e64a</t>
  </si>
  <si>
    <t>8ef99a119467c47ce72ed5eca660f0e9e6b92ffd65e0f8b94908c13189c2f243</t>
  </si>
  <si>
    <t>6684a0a13a088db4a05ab4657e607ccf2047cc0f29a71d2b67e1b5eb9b1d128e</t>
  </si>
  <si>
    <t>7a77e53b1deb406458f1bd329abe5daa37ea5d09b9e41981be8a09bc9aacff2c</t>
  </si>
  <si>
    <t>8cd889269aca2cd452f0190aedb250b555e70240bac7f895f8d8d592d8474631</t>
  </si>
  <si>
    <t>3d300aac1abd289d186a4d5cd9fed9c735f8e580e72078921c695200a20780d8</t>
  </si>
  <si>
    <t>2f92cb68e7fa2bbba7cda8ee1455ce7a62a41bc3f5913c66121f64857b064180</t>
  </si>
  <si>
    <t>5bd61479a21a9346b320270ee7e4b690e2093e180326f2f3254976833720d180</t>
  </si>
  <si>
    <t>1b635489eb5a475cf93adf4da97cd3902a2c17abd6adc08bd8c6a7516ecef98a</t>
  </si>
  <si>
    <t>e8b50fe3f827f889a67456f021c8716595451ff1274a97e15ac429afef86ad21</t>
  </si>
  <si>
    <t>c32bf7843f8bead0da6735ab6dbdaffea967b1b3d15b796ed19cf9fef8d3fc1f</t>
  </si>
  <si>
    <t>6890e2c41849f55c25d2c06e040437dae563839f181afa337b010215e322c7c2</t>
  </si>
  <si>
    <t>39bf1c14dc863a275beb1e0d9bd3a2ef127cb1f1c9494970220e11a840ff9800</t>
  </si>
  <si>
    <t>717f4dec06a6f9a358cb39e66b59b22006de6a68a4f2aaddda348c53bc0ade1f</t>
  </si>
  <si>
    <t>5d8cce6200263010955837e7e9220ee99b5cb9740f348c9947d50985dcb66384</t>
  </si>
  <si>
    <t>32d8725773eda4aaa56701c60a343544e1b62a85ed2570b42a0115488dedf04c</t>
  </si>
  <si>
    <t>35633081e75760c0bad03f9ec669638c38f3708f77909095e11beb4e1224c3fb</t>
  </si>
  <si>
    <t>59f875faa45495ab506f3432576c0b47bd4744a4ed5d67839c51a0586ee57711</t>
  </si>
  <si>
    <t>3bde25065a57a319c4c5067784a2bc1d7fc0b6ee61815f0d0cb35aa8a6b457d1</t>
  </si>
  <si>
    <t>71a87fc0aca14fe14a8e7a912e53e9e6d186dd4e392799fcc76d176d3df3eaa8</t>
  </si>
  <si>
    <t>42fde7d9b428d69554754e648d1797357433b0cbf6ac74b0be5d890d64889c1a</t>
  </si>
  <si>
    <t>f94c7b2e7dd82369ec3209227773cead590c3f8964e87f78829583e335cfa39d</t>
  </si>
  <si>
    <t>e9e92ddefd7250b3fc95f89ccf60932b362b96b649c7a78d1f14a8abdbf3c94a</t>
  </si>
  <si>
    <t>ded723f50c4bc81080d621aa18eab07191ac8f2b4ef74bcfc2c270722ddc9b14</t>
  </si>
  <si>
    <t>783b90d2f05a84b9dca01e0112547184245adfc7128e215e33d2891a177c46ba</t>
  </si>
  <si>
    <t>a52e97e08a0a467fc5fba05801a92ae9f31718cf6cba90e4967862b92ced204c</t>
  </si>
  <si>
    <t>3aded71dbc3ae4ab75d87d0494c57738c637bf3c70afd774472c80df330f367e</t>
  </si>
  <si>
    <t>3e362c74960b05e3add37970cbebb7a5a109f9b3a7d44e0229b67e0e0a209dfa</t>
  </si>
  <si>
    <t>868652dbf09225f6b0eeac6da84c544d8288d0138a5fcf06a375ef28aadafaf1</t>
  </si>
  <si>
    <t>f26f72825f2279d9d77a1593cf6d814984dbd71270d9495b122fcea9b36f91d5</t>
  </si>
  <si>
    <t>9f0dd32430ffd2e3e80c3ca7813fcc49138295421aedb1c3146804fb6b1f35a2</t>
  </si>
  <si>
    <t>3d75f046e9aca738803da85206a37798049e9fd8096f61c6df6f4f617c8d319c</t>
  </si>
  <si>
    <t>0479acb5cd0e492a7f4d0c23fb3136e9ca8e92ce33f6ae11d26df36246a21e38</t>
  </si>
  <si>
    <t>1bf7220798979c943419a7758f5fcb5eed9ba3d7598458dc730b1b275b7707c8</t>
  </si>
  <si>
    <t>0e922d131870afd3699fd34b61a4357908cde810fb786ed864ad65e38aec4a1b</t>
  </si>
  <si>
    <t>0ba9278a3b197fc1e24de1a97c569f951fe3cd5f815d6a5d596fbc2377ea2a40</t>
  </si>
  <si>
    <t>0ec53db09e6d136afe42d795779de72e81310dd635bd46574977fb0497457433</t>
  </si>
  <si>
    <t>139f068d7ddce4854cccba9a4cfefdca73f278ba9910a76d68dd435b9ac51383</t>
  </si>
  <si>
    <t>714cad52e4d910c39ae72f4fe823bfdc457a1e7a6374eeff4c2bf9158f0cf765</t>
  </si>
  <si>
    <t>107f34d91f336e5b567ab1badfd420062d439c9f93c0a5134739717436acce86</t>
  </si>
  <si>
    <t>42a1135e5c586d867b2b52de344b0e22a3b1bdb56cd80943bf5c23b9c0e487f9</t>
  </si>
  <si>
    <t>35db3b7de57a816ca49d9421aabf99590ee0d85a6868b493c1e2bb84b940c8ae</t>
  </si>
  <si>
    <t>1fca22f6cac98f87ceb201de9aefbc6317880487841021ebf9c0019e33c55b5b</t>
  </si>
  <si>
    <t>SAN PEDRO TAPANATEPEC</t>
  </si>
  <si>
    <t>4c8d9546b1de2bb9155ef69a64fdc970d002f2843b91f79dd730b9e910095cb5</t>
  </si>
  <si>
    <t>407ef981b7fab9a880f17fca2008ab0b9661bd7af93a5be1787d83e25b9e464f</t>
  </si>
  <si>
    <t>b214a2f67510c3459350951b9f521a28bc502d7229d5f516bc1010b4513224b1</t>
  </si>
  <si>
    <t>72cb7f254a3100c955542673787f6b9c556673dec5288d620fa381a0faa98236</t>
  </si>
  <si>
    <t>8822f7b1b93ec6daeda2ffb4234166f3df809ee3955760212d792beb0de12b7f</t>
  </si>
  <si>
    <t>3ed7e9217accabe26de8a4bd3632d842457a42a83c3e768dcc769d600af8904c</t>
  </si>
  <si>
    <t>12259e802650ca5ece7a3cdf8afe7a260d13806f65cbf04ffda8a811e702dd13</t>
  </si>
  <si>
    <t>d793898a6c9d12168df03b2360664976f7e45fa9b9998ba55b44116a7d4f187a</t>
  </si>
  <si>
    <t>3551dd2101e2658fcfb12006b6cc373e361d8a671da04273afdfa36e27f7719d</t>
  </si>
  <si>
    <t>4301423315b60cee07fbb85cb0cc04728841a4cdd93c6b121f6d7b94ae128a9e</t>
  </si>
  <si>
    <t>b12a2979ba7f102b26eff51efaa2b620a862eed92c22d9b2aef54ca887fb2e6d</t>
  </si>
  <si>
    <t>9009f30984716b012a9a024202fa9f8aa3ed77017347a0471192805f741b982d</t>
  </si>
  <si>
    <t>343b65208ad0826f6a788f88c45f5f3982f2e140f886ad7fea05747ef1247774</t>
  </si>
  <si>
    <t>ad3fbaa7e02b88986de344380e861070c7c91f4537009c501bd009cce5d0a3de</t>
  </si>
  <si>
    <t>523b2f8152f132a1ae8b73d7284c76f26a151355124b23f15cf924905c9a2a11</t>
  </si>
  <si>
    <t>f58905df3cc16d00fc38429681c46716a470684d3cf9e1f719725599b9561f12</t>
  </si>
  <si>
    <t>2654182d55b6d893d822bb6d7ab0790a502ae19259ff4f4f880d3c90396a1c35</t>
  </si>
  <si>
    <t>8a7aa1f641ce8f8dd20fbc52ca60c04bf4e662266cceb6cf129bf2b970eb53b7</t>
  </si>
  <si>
    <t>448099d9c90b5dd5abe31a96a90cdbc412437b20a52b03b3879013d5d937bf13</t>
  </si>
  <si>
    <t>2167552c45a71f62e23bc538ff5aad8e0d0e20c76116eac257b179cdca9a4a14</t>
  </si>
  <si>
    <t>c30e24441766a9384f77f4f365432fa4c89d4a86ffda32f5ea46e7c5e1b3ce8b</t>
  </si>
  <si>
    <t>VILLA DE TUTUTEPEC DE MELCHOR OCAMPO</t>
  </si>
  <si>
    <t>7aeee11e0beb53632f03923689bc34ef4feff1db43171bbf0abd1b42470d8e1e</t>
  </si>
  <si>
    <t>a5513cb68546a7bb67d2d48688b0fa15c3d057bc9ff8e47d8c2899f1ce4a2ae2</t>
  </si>
  <si>
    <t>2ebb669790204b6df7063f23e206ce5e4395994415cb085d3d01e0582aa76b74</t>
  </si>
  <si>
    <t>25fed7590290fd70f2db37f2ec4e0eb356b05449d89d91cf9233826e4765ec39</t>
  </si>
  <si>
    <t>9aaa09d9efb7695501e9ac89bf65987a673a3e9112dcf6d8d4ac419494509097</t>
  </si>
  <si>
    <t>ac055d96100ae4dd6af36381dcbe9ab2e998a3318db4c0fcefaba0bfd8cccb75</t>
  </si>
  <si>
    <t>2c2a5530162a24a3de6162554a31c1dfff413ca0f34987f16453b8904531cc47</t>
  </si>
  <si>
    <t>3d60a43609e597c982c7e25d70f2520fa0b6a3f54797ce09f3e66e33977dac57</t>
  </si>
  <si>
    <t>27383c10232e9478601a2b317965dc2173664cf5aec477fe2cbec0cbf397e170</t>
  </si>
  <si>
    <t>faf3ef546c710b8ac46e3245dfd76f10d50da11c465fff9455139cac457f716f</t>
  </si>
  <si>
    <t>e2c1d558f3f641d6c5a410b71f62a4172dbdca3e3b395c1671bcca7e6067904b</t>
  </si>
  <si>
    <t>75014d4bcf28ea6b19ffb47217826b0d200b34c07a8852d447d060f046327929</t>
  </si>
  <si>
    <t>8c2f951d1d197050e172c8e9f3a8f4a1613a575487f54df8da34da42290797c3</t>
  </si>
  <si>
    <t>5e5f18eb7e47dba633d4ba41de03cf96adc95f42fc81eba84c2623c6c333e602</t>
  </si>
  <si>
    <t>84dfc0c297c48147f21b34d137a5e31aca3ede613dd6c4fbb872cd5df8eda78b</t>
  </si>
  <si>
    <t>6b2a883ef2162f558c04fba8a073b6ed99adddfea2b9fc3ae8fa362849585030</t>
  </si>
  <si>
    <t>307bc1c1f87a428a4dad2dd31362ef6bbeebdb5909af517fe1bc9db1d1eb1c0a</t>
  </si>
  <si>
    <t>f5c30a60faf9fee4c9aee4ee508041e5d70abeb4bd9f3606558fdafdbe4fb94d</t>
  </si>
  <si>
    <t>6e155408fa2b6dc9a566659f989383f8130efa86a1755dc5cc6763e74746b74a</t>
  </si>
  <si>
    <t>95d0f5bed410663e887df8a452e6c959c1451ea5aae732b520d12f65f4161e9d</t>
  </si>
  <si>
    <t>db42a7dd63aa15cd1d459ea72e69190f9de0f10acd4a5eee978304cbc16b8c49</t>
  </si>
  <si>
    <t>b3c31659b27af65c340b918d6deb939181448adf6fe99275bf85cda5b591ccdd</t>
  </si>
  <si>
    <t>2f45f1f84418df11315b4823f8a43bc1339c19232f8fedf9acf0ad9daf511cbf</t>
  </si>
  <si>
    <t>da05c11816689660d64b54a99dd3d3ffe190b4f0f3b031a6a1217b8c17e50a52</t>
  </si>
  <si>
    <t>4fe5f1fe16d7518c3671796d046183ba9bc35e647bfad0af8e69f416b5d626dd</t>
  </si>
  <si>
    <t>69481fd64c8c37c5080c755ef85e80d92c554d490515647ff3071ca883988bba</t>
  </si>
  <si>
    <t>b9d6ce90a73b29c8fd9add4cfc7ea9cac64c4cf3ad5c1a5ee554492290670f4f</t>
  </si>
  <si>
    <t>13c5ed65861e3a5224069d0f92fb700eae9f1ab5869eee7343d2c356f290c194</t>
  </si>
  <si>
    <t>8347c135d5a9e0b03a8ef9133c56f12d5c771f7dc6535bfeb962a39b1b0bdb04</t>
  </si>
  <si>
    <t>b314a1bd31222c09f21da2c0f1b4cf87a879db78d556cdedf483c189c3c9f400</t>
  </si>
  <si>
    <t>24ff949b5f7e9ed98f6e396f90675a560710b93e14b3589c9ca231bedcbcaf8b</t>
  </si>
  <si>
    <t>a0e6d00701dca2c5a89eb5a7275300cb58788585dfe5b4ea7fcd9c7f64b4b74c</t>
  </si>
  <si>
    <t>94cc7a9a2ca28ef5db0509ec649cde4fb40eae866cdd14b251f1c71fe82befe5</t>
  </si>
  <si>
    <t>3892041364526d8ab7901da7c16bc017221f562728360fbce2057b850cd1e6f4</t>
  </si>
  <si>
    <t>b548973d8e14f1ac07340e2314425dacf320a572a3dc631c401053d0deb13cfc</t>
  </si>
  <si>
    <t>e858d6c2a3292b87b02ea3be9b666b3e26ea8b01bd23703a0b03b6c6b0d1b1ad</t>
  </si>
  <si>
    <t>432a79d59941452d4987b44839806352afbe90f00a826305bb954cc12a0506fe</t>
  </si>
  <si>
    <t>6a525ed5a266fc16130b27397a8e912f4d479c7e2492faca9b506565c4fe95ee</t>
  </si>
  <si>
    <t>baf87c688575a4cbd2bf0f2e7a7508048d98b3e338f5d9642784e545db7b85fe</t>
  </si>
  <si>
    <t>dfb9ec570ac9805224104a3aaa8f3f09d9fffa28523d7e40d6731c42fba17b39</t>
  </si>
  <si>
    <t>c52932b91b8ec6e688808d0436bf3e29d8370299d088b1453178af5c3ee86bb9</t>
  </si>
  <si>
    <t>df73d4da4ba7717f0b4e1c93290943ac7f0eb63f1a4dcc246f1f83689cddee6e</t>
  </si>
  <si>
    <t>9eef07d128ad9e378db2c5457dee1e6b4ef220305e30c3e678d4d7ebf6a40fad</t>
  </si>
  <si>
    <t>f82128d0c1ad09024c3dbfe8b12891f26e22c44f1c586814d0dbb8ab4c4b9190</t>
  </si>
  <si>
    <t>de8056de32ddd5e81c3d26d7af799787fc1c5a0ca6a752d654af6927267a0b21</t>
  </si>
  <si>
    <t>cc9f9a424e101926ca72f630e5773f82cf649820e30392822e5bade8a4d53f73</t>
  </si>
  <si>
    <t>f52eb123890e956daba155931913d19939dd2cc3d092885ccc4ffa1095b9a50e</t>
  </si>
  <si>
    <t>1d414567f4eadd8abcf12abedd45d17e5eb8a44a993e7b9cd7d1e709f4e9a83a</t>
  </si>
  <si>
    <t>6cc71ac26f077abfbfcf38bf05e8947991b397a67c25944283de8542b50d0357</t>
  </si>
  <si>
    <t>ffccba7c6eff8f911421c005fdf1f66c8fa6b5ab4702b89203b2fc3170a1f81b</t>
  </si>
  <si>
    <t>112b775ce1ae8037f4253a8ab936b861e791ef22e1fee65f8974cc6eda895995</t>
  </si>
  <si>
    <t>deacefa79c63a90349424516c91878d13e0a3af84b296bed23904703b2a5fc91</t>
  </si>
  <si>
    <t>e382a4954d77dfe4d461fe65bcf31d38e7fb49b54eb17e2408a2e63760d033fe</t>
  </si>
  <si>
    <t>e0460095788cab411760140751f7de520b43846af106ee211bf287b7bb755b96</t>
  </si>
  <si>
    <t>c2d670b8f1b1cef771a773e8e9bae99dd8a2804d068a374358707260b968c193</t>
  </si>
  <si>
    <t>80eb566d29fe772937b718e99742c9fef4de108c0abc0a18407d0b78edc7336d</t>
  </si>
  <si>
    <t>37e1f79fcddb13d7204d766537aeab3fc644c3e873697e07417d09d64e37699d</t>
  </si>
  <si>
    <t>4aaf7bf9bf4d065a2b45df11074b3a347df6c5dfb83919d8aa160ae93c1cf5f1</t>
  </si>
  <si>
    <t>63df04c95f34b5564925b0029dd6f060a93ad72e0f879c87922590dadd503301</t>
  </si>
  <si>
    <t>e3db9832b255f8c5505c5e8fe95ab8a870932fb152552241f77b23378b87f959</t>
  </si>
  <si>
    <t>5d25a12ccc79da6ba573bdb90f68fbf1c423a9e97ef631f197091d6a3a8a96db</t>
  </si>
  <si>
    <t>SAN PEDRO Y SAN PABLO TEPOSCOLULA</t>
  </si>
  <si>
    <t>d573db880dbfa37341c5842e8c04fe3ef975365c0ea1211f854fad9dc5520a39</t>
  </si>
  <si>
    <t>e5bc1ba5c68be48e9e7f7244ac06822342a862120db11a4b40edb6fada7c1e37</t>
  </si>
  <si>
    <t>4f19e02ab2c64dba0fe05ff1ab6a83b3519b2c90ffe5072c05d0990af8d401ca</t>
  </si>
  <si>
    <t>28fdecb96142d219ac2be0b0e3e595f728d0cafe6a6e9b3533c2be867399063e</t>
  </si>
  <si>
    <t>5b4b55a9db56b4bad0489bccbdea5200d1cdeec04b64517f38fcde5dcc632e7f</t>
  </si>
  <si>
    <t>2764d048753f55dc3aaa77d246ffe6d9880b8d0d1153a2cfe6a94c852e97b96a</t>
  </si>
  <si>
    <t>16fe36caed7f1610a0802be73425a02251ae88e96e19c75c9c66888af21d505a</t>
  </si>
  <si>
    <t>00f681764412f3cef9ebcaacc804c39643bd1a91a1a75d94aaa22e6fec87a448</t>
  </si>
  <si>
    <t>74d3691ad26d746ec2c3af8c10289be1c5fc2e5c869afe502cc46efd99328459</t>
  </si>
  <si>
    <t>SAN SEBASTIAN IXCAPA</t>
  </si>
  <si>
    <t>61e228fa5a4b906f9e7a3bd5925150e2d2d73ae53eec3facf6b25f5001e420ca</t>
  </si>
  <si>
    <t>9359ab0d9d6fe8db17721bcda19cbab5afeb2c9da067c88870aaea542175197e</t>
  </si>
  <si>
    <t>49fd183bd7c1baca4ce4fba48b7af0281a5d59241e9dd2ea5042ae3a2130899f</t>
  </si>
  <si>
    <t>c15400325da06de25f5e335d988f07f112aa8ba19f1f68366765ab26cdb5b245</t>
  </si>
  <si>
    <t>45462a7f5a89b39bd48740b0f5bae14feb2d1317e3d6e1bf85300a0f02bd0cd5</t>
  </si>
  <si>
    <t>ad02e30629e2579b5176a1f9be922ce26fb7e8434f71a0ca1b13a780f3399e8d</t>
  </si>
  <si>
    <t>ea2c60d3cc755243f5843655e6dbb9a358dc2d7b0424120ec554ad513b06464a</t>
  </si>
  <si>
    <t>SANTA ANA ZEGACHE</t>
  </si>
  <si>
    <t>7498051d2ee714b2a33f754bfc41d14c58f1613152632431fa7ad24151fbeeb1</t>
  </si>
  <si>
    <t>6f7ece7b2172a5e44c4fdb53aeec8a42c355bb137c70cdcdcc8495d985ea542e</t>
  </si>
  <si>
    <t>b7a90b5a12a43b94becd583ebf5a427b4d3a85fb0ae3fce16f6419aa2f7f2991</t>
  </si>
  <si>
    <t>12847eb2386e5fdf2aecfadddfb597b456291b34c878dd08638548425cbe81a6</t>
  </si>
  <si>
    <t>5f65d9fa53219c9c8ca0321fc2fef24553ea8e23e18599fdf89129ee56fa88c8</t>
  </si>
  <si>
    <t>SANTA CATARINA JUQUILA</t>
  </si>
  <si>
    <t>35935cb6a532e5293da91aa11308fa3c273f2e865389ea8442e7a426bbaf00d2</t>
  </si>
  <si>
    <t>2cf5dd077d8a4bc2bb16d96b13337f1899c7d5bb5a494c4bdef2687ade7e9eba</t>
  </si>
  <si>
    <t>2d38d6e5e4e319310b025b81f303edc3da0e78d2e4cee013c0be2c2d459e740d</t>
  </si>
  <si>
    <t>561d698585f76a3a3545b830832c509f882ec6f4be6ba548677cd87cea13bf18</t>
  </si>
  <si>
    <t>1ae22ef3fa994bb862e8ae90d0c265f268d520d77f1fc134387881fb9f3e3185</t>
  </si>
  <si>
    <t>7ae2ddf10d4730bf96e69d5a76515f43dcb60c25fc5ec8c79dab155e84464f09</t>
  </si>
  <si>
    <t>868975c38bdb9fe5daa5892fa6429bf3a623ce316a352b01a08b49b6a2bf76fd</t>
  </si>
  <si>
    <t>5f3336b92e508aae10afcb11729332ab702c613f92c836ce886fb873e0e4d4b5</t>
  </si>
  <si>
    <t>db9d840706076cc4163de3789c24416efecd52e9bbe39302af110b01cfb5876a</t>
  </si>
  <si>
    <t>f96b98dd93bad5bded06a6ee53e65ee921948d31a1b220aad863952ab7801da9</t>
  </si>
  <si>
    <t>df7b3765267dff20485800d6e7f25295236083e7ccc3b724fd02ead937b2ce18</t>
  </si>
  <si>
    <t>e9f0a874e291eb343eb32b6f670e8a5958c26b9c590a4f76fb213fb1043f883a</t>
  </si>
  <si>
    <t>f5f62fd14b8d60835de26f4630d1d1207c082801ec3e5a3783b9bbc71a6b05cb</t>
  </si>
  <si>
    <t>8f59d403fa20c520b4123fd5af7b604b302a6fad029e76af8b919072a81b3cc9</t>
  </si>
  <si>
    <t>6591c2aaa967f80924de3ac396d2b91f6475a64b3f3c788e22098fd551bd5a41</t>
  </si>
  <si>
    <t>a97c095e4a7d250c8fe9325956f96e769033bfed876d2355e3fcfd94258752a1</t>
  </si>
  <si>
    <t>8d81f5b8d9e3f7a9bd8b94404c3eb0d396a43a1ae89b0094ca690e36cd79c65c</t>
  </si>
  <si>
    <t>01648c3ac19d03762027e8ecdfde05a282d09c6afc5533aee476fdfcec5eda26</t>
  </si>
  <si>
    <t>4c20f57fa641471fc336e6bece0a08e014878dfd81622c4681baf6f1e2ed9422</t>
  </si>
  <si>
    <t>f1e332709122b3d15ea585e2b3317ca936b4069051625750ef96daee0a62e930</t>
  </si>
  <si>
    <t>5a2eef52377d61f90509631b7f2dfc1a754626d8e985c8279d9afa59395833b4</t>
  </si>
  <si>
    <t>734f21916b288f7c796d366231eb887ae3afa7c71b462018977fb00e5a2ed85a</t>
  </si>
  <si>
    <t>e03a934b4cf13ef54d965f8808bacf86c75d19a2eac75a3bc88f9a181671353c</t>
  </si>
  <si>
    <t>3b36bee4841a14a8efd19471ab4a30645e3f6a019dcfaebeea533e466d092bd8</t>
  </si>
  <si>
    <t>86438497ffe5e80b8bd3400eb76e33706c4bdb94ccb9fe64eccf1ebcc6bc5286</t>
  </si>
  <si>
    <t>SANTA CRUZ AMILPAS</t>
  </si>
  <si>
    <t>b44f0256d90356644588d689150e0cd4b0d763bbd0eb722dc007bc32e133960b</t>
  </si>
  <si>
    <t>56df6d7d567428d09e974dd474935a450f84c468a2e00d135c0d13660f1ddeb8</t>
  </si>
  <si>
    <t>b62c91befcff9763144c60274fe299a2eaa284faebe0d1e264b2624f661e605f</t>
  </si>
  <si>
    <t>acebf7a5528514a8db4659ccdaf0c8ba6c255adabb1dad625fc896469c8a678d</t>
  </si>
  <si>
    <t>5772468f7abc2fb438c581bef800f394668281e681047c03bc6633bc2c2b42b5</t>
  </si>
  <si>
    <t>2e075691de4be0d81e664ce5f0f30bf07bf107b48d46c8fbd5c578685960932f</t>
  </si>
  <si>
    <t>d70122e26511337fcfbec16adbf9c1ecfe81c4977e98174e28831b23ef36d15d</t>
  </si>
  <si>
    <t>1c98f04b040dbf43a8e849ff253a67caca0c630e3bec5bbe68d2ee4f5bc37687</t>
  </si>
  <si>
    <t>2cc350d1d903b3d3709f455ef17535661ce2ab19fc8a0c97e88e6b4ecab5097b</t>
  </si>
  <si>
    <t>c4eeac0c15afa12d4c997e3d79dfc78058801162b0ce32f9d02628fa26ae188d</t>
  </si>
  <si>
    <t>6feb4d1491ee462bffb29e5d757f68b950a86847844743680226b2800f3053ac</t>
  </si>
  <si>
    <t>b55b8be270608620e99e526117f7fa576582fc231437a3628c1ba59ac4f7edb9</t>
  </si>
  <si>
    <t>506a346391017392c3ff4f4b98adcd763d0ccbb15beace36f567be70246881d1</t>
  </si>
  <si>
    <t>0b5a174a8ff043b8030fba73879c07ed82e17492f355751555518e00bdc4aca3</t>
  </si>
  <si>
    <t>bddf92d480983200c75b1f898b2d4b39a84848dde483e59ea9589fad65f8101f</t>
  </si>
  <si>
    <t>SANTA CRUZ ITUNDUJIA</t>
  </si>
  <si>
    <t>c6bc44d7098c17c76d17fd94d1c304c68576a21d4beb88bd6118c85f85319f96</t>
  </si>
  <si>
    <t>84225aef8ad3095c80d43f3a20e2f026ad20232ce712a06c020783226b9f4081</t>
  </si>
  <si>
    <t>a4ee41f97a0f0d5a8195aed30ed2c7d536f36d051a8413e806a95ad18c28dacb</t>
  </si>
  <si>
    <t>9d50987fb7c575a4d66ea7fb254e6ad2e4d19fbfd8bd5a035adeb2845ec56c50</t>
  </si>
  <si>
    <t>66fcaabe34ed5e60e3c2951737403cea56434221e8d0118d8767e6aea6f1b0fd</t>
  </si>
  <si>
    <t>69fb38770bf6cea49c8b6b2f877d4fefd8010ea0aaa732b988c173728cb9ad8c</t>
  </si>
  <si>
    <t>9f63f27f0a418fd8dbc0e318926347ada4d54047c0167321e677d65a1358b267</t>
  </si>
  <si>
    <t>0435e0290ea50a9a7b037a034a1dfe39569331a57da94968fc3a0739c6159d00</t>
  </si>
  <si>
    <t>2e323d7796d1630348e023f4fa0f83393e80a31b776b40f1530f2fd047729c5e</t>
  </si>
  <si>
    <t>b7a5ba32863b6ac3f33360d1e8109fbe86674de887b66dd5d40cb4f8efcde3c0</t>
  </si>
  <si>
    <t>5ad780565b431849ce9eda9d9aee79a46c3cb8aa9611e1accdc7cf06e38ee1b0</t>
  </si>
  <si>
    <t>422b5fed03e50fde08fe4770fc2e4f3eea9c438760e937bfa42cdefabcfd250b</t>
  </si>
  <si>
    <t>5c80d3c99cd86be76c8f3e440034d7c2ab6e2804a97293e2872036a4d85ac482</t>
  </si>
  <si>
    <t>1a4a2d158956c69002dd0199a36e30eb092623206998710cba3b97c64dae7a80</t>
  </si>
  <si>
    <t>54015df33e9f7153c467573f47002f71e62d7c5c51358e3efd0c590a942c36bb</t>
  </si>
  <si>
    <t>cb2e24c5d980d1af91ab3a8683d4d4ca8e11e361a4ad4a704f314fe917c7df50</t>
  </si>
  <si>
    <t>SANTA CRUZ TACACHE DE MINA</t>
  </si>
  <si>
    <t>1c2fba942cf722f00be4038f13a6925125be1b23c42701f2d61b8ed244b10423</t>
  </si>
  <si>
    <t>98104f33b12acfb3a19dde673e9ad861d06ccaa5ad0e5bb514c5000c2330cfa0</t>
  </si>
  <si>
    <t>174136dc5975b9e569442de4090eda63f7cfc4b229eebad3b2d7c28afb79d9ae</t>
  </si>
  <si>
    <t>f34589aefd204bdd170e4a03464587d10c366e3e01c79db464497417d7ff7639</t>
  </si>
  <si>
    <t>e49c55416b34f3e220d0f5230888dbc2456531126f5501670f57c6277d052d7e</t>
  </si>
  <si>
    <t>SANTA CRUZ XOXOCOTLAN</t>
  </si>
  <si>
    <t>9b6779629d843f3443f97f22623ca38ce4458b70dd96cf17d1cc7fc56d93fd0c</t>
  </si>
  <si>
    <t>8f92ffe3e8602cabfeda72eb5bfdb45d7212d7744d87c8749e52e30e661f1db7</t>
  </si>
  <si>
    <t>980d6469639be9779236a85636f9c8d79c49b1ee97f436d22ddb8e94075dfbc1</t>
  </si>
  <si>
    <t>5d4e2bc089c93c9f29d26704ec595812f4e444c1980aaea5a3172c283a2d703c</t>
  </si>
  <si>
    <t>e8afad77bf47dbfbd16d6f4497e6595ac9aac2e49fe808ddd55fa66e4bf30b0e</t>
  </si>
  <si>
    <t>4f9f2484288e999f86bd622646af154c20697d8c61feeef9b2782705b15c5ee8</t>
  </si>
  <si>
    <t>ee33c226b42d1fc5c2c08c1fcaf93d89c0fdf41fcf5998bc2218d8e2435f2788</t>
  </si>
  <si>
    <t>e6fab20685673dff78d4a32ca648640661b899de4c772434a23ed6bd6427a1e2</t>
  </si>
  <si>
    <t>de8e6198dea873586a6b3b80d8aade81d46996811ca5c2a74b0aebcb3b6ba16c</t>
  </si>
  <si>
    <t>0637f2b2eade86659aad4c4119274b993b794ef142b44912927e804ccf25efc4</t>
  </si>
  <si>
    <t>60eba396c38b7143be83585dd100ddfc154ac5765e91e0125044981157c5377b</t>
  </si>
  <si>
    <t>31f00eb75f36062e055caf5690e1cdd370f681e293ed4fc04e1c87bffce6b077</t>
  </si>
  <si>
    <t>839bba7b871cf6f57c6e1ef4be3e92cf28e9894cc6159a1c3ec0fef776a6ddda</t>
  </si>
  <si>
    <t>9411aa192c68c6d8928a8a2fe8d71e4e1e407a0ddc85247ede3379c7533dbfe1</t>
  </si>
  <si>
    <t>b28077710db4c802d3a02e322cb976d08d415c7e5674dd9fa8f136c1f5a3e7b8</t>
  </si>
  <si>
    <t>5b849b1af94564f6ad7d91bff9b1a0ea0de67a246d76df23c2f7f10eb8f66101</t>
  </si>
  <si>
    <t>42156bfc86f58c200b3a4eee116a6fb8c97c40aad8fac13a30ca993d72a68b90</t>
  </si>
  <si>
    <t>61f075062e56c1b7701fc2ffc9d0124e1073b594365e14d1207d62d9a85404f1</t>
  </si>
  <si>
    <t>c4e5f7ce5f972e6bf96914f2d5c8440567926cb788543ae94060e8da77438899</t>
  </si>
  <si>
    <t>7b6bdd83ffc34070efdc3c162a893d2215b424c69f86010ede804b479fa66e6b</t>
  </si>
  <si>
    <t>fd8a0138231b2594b379213a7e9213a6c70f1aa7952f729e68e348ffdf4ca54b</t>
  </si>
  <si>
    <t>0ff69cf9aad86edf6070a5714ffbe495e4231e97ab08588cbf88b22f298039f8</t>
  </si>
  <si>
    <t>ea8d302e923a170854c608f307d896b286ea2bd44935d0ac3ed3a2b9936915aa</t>
  </si>
  <si>
    <t>6052306ef3085c5fbcf873100ceb6b0f57d5368a2baed33877542b3fafc07300</t>
  </si>
  <si>
    <t>f2225fbe3b7362b27c4556a9f761e8f68fb2be9bea9dd354796970ce637b14c8</t>
  </si>
  <si>
    <t>a9e5622f5f1fa39d19617739575eefc8f481d2d96bf5b27242bb5967a5d0ecae</t>
  </si>
  <si>
    <t>7e2db71319939a32f98de21cef1527febd33c6d125b50e45c9e7871065f50a43</t>
  </si>
  <si>
    <t>2d7e2accded77baecd9b0e77d5f0f7858f2d54fb8ec7ec8ca61078c49b68df46</t>
  </si>
  <si>
    <t>889f3e0e20de283e18d65a721fac7d8362946218fa287273cb32bbc5f296c64f</t>
  </si>
  <si>
    <t>8248caaffdfca76a5069ec90b1f89d2f527786a2f04795d510aad841f6d4ac5b</t>
  </si>
  <si>
    <t>e9155bedd35f50393ef6e46f4e7b00133696e86e427347cf02a7ee1d0daebde3</t>
  </si>
  <si>
    <t>e1aa7f0d77d73cf761397dd9c73498acac0d36a46e0a200c4180160e87bc6d56</t>
  </si>
  <si>
    <t>614dffb12ccdae8c912d6110f43fc5a78cd9a4ec7f7759ad5079a587f920a757</t>
  </si>
  <si>
    <t>ef8b7c5236bffe5481d9c26874a4ab0de143884f1a85408bf7e031c4d18a1053</t>
  </si>
  <si>
    <t>ac97d33546c133993c15d74a780846ea74ecbb89193955f44eda992141db92be</t>
  </si>
  <si>
    <t>59c6e7bc489beebad16a74f49b28f7be1ea9b6586887fc87c1a397199406bac0</t>
  </si>
  <si>
    <t>5629dc1a60f96a640469d3a9c2dabaab0ac7f16caee026f119ebd63219066ba4</t>
  </si>
  <si>
    <t>6e52a93d714d5552bb14380b2d90720012e42bcf95bc4153bf4e3fbbc95e931f</t>
  </si>
  <si>
    <t>8bc96785398420121d9d41c2e8e82b3cd61a6a50529fea01b909cad2d7c23974</t>
  </si>
  <si>
    <t>0f3957cfe86577ed993b45ded5c78fbf294f2c4bc18feccce924f078c58bde43</t>
  </si>
  <si>
    <t>8db3c723fac4d950c6618b349ce303f1965404428bc46490607eb50766b1db43</t>
  </si>
  <si>
    <t>830f7eed66f0c0141f4917abe3120862ad8eb57c1ac9708b53068bd76fab65a0</t>
  </si>
  <si>
    <t>9a84b508e0434d9a5460a43837ce980acbe43a1bf170743949c2e7262977427a</t>
  </si>
  <si>
    <t>5f9d7f9a119d2be0c8b073999e8f46e2a745e875632b05eaf381149db61d8aa4</t>
  </si>
  <si>
    <t>cb7d592a2b7c8e3c2f0c812ade769eac67825b9031a642396b16cea8ab924978</t>
  </si>
  <si>
    <t>8945548011345b8b6ee1f9a4df8251c6e8851cc06ca839a82f363780363080ef</t>
  </si>
  <si>
    <t>fec6dc31712e0e26f3bc8b8180f58278429c597d9698b846d54220b7131366c7</t>
  </si>
  <si>
    <t>0151c9a40eece19cc8a7cdc58aafe43c936ba7fbc056a95407d4591c6f8e98d7</t>
  </si>
  <si>
    <t>a22f23185c54e22793a0912541e43be65aaf43d58e48c6913f0ec9fea3a4827c</t>
  </si>
  <si>
    <t>2d38a0ffebbf7acc690f354173f818dcf2a189a4d6362794fccc224418fc6b14</t>
  </si>
  <si>
    <t>cafd0510610b2f9cb6d6b7c7a0403aa2443e80e5fa9f455ccd9adc74d6abb938</t>
  </si>
  <si>
    <t>67c76d23c3334a574baa505fecbd42f973150290aded751a87caab66fbc65676</t>
  </si>
  <si>
    <t>4ace51047163118efc02fb74fdaf65cb00f101cf09651252bfa4a657f09a0d8d</t>
  </si>
  <si>
    <t>50df9fb0d676a59b5c83807455edc47e7ebf3a655c8bbd1546b2a8b1026e4f20</t>
  </si>
  <si>
    <t>8aac76cd3ce9b4ce649fde07e0cdabacffc7ee4bfc2ff6ec5fe6e4c1e6166e9e</t>
  </si>
  <si>
    <t>7eae46a622b198d3927aad8a0ffb740d25f77b4796009d91003a8b6f70868ce0</t>
  </si>
  <si>
    <t>058e12e19d6e4e8f956c4df25a6fbbefcb14067036b7de7f5e5f0e91447a21f7</t>
  </si>
  <si>
    <t>5035e232f83ca71051849fdc3ccdf05b290310a78731367019c76463e892fbc9</t>
  </si>
  <si>
    <t>ccbea0d61cc6935ec5187938bd085c7a87e0bd87c85594bfef5608492471ccc6</t>
  </si>
  <si>
    <t>f10b4df63d8e9221fcfb8d6fe3d3d4b633c5aaa88680eb53ffef37d61b928127</t>
  </si>
  <si>
    <t>4ae30cffc4e69edb8a9c10c6926cb3c7bc1043c10bd4ae5d468d89e03fd48b9b</t>
  </si>
  <si>
    <t>fd330c7e91714851bd4ecfe190564c8da956863b0bba5fa89edddf49f278bbce</t>
  </si>
  <si>
    <t>8a2f7fbfd731110c3e02ae4ee6a40d8ed71981ef8a9f2f096d44b5b010ed7ec7</t>
  </si>
  <si>
    <t>6a27a9dd40ab8d1e6de0109559f4ad1f35679727435f521aa8cf2d22903b7f47</t>
  </si>
  <si>
    <t>32f9ba40bd53ed034322e4129cbac60bf8b38c810ec842695ce580c7bdb4eb1f</t>
  </si>
  <si>
    <t>606c5ae697545e37f6fdec8adc8b7a85dcd5b4a9c6682a44c46152b3bd44bb85</t>
  </si>
  <si>
    <t>7d9ce05bf0d3011fe93474c812df8ac7d0ed8c1a5b9c3cf51936c4dc7d0fdb33</t>
  </si>
  <si>
    <t>5eee5e164534b8f846f4dc8024d248a5e0454b4e0ce0e0c491f1670c8d42ae17</t>
  </si>
  <si>
    <t>ee2fa4e711dfd5a83b6b81aa73ef0e5a8aad4468d1b7322db2db59996f36cc18</t>
  </si>
  <si>
    <t>ddeef623a901e3370b59a18bd8db0cc664e33429a4cd3a803a36a921df596d18</t>
  </si>
  <si>
    <t>119a6fb61fa8d698f41d963a726d30fea5781d9ce4deb74aa9e47ea4b3d4831e</t>
  </si>
  <si>
    <t>28849436c5812b40dc42bf70f0cac80c77bd4a4a1fd013fa0154b3164ec7f4bd</t>
  </si>
  <si>
    <t>1ed3e7484b41502125928973ae1cad78b7947b39045cb7a2589d8468c4936b52</t>
  </si>
  <si>
    <t>8bfcf631252f55ee209d62a7710a13dd985b886bbfdc2c0ce9f6fed13d2607c4</t>
  </si>
  <si>
    <t>26dc27914ebbcfcdadc2c86cb5e49ba41709fb0fd2c1d8bc59659ad0fe69199a</t>
  </si>
  <si>
    <t>799fa7795f882f5e48dee336b76ebaa68865784539b9e03c168d8a8e80b79e0b</t>
  </si>
  <si>
    <t>039572f626572b57b63274458f20a0d204b95717df9a9ba8bbe39512f437ae29</t>
  </si>
  <si>
    <t>82f4d0b4508a11afa3e2207095245943885081c175e408c3bb818ad8bb214c5b</t>
  </si>
  <si>
    <t>d961028b1b03aa81acbdfc333550da9976ea94c65864e671f9a915184c6857e3</t>
  </si>
  <si>
    <t>ae76748c8f5d495fffa70e70c52fe39982c01de57a449aeed0f18c35536f890b</t>
  </si>
  <si>
    <t>bdc66736919e0e29ebcedbc05b7dec59d1475a79d4b5ea7b9dfb5fd6486b72f6</t>
  </si>
  <si>
    <t>dd6d8e7a4bafea48075d58cc41c9849d3643101a20d3284806d0a4fb8157273a</t>
  </si>
  <si>
    <t>8bce65c1b65f4ad52c6c63b0f3b0da82e9bf7c7eac0d44c346926cbf23d32cd0</t>
  </si>
  <si>
    <t>738219a1cbbefb8b8f32097345f444f44bb8f96455943bff8c728ec2b9131925</t>
  </si>
  <si>
    <t>c498f222ef4b2eae141f76b5c14ac95cdae7daaa0a4f3a4a982c9188578b813f</t>
  </si>
  <si>
    <t>c2017537aca6b6fb577313450ca6cd49b50dcd52b4708196557436b61fd7d028</t>
  </si>
  <si>
    <t>11b5951a559eaa278d1e3c5ae17bf14771092711a99385285c43ad757cf2ba52</t>
  </si>
  <si>
    <t>b0e4d4f628f0533c408809ed2fc257d2ea5a418f7f1843fa87c9e4ea005efbd7</t>
  </si>
  <si>
    <t>ab1d6fdf7072df56b8b3ebe0ceb52b064e474e100c32b055791a0a80c591cf8e</t>
  </si>
  <si>
    <t>60c6bae60482d3fd3c5cd8e73113cab8dc71a89514b58be0613232e2b42b24cd</t>
  </si>
  <si>
    <t>0795b0305df885b8d1516dc48a4d1c663bf86e894c0006e82a3f5fd8279a2e23</t>
  </si>
  <si>
    <t>3ee8f968e8115ac6d1630f471da0a83c16aaf8d63689ae246fc8250ddef10813</t>
  </si>
  <si>
    <t>a7956960496435119482307f054a02b92860d96193d5f2f05a42414d0721e236</t>
  </si>
  <si>
    <t>3c825902ac0115fca4ea3fef967a3ddd35b50bd0b87eb815383f0005e0c9b31f</t>
  </si>
  <si>
    <t>46b6687c806c3c9396b9b6b464cc726279cfa889fdbea5f210f4fa473c0e0559</t>
  </si>
  <si>
    <t>9cf48ef3aeb9e48a57d14a3e26185ef535a658f2631d77399336e44c0d509377</t>
  </si>
  <si>
    <t>3f679f120220338f9baf5a9e4848d62a77b85067a01ec441bc2cbc6e003a9181</t>
  </si>
  <si>
    <t>a2851e30d6b7753eb2ebc734277bdf59173658d0e0766dc49d3b4869bfad4175</t>
  </si>
  <si>
    <t>b366b4566279ae3af4ffc6f9066bd80dbc159fef0bd0ca4c8ab2973fa64d8b00</t>
  </si>
  <si>
    <t>d245d135bfe3ccb6a67ac26831291014dca3dfa23fd2e0b7794ed166d394bb87</t>
  </si>
  <si>
    <t>cd8ed22d2011ae7fabe001f6cec50b0a0f778b041ad2370ecd34ad1e9e47bb69</t>
  </si>
  <si>
    <t>a6629947e803d589ef988a16ee5ce8b493ae3d5e66822d4b10b0fb24d91bcee6</t>
  </si>
  <si>
    <t>380ec9fc39584bf0edcf5cd2743074605c8243d2695c248f04d253974ef3f886</t>
  </si>
  <si>
    <t>548cdfb3244a6b44abcadcf21ba5731c36c4e77d4230c05aea2068d3501e1408</t>
  </si>
  <si>
    <t>fc190f7d5eed057b2b7e804f3dfc3d6b1ca6ceb4fe248234e0093fa77fd8f898</t>
  </si>
  <si>
    <t>c570270f16c559b5869d2bfb9cc258c682572076297b0d34aafa9d1f865699aa</t>
  </si>
  <si>
    <t>2ea64964a63953ef64a4daf127fe0d61de12dbcb98526821f5f1457dcb6e9a50</t>
  </si>
  <si>
    <t>0b90d79f8f39d1b0671d5bad30fb2ad4c0ef239e1a9acfdb2669680f4d8dc975</t>
  </si>
  <si>
    <t>adabfd4a119aa27fd67eef2fb3480c0265e4e306c686d069c1079d605bda93b7</t>
  </si>
  <si>
    <t>SANTA GERTRUDIS</t>
  </si>
  <si>
    <t>8d3d2d288b38c2b4069a006c3692eb0fc5e9312317f9aaeb9723be236db87ac5</t>
  </si>
  <si>
    <t>93c785039e44d6f2686875ed5c05cf2dc8b7550117b8535dd49cf6e06f41dd77</t>
  </si>
  <si>
    <t>f528701d0cc3758da4ebfd2e2cf2fb252b159288d38add4b5183874540bf597f</t>
  </si>
  <si>
    <t>b2ecfa948eef72e10cae5e48f79313380dccd61c9e1765a8aadc88546b978bcd</t>
  </si>
  <si>
    <t>2ebce8319220347451b98d23ea1fe452dc935950cefaacf835db1acf0fa433a6</t>
  </si>
  <si>
    <t>SANTA LUCIA DEL CAMINO</t>
  </si>
  <si>
    <t>25c374296037ab794754f01f603ef059d477bb0bbc21bcc3ed871626d84b5909</t>
  </si>
  <si>
    <t>ff663d78b604f70121e5e68d5d4a3c56c5f6294f9544088384732994b4464f7c</t>
  </si>
  <si>
    <t>490650a72e27491d60b69c9f492c4ba698ddc063d3debdbc4f2802e7951ad44b</t>
  </si>
  <si>
    <t>385a8d046a9f023dc1ccf18691cdfd27f5f58b1ed57178f8aed7d06e6a3ffa78</t>
  </si>
  <si>
    <t>f9ec5bd9767d0cda0705370ca5c61d7ef5c54b72bfade6c4b2e6bc238868dd6c</t>
  </si>
  <si>
    <t>d31eb324068b14c7b9567eef4f478d19659c705e90598a80452713a72e93651b</t>
  </si>
  <si>
    <t>b67a27841e07b12f5b0c657bacb285949fdf0c60a9e76d1c13f6d23c965822aa</t>
  </si>
  <si>
    <t>fa6f2e8b66b63bbafe314a11c014c0dd99086ce57f9dde2a7c9bb97da335d296</t>
  </si>
  <si>
    <t>814726dc6aee1282315702fffd789ee8069d935bfae5d2461c466e771f30fe1a</t>
  </si>
  <si>
    <t>8848c25a0174e67be561c1ca9591736ec5b05bb4b890a3f57b5cc2b11edd6cbb</t>
  </si>
  <si>
    <t>a56612d952048b540f9d42bee821f4b210f83b266222f11d179b2ded7c868e93</t>
  </si>
  <si>
    <t>18266963969202b66fcda27f13298e866b99bc1ed968c06dd17f4aaaadded68d</t>
  </si>
  <si>
    <t>9f7c71962dfac774ae4dcdc532996a97186d2bc1923ae1fa4595d9a55ec70803</t>
  </si>
  <si>
    <t>dbac124fec6e7300dd1a469819bb057156933b73b533abfdf9aa953698c6236b</t>
  </si>
  <si>
    <t>fc8f33d30677b41b6d3bf50590142d7b7fb67f10fb1264360ba3f30c4a150e79</t>
  </si>
  <si>
    <t>d4c8887ecd29b5fe0e8d20956ace48515b019ce3f9a0ee1bd7f5a85df4bd0050</t>
  </si>
  <si>
    <t>d33524563d80015e7a5bde6693e0e06f2bc7f6e75230a9db6657c831120209ad</t>
  </si>
  <si>
    <t>3e30fa0a437a92d655c66660f3cf63e5d4014336da827e6c0f1b39ec16dbcee3</t>
  </si>
  <si>
    <t>ad995cd3eab0ec8a19715ecb474536c8cbb394310541d156891344986269fc0f</t>
  </si>
  <si>
    <t>443a6fd290a2ebb19b9a40987d7f0e16d4b7472d87643eb171e708d7dffcfcf8</t>
  </si>
  <si>
    <t>26df4c31be9945fa6ac0f73cbe8476177be5688033b36cfb1b6267a7d20de61b</t>
  </si>
  <si>
    <t>647baf48b8cc7da7e13f51534ecd83ab235982d5b9da8a559ac44328e9b9222a</t>
  </si>
  <si>
    <t>830514606d87f4d845fe40007a7df2dc5345dfe5ac42ed21b08ed220890f6502</t>
  </si>
  <si>
    <t>2af4bfd815b9ccd65a9d197e42594657b8012035681b4d9967f779dd66fa1faa</t>
  </si>
  <si>
    <t>1e9c50b7b12867a2337fd3b5eb7ab6d711008e89ae84b5dd33d105669ca866fd</t>
  </si>
  <si>
    <t>f6facfa3cb2672f87f521c23eb94acf8f381bf542f03b32719f702fc71490582</t>
  </si>
  <si>
    <t>7c7c1bfbc5d9cd6f5c5278a1962119f9dd67118a0860537041934d57e94b3afc</t>
  </si>
  <si>
    <t>8407b8039a48ef0adb0e6b85f54361200c49753a7eaca816c85e407bd585a7c5</t>
  </si>
  <si>
    <t>1d3c22590f73b5cfc74459eef2279a06005552e224e86b578836a6f990beefec</t>
  </si>
  <si>
    <t>5aab9b95cd25adbf4d85d5c942ca87b940bdddaf2749e13f4c70978df7245db5</t>
  </si>
  <si>
    <t>72fc22d9c625b6712ebd60581b6136c7705f15208e9e7dd8937083914ad2f638</t>
  </si>
  <si>
    <t>eef09a48380036850025f905fd6afac81aebcd775966ad75a1472507407c4de3</t>
  </si>
  <si>
    <t>de93e8a4d22715649c93f26a5dc6041b4741ee6dde9fcbc4f66e0db47ce9d12a</t>
  </si>
  <si>
    <t>a03bf0bbe0de609146ab78afb3493c76f805c932c25df23b6c19a8288be41d08</t>
  </si>
  <si>
    <t>3af9f7092c488ed34731baa10d9a85b0039dd6c9d6e82dd99431fb65b5de4766</t>
  </si>
  <si>
    <t>d109f8ed1aa1b2a17e0eb22dc659d3dc979902eeed267c049a8790303db0964f</t>
  </si>
  <si>
    <t>5f74ee0d58fc8240f829321b3a6080fb1912072d0beed885b1a4e70ece4ad3f6</t>
  </si>
  <si>
    <t>edc4c083051d191c552ec9a8701d5972090f8a695b201cf79d3f2a3a02617b50</t>
  </si>
  <si>
    <t>8e9c3c01e72c91a40bafa78512752e9270e3915d64d8c09499038534771df97b</t>
  </si>
  <si>
    <t>6df9b5a397fff4ac5f58a1fdac73928a2b57ad68970e948b4215921d4a7ae0c5</t>
  </si>
  <si>
    <t>c17fa2ec7494737690d1e134354acbbf38407f916951d07ca9359c3d5eea1db7</t>
  </si>
  <si>
    <t>065a7dc1289e3fa69b28803afc003f716073f215058938cc0106edbf9e538886</t>
  </si>
  <si>
    <t>b2598783c2dd5de288306b1910457411500204d448e87502125081f9725e08be</t>
  </si>
  <si>
    <t>a6efc6e302b5eae1a9b326230b216cf0aa9532405fddef9e3453c9fdeeb99a86</t>
  </si>
  <si>
    <t>49a93e93773014ab420f6f60ca9928279fc0a425a67b34317a600d6316d871a5</t>
  </si>
  <si>
    <t>5ff664f0668286c943d3a8814d1d14b048f70cf8e7b99fef2b9d4d81f89084e8</t>
  </si>
  <si>
    <t>730ce444aa65f73c96ee9d5fe48d975841200c235626ccdaa22dcba8009b48ed</t>
  </si>
  <si>
    <t>161cbbec4802581d735dea3b7bcdbc50f64496207e3cbb916ab009064ad73034</t>
  </si>
  <si>
    <t>46769187fddec1c338c6a2fd326a8f3c86c102f475186bc47ab8ca7ab12bf0ca</t>
  </si>
  <si>
    <t>daa02bdf98565966c680ab7fcfb5d67127f4b71406454d66669901969bcabf91</t>
  </si>
  <si>
    <t>314f3b9ba624ef55749729a0ca37c32f67ff14dcad5396dccab1567ceb78d0c9</t>
  </si>
  <si>
    <t>f514adee2513c97a70372ab3337e88d8f573c5a76b1a49464ebc435f13fd0c45</t>
  </si>
  <si>
    <t>ecd552842f1b210ef8b0a7656952ecfd8a332c4887422ce44c1136173e3ff027</t>
  </si>
  <si>
    <t>289beb42cfefc877e06809faa1b94935ccb1220f63bde580a24f8631b11d74dc</t>
  </si>
  <si>
    <t>6aee7580636a58635b2ed3b9f6b6f1c071432208be0f6f8f475c73f59ea1b8d3</t>
  </si>
  <si>
    <t>45e8a8a125c7c97e6e10e59e9b468451c17d830fdb7096fb8cd7afc35e23eb66</t>
  </si>
  <si>
    <t>cdb51d03d29481a46b91d858c14f2716d45d2a92c38635fa558b5fd25ffd2f6b</t>
  </si>
  <si>
    <t>22a4ba30d2b56a450e452fb5db5aaf261f4ea6cff5ba35c22b74458db7fed123</t>
  </si>
  <si>
    <t>1d29ff8bd558a798a31853089fb3b6c887570703a5b202dc49ea6603aec49404</t>
  </si>
  <si>
    <t>33578ea0ac147350af4ebf28d05dc6e2ac662378bdf8209fa67a98b0ebacdb73</t>
  </si>
  <si>
    <t>1d2738423da22ed15cc6a51570530fe95b816d04ac9ade62e8d6d55dc1390170</t>
  </si>
  <si>
    <t>c4c9397b7e11f5cba20af2dce3f0effecd80c0028f0f7af658aaf1d2f0111d8d</t>
  </si>
  <si>
    <t>e51240181b31266e8b9ef3dcb87804628c60b0fdb92679cd730fec4ce85ee276</t>
  </si>
  <si>
    <t>d065f8e43317cdc4fdeee721ffd21254c5800f1e3a65320a90833f93ee3fc5a3</t>
  </si>
  <si>
    <t>59816ebf2e59b4c4f024159bc31e7fe4b50cb69f188329e2c79d86026885fe5c</t>
  </si>
  <si>
    <t>fe25610808a407b2ac7de5fd7b96db951d79ab54dde91e9de011cd6cf257e745</t>
  </si>
  <si>
    <t>SANTA MARIA CORTIJO</t>
  </si>
  <si>
    <t>0bd77e75222b7896e6058d7983ef84db201dda14c25b24a29e8b9bda3fa76bd3</t>
  </si>
  <si>
    <t>3ec705c62a1042543a59462f684fdf06a580bb1ac085fd76d3ddc97dc641d563</t>
  </si>
  <si>
    <t>SANTA MARIA HUATULCO</t>
  </si>
  <si>
    <t>fa0266e65eff9599a7d026c890c235275f6e659924fe0d6607dc15e72ecdab05</t>
  </si>
  <si>
    <t>243e247f08e57515cba982c6908548c5ce2e77ffab31287991e123cca7db8418</t>
  </si>
  <si>
    <t>223a479fb45692bba95d62b10ed46477869d80ffb059d6dad867c4d4aa34d65d</t>
  </si>
  <si>
    <t>f8cc19dadca3cd7c59a62990b3099ab838de739cd02afb131ba499279e71009d</t>
  </si>
  <si>
    <t>4795a26be0642a6f4f62a1c958420b57b374a7a55982fdd6415aa89969098ca8</t>
  </si>
  <si>
    <t>423743dd3e175b636c2f3b78cf0d64ddf7f5ce5c9b344545dcfcdb68e6fc4396</t>
  </si>
  <si>
    <t>f44c4269f000540e32fa431b7ccebb189453a7afc64f40ffdf41b9b5f5d6222f</t>
  </si>
  <si>
    <t>670e0c71bf469f0166acb6bc0fbd428b60cfe899a5d33ae52ae1cd7d8bf1e9fc</t>
  </si>
  <si>
    <t>d213dfedcf3e08bd5d8429fcd95757331edd30b347be28491853cc34558a1151</t>
  </si>
  <si>
    <t>ee1b511e32ee309b72d9f1f57a73ef4643a139983f430372571f42c062611b5c</t>
  </si>
  <si>
    <t>82619368c25dc6c51fa83e49068410e4a79493e476f465e2eef56ae134666599</t>
  </si>
  <si>
    <t>20eea6c59e4b647bdbf9ba5c4f62f41a27800d2024c294a52a41efe77f6f1dd2</t>
  </si>
  <si>
    <t>c0e9ae61207bc91c5ab611c6ab367019132f5696da8a8f0f2c0e6664077f8de3</t>
  </si>
  <si>
    <t>7b8c0b2cc188813aaedd3296a7222cb50d33128eb24ec313075e9d044a6e538f</t>
  </si>
  <si>
    <t>e258169d067f8fa0086a60d0314a6f57f006c6a7237e7d3d2db0a6dddb4a58de</t>
  </si>
  <si>
    <t>108a0f899f67c2f058386ff3ac1b866896eaf899bc7d8efaed5f2910c1838cfc</t>
  </si>
  <si>
    <t>70b09a154866ac5dde05a1ffde01522ce3e28e2763265558527de54428ae17e2</t>
  </si>
  <si>
    <t>5475eeb833ee22c5ee7f1a26b32c58442f6b0b571c27f1f566ff66ad7e9ba8cd</t>
  </si>
  <si>
    <t>9621d5b2948cf402621c84bbfe686fb57980f125dce51908976520533c0e98ba</t>
  </si>
  <si>
    <t>6dad345c667fb07839a60faea2be3760ebf08ea88413c99e5f0cd2274409d570</t>
  </si>
  <si>
    <t>1e92e7f606119ae472f0838abc73299bc4f5a369eb0dc9450c085bff2684c29e</t>
  </si>
  <si>
    <t>fd39211adb3f8507e5141ce615297ff7f0b9895788703ad7213a4830b4307b7a</t>
  </si>
  <si>
    <t>95db5229de378a70657c5ee097a38ce84b69ac7e09764507f3222491e33649d0</t>
  </si>
  <si>
    <t>c01a419c5ed233b0d09ef9d920c19d6281c095ae9a1da617148a793579e3320a</t>
  </si>
  <si>
    <t>fc5dc8973ed5c5b21d315f213b9f9ec60c5cb45659afde68db27e76143e25816</t>
  </si>
  <si>
    <t>a19224c7c9736e3361c84217e43c30139308288b716b3f63f7c21f5f613faab7</t>
  </si>
  <si>
    <t>3115506d551fe22860da2774fb4d1c9831bc4e0b162fe36b8003517ff6a541b7</t>
  </si>
  <si>
    <t>792ab1b2faf2cee3065123c731bbe83fc79dd5ab376584e85aa8b46d59bb70c2</t>
  </si>
  <si>
    <t>1a904f20dd54d4c26474280e20fdfab8f83fbb91866c75a9a321f1b04e215df1</t>
  </si>
  <si>
    <t>272a4c731fa5e4d62f4f612ec7b471a09143bfbe7adbae11cdc9952b89a7b3fe</t>
  </si>
  <si>
    <t>b23d4ec538c2d6328aca6f3a2bef51f74a80227b990b459eccb3d9e9b604edff</t>
  </si>
  <si>
    <t>11665d75d294e97c1d022f07bfa76fe2cf7cd454788945de9d8e060dbf96f0bc</t>
  </si>
  <si>
    <t>5cc4fe89cbe27ccbab883d2872b470bd78e0975bce370ee8f3cdf561494186f1</t>
  </si>
  <si>
    <t>e7e5160e9741281d660a6045f7ecc9283f2c2a3f88ae26bc261c4f5c65436182</t>
  </si>
  <si>
    <t>daf8468ee0b4c0c634807b5fcbe85b9825b53ac9fcb5ec55996454edff6ca32a</t>
  </si>
  <si>
    <t>81391945220733f0d4decb9c7606413e61d77f1ad57e19699ea0b44c92c9be99</t>
  </si>
  <si>
    <t>670a596622687036908a897b1153378f471c5640c83ad5ac6dd5fb94339b0987</t>
  </si>
  <si>
    <t>f780bfe4d15adb347fe6cbed4afb89d9776fcd5e3225aaae39784e9f139755f2</t>
  </si>
  <si>
    <t>fb723483c196445373df180cf7756313476eaaf96fbef16b497d812b0acca0a4</t>
  </si>
  <si>
    <t>da6dae5f3ea38b18204e3d96a9830317401eae92b0a43a5ae7dcdf00205d7032</t>
  </si>
  <si>
    <t>95e6e059fbfcc79bef7d23801d54b1f37437bec212db59b91cc7dee72e11554d</t>
  </si>
  <si>
    <t>eec487e3a1f78687f73e10429e22eb04d536aad432ca93a0156b40747f5be8ba</t>
  </si>
  <si>
    <t>fa3620f7e42312df7a645981605c616ffff61fb1e88ac886bd029e8a44e19796</t>
  </si>
  <si>
    <t>0250381cbfd1e437dbf158c103f3a22b161657d23f01ef4f8ef94312079b8a39</t>
  </si>
  <si>
    <t>ca1fc0d32f2a210d1dfac4462a13c5efea4c853efe314cffb5d70b292f19ddb3</t>
  </si>
  <si>
    <t>738f2b9ec101ba21e6d91d603baa2f5e80c8a92b27651571a165a10fdc963178</t>
  </si>
  <si>
    <t>014c7577fbe60cb44b55035d669e4288e3f7cba1045678da41811e2ea89d18ae</t>
  </si>
  <si>
    <t>07986ad9f16eed26e448b4bc637a7e1d812088ee0a1f4571e690aab164d12ded</t>
  </si>
  <si>
    <t>a15f689e134fdf467ef58c42e026e176c44481e4c0024febcd9085e1f366384e</t>
  </si>
  <si>
    <t>a62323530a9d66f50cc52ea43181bc839595c4bff115b2ec65a54b7dd4b83fab</t>
  </si>
  <si>
    <t>420667e262850276a065a10f7d5157bee891e8ad70e10530428659a1865abb8c</t>
  </si>
  <si>
    <t>9f9a41c0c3fa13f1fe0aa6cb971851e7873bde5b38b7546e3b56481d764b9a67</t>
  </si>
  <si>
    <t>eefd3f1860d973da345ae2414018a39a1f6347a896f5ad8efce95ace7161b1f7</t>
  </si>
  <si>
    <t>a7a55eefb2a80e0457efecbf80e39fa7588d41d9e31b515b4515c301d2a3e955</t>
  </si>
  <si>
    <t>a00a15770b7ce94ec8a04644e204c89583d96223991a6ea930dab3801bc9014c</t>
  </si>
  <si>
    <t>b4760c12d9a0c8241709d5178891de26592542092f556d6ef0ee4dae59ba0b67</t>
  </si>
  <si>
    <t>fbac09330ed9551ae857dbccbee15e4527ffdf65c129f76378c05624a1e4ed86</t>
  </si>
  <si>
    <t>f9a57d1c81f044e5d1e93aa4c35b855d3fb1c6f2eb9e6f70e2d84535934c04fb</t>
  </si>
  <si>
    <t>SANTA MARIA HUAZOLOTITLAN</t>
  </si>
  <si>
    <t>60d0dbb7d364c8b38283588e8a408727ba14f87e652e40d0398fe009c36e0bb1</t>
  </si>
  <si>
    <t>51e7e7d1c1224e7c087e159588aa00e09ae3df159b6a8d06015c338938292a06</t>
  </si>
  <si>
    <t>f7ff38f7facb4ed2ea80ccba3c83b00dd2a1089753e3798b82e78b4b44ee4818</t>
  </si>
  <si>
    <t>bb6f32d4853dbe0a0445d0d4abec536ef5435d824efb17f1ec2db856d99beb08</t>
  </si>
  <si>
    <t>d3caaa3c41bf0904a99830ac911338b40b79f9a7fcac36e801fd3ac8d1fb2fed</t>
  </si>
  <si>
    <t>f06e2cee5411797cd462fdd5a6a3f4a2c4d81544a6ad01708e497a6cb778254e</t>
  </si>
  <si>
    <t>709573705c12b09720481495c66ef6a0c212d9401bf36d4a856d0387cc04fd26</t>
  </si>
  <si>
    <t>4b3de3701149b961326ddbdea95ed5c58bbfae3fec44d4dfa0adb36e066ffe05</t>
  </si>
  <si>
    <t>e4fa3b0e3280a9f6df48772b95704593e15b6ef0748266fefe36079f44d46a1a</t>
  </si>
  <si>
    <t>f38c262d50503d3334e7da4f5cc6c8efd5c6bdcb44f5e8c3e1fad3be2f7e1e9d</t>
  </si>
  <si>
    <t>5bc719f3381f647f08d02b7649a44f2c7f7612ea844075b94530cf77d26affae</t>
  </si>
  <si>
    <t>5e781bf3c9d63b155b6f9af0d7571f6404fd9f54cd799e380561f1a1755179b2</t>
  </si>
  <si>
    <t>359bad1ffff91d04372b0bd2a5d08749a0a138f5c46b50ead1979ca18d1bf87f</t>
  </si>
  <si>
    <t>1466e7465d6cb3bbd998e29c4e25e8fb918faca915de585ef6d74101a6b9c2fe</t>
  </si>
  <si>
    <t>9814230fd7678261267c035d5908d46db0e3c343bf8573b7ded97ecb5e04bc59</t>
  </si>
  <si>
    <t>92da2299a4072f0dbf8c0ab9e352330e50b5efe3228e2309825bd560db027c50</t>
  </si>
  <si>
    <t>SANTA MARIA IPALAPA</t>
  </si>
  <si>
    <t>6d71f79a45f69fb1ed9ae5c4469e837f60e733cdf598d2ae0f8ba925ff29938c</t>
  </si>
  <si>
    <t>805f631da6c425de20379fbf9024c890e287e1b3090d4a7d93ef64d3531e0983</t>
  </si>
  <si>
    <t>df83330f2f46bb2a4df449e267177f8f39a1cfe576c658529a6910d18ab715e9</t>
  </si>
  <si>
    <t>15b71db82d37c8a5d5eebe7089a648a96da9947fffe5997245f3aa9d3048441c</t>
  </si>
  <si>
    <t>dce2025ec7f0508cede6e303925035f919512cfb11fded93aa3967daa243302b</t>
  </si>
  <si>
    <t>f39f17981f1216590fbd93838269f1a906364a60dfe016625bfc360b6fe970c4</t>
  </si>
  <si>
    <t>0e8874eec01a894eb6a043683f5258f6581ede82ef6f18e4f1fd2ee598570dc7</t>
  </si>
  <si>
    <t>e05ddddcb004b5239cc7740c9e80e969a99a14e35e81a283f0cbd653a411d5e9</t>
  </si>
  <si>
    <t>SANTA MARIA JACATEPEC</t>
  </si>
  <si>
    <t>1639c71396ddb3f0113eeb348ac94be7d64c40b3dbb19ffebbd6df4ea7b7a6b6</t>
  </si>
  <si>
    <t>73db2c22b4e92c3a48aad0177d56bd4ab786574e63c3abb5f303a1a71ba24d6d</t>
  </si>
  <si>
    <t>d49f82b7d7931aa32932f221f22f017c945935b4337b52338ad4d1bf4c3d44b8</t>
  </si>
  <si>
    <t>b0bf4d81a53c05b46935a4abe9563fb7ec49098f5a4454b4befa5984b1dd2f0b</t>
  </si>
  <si>
    <t>38580dbb4172f35fc93bc2d1eebe21f800539cbdcae12a0a40754e4a4d9f1a4f</t>
  </si>
  <si>
    <t>d1945bb420be31c7dd35a255585a9f009cf1d2543186416b8c5257de6d8f62f2</t>
  </si>
  <si>
    <t>712728a01afcb886ec911e7295f6f593fe146c1fbe57b1a57560d3978a9452ad</t>
  </si>
  <si>
    <t>abc16a4b6c466cba71c35ed8008073c5301876747545b9619e3448d67773347c</t>
  </si>
  <si>
    <t>d31c60330c8fe0640c5f319a85f406b9d02dc9a851cec969615abda5a70f9bb1</t>
  </si>
  <si>
    <t>a2b8b208bba0422ef115dfe62284285a8338459f30b153dc48549901f9e26055</t>
  </si>
  <si>
    <t>5318f2e1e3b9cced07319c4a35214a3b1ee5fb33908834189774141a4004eb5f</t>
  </si>
  <si>
    <t>4be6ec14eea5bdeb21e84258bcade86888295cf43ecb1232d0d4ff0be8bf3776</t>
  </si>
  <si>
    <t>aa1a0bdab0edf31e3075a7770c8530718c3636cdf33275c2af06c33a53533b57</t>
  </si>
  <si>
    <t>58d37a127d657592ecdeb2d9505e93c145bc9937609e67ebc9548ee5146b613e</t>
  </si>
  <si>
    <t>SANTA MARIA JALAPA DEL MARQUES</t>
  </si>
  <si>
    <t>63535826a74d523250638cc04790a869542d3c40456bd776e971460f0f969dbe</t>
  </si>
  <si>
    <t>f434773f338438564feef1465fc08f1d82e4ad798eacbe70f4fc1388061263ad</t>
  </si>
  <si>
    <t>6b8ffa10a671abf816d9389e64b7f015cbe5ad83e25407e5226a485de06d05c9</t>
  </si>
  <si>
    <t>65a671caa38df76eaa2177c00fddfc7c2a0bbe4498be67bc66e7c88fdff14a2c</t>
  </si>
  <si>
    <t>79ff3fe106e5e113c4656f7eb767e803452309c727b96278585d2768ea1fca2e</t>
  </si>
  <si>
    <t>5cc9a0f1155a500de9e567751661153476120c897f4bbcc5d4806ad46a233456</t>
  </si>
  <si>
    <t>69c726bc05f3c671e8f000be0837f4d4f4e276a0ba3db7404d7c80e72cb6da29</t>
  </si>
  <si>
    <t>16f9819a0f0f265dbd72315b1a5ae1f3a7c3940ced05b0fb14e3220026ad90bd</t>
  </si>
  <si>
    <t>f962de2c07ac9fb23a6a1c755475acd712add03f882b8e2d0857afff3a898235</t>
  </si>
  <si>
    <t>d4a6ed8b7577688e2d7a773d97a10b88b5f69d94289a1f9fcd4538e20c672cda</t>
  </si>
  <si>
    <t>323d6691713fcfb8c09144e31d6bf05d6f919b990da3cb68dd01d32ded4b15d4</t>
  </si>
  <si>
    <t>bffcdc0952d427325f87222bc4c9b45735dd1cc2411e50c87ac6bc6b59391d73</t>
  </si>
  <si>
    <t>f5a2868665d40728cacdb33eddfe5b043233752c21df7720459c967d8091db86</t>
  </si>
  <si>
    <t>6dd9e440aac8cfbfa0fed6ab5cc013987c58bc19df34179253ce8e92752a4e6a</t>
  </si>
  <si>
    <t>8b3f36610746e2b58cf02070a3561123ceafdb97f133a5f18f30db1d3592bc1e</t>
  </si>
  <si>
    <t>095111f7d78c6607f64994d68daf80d96059ceffc3046ef9630fec9f5e678d74</t>
  </si>
  <si>
    <t>29fbd3fa8e0d903157b1ed7e24db84a9952d475ff0b2cdb5a1a9789d0e7ed621</t>
  </si>
  <si>
    <t>SANTA MARIA MIXTEQUILLA</t>
  </si>
  <si>
    <t>612fb59ca3de31c42d95963ac155c10a3cd3185639f4fe11cc1061adf48bc4ed</t>
  </si>
  <si>
    <t>d5ebbe2a1a3487cd5004ce479d86354b427462a240f9e785a528090577847fec</t>
  </si>
  <si>
    <t>2e2fe489aa4c1e8bbd4952d547d3411f6e3f439e7ece54bebce8b0e619771752</t>
  </si>
  <si>
    <t>b387d9943b02c6ecc3efc38f9ce35c3669212c6bd759496b2b47a798ae54a34a</t>
  </si>
  <si>
    <t>2e6e071f48bac9450530837df54dab10f067ecb9165f21c4f1982fd3bee383c1</t>
  </si>
  <si>
    <t>738798f07b893f1de3ed1f957e3ec7186f754799104d2acbdd54a945c5d6785b</t>
  </si>
  <si>
    <t>SANTA MARIA PETAPA</t>
  </si>
  <si>
    <t>b2a14b6874ad8e0e1ee0a409cf6232353a28a60164b555295569926849b4c80c</t>
  </si>
  <si>
    <t>6a49b786f9eefccb04b744d9e9d0dd0e88f974be430ac1c2ab142cdd51400379</t>
  </si>
  <si>
    <t>24f74037c09db833b597926eec6b544025a1d6b30d796c73296941f49efd6db5</t>
  </si>
  <si>
    <t>096feb7e5d3fe8bfd5959e5e80adb5b93339eecad6b4efc36e062c7cf6577fc3</t>
  </si>
  <si>
    <t>e72333211e696ae8fe5d3b23a6be4f5b86ae5b94dfdc54f156862d3214c01ee4</t>
  </si>
  <si>
    <t>f0c424c0f30a57235ac4b982080f628fcf6aae04534eb648ee824894e5ae76e5</t>
  </si>
  <si>
    <t>7ec9a94acbfe85f0f94a04f3f1ab4439afd42cb83e1776fbecb19047edf8d0c6</t>
  </si>
  <si>
    <t>ac1a262aafb65b0f939f4892108e6ddb1e2b5d47d3d054aa0c8ea134189d820a</t>
  </si>
  <si>
    <t>fd869915b98ac6b3e15b59fc251886ea30f165b5cdb7265eae8d8fa1744c2b41</t>
  </si>
  <si>
    <t>7b4815331cfcae889993ec0569e5910dec64aeb796f94a4d3f00eaa771be0458</t>
  </si>
  <si>
    <t>9e103f38ea18e6fa51705317622664d0e5c5aeb464b064c2ab19f5e2aa618b2b</t>
  </si>
  <si>
    <t>53ca9a34df8b5201e7f7f8f125f58579da5f4fd6cd35d2fb3f918edbf6543d40</t>
  </si>
  <si>
    <t>bcb12518f8a936cf19114628d32898af648b099f3dd0f188df41918cb3aa78d8</t>
  </si>
  <si>
    <t>29fa2cd15bc05911d37b6a3e8288b846910b74bfad586e2dab6206a54c65bffd</t>
  </si>
  <si>
    <t>c80e11546cb52ab830d0d76e45fec47c1e9a9ffe50f4631a2025584d678d9a07</t>
  </si>
  <si>
    <t>31186da3a19ffcd410754c5c307dff8c4fa567895150e329079750031d8a904c</t>
  </si>
  <si>
    <t>4551e8e94c7d4497e805bfeefe780ab8b88ef5af39ad29c3c59038105e164b35</t>
  </si>
  <si>
    <t>c5a053b3df102bb509f02c12b1bf5e2f779ccfc3c82bb250953b0de64188efc3</t>
  </si>
  <si>
    <t>6f51223ce533fcf0d5ea96ebdfed6cced85afe2801d8a01a7fcdf8b1d7bfe084</t>
  </si>
  <si>
    <t>671483028704b51559e4a7d1dd84d5eac545eaee9b101eb016b5b79c81c9b15a</t>
  </si>
  <si>
    <t>2943a6d8f575e6fc88140011fcda82fbc1dd70c20f288c96cc79509d7695e6f8</t>
  </si>
  <si>
    <t>SANTA MARIA TECOMAVACA</t>
  </si>
  <si>
    <t>5b93c581745b7b82f2cbf1b622029e99e71909a80c0e9fd9c848a6847a2bda4c</t>
  </si>
  <si>
    <t>3b0666afa9a4ec07ab69cd4264d484ccf1a0c2cc9815727b208639dd89253b15</t>
  </si>
  <si>
    <t>2926e1e115194807210614ac57e04efd39db9d093712d88576233bf6242b16d1</t>
  </si>
  <si>
    <t>SANTA MARIA TEOPOXCO</t>
  </si>
  <si>
    <t>28cf16be072e3a69c52bb4a2a9f5e2dfc9ac0ddd19d4d1c12e5552d8f0868c8d</t>
  </si>
  <si>
    <t>277fd507b5d07c34bd17d4548230d7abfe651d52a852408f6f7443b66f04084a</t>
  </si>
  <si>
    <t>e0fbdbdae56f20c73087570757646a9d802ad7fa11f4881661636360ebad898e</t>
  </si>
  <si>
    <t>9652941da73d0a81adbf6c4419c56cc188f1b73f95b5349d1bb7d622c72cb6e0</t>
  </si>
  <si>
    <t>0a7d1dd4330522056903a2cebc620777ab1a321d7c989b0baea74788b082047a</t>
  </si>
  <si>
    <t>8aee7fe8d8543db63538a4c72989402df761dee164fd35e51ba10710ca845371</t>
  </si>
  <si>
    <t>SANTA MARIA TEXCATITLAN</t>
  </si>
  <si>
    <t>7f027f67a7886a8801cdc3901e294dd6c3421b13101204f25bbcb3467ac66a5f</t>
  </si>
  <si>
    <t>SANTA MARIA TONAMECA</t>
  </si>
  <si>
    <t>e7849638fea43c4f5ae09b51f63914e7142bf5884e445e059e403ec1d528f0ea</t>
  </si>
  <si>
    <t>586186ff8f2d9927a99b7ed5f395e3e782a20250e1d22e3f0353d2aef31cfd9a</t>
  </si>
  <si>
    <t>304e87a852c389280a41f49380809f7af37b6b63ee9809ea0ba4a63adff6d6b2</t>
  </si>
  <si>
    <t>d8f15d8903e1c28e4ab2bcb175d8e6bc9414d9f242d742d16e5425639af8dc78</t>
  </si>
  <si>
    <t>7c2c9ba5db72d43c604ad463f29d34b4b3bd3ad7474f54c7c41380c71879a5b0</t>
  </si>
  <si>
    <t>4651445765cc647b90dfb165efb04a7b065d9308aa42240adcf0d701bb1047a2</t>
  </si>
  <si>
    <t>01f36f69c38ed691182ab8d7bec3f492d870d4a8911d30a43ccc5fba77bae835</t>
  </si>
  <si>
    <t>77032a1780aed21ae3a903c70373601d30a99548da1a23b49c672f6625f7d849</t>
  </si>
  <si>
    <t>ee74387e24dbc722f8670f4b05529282bc625b68ecc563d7a477fbd7f08a3fc3</t>
  </si>
  <si>
    <t>a0bf1c6c68ce23f6bfae1102382b0256de943c60aeaa6d385230e6c7c92b585e</t>
  </si>
  <si>
    <t>201e5cf20db36bbc7aa6b84f78cdf2fdb53949518aaca1f17c9ed7275d172808</t>
  </si>
  <si>
    <t>b6af14700be81227e19d1f9f90c87e12c6c2c44c249ff676a4ddc1739e0b4fca</t>
  </si>
  <si>
    <t>2840e30563cb5ef81d8b8774d24c712d8cd30e76861043bde619d86795e36f5d</t>
  </si>
  <si>
    <t>7ab7f7caea876b652bf747c501973f9b18eeb9cbaa031cf180650b487da2678d</t>
  </si>
  <si>
    <t>45752f86ae8dae7e26283cbb96fff0abfc438eaf269900b2eb7b78cb16e83058</t>
  </si>
  <si>
    <t>aee548d10cfec247302b8f95fc54e9123feb7618056d2757287a84791ad57329</t>
  </si>
  <si>
    <t>69e9e562f499f5f3ccf3a49e38a98503c1f2dc5729d8e841eb7e369a902f3708</t>
  </si>
  <si>
    <t>606b31fb90e841938eec83c1a1a5f82f812122692b9656ff85126d2d4fa782bd</t>
  </si>
  <si>
    <t>43eb4fc9df9463c08f8ffebbeff58285125c52d80e07b7f4a8d1bd39d1fecc23</t>
  </si>
  <si>
    <t>51ef90e5e051c60ad43ae0995afd0219a9b8dc7934fe09ab4c5d4120814774e7</t>
  </si>
  <si>
    <t>78f2b588c124532d695564459616a26bf2a4327c27c2dbbba59dbd0933b608bc</t>
  </si>
  <si>
    <t>8ec597ceda6234378f4750cb1c336ba7d80136b9daab7ff3646864aee573748c</t>
  </si>
  <si>
    <t>bfd661ef84c2d2f351659ed8be043754a7a7c4f16a4961e7e436d9a6311e306e</t>
  </si>
  <si>
    <t>66cf3d56315b69056bd2852e487d2d3e3c4db42a8d67c0a6d4233941e72558e1</t>
  </si>
  <si>
    <t>92e49873922db96bb6c19302e5c9946ea23f8d34a4c85205841d5256ccfffb33</t>
  </si>
  <si>
    <t>c535d39c483bf87d86099ad4665b16c210f400018288b3aa8a598164468e02c7</t>
  </si>
  <si>
    <t>fc02d50c40add3f01186072127542c761bc7e97d004708d1765d2694dff4f871</t>
  </si>
  <si>
    <t>786f722196ab0c63762c7fbd388b12b3b55b3f357a547a3591dd7d0e4031dc14</t>
  </si>
  <si>
    <t>03d91cd6cd0cd087b4f6372114e0d2f94d8888e7e1eee3083ed65d57f359b0d6</t>
  </si>
  <si>
    <t>8f64b0ce493bb9d2961a4b9a02d1a89c6d71143ce3118b1af44d897ba1c7a229</t>
  </si>
  <si>
    <t>df254de4053afc98babb1754c80336a0b5355037993c1a232c8c149d7e8fec69</t>
  </si>
  <si>
    <t>87fc54d30ee4e3568bda6d8c753c6607b92cb6d23f8f3756d25cafc3e15383fb</t>
  </si>
  <si>
    <t>227dfb75751a63763e1ede63d273305d13aefb8102f03d5b243cd6398950857d</t>
  </si>
  <si>
    <t>ba6c8597a1fb94c1f998083003dc68b748260bf15239ee5c0819942c7b5ef8ec</t>
  </si>
  <si>
    <t>SANTA MARIA XADANI</t>
  </si>
  <si>
    <t>9d137f5b5517f6dfbbf5d5abbfefd9c699d19eb535b71c4fba4230bc0a7732d7</t>
  </si>
  <si>
    <t>f90f0d2c0758f23c4ae1c52d9ee313965bd1ff6907a0b87a2cd7ea06844651ec</t>
  </si>
  <si>
    <t>1cd16f986f40fb13fa7d44ddc7802ce56a3c20fef7cf41c3667d90769c44f64f</t>
  </si>
  <si>
    <t>96931bf20c427ffd0d918b581bc883a5fb48e93cd8e028c5d7b7c865622fbb82</t>
  </si>
  <si>
    <t>4d4c2e78aa2fd63fcabaf8b5e35ed2a2950835eae013a3094872a44ea84a1caa</t>
  </si>
  <si>
    <t>35ab50169a09229190a4b62c0ace0099e99894296d78982d10ee29a949b3b3ac</t>
  </si>
  <si>
    <t>e6fb1d1203f72b0b8175456283515d4c6bc3a9b698143689d489bd14f3fd8f97</t>
  </si>
  <si>
    <t>e2766261061e8ef37ad79c7381bd10aeee81dd51189e8cc412d6913fadc3b0f3</t>
  </si>
  <si>
    <t>d7da19c1619dcd8f84b2982f0ff04a534170d87477502b306d9a11241aed0066</t>
  </si>
  <si>
    <t>b4db9f67adf0535bd8183649d73f98dee288b22ba75fdb22024408a191bf4a45</t>
  </si>
  <si>
    <t>3a53a57be96ce29097696df95fe758f28754f65753114e2f78dbc0c466b77cc9</t>
  </si>
  <si>
    <t>SANTA MARIA ZACATEPEC</t>
  </si>
  <si>
    <t>df959c401cbcb36776c2b8d4c1d7b87e425b16d7aba8f014c56b94edda13415a</t>
  </si>
  <si>
    <t>5536275dc9f224d6c8b4e8df9557f4bd6ee31fbf494dbaac925af3248bce11a8</t>
  </si>
  <si>
    <t>74c5b5e095e5d2c30e9f3f130996208b94b47182d4149a4d7f16dba19892d4da</t>
  </si>
  <si>
    <t>475352ab9cc5c1b4e9489ce3ca777cfe25e0087132f2f6e155f71345fe44005c</t>
  </si>
  <si>
    <t>e67aba2914cc0a394803ccefca7ac47594d4986ec32b67105e83515486d51514</t>
  </si>
  <si>
    <t>e435b4ef4a6c22fd9a78671b85d1cb1e52aec33f4783738d7820407855cd1699</t>
  </si>
  <si>
    <t>bbe8de861dd30830156387d851867653f8088e7ffff770931650d9c43bde6529</t>
  </si>
  <si>
    <t>66a5e40a4e7f6b3fb5734c1d836c11df5da53c371c1d6aa768d166b66ed230c0</t>
  </si>
  <si>
    <t>8a230b42ed9ef174b67af6321c51fd75f9c88233e4af52a97d56ab2386faaa90</t>
  </si>
  <si>
    <t>dc6cc713328d229e78dc05439505b59c032263ce6ea1f4cc15c620ef23b39abc</t>
  </si>
  <si>
    <t>50ae2d4d6562098db00c4a4e3821e451be0c538847ddd77744d6bb0b3d4276a8</t>
  </si>
  <si>
    <t>62cab092b5bcfb10b9f6b65872a637760e7c866d6f3ab6513ed1f955c0e8d3f4</t>
  </si>
  <si>
    <t>ea8077764efef613aafa3e47b0f2082ddc9aa49d4f32d994fd1948637a197f45</t>
  </si>
  <si>
    <t>05d6a4307a151cbd076d0a5bbd52c482c722f721d60378153640ac00df13ee30</t>
  </si>
  <si>
    <t>2c36a5549010b5d7c2d797e0e60c0ba8209ed75483c4cf084f143f38c3526527</t>
  </si>
  <si>
    <t>6f9a64d05a2c7ba3bea1ccdb2f3d089f629a3942018200bad55d91442b06b1fd</t>
  </si>
  <si>
    <t>e4786db2bf762109041cec4af413520068a06ddb6b9f01a2cfde94c0056dd356</t>
  </si>
  <si>
    <t>6a8a818d6c0a823453c65894a4e47c7f81b45530c803e93ffe4083390fa8f34d</t>
  </si>
  <si>
    <t>4a0110d137c5cd6ba9bfbd4880b6750d196a9e8088d81ef4327e64c966a016e8</t>
  </si>
  <si>
    <t>2afae17e14cf80452e62ba91854f4bc547e968f15f18d269d579456bb29b776b</t>
  </si>
  <si>
    <t>b43f4b920ff57932fb8dd7e2c6125e4f8ca8da7ea03254cde7ef5cf8071eed26</t>
  </si>
  <si>
    <t>SANTIAGO AYUQUILILLA</t>
  </si>
  <si>
    <t>c9b398f04eed021bce2bbaaf2ba845e42a927d96eb1d5c6c06b43400d8317046</t>
  </si>
  <si>
    <t>f1819f6fa1aa6bcf1b660d7ceee389c69f72a4071fc7709119ce5859688a48e9</t>
  </si>
  <si>
    <t>47fdd8161288466730571ab6e5f39c1f32e890bb8daef39f294b5f573332ddd5</t>
  </si>
  <si>
    <t>952225951683f719842d5e20738fd94bd557f7ae82f04b9d72031b92e59ce987</t>
  </si>
  <si>
    <t>SANTIAGO CACALOXTEPEC</t>
  </si>
  <si>
    <t>e7e155828d2dc18e1c07bbd3eaf14bfa1a84a6b7f957d1018699e409fc1260bc</t>
  </si>
  <si>
    <t>6ec8c5d4cdc8f6187fc6cb581ecbc79736af205b4a5f84d4e372275b1094db94</t>
  </si>
  <si>
    <t>015a8f58908e5a208db26ac12253d06ae08d008a987e4117b97b7a3e2d96fb3b</t>
  </si>
  <si>
    <t>VILLA DE SANTIAGO CHAZUMBA</t>
  </si>
  <si>
    <t>df18b1c723eb0f8bd32db9c700de701581d026d805a184edfca37cfa3f22c1f5</t>
  </si>
  <si>
    <t>20a62e1ec716b25e157812e0496d5d0a5cc278be69e2bd0153ed56ff92b912b8</t>
  </si>
  <si>
    <t>d013ec90d0c334ab90bccfde545b0f1131c2c3bd630ebc2b6a86321042be0277</t>
  </si>
  <si>
    <t>32ac647853792dac60d8905b4cf066b1c783c5aaea38d8a6b2214bfbc736970b</t>
  </si>
  <si>
    <t>8f87244ee158033f8e37fb08c07e1954c9fb803a8f265b80bc73e53c287fd2f6</t>
  </si>
  <si>
    <t>fd51f840525d8c8627186b4a8f50450e91ec901aae1ca702d2e88f484338b187</t>
  </si>
  <si>
    <t>92076080b654d1560201a87a3a9173f0dcbb45880590b0ce2457406119b2bc2a</t>
  </si>
  <si>
    <t>df445cbab51e405e001d5bc5934ce489770de9fe16dbe1c8e708b337ab5c3071</t>
  </si>
  <si>
    <t>a2fa3efbc632a904bc325574e57d402466f6ce3b4b0e195f67467fa5ad6ec9e2</t>
  </si>
  <si>
    <t>28bbd48ac1ae3a89d5d6f2306b2188429b15157f55a88cb2ac70177097caddf4</t>
  </si>
  <si>
    <t>SANTIAGO HUAJOLOTITLAN</t>
  </si>
  <si>
    <t>8214dae00eea67476efbff1d5dfc12aab7df703aef59b22e6dfc99003e062c74</t>
  </si>
  <si>
    <t>e2a0a4c75eb7e60a31446b79ab31a628cd996f44bfee1054508652e35b1e9f86</t>
  </si>
  <si>
    <t>dabbd482303a695dfeed574510547d7263b5af587e6152e85972b3a8f3ff4736</t>
  </si>
  <si>
    <t>1dbeeda16a01d205ef5c298ace85c3cd08cc91508547968c8539abf793b6f251</t>
  </si>
  <si>
    <t>68fbd2f7d24ec41514acbc876dc1188e47724e5f4df385b6892384544712d55f</t>
  </si>
  <si>
    <t>31bc11e298ccaba75a9da15e2f0162715abc3dbeba76c1da64bcd8caec8b1671</t>
  </si>
  <si>
    <t>c24346f16bc9bf89e023d86764a6dda51095329fd423a79e522e5b4d5bd513ef</t>
  </si>
  <si>
    <t>06daa59c6d07853aeaa3a071ac6b5d3ab25c7fba825387e70b7cac05ae40a414</t>
  </si>
  <si>
    <t>SANTIAGO JAMILTEPEC</t>
  </si>
  <si>
    <t>eab79fdd7dd6f654a7743e6b7a3f957279a145a4d59e2ea597084118b9fde062</t>
  </si>
  <si>
    <t>f0ddb0e1e09730dbc09a2057af21fc7b27dc0f0136c656c6155cc49682659091</t>
  </si>
  <si>
    <t>46d36b9a9608ac5e2b82f50de13ac874ee0f4c378efa14ac0692af93ac2d7dcf</t>
  </si>
  <si>
    <t>5e62189cb536cfcd95bceafab3b33664d3e020894877b73e32b1b1b5f42a2a59</t>
  </si>
  <si>
    <t>e32631ccc44b653065386caf082aad4f905540b29176b3ec3d58d9ca8354d8cd</t>
  </si>
  <si>
    <t>1b0dcb0858317fa651de6bb7d31279f4e2880960bcc2ce36ae33dbd0c984010d</t>
  </si>
  <si>
    <t>cebc5bf6911d1876c5da93591ef51ff3cd0febde3e72bbb6f9a06cbfacc6f981</t>
  </si>
  <si>
    <t>dd1b9d5af019c45d387f435bdb3048063ac3ea0143c18325241de52973c88042</t>
  </si>
  <si>
    <t>3cd305918ba10a71f6954c817ac4a2c417fd257cfb4601fc6b7d774dc318bcc1</t>
  </si>
  <si>
    <t>0fe15492535eae3d4ac287d54ebe9881dfc8678738898addca373024f925419d</t>
  </si>
  <si>
    <t>97cf49fd12a7f062e0603b93304c76de386b95c0dc7a93d933de48ad85c5d5f7</t>
  </si>
  <si>
    <t>f15155d84cadfd70a624a1adfe3fa8c91ce40201811764be2935f4bd3ea750de</t>
  </si>
  <si>
    <t>3faf6ccd10531ab11a76659ab3cb1d0c646d8fffdd39cd7d0a6129f38bbc1f2a</t>
  </si>
  <si>
    <t>f26d837e1fae1bf0b084c51f3bfbeec0545fd0f45438291090d1fc607f41dc03</t>
  </si>
  <si>
    <t>d78a542920ba51ffc6b1bb16a2686b7a5a47fccdb4f5d327117683677c9e52fa</t>
  </si>
  <si>
    <t>a095e31b9c1bb4be7c6e1c96fa1956581245fcf55901e54fc3c8ce3f9cb2a707</t>
  </si>
  <si>
    <t>0200dcab23c6d7aa8c9bfa336b544dfd9adcf4cc90efc865590e30ba6e0babca</t>
  </si>
  <si>
    <t>1c73ffe554e47bda5dec196cb9efde4c27aef71290e95ecfcd6614d97a9f89c8</t>
  </si>
  <si>
    <t>1b6be2166baee23551d76e662c0e52be8a2bb5c733fccb6bea20838440879d9c</t>
  </si>
  <si>
    <t>754a7f682b6ee828be2c54459f192f19f78575ac6164f09b2341178c661e5804</t>
  </si>
  <si>
    <t>34cc16b4311f78183992217126968c677455dc20c687d2e0d2b4ad8d3b82c855</t>
  </si>
  <si>
    <t>ad60034203e8fddd5a71940938ca7bd661f768c1cafc9f3bd27c4a0d40f41f7a</t>
  </si>
  <si>
    <t>f879bdfae62146a42e7f9bc95d203f28cb50ec39909567e0e915a4f0add53127</t>
  </si>
  <si>
    <t>3705e017721658b97c5f9e870ffa654ca09a67f13655e77d08cbc423cdf0c5fb</t>
  </si>
  <si>
    <t>621d7a53b9f0c9cf5662c73db920b0e362c999edb0af0d9d7b291cd2b2a25d81</t>
  </si>
  <si>
    <t>SANTIAGO JUXTLAHUACA</t>
  </si>
  <si>
    <t>bcdc333285cdb3f659c455d0115171640576fd0e29d2016428ecca1901e97d2c</t>
  </si>
  <si>
    <t>f3d948067c8e8e09e72504efd873d912736324fb929dc0fe058fe3584c612aa7</t>
  </si>
  <si>
    <t>9e01b7e81bbb054426e1bc030dba224e5ad200010aa7e9c1ddf0f1609dd5c007</t>
  </si>
  <si>
    <t>273cf7cd5ef796d92b24c87e1ac59ad7ebffce2f699f5aeea5f15dad06e2e083</t>
  </si>
  <si>
    <t>156c6caf7fd425004d6460934b27950cde87dc6aec47dfd69cb839ce1cf1c1a8</t>
  </si>
  <si>
    <t>4c75102c3984d7c7871825abda54c11a466b3fe083e26306188db965bba0a1db</t>
  </si>
  <si>
    <t>882b8a52fcfe7544ddae28567bef383835b80b90a8198a9380c502cf55ba0fb6</t>
  </si>
  <si>
    <t>fed4638528301817180784309b8d645d3bc4a55cd8d4ae069c098ba04276f943</t>
  </si>
  <si>
    <t>ed6a49c9c1a76575c1c46c0bec9b7c591b18cc392b60f9d7b91331185a971e4e</t>
  </si>
  <si>
    <t>5707802513091715610a1829ce7723db8c683d6f07cdb757ae06242a6326439b</t>
  </si>
  <si>
    <t>d74f4c17d1e6d52c62bf813d3f41ef6a6aeb77ee88d8edab2d0f6e60e511fe1a</t>
  </si>
  <si>
    <t>1434af8ae28cb7f120cb87a104bd93e38950815748d466dada50c73cfa722e50</t>
  </si>
  <si>
    <t>692d3bd91111265e8f989f82c2060e93336fafe2c5061f0b676bdad535685e94</t>
  </si>
  <si>
    <t>41a7a4fda83064c4ce8f2d06d91b9e4673ee515116030f32953efa4a3e04ee62</t>
  </si>
  <si>
    <t>9f1cb890c7d63a547d302dbe8ca40dc4295aa9f865f7b521fb5538bfef456ada</t>
  </si>
  <si>
    <t>6ba52528778e80b84f562fba11aebaf4d6f8597a4a26eb467c59ab7bcdcae48b</t>
  </si>
  <si>
    <t>55a7c97882258f61943d67819e5a1e48aa4248f63fa2e23f6330991c26542f0c</t>
  </si>
  <si>
    <t>2bb247746439fb12b317530ec861a96453d40961b60e93b82eaad1f229420d83</t>
  </si>
  <si>
    <t>0d2a8f96fb4dbb7ac846be7ccdc02854bed2fa8df30782cab34b8dbfadb0b9e2</t>
  </si>
  <si>
    <t>0b5f2c0a260f3a4a525fe02b25ae9e7d782c35cf5f9acfdba6bc7c0df3a9f1af</t>
  </si>
  <si>
    <t>715a8399425ebeafbed60d746948bb81b270aa4fa27ded0ca217a8e44399e542</t>
  </si>
  <si>
    <t>8cb4594520840a89517c8ea677f4c4080d14eaed6c6372f5fc664111b4ededc2</t>
  </si>
  <si>
    <t>8d26375619fc2026365909ac7b33b85cf8952b173e5085f2c481363aca44ec19</t>
  </si>
  <si>
    <t>36eb1a7e0179205e90eb0e28bc308f2c510a1baae6fb8b37fdf27e44122f4813</t>
  </si>
  <si>
    <t>83721aef5a1508ed6c5fdd4deaa23b52e4692d96327f05929db8243445467d6c</t>
  </si>
  <si>
    <t>8945c57fdcf62fb2e8a66d54f2abe24fdbc9f0dea2473844c4c898b5ab9e6086</t>
  </si>
  <si>
    <t>d0b9ad91bee87bfdc10a2ca0daac30aeec92aae07471ae838a16710b9420a0af</t>
  </si>
  <si>
    <t>fc46c27e4646abbc1841b8f36bae65060c3e795e079764cebfd01b142a2a2616</t>
  </si>
  <si>
    <t>287daebec483dd6bfaa0161bdd7226aa1615b0ccc4ebf6a671cecfe3492223a8</t>
  </si>
  <si>
    <t>88171fd7d0d261a48e43d7ba60f614682bde683700fca8854145b57d58dbe452</t>
  </si>
  <si>
    <t>a5d1fb625b97a8b9fbd48ce0db9b60f611f4cce6c451282551e34911e94374ae</t>
  </si>
  <si>
    <t>09005375b26f1b93171200c1bb8862239c4d25dbf778356be28a2b484ec2c14f</t>
  </si>
  <si>
    <t>5bb22eab79e973f8260d925d132648c593004ff347589c6cfcf9a8e0b101afc6</t>
  </si>
  <si>
    <t>8f630c7404611977979d2c103edbb41581e1bc513885a91f67dcb0fb1f3e9027</t>
  </si>
  <si>
    <t>79db4c5f6bd0e335f4eb4c3021a59e564187d9af5f3337f94b9c947fe632f494</t>
  </si>
  <si>
    <t>538579ea9f0c95472ff5850a523a5f0d8a01207f12dd2e5689fefd40ef7cf1e9</t>
  </si>
  <si>
    <t>045f79a6e995792f5df34c311cfc02f4c1618e16cf9f4040590bb269cc426669</t>
  </si>
  <si>
    <t>a4d2fdc8ac0c0473b0a0f40d07d656859f2443bd2596085356c951b8f6750747</t>
  </si>
  <si>
    <t>3bf5581073c4ae03b3314ac9711f7cebd02e3f2e75da5368a17dca8a5c0e3450</t>
  </si>
  <si>
    <t>71dd1709ad81df699972da3e820bc30e3b4ebca9bd631a9b75f645dfd164b154</t>
  </si>
  <si>
    <t>67effc759a205eb999b14bc8f6feb5b148e47b48514f481faacb277565480df4</t>
  </si>
  <si>
    <t>7c0bc1a164381ba27ffb70bf7366db27c0e090a58dd315ef996e19f9a2dce66d</t>
  </si>
  <si>
    <t>4acd13b243a094e784e921e332aac4b6e51e4a77fbdb43fa02cc4e56f7d3cd70</t>
  </si>
  <si>
    <t>9b284de2f350aa2dd16a569a96ad6445d78cdaa2b7c5d9a9c3edeaae9e3a2525</t>
  </si>
  <si>
    <t>947a6cf560aabc190dd0da2e7d163d7383cc4641b04d3eb72c94990bc7c19bec</t>
  </si>
  <si>
    <t>207777375e1b0fbc4b0da2a214e5de463cb640ca66b04612dc37882e3e2101df</t>
  </si>
  <si>
    <t>SANTIAGO LAOLLAGA</t>
  </si>
  <si>
    <t>262c4c3586791ace08fde000abb14e8516b48bfc4a130a63f6ca5662e59a345c</t>
  </si>
  <si>
    <t>905d4ae9cb90a56221a9893fc48d950869885d4319437160cc31f93bc19c2389</t>
  </si>
  <si>
    <t>d782246c73287e2ba4757eba8f35bb1258d48ca6ce39196f57245a8b96c83dbb</t>
  </si>
  <si>
    <t>6c4aa63e490cceeff76d5ceb97c313ba0352507677448b04079aa4b1d2153e78</t>
  </si>
  <si>
    <t>72cf9f02f1ceee2bbbca284773f48f13f48e4ad9497e0422147511706b65bb9c</t>
  </si>
  <si>
    <t>da809a2f2498a0bc58d35906b0eb61b4d3c8ee014492461e3535f923ed8e2286</t>
  </si>
  <si>
    <t>SANTIAGO LLANO GRANDE</t>
  </si>
  <si>
    <t>bdf366fd87908a439bab3c5c393be6a5b9e3a160d6496fe9e45e87392ce8c7f6</t>
  </si>
  <si>
    <t>28ffa26c028ff9d03d29d0da5178679f330230c566ca46cfb118dc94480067d7</t>
  </si>
  <si>
    <t>2a0dafc4b6b0a8d0065cd06a3c189df53bc7c2614478948436d17631b3fd99e2</t>
  </si>
  <si>
    <t>cce007f5335f46d6b051ceb15e71a36f2ce332a0d6126588d58652530818fd75</t>
  </si>
  <si>
    <t>56a6452122ddadb7cb99e4abc6946fd248cbf386ab919a4fc9d6870b7f54eaaf</t>
  </si>
  <si>
    <t>SANTIAGO NILTEPEC</t>
  </si>
  <si>
    <t>5e51bea431bf0a315dab20b0eaf9d80bc45dfc846b3fd5ce6aa37dea93f7afb6</t>
  </si>
  <si>
    <t>2307bf15ba519a45427acc71865807021a2a5eb7e2762f348141e684f84a2005</t>
  </si>
  <si>
    <t>c4918770685ca544d5d68535e2bd0235501d36705fb0a0b0e817ae36cfac2d11</t>
  </si>
  <si>
    <t>a6f8140d4fc47e1044e784df8dde40c7d319b46fc9f1a04e32fb94fa8167769f</t>
  </si>
  <si>
    <t>a1b1ed24735c264fdc6a636730d20d5cfeb5dc78f7cba1bc82a486b19cb99195</t>
  </si>
  <si>
    <t>6b04a99a21bcb7b24103283f6cf04685f77047142fda2e6c9441364c47f24682</t>
  </si>
  <si>
    <t>ac2203ee192acd8051d4d9fb05cc2fdbd1bbd436c86ea13e90352087c3abd5ab</t>
  </si>
  <si>
    <t>9f16586305480ba18b082a438914bc8910e41fcf037d72d410d7807991eeeff9</t>
  </si>
  <si>
    <t>159812b35b5c68b915d372f55d9ff764a8515777884a771fb238ff53021ab803</t>
  </si>
  <si>
    <t>890d4f2a93beb2222cbb0190fde29ad7d891bca0d11b034278a56e92149f323b</t>
  </si>
  <si>
    <t>SANTIAGO PINOTEPA NACIONAL</t>
  </si>
  <si>
    <t>9d8459eb9f05303d7635d802aa97e1c0fb73ab6ed2553a72f9b7885c22693097</t>
  </si>
  <si>
    <t>5e8dd3f78f105a814fcc40b06cd137cce4edc879a18dd53389baeae8927a7c68</t>
  </si>
  <si>
    <t>d5865ae3d044674aa61e79e57b5b55ee16c4941c61d4d220db222bc7807defb6</t>
  </si>
  <si>
    <t>07489d4e6488b39bdda8ca5282002c5a50c91e442043df6bf8cfe0bad423f041</t>
  </si>
  <si>
    <t>6984ccdf499a4ceb0a01d2ddf8d99126fedfba03c01e788373a5503ccebfe8ff</t>
  </si>
  <si>
    <t>2e38f639e66e1f6e079ea1c1c790a3ddbfffe00944f0d891aadcf1082715b0e3</t>
  </si>
  <si>
    <t>993aba0b34645e4c6b00c5b3b820dba0a83f6dff088c2465e955b0d57403fed3</t>
  </si>
  <si>
    <t>cf3c687f4df70eaca1e0ca82c3070d40674f7e3d5eb0a0150e487f3a4c20a62b</t>
  </si>
  <si>
    <t>07d0e681a8453c6fb1f8e42c9343b392165bae21cd493be2de6b3b1684ea381a</t>
  </si>
  <si>
    <t>b6421a324dc0c42963cde4eb1837a9cc58c9fe65868f155a58177599f387aa2f</t>
  </si>
  <si>
    <t>3dbf87d3468264db0c3bc69429e88a5b7cd90447267e53f300143dbc5ba36d82</t>
  </si>
  <si>
    <t>429b9f749cd50966dfae230db3afb82d2872e6d483fb41a1c3e65710a1503a0e</t>
  </si>
  <si>
    <t>4c61949735790cda4b80a82e1b12669f704c0e1868faf8f11af2e538f172dd0c</t>
  </si>
  <si>
    <t>f00116efa197c42768276688ef0fa8dcb5e9cbfbd359b1ef4b7e8a07b140d2b7</t>
  </si>
  <si>
    <t>c3b64c9c32ee953c4c7e86bf0d13aede24c69fb42ee28d3138eff0e571ac9185</t>
  </si>
  <si>
    <t>8b32f73a9d6cd9449ee8daf8257c2c98162bf3f0879eca31cdaca34f5bc74b8c</t>
  </si>
  <si>
    <t>0a9ee788668d2bcf9bcedaf4e6137153318fdabb8fd5c8bb51ab440cb3ac8af4</t>
  </si>
  <si>
    <t>bf4913aa1060055f21de3a508aa311057cee506352c16b27ca62306779b84cd2</t>
  </si>
  <si>
    <t>d4e10c280ba9fb1f5cf994f11ff933d9decbb235a8e8aa7285a41631c69fd308</t>
  </si>
  <si>
    <t>e5a244d2438c1609a06e43d0c395bd84a524ff24be683cc985fdc869903da4d7</t>
  </si>
  <si>
    <t>a1510d31cf599483cfcaabf88f872e6b548f747138975456e45f3f7aa1be19eb</t>
  </si>
  <si>
    <t>28872efab1ec7fa5e6a004cc58e9cad41d01e867a1bda32b159b08719249fd1e</t>
  </si>
  <si>
    <t>cbc2d821a986662eac94c8d29b215cb492162eaf3752a7304df61c33cfdee22c</t>
  </si>
  <si>
    <t>cf938b2e552d0c61365392f5a102fe921ff243fbf38334a69ab3a8b8ad4514dc</t>
  </si>
  <si>
    <t>79a1ed1a50fad460296271364d8023e2cd88313d32eb09d32bfc29a0139abc20</t>
  </si>
  <si>
    <t>d7f620189a1c8c0602228e13ccdb14f6f4f988d03c2d381158d001d5308b1e4e</t>
  </si>
  <si>
    <t>13d6385a156d98f409ab2ab30659c0ecfffef50bf2da56d2f06fbf84cdde4574</t>
  </si>
  <si>
    <t>7c2aad63218613d864e9fb96aec19307b686e6bdfffde8c164b6cb6dde6984b5</t>
  </si>
  <si>
    <t>23e65a7ffb359bda8406aad9b361f54476cbbfee06a0bf873c2967d3b801c414</t>
  </si>
  <si>
    <t>ecc27a5dc5fcd2c97ee2a1c6fd0d5938bab70293a263921b805c1cf3c4088668</t>
  </si>
  <si>
    <t>fab5ce64ee8b8f8cc493b620951286e44ea46ff0c3c95cad042741b3bf74ff1f</t>
  </si>
  <si>
    <t>7d33abc568d3e645804b8ba2cbbb1d77a3bac74d391302c0b42a0836f1edfc54</t>
  </si>
  <si>
    <t>81d63d79ab64fa89820c1b85f4a77d37430e9da22da2907f08cb7616db465a9c</t>
  </si>
  <si>
    <t>8c92e4b90a77629c3c8c7886f5d51f8a7a3aa2079abafa041b2e293460002675</t>
  </si>
  <si>
    <t>e61c045865820a0bb97a59555d5a8311f90a31627f97c5128cd0a84231ae3098</t>
  </si>
  <si>
    <t>7cf9d460ce93246e4b0c5b6047502f8ba1d2f0a5fb9cb0253798961116dc2e1a</t>
  </si>
  <si>
    <t>76775f868ec34020223db125ddd60a5b02f32cd30be0a2c72fe23f7effa43e39</t>
  </si>
  <si>
    <t>e345f8f4beb0c7b2315ccf74c8967b7ee65ac2a265308dfa0101460b228dcc85</t>
  </si>
  <si>
    <t>1dee2004c12d92eb81a553cbc9afb698809469c554307a24b6b9111fbdb58559</t>
  </si>
  <si>
    <t>85ab1f734f73aab328df590d053ca3372843fa3e7a8f6c7f9a7b1f18b0f01b43</t>
  </si>
  <si>
    <t>fb956795c1d24355040e1a12a68963fa2e2fad25f1cf98d1d455ed6d18c06bb1</t>
  </si>
  <si>
    <t>727c83cff0b441f6b446c823a1c4e392968a1bc53a2087aac279e086b9ec3ff2</t>
  </si>
  <si>
    <t>f229397322e0c9ceda9cda50e0796c683baac5668fbb46311d24894678e75490</t>
  </si>
  <si>
    <t>55c89ac598fdfbd9dde14252c81f534c8646a97fbff0fe4f9b24c77a1c1250c3</t>
  </si>
  <si>
    <t>1abe6d884c26540f213a305f55c2bb60f6880c4fea0865ff9da9aea3cf977ae1</t>
  </si>
  <si>
    <t>07c46b340e4fa5e1d619a6e41200534f5163cde852025c18606d7658d2af7b55</t>
  </si>
  <si>
    <t>baf0f92eea4306dc2a25fa0e4192e781daa4c36bf8bfa36f3f6480af19d04f09</t>
  </si>
  <si>
    <t>8b3c0b6182773e96f95a85cf5a22ee08a577df0b447c46ac563ff894af7687c2</t>
  </si>
  <si>
    <t>83948bc83bcf63931d11bbf9f667d9ff3d6d023e4fe5da1ef62a6360842e5253</t>
  </si>
  <si>
    <t>49f37d0668e551e0477bcea1165e611ac70bc6eb1f038bb27c9dbffe045f76fc</t>
  </si>
  <si>
    <t>ad170a11deac70e4f51c27f98a834b766ca9ee73c14a9bb64453e45efb6e03d7</t>
  </si>
  <si>
    <t>6f0354f6faf0ee175e33067ddbdd2ba289d3e66dbcc8f3310e9a149b0175048b</t>
  </si>
  <si>
    <t>97943a429bbabc8386faf50bf785a0a44d34a536ac7d1476c0013ee1f3840224</t>
  </si>
  <si>
    <t>16379335291a8f8eb03abb06b93891da13d05c979872afe8ed6747aabfc63da7</t>
  </si>
  <si>
    <t>9b15e2f653ba505cea7677ad085a9592cbab6d442176ecb7ab7c2f6be6109e1c</t>
  </si>
  <si>
    <t>1b1a3bcefbfee99b5b6a49ca2d9cb69c73a32c0ca2be50a1d6d0c6851e227482</t>
  </si>
  <si>
    <t>67fc54248023428b6fa67c7608f2dd72c6f95e13222cff14226cae5bf8b9824c</t>
  </si>
  <si>
    <t>03950e5fcad0f45bd384a214578df2572c98de7eaf7d76aa110de90a9bbbf6f8</t>
  </si>
  <si>
    <t>37c0745dd1d503de920df7b037a60e27cf3dcdf49d46e301411de54e121d438b</t>
  </si>
  <si>
    <t>9484023b4fda3d26958a700525112257ca6676139d4e0d368ffe5ba47b08ed99</t>
  </si>
  <si>
    <t>4158863cbc0fbfec42857c37b5b0167515faae1161a5e7b31cd0228112abf093</t>
  </si>
  <si>
    <t>ecb373f0688c9a136acd06875d8a9923e535b89103f01688614f73dea13b2e64</t>
  </si>
  <si>
    <t>5b0af5a7f8f1c9afeed5081db002d4110bb4c1918d1ea4e32b1bed97b25cc93c</t>
  </si>
  <si>
    <t>1321c7a4f12c669d87f1eed01089626597a07bfa736bb5983b4ec302d11f63f5</t>
  </si>
  <si>
    <t>1386690f5e5fbef2649ec301667f171ea3e5794a26035a3f24d94eaa319febd9</t>
  </si>
  <si>
    <t>65f8920611da686adb259d1c0cdd528318fffaaf0ab6eaa70f15a8c422fbadb5</t>
  </si>
  <si>
    <t>635d23b01fdd7fe37502e6c0a8d8682bee9f1163e427cf9ff74937f984d86bf7</t>
  </si>
  <si>
    <t>e084e228be53dbaa237964e471266c14239568f673f28c806e81fc14cf51dd89</t>
  </si>
  <si>
    <t>8eafd75cdc5434ee5ba1e359e7e295b56069458010bff0b7df2741781857680c</t>
  </si>
  <si>
    <t>SANTIAGO SUCHILQUITONGO</t>
  </si>
  <si>
    <t>7b4d93da55bec998b60e585ba6984d439521a453775b91913987684d7dd5fb29</t>
  </si>
  <si>
    <t>7e39e11f27b0974ee6ef31e750daa6cab556750eb953c0d1353273d6c25259d5</t>
  </si>
  <si>
    <t>3fc12121147f11813c5a9be413eb74bb096582f2d3c4fdb0c8bcf8e0a72446ef</t>
  </si>
  <si>
    <t>71a4d321a3a548f633e0724c8a7e2746c569aa7e7ca491de9e03ca5f92b8c690</t>
  </si>
  <si>
    <t>6377ab12b3b584502a29075700a93bf58e8a8a55fd933ff917cdd935d3447c99</t>
  </si>
  <si>
    <t>8b2107e1c000d6cbdf22a65cea88ef66835220694d3b803e69b1e0915615cc3f</t>
  </si>
  <si>
    <t>6251a4d7de62c5dcf45eee28d530d95527f29789a69f6c0997d82eb687f1f232</t>
  </si>
  <si>
    <t>99bf727bf0a249226b58382b8eb89cea8b11ce78ed0903089920934334706bc0</t>
  </si>
  <si>
    <t>c304589ae23e75d71fe2df4f3ef58d3f7f7e28262772501e62b8532d0be97cff</t>
  </si>
  <si>
    <t>88acf9cf459853b7a42724c48db2fcdc6afd9b2801f8d79eaef629c9b3b84770</t>
  </si>
  <si>
    <t>4ffc9c990ca9c4c950d712730a282f8276678cf43754002bde7f43a607dd2682</t>
  </si>
  <si>
    <t>9fab742b99db8a366de80ab1acfd6e630de51fda817a1747815157b2c4041460</t>
  </si>
  <si>
    <t>SANTIAGO TAMAZOLA</t>
  </si>
  <si>
    <t>7c8cc4a58e8ca071c04983330413abf123984407bb62f064b204487c338b4977</t>
  </si>
  <si>
    <t>d4e2a6a9100e6d19dab58a8312ed86045763c34a731985cf598146caa8e97af2</t>
  </si>
  <si>
    <t>403f1f989d84c9cc94129b9e98fa9726000b64a017f76822545e2cd9b791addb</t>
  </si>
  <si>
    <t>f664aa3bd38f192de212516209d1f22f529137f08d4a5378dfcd4c12b0c34462</t>
  </si>
  <si>
    <t>a0ab08d02dc69c845599b937258f11a75d36933635aa34eb8a0353b8c6cda9b2</t>
  </si>
  <si>
    <t>3368c39b88a069981e06d5667e754d359512fd89701c6268acb1a8f878191abc</t>
  </si>
  <si>
    <t>2b858666b8562e5cea30c5fa7958758b3acf6a5bc77bc1cc49561db7f2774ed2</t>
  </si>
  <si>
    <t>287aa5e62ba66916188c322697981dfad75af96dbe7fe2f68859e192113ab7ad</t>
  </si>
  <si>
    <t>SANTIAGO TAPEXTLA</t>
  </si>
  <si>
    <t>0e329f8e9d032b136ad49dc007fb13e1e9ab05d6f034b6f70c385644e4d9dd78</t>
  </si>
  <si>
    <t>549e3b85ce0f4b412db74571d678e2c589465f8f8aad40ef40a9b94b5cc596fd</t>
  </si>
  <si>
    <t>574f5aad1e9bd90df6eae14524a19d6f83a299a1f462559d7059ccd4ebd31f84</t>
  </si>
  <si>
    <t>2a7aad11aea833242151a4cf1e3996e383c3534dda3f1f59b38a707ac3686afd</t>
  </si>
  <si>
    <t>eba69c714a84799c069b56753fa676db04e2cbe16754262fefb82624a124c5a9</t>
  </si>
  <si>
    <t>dfc69da5cae05fe86730ae91ae925f8cde29cb3924d421384d1df0ab487c3ddb</t>
  </si>
  <si>
    <t>SANTIAGO TETEPEC</t>
  </si>
  <si>
    <t>b9237c1c2ec2823a1dad17192c93fd58a6eaabf86f58415e277781a67d455d89</t>
  </si>
  <si>
    <t>d67af7f52fd165129f137ea1ae9d3755fcebdb4e77e41e12cc1150f301052ee9</t>
  </si>
  <si>
    <t>87d3ac6477029523a90ac81ee27341b4a3e4fec8a8c81e86ab388bc331f67478</t>
  </si>
  <si>
    <t>3b99d647adc2e6cc51e3e147650a146e7ca69141dfd38f468635da83e197c4e5</t>
  </si>
  <si>
    <t>f8e31cb2005786e85b6a19f8340d616cd3f4949706fab818b5f16a2592f57d74</t>
  </si>
  <si>
    <t>15f00b8251bddfb5a500696799ef57ce8c0219ee8132dbe7556d08e194e6980e</t>
  </si>
  <si>
    <t>27deaa48dbf3885448df8be19eb1afd51a9e8a3b5c14228abdc52a8c188690f7</t>
  </si>
  <si>
    <t>beaaf5e1cd44c3c313652ab2adf113e7d6a79aefb90081e384cd9f6babb3da53</t>
  </si>
  <si>
    <t>SANTO DOMINGO ARMENTA</t>
  </si>
  <si>
    <t>b090201fde85cb29254afdabed7e67469b43ee32c2f5368b161b06bf883eb4da</t>
  </si>
  <si>
    <t>b36e931f17dc04ef02307faa430eddcb3b448b15656df60f637eb390924c9913</t>
  </si>
  <si>
    <t>e9f83785553e0a1870ff35116a43730ece7671c7763b6e9162ece289026083df</t>
  </si>
  <si>
    <t>1d3cb62c13b3c98b71bc1669ed115883c2df0b38984a37a621ebaf948ea22b2c</t>
  </si>
  <si>
    <t>cc1f002a6c4de1aa242578ded27ea8c89cfbed78d8cf5a8f04b4a8c11aac1f76</t>
  </si>
  <si>
    <t>SANTO DOMINGO CHIHUITAN</t>
  </si>
  <si>
    <t>22b9aaeddf4a36db855d72a0c9c410acf011d5d332ac092a21acf59bb960f52f</t>
  </si>
  <si>
    <t>87820a949d5ce964c6f9140c6aff9d13897bb46db9f9075c8be3ab44a25ef17f</t>
  </si>
  <si>
    <t>SANTO DOMINGO INGENIO</t>
  </si>
  <si>
    <t>6b40beea6659d7996480e6a744996e73c773b44ef0384efae6db77a0809e9c6e</t>
  </si>
  <si>
    <t>45f7ba45780626fc559f2419d60e75a2731982533a21dab476861c2cdab9e559</t>
  </si>
  <si>
    <t>677d40f2d870d658e645c862bf559a4ef3631259f25d97c47233518d647f51a6</t>
  </si>
  <si>
    <t>493ec8aca9e7425fb4f8b11536ae7b2a3aba179d948c8f1565c41837c5791a4a</t>
  </si>
  <si>
    <t>91042faf5b7e746a9362de95972eec5ee6aea3e05fca6e75d08ccdc44ae091e6</t>
  </si>
  <si>
    <t>d244f2d4a7c8d7ff9b936621f110fec7d52ec3ab19f791d4daf5c7e735b81186</t>
  </si>
  <si>
    <t>b4fa8140e27330b47738e96105a8a60d32e1ebf8866caec0651795a441e3429d</t>
  </si>
  <si>
    <t>c1c106d8f63551b55769d791f33cfa6f11eef0f5a057acb016eb185f8af76ca6</t>
  </si>
  <si>
    <t>ba692b409b1d78663b5382f35e96ccb727e5c27a7e9f027f96d2ca68e7d98eef</t>
  </si>
  <si>
    <t>8c4cf05e5e9bf069cde47462687caa248aa374693f3d0af2c0fbce0dbcdd65f1</t>
  </si>
  <si>
    <t>f776fbe3578387331cd45d9a459121632e11427c87413a440a50eb55d010aad8</t>
  </si>
  <si>
    <t>51d54e19a9c4c7707f474df41c0e1c0cc7c808df73d85a092e9ebbef5bead3ec</t>
  </si>
  <si>
    <t>SANTO DOMINGO PETAPA</t>
  </si>
  <si>
    <t>76c867b82278e3f36e6214ea6c94d4f421e65517eca09ee47c2073884ef262c2</t>
  </si>
  <si>
    <t>a983c10f2d77126b61b26a30fa496430ce09cb52a97616ab4eaea1dc0b7de53a</t>
  </si>
  <si>
    <t>be0371a3d97cf0c8dd31e1fbbe171b8e466544205105b539291274f4587bfa92</t>
  </si>
  <si>
    <t>ef4b85bb27d7bf45fb8d379a470ac83e74219806207022654a6db25fe6ae7669</t>
  </si>
  <si>
    <t>ddf2d3c2a7cb20a0053ee95fabb12070853470bb89bbf69eb5f184b8001ad8d3</t>
  </si>
  <si>
    <t>8e96822092a5e53c5309f8d296e5d75abba1db5226dce12d763a998f9ae7b4d8</t>
  </si>
  <si>
    <t>1632bd896dca74b96c49ba20f7f1220fe9541c4fda3786273159f6f8366e514e</t>
  </si>
  <si>
    <t>536f838d04bb36d6b2abcbb35edcdd3baec5f68a279a86b6d45d02955c1131ee</t>
  </si>
  <si>
    <t>1a299626f3bd19449c75151b96167c12e33ae6849f7812a9024f158f096b8ca6</t>
  </si>
  <si>
    <t>2520917484af49d9bf89c8cb1d7e053f3ca85fa83ad784df2998f3298460ae69</t>
  </si>
  <si>
    <t>e3b8619cbd190a7e27e78e2e2d7095b2663ca8f7412084bef0d27162cc657ae2</t>
  </si>
  <si>
    <t>015240a32e49fbf65fea0197274d0af80e662fafcec0a133b137cf1c6571cb8e</t>
  </si>
  <si>
    <t>cc0143a29afa3ff1ceb21de8bbbc39592f04dc64d8a6fc94c084bed49063ca2f</t>
  </si>
  <si>
    <t>c12f9a9151802d38e2474751f86375f71245178b2a241fd9694f699028b98d7a</t>
  </si>
  <si>
    <t>SANTO DOMINGO TEHUANTEPEC</t>
  </si>
  <si>
    <t>4174343b8c45f769a2da8bca3c5c67b0cbb916cfaa496dd796b5a42a53495a02</t>
  </si>
  <si>
    <t>951a7583297533812643d141b36bd0c46486233278a180cbdd8ac8b89322e9c3</t>
  </si>
  <si>
    <t>2311a664d563411b352e14137566bbc2fb728fb1975a03a596ae3e337b29e48c</t>
  </si>
  <si>
    <t>e24ec9882be7c95adb5036819c5e4515a1a3be8f661d2a9041890bfb27a2bd6a</t>
  </si>
  <si>
    <t>8264951a070321fc8be7c995b72cf89c2f99ed5c4d0a9dda64161e1645a115e7</t>
  </si>
  <si>
    <t>7633279445cfacc23f69be7e45dbb31d2dfa5ba36b9847c5fec3b96b19af8ee7</t>
  </si>
  <si>
    <t>1cb7b99cf3fb1cbe1e7c92f0bd633579bf1d230d33cd76df81da234f5cec60f3</t>
  </si>
  <si>
    <t>355d0ac1ad5fc46318da98698a6a7bb325546b9ed93e14f7651d4aa9990bf0d1</t>
  </si>
  <si>
    <t>c82eb04f7c8eedcaf48babc915eebd49fcc3e028c2027acbcfcd1cff0149a97a</t>
  </si>
  <si>
    <t>fe42f387c7028a716a722a90269a7944d0445db036715aa1e31abf53317d757f</t>
  </si>
  <si>
    <t>66d84af84870409a45cb03d4f7ee16e30011691f2b534be397ca33690746f6b2</t>
  </si>
  <si>
    <t>f3e4407ec709ab2e7b35c5548db6151096a69e0ed2a6cfdbe00d152d9e54d4be</t>
  </si>
  <si>
    <t>87731f2e7149afa3352eefeaeab6d8a49471f92fecb20702ec3da55b71156efb</t>
  </si>
  <si>
    <t>86aaaf0d3ca8b2ad461eb630c06438fd63aedbfce9430c20c6a49f267021d935</t>
  </si>
  <si>
    <t>834c6354edd0b65247c50e2781c80604d6f6dbc33680fe7b3bfcd0ac75f73d83</t>
  </si>
  <si>
    <t>5454949e78e278cfbe9ded22adf77c6a160ab18c51ae96b2c567b24d5c059774</t>
  </si>
  <si>
    <t>332cacd400a53151828de262bdd40dd4b3e4841770590130498d13bd3753fa31</t>
  </si>
  <si>
    <t>947d0fc89c71840905d77aa9e350b78531041b6ce85729ad37a57265fb06f1b6</t>
  </si>
  <si>
    <t>3facd2ae21ac1f0d446058e64b0cd2ebdba8a702f1017566b0d162e4e8e1ccfa</t>
  </si>
  <si>
    <t>5e210c19c5d9d0057dd8b5968f0bce0be792f994c2c9c52ed2471247c83f2a36</t>
  </si>
  <si>
    <t>2b5d3e49e8df06ed177f30c7cc173819905d4fe43462e67b016d1987d938f163</t>
  </si>
  <si>
    <t>d3e0dfbd57c6b4fe3778576308a3261e0962950b3fc900320e8d489649fd82cb</t>
  </si>
  <si>
    <t>b5c853ef108af64ec31fec9613f7caa83d521d6f3594cf33114e3cd5204bc87c</t>
  </si>
  <si>
    <t>15e2a26946a8d9fc7fb1e5b437cbee8a15a6a5606b69ea13ded387f3b6099dc7</t>
  </si>
  <si>
    <t>4907f6ebf51f8878302c1fa94b9107ce0d942ccdd057cc45e083e3fb92291fa0</t>
  </si>
  <si>
    <t>26fc7d6572a76f65e29f06e0b42751ba2085082ae95b93ee4ab2b66eb8dc61e4</t>
  </si>
  <si>
    <t>5ab36e12de4f956142b2867afe9ab9e86ef9c551120d39c42fb31dd4befda24e</t>
  </si>
  <si>
    <t>f463a72a4e792f5b5e2874449c736c6cda62319fe4e760ce414dbed321a308c5</t>
  </si>
  <si>
    <t>a9b44d49a7550bb4f9cfb73564eca5ee7455be7d209f13e930b403d6552460b8</t>
  </si>
  <si>
    <t>e046d9a0a217f1b40b69a74af05d8df859e4490bce7b87a4283e606cdd84e076</t>
  </si>
  <si>
    <t>ce4d107aaf7a93b45c3cf2a0002b8d58bf9562e7b654649f30b1e42d8f00d2b7</t>
  </si>
  <si>
    <t>5369fee0a1d71f9cadebb1e7c70f9b2000a90f94bc6e8ec04b5248e01e1e34fa</t>
  </si>
  <si>
    <t>ff9239d72636c4a6dbd0c8e78abc2a3a9ca87bc3608b7075520971eca0e7a2c7</t>
  </si>
  <si>
    <t>eb15aa3174efd30d1749104bd7c938f3ea18e79bac3001890488fd7cfb03e45f</t>
  </si>
  <si>
    <t>05f119153437170c85c0e66dcea565a97d9771f0bf6351a5b71cdffe778d6a81</t>
  </si>
  <si>
    <t>0abe9cbc07b6c146c14b18afb151120b6540591e24d4098253cc87f0e7851761</t>
  </si>
  <si>
    <t>29fd1e07dcf62527482ae412aa2dfb8cac5a038f6fe6665fc09254c6cd698446</t>
  </si>
  <si>
    <t>3fb1260a9144a0e3c4cb256c0ee8c87304a57b724ca9e29b9f1b274e2c22ab4b</t>
  </si>
  <si>
    <t>086d0ae0d46ece9e7880e299ced3605d1b3cba7db28ff1bdccd0dab99ebba15d</t>
  </si>
  <si>
    <t>888c5ece1681a9f57407bc2b538e8a6b21431d0721b495ec881369f259c6a03f</t>
  </si>
  <si>
    <t>227c4e47e3234605ed4888f2aea7cf222940cfd25b7047375c9a287dbcf73f04</t>
  </si>
  <si>
    <t>624a31041c01184587f525aeb160f6fbeaf8369eab442ab228e94c9dfa6dbb9e</t>
  </si>
  <si>
    <t>febf5120fa1b057137cf841e1beb467463e999b478731eb9ea4f667553dd46fc</t>
  </si>
  <si>
    <t>dfcb80822c2dc5540a2f4d529a9a84261edcd8d8f60cf43972abc240756c103d</t>
  </si>
  <si>
    <t>0adacbd70a7be5b5418a21bf54f0f47087ee350be0f5d2750575fc92f81e77e5</t>
  </si>
  <si>
    <t>3a88dcd23a404d1a3daacc431bbb373f89a060445cf6d5aa2acecb9f9f083ba8</t>
  </si>
  <si>
    <t>235bbfffaae92ddd463bf86f6622bfa650d008b115c1d54508677a993f95b542</t>
  </si>
  <si>
    <t>9bbb8ce69b455ce332325624208d42e5f34d8449edf9adc1e15add7abdc56244</t>
  </si>
  <si>
    <t>2b7d6acc779246e4cb819a537dc0feba6e82ca56b7e525b459e5e34771115066</t>
  </si>
  <si>
    <t>ecaff04c21223c8dc9732d02370c48f779d78205723404f775f40233e96ff9bc</t>
  </si>
  <si>
    <t>8bfe7ad083a69b47f3df95fcf66bc11517916882162633645d5ba4a1b5b5e95b</t>
  </si>
  <si>
    <t>86dcd6b33bf9dbe05293e08016be9b3f1061b09a972450f7051f4ebe005d13ec</t>
  </si>
  <si>
    <t>9b9b89960ce706dad6435d68c26469201a985a2234eb1b9d0ff5b1f35dcdfb42</t>
  </si>
  <si>
    <t>9b43028d438f5a2fef752a69fa36ca3ed00bd3938cb23bec1c2f9ad180ef062a</t>
  </si>
  <si>
    <t>7b9c9039f3d84238c30d973a3597becc993de2303b79beeb299f7ab1a85ea4fc</t>
  </si>
  <si>
    <t>cca685ab32443f5e43d6ce5a05233b8e3607801c8e754cec6638839917b0862f</t>
  </si>
  <si>
    <t>16b50fd93b2b78484e0a41eabc7fc1bfdfc4bc4ad3fe4a84e8d0d6272ddaad41</t>
  </si>
  <si>
    <t>04df2ad488cde7f49770691ed6e1bc05b95a1d6f67afb95a90467ca390e31a21</t>
  </si>
  <si>
    <t>caaa3f45708e0928aff4a4a1f1ca6857661ab98f914d378bc3301a45effd135c</t>
  </si>
  <si>
    <t>1cd0645b6f108b6dd7815b437c278cae3d8a31fcda8e23d413a67936af36803a</t>
  </si>
  <si>
    <t>2f1f2f6cc5403f4b7c016f2b2d3224bfdeb13f750845c48b5766740674f74f6c</t>
  </si>
  <si>
    <t>29dc3cf55ca54b70367f376de611a9af1afc041c1ee349e33f688a3e9659f888</t>
  </si>
  <si>
    <t>0a40d905b60354a129051de14d840161af102ec8b7f3498dd2b19d6ba4edccc2</t>
  </si>
  <si>
    <t>aea06ac51f796afa5437be4b806a514519d5dc702b3f40c0fde9283252635a58</t>
  </si>
  <si>
    <t>daffde23f45e69bf5790d5d2ba0ecb8b19b664bd262d1ca95bc07451d9448147</t>
  </si>
  <si>
    <t>70ea99ca45bc1fdf935698f64acb4d56d24be4c3389107ef806655aef7f557c2</t>
  </si>
  <si>
    <t>1ff77970251c27f59e9d0bc9c29cb0b0236ca945bc3d988af3a3ebe23ec92b7b</t>
  </si>
  <si>
    <t>9c8f39d27fb51889b1b5a4a8208eaab0527500fa45dbd3525b135430fc0bcb01</t>
  </si>
  <si>
    <t>89f8bbe33ef185ee291fa4f405d82bbecd75538f9e116b3b8b057d05e209a631</t>
  </si>
  <si>
    <t>8f6c14bf6727304eb50572cc16b657c3b34c7555479beb25e269da6f149547cf</t>
  </si>
  <si>
    <t>00d00d1ede2caca0f6dd5b4c2c234fa27ea9ca51dfb0ecebec1cfc82e6c0e651</t>
  </si>
  <si>
    <t>7dbd84506540129bfd81db3264fa6e6f9c5924c1ca399d428b04fd76e4ccea4a</t>
  </si>
  <si>
    <t>3106bf3da31638e5e50db44e347ade8c207ad32b4ec607ee958160a967998e0b</t>
  </si>
  <si>
    <t>11ba7c5ffa11e7ce7acd015c9d0c6ac6ab1007d5008f2df986858bc510ecdc34</t>
  </si>
  <si>
    <t>9658e7d3a123210fb18857b26fc5f743256ce1d6f6c4cbe1d766467be8ad55b7</t>
  </si>
  <si>
    <t>f1ee7bc05cd3fa23263a3ee2897ad92f53734c108090ce13260bc75945e192b1</t>
  </si>
  <si>
    <t>e4c2ea316d0353b67afe07b6c1ce5228ea8006363a44c2b8d92619c783b8b0a3</t>
  </si>
  <si>
    <t>3584b43d0568e7accb1827ddde8324bdfb539f71f2bdf88164590c24568d8ef1</t>
  </si>
  <si>
    <t>5c5e6956c3da3b8eef754a1a30987b33deb7eeea5bcfec9a4960ceafefd8379e</t>
  </si>
  <si>
    <t>8f1571b3cb9828f007c3824eeceb4df3fa60b35d313d3b8de590da7a447a9bb7</t>
  </si>
  <si>
    <t>4992772cdb06b89d47bf88139f3f80bb44499d0ac7a2139b0161e3137bb55fdb</t>
  </si>
  <si>
    <t>1760bd868119a6052f98df50e3a1725069a9f5a308da39c1343efbe86203a5dd</t>
  </si>
  <si>
    <t>0ee4ab6880638afc5c166c3bc81df25b3f863f0031a93a3971f6236d67956fe9</t>
  </si>
  <si>
    <t>f9fa73e77d79924f83139cda688c6c867fae61dea3824d8e62446babde22f10b</t>
  </si>
  <si>
    <t>331f2266b19814d75a5be1283433ef29632c0bf91ba21bb28ecbc233cb0c1a2a</t>
  </si>
  <si>
    <t>9b140c369edbbe466b7af369d878df74fda572ec4fd1235b24aa0d9142238f76</t>
  </si>
  <si>
    <t>d90ef951928ff5838a4e59dc3f4a6e0a76624aad7c5f3f47ce381fad14a297d8</t>
  </si>
  <si>
    <t>a00541a2fdd6e47fb5537ae9b74ce15d8b6bbfd8dcc807cbc2092114fc738c4c</t>
  </si>
  <si>
    <t>f2349fee045f889747a2bea39d3abbe79f0f9d604bad26427f825f270ec8530b</t>
  </si>
  <si>
    <t>e490bad0acc5e8f08f3848320b20eeca17455aefe787f080d0e28dde21d21335</t>
  </si>
  <si>
    <t>SANTO DOMINGO TONALA</t>
  </si>
  <si>
    <t>9c5b6af6b6a887e03eac917a304a87f05010744d3d43a53b51ddf8d6966f72c0</t>
  </si>
  <si>
    <t>875bc16820fb920470ea2684fccc64f999d96ce88adae1328e923414e4b7171e</t>
  </si>
  <si>
    <t>2b3aa6cf7eb7e0db4635ac41b236d74e290d83498961cb7c1437c80395ab8f2a</t>
  </si>
  <si>
    <t>f3f68cf7f777448872b71787b86adf5dfbf517fce825ebafb78f1251151d6b2a</t>
  </si>
  <si>
    <t>a44c6d44b093b282a90773863194354d5039a98a6769557233ca3cfdb58baa44</t>
  </si>
  <si>
    <t>d6fbab6ded45756b57d91b165ea4b66baf0445d33ffec9fac2c03233c33e592b</t>
  </si>
  <si>
    <t>45711c7b9111b6c06b109cd53ac99d0bd4c2d155e54a835c2c0049b7b26fd97f</t>
  </si>
  <si>
    <t>dea8f97dab834bcae9461fc6a6bdb23cd89876c43a29be32c388b43d6b2a8b67</t>
  </si>
  <si>
    <t>843474a742c60cd918c45cb37236ba0bc8f594356b06cbe48e560172bee421f8</t>
  </si>
  <si>
    <t>d0473b6ae46965766fb5cc86f675ea8970e934497168c95decc564486a7acfdc</t>
  </si>
  <si>
    <t>9045dbc7baea684c2a6319d95a88f1f6d3c19a7aa40a63da836a731171f2e9c4</t>
  </si>
  <si>
    <t>8912cca35ae18d3488fbb86771130fe1f472d49b2e0948ac295380b4ca1db583</t>
  </si>
  <si>
    <t>da84019291ffbf696728b83bf54660ec161653673a8b2eb8f216040e53be6b78</t>
  </si>
  <si>
    <t>SANTO DOMINGO ZANATEPEC</t>
  </si>
  <si>
    <t>8fa37541682254c161e14205afdba9b2ed4a8b094aa632b3a8d5f12431367704</t>
  </si>
  <si>
    <t>c705efc1841b7ab2daaf6dade41b3bd31fd4dda64b6dedd598878f062cf3acb8</t>
  </si>
  <si>
    <t>7e3a69158bfbb9e20a1190737e5ac7f73fad3f6a1da6e49c3b305423e963a8f4</t>
  </si>
  <si>
    <t>218552a141f7711a9f4b59446dc9188a17ff40929db7a1dfcbfef58d3de96f7d</t>
  </si>
  <si>
    <t>204917d2caac7eff63822706d43550208b1f3cc2afb36dd80da7d752fcb98d12</t>
  </si>
  <si>
    <t>64bf5d682e0ccf1979fb3ac19395b8d7539e32daae1d29e85b3a82ad0eac1c6f</t>
  </si>
  <si>
    <t>f6843e0290fa802e997ad9dabbf301c514b08ca8c8b1425fa414aba4acb08665</t>
  </si>
  <si>
    <t>240e0b59fa11b7cf345e39782b8eb45040ac275a7ba3b97c3bf4642e18b489da</t>
  </si>
  <si>
    <t>04c58daa7e7f2891c523814650e411d3b8e64f9884367b1414334e75398aba3a</t>
  </si>
  <si>
    <t>8321ae86087981dba32da226e3118f157d0bff0577afb71b44bde482801277b4</t>
  </si>
  <si>
    <t>da2bea050cc547dd466d40ab0d0c20c97a0dde6f8102a744c73a348f4272bee7</t>
  </si>
  <si>
    <t>7e82a12a63c6768f1482d865ba1324b4c869f931a75c0740db1fc3bd940a1044</t>
  </si>
  <si>
    <t>8aab976f64d5b032c8c6a6174f8ab67abcdab2d99623df4102188534dabff949</t>
  </si>
  <si>
    <t>0b14388c5a78ea8b64bd3413350e05b994cb1d6a85e80c132ed1d8030b1928b7</t>
  </si>
  <si>
    <t>db82a9991b918ac684266186f0dfd6bd147af03015b09f467644295c9d431711</t>
  </si>
  <si>
    <t>27af424c4aa26e600e3c66d6712ad32af6a891a30c36cf576c10a5a29faf83de</t>
  </si>
  <si>
    <t>d92a52846d4a38b2f4c5b172446f7b0ca1390a92e1ac6e620965ea078e8856c3</t>
  </si>
  <si>
    <t>72b7cd12f96e055ba2dc3e6b7b0d45d2d77d058a5927f8404b6d1fb6383df722</t>
  </si>
  <si>
    <t>SILACAYOAPAM</t>
  </si>
  <si>
    <t>5bd501a48b69d822b084234cfd78a5d4232bf83d12bc9f9c33e6fda001dc5e2c</t>
  </si>
  <si>
    <t>73f8165d8927bbab963a231ca17557e9d2270b7b67d4ce174b95227259cb7905</t>
  </si>
  <si>
    <t>8d7254b00745f49698f28b28c73afca8a0d46a20c99be00e2d8c2e931901a02a</t>
  </si>
  <si>
    <t>447732a6d6c5e1dd265b7a8811db9ec411c7c9050b7be6b3a95f7409e3ce976e</t>
  </si>
  <si>
    <t>7060cc5084f20604afbee5f5fb7e39d440f17459496f788c6aadd9daa65e13dd</t>
  </si>
  <si>
    <t>cf6cfd928abd5a61472ad5c47871260c04dae21bdfbf92199954e07be5d0b945</t>
  </si>
  <si>
    <t>f9bab7270b3f70e5e20e32482a600ac2db7876e9820c047fd9360aa274598794</t>
  </si>
  <si>
    <t>a3002596293aaf18740a1b34448c20131de7ee02839062ed69285526399dd875</t>
  </si>
  <si>
    <t>6913fc235a4c7960522a69c738e2362116516513aaf7eab4caed552a2982ca17</t>
  </si>
  <si>
    <t>bc7c1a00790512a3feff7dee9b6e29d297d14586988c32781db6f14f901bd8aa</t>
  </si>
  <si>
    <t>35a98054f18fc967bc0e118fda7d10717fd36c7ac0af7b07e08a2ac6f216ea2a</t>
  </si>
  <si>
    <t>ae0e890d30dd73942f0e842eda135f703930631c4549834d8e7127d8e5855407</t>
  </si>
  <si>
    <t>cfcadad0213efc9d7e6bc9c1e63949e20dd1769c0360daafbaa75921086769d3</t>
  </si>
  <si>
    <t>39fa638f5bf5eebd54ac132310e4112450c0f3e77a365ee417a3ad87ead11217</t>
  </si>
  <si>
    <t>399caf1cd95b6bda94a96de7ffb85926257b014493b87af04c9cf88459b650a8</t>
  </si>
  <si>
    <t>c39eb7266ecd9226509f440cdaccf8769e6f8fc9c3552b8c638794be2b4ba02f</t>
  </si>
  <si>
    <t>VILLA SOLA DE VEGA</t>
  </si>
  <si>
    <t>187ec4ab797420bc4a1f046c98af74708ed4be4ec1065c36b674e07e20a7341a</t>
  </si>
  <si>
    <t>7a6bfeb560c9ca273f21ba3b5eca23dc4b3640a06273de10e3bb2579602d5bdd</t>
  </si>
  <si>
    <t>23d188ed93fdb4f13cbf68ad342d5203d6ab84ee9a15957c528364d20bee83f3</t>
  </si>
  <si>
    <t>0fa3241cc31f5607946622fc3e6c4b215ba6cb64eaf2418417edce2bb2fb42eb</t>
  </si>
  <si>
    <t>983d447047336acda0214889fb6f59094275a61c79d790dba9ace2f91511f8c2</t>
  </si>
  <si>
    <t>0eedd21e84a8c7fddbf4412d96999100ffefdbde2d7105a39e15d288f0ea772d</t>
  </si>
  <si>
    <t>9b958a4d401740a75ad923115dc92fcfb89ed4d7f6463dd4c1720bc06b8697cb</t>
  </si>
  <si>
    <t>a5dcb77c90d3576db639bab4f2bf2943ccbdf651cce9845a9ddd104c2c8456e5</t>
  </si>
  <si>
    <t>d3f338bb9f2b22ea1b22c972c7dfaf10a7cd0f4cac20df3c80f1c2b374ef78f7</t>
  </si>
  <si>
    <t>9e58f01a2821f93eeebd5720b277c3724c89648fe4365bbbb0bac38e96d065d1</t>
  </si>
  <si>
    <t>82a7a7c2e34124ba725a212a18ff3beb4205d55e551562136739f9b1ef6a4cb4</t>
  </si>
  <si>
    <t>4cddf44b97eadce44ce1a0b94d144a163640ff996aaa9c595a12a712a3b1132e</t>
  </si>
  <si>
    <t>b9999e120f5cd49d66a50b26143b284941b2664d83f8c0f5ca3e1330bb5017d1</t>
  </si>
  <si>
    <t>7697b9fcc3d7ba1d7fd50cb6243c634ca18839ab8d3a8ee7554d6bb61edf15c3</t>
  </si>
  <si>
    <t>467996f1eac398d37e730969a60c855048971d7e4e48a93edf4a9065031a278c</t>
  </si>
  <si>
    <t>dd727b86e56d0f3bbabf8565b3851aeb57dfdcd3a228353b75404fea1a589cf7</t>
  </si>
  <si>
    <t>8ec27b5357cf29df3b9719309dce10588e888f1af3ff16cbe07acc8dca4eec87</t>
  </si>
  <si>
    <t>70d2a62df031131d65f9cab4a0bb74b182231acc2a316bd6a1637091b5aceab1</t>
  </si>
  <si>
    <t>SOLEDAD ETLA</t>
  </si>
  <si>
    <t>c404ec54431d338de347103f7b4cd37d3fafbcb5afae2576bf3dbecd4b85978a</t>
  </si>
  <si>
    <t>d150a4bcfcf3678fdea0c4fe7ac18a3370f57eea2f66e5727c495c5951acfdb1</t>
  </si>
  <si>
    <t>a1b9dd01d65490a95bb09a07b3f36ebadcbff2751a0f63d44a7cf49308e72fee</t>
  </si>
  <si>
    <t>a87edcf6de4084258bc9c3582b4b26a10f7e7ddf1683b0d0d9886ff0e6372812</t>
  </si>
  <si>
    <t>62be24917ba578df615ffc85183bd0a7204a6143a97f12528a9568b330af372e</t>
  </si>
  <si>
    <t>ad2cec1b6d68d76a8aa60433b3083048013ad58c5feac3465d4f3b848af90b9d</t>
  </si>
  <si>
    <t>608a8ffecbd0c22767d319abf1d0ffe82ca58e58a987d4f9035aa16890d33be8</t>
  </si>
  <si>
    <t>f6a0571579dbf1408b674e8d41accdbbe6bc8dad41fad6239ba180fd02d59be6</t>
  </si>
  <si>
    <t>VILLA DE TAMAZULAPAM DEL PROGRESO</t>
  </si>
  <si>
    <t>1bca3ee26be728ff286ccbbc378405f52c7214f531b8fbf579acf66509e68f82</t>
  </si>
  <si>
    <t>a49a99ca67de86a9dcdecf31c24612d789f2128592447bf784e3b8fd0de49bf3</t>
  </si>
  <si>
    <t>b878e5f7608cd8ba709eec0297a7280fe1e946c9d75c76e8bdecf006b8f31c1e</t>
  </si>
  <si>
    <t>4705e54ffd7eb0438f61bc5c1568701bb7e49349745f8a5067a37a7aa03d148f</t>
  </si>
  <si>
    <t>f0a302220ac2ff3c9d8c934cc266d4f873c6c42bed7b3318c21df5724b8501a8</t>
  </si>
  <si>
    <t>8243c1dbc073d5f9a9f570df44bf35a6ccf4dc3f4124e38a65a094a12118964b</t>
  </si>
  <si>
    <t>91cccc4debb57f5c9aced78db8cf5a5c6c21eafdbf8506fe91e4e3d26dabd4fa</t>
  </si>
  <si>
    <t>dc28ef66b321c1007616b6d439adecb9305736a9b36e3dc631613a464cae4cd6</t>
  </si>
  <si>
    <t>d4a36200a898b470aa78fe32538c7b3cfc4a8cd57a8d115a6ba190538ef0516c</t>
  </si>
  <si>
    <t>3c6de082327d95aefd53d723d1563906b095396afce2cf7630c0534fcbab709b</t>
  </si>
  <si>
    <t>c98aed0790fc6c10bd7f286d031d2822bc92c9433a60868341fe15b3c17a3168</t>
  </si>
  <si>
    <t>9d9ad613c36e4f31ec5bb9c706d244dd700ef1699ec88c56040e31bb091aa326</t>
  </si>
  <si>
    <t>7f7f28a0ad52b95308af2d2f4febb28a090f7dbb085ada32c65128cdd39d705a</t>
  </si>
  <si>
    <t>169948b8b04be7f90f8ccf08ac549ff5c42ee5a86b3d2041180ce2712dbd629a</t>
  </si>
  <si>
    <t>VILLA TEJUPAM DE LA UNION</t>
  </si>
  <si>
    <t>ee4ff838fa16fff3f88aa77e9fdba3e3463946851e176c80f64e2695c87f091d</t>
  </si>
  <si>
    <t>849bcc1211886ad1597b5ae8a1ede84c63f63465c19b5975e5e728c77bc85022</t>
  </si>
  <si>
    <t>4e885d0538cb15adad71296bf7ee73da5baf2aea2d4f4df9aa68b8b39a864013</t>
  </si>
  <si>
    <t>463966e628122a19d9239d34d7921beea0bf19a80b764e39852bc9cc4257e4be</t>
  </si>
  <si>
    <t>33dfbc47a552adf74b41a19441cb2ad1b1aa47dad828a05df9b966ba81d28c46</t>
  </si>
  <si>
    <t>TEOTITLAN DE FLORES MAGON</t>
  </si>
  <si>
    <t>d5cb404331298ab6a48387fb0980974fb45fa237813148483df816e1fc3d8eac</t>
  </si>
  <si>
    <t>62d881268119de044e1a216d94f8cbe20c1169488bc76ee73b45d327d30641d4</t>
  </si>
  <si>
    <t>7a20cf608e168388f847df528858e4746dbe631ba1e8a63f55e1c5fc5a7cdc44</t>
  </si>
  <si>
    <t>cf33ae75ccdb672f74cea00caa83d3869a51345dcb9b33315f717bbb2930cf02</t>
  </si>
  <si>
    <t>f060ed3843e97fc9b19a0a684316361fcfe028a922beeaf1bb675cb0eb3c5ae1</t>
  </si>
  <si>
    <t>aed9f9b34648458bc13bbfcc82573e410f1756811679b472e9897c0cd3390eeb</t>
  </si>
  <si>
    <t>f72ca486954ed2c59a442a001cc4f92cfd00503305bd99061e149e6090afb839</t>
  </si>
  <si>
    <t>3f749d7a89af3bc51db2edc2b86c056e72f08c5a4ff9f3c84784758dc73e9b34</t>
  </si>
  <si>
    <t>92ad2234e929521059a8bbb15a177a2b80f967249a5ca766f188f8e9fea95a99</t>
  </si>
  <si>
    <t>0aee17c55a4632995a05baa3bcf005e36aad7b43660aad11692b28133fa8808d</t>
  </si>
  <si>
    <t>2823c5c4ffc001cb58ea16792e3b69f47f739d54fd6dce1fd535204aac33df8d</t>
  </si>
  <si>
    <t>651564d757af4d71e6b63b398d8889261c5962a5cdf66078cec8508443071022</t>
  </si>
  <si>
    <t>16bec16a84389b496f64d7cd54e1440a48004c7d358e7ab230843e0163b7422a</t>
  </si>
  <si>
    <t>c2ff58ad3545d3d8f0083b0de3558449e9853f07ac919a1ecb1fa46b4425d878</t>
  </si>
  <si>
    <t>H VILLA TEZOATLAN SEGURA Y LUNA CUNA IND OAX</t>
  </si>
  <si>
    <t>b2ac997c54d5f49b25999300024b750859c5ce332e050403e7dbf2efaf911523</t>
  </si>
  <si>
    <t>a43b6ff3f6792a73af787ff53f5086d48a00f6b3c307a01d2cc054d6a49ea716</t>
  </si>
  <si>
    <t>47992610345e8c9578edf7313079c27e0ca378d2b05457118ab30d37409abe9f</t>
  </si>
  <si>
    <t>718410a53028dd7f0a62bca235d6ee90bf297cebeea956e094af1d42073c88dc</t>
  </si>
  <si>
    <t>8a6d6b54fb313bbd0091b70e737c6a7d942869e45acc59daa1fd25fcac08831e</t>
  </si>
  <si>
    <t>d1801252336df3b44bba588d23ba56e8a9041fd62f22fe09a8abe544908dc8b0</t>
  </si>
  <si>
    <t>47244d44770385c4505f9c517109cedf11aafae4a1ec26c30cc10cdada8155ea</t>
  </si>
  <si>
    <t>1380b738fbd7974516d3a254efdea044c9205bd76e28c8a7db8564d9a1ddca2c</t>
  </si>
  <si>
    <t>df4e8e22e87bd02c39daca9a0bd125b5474d6b56e6294b6100ff01788e47fcb4</t>
  </si>
  <si>
    <t>82236c093d698019e621a91c747c0bd3b0ba451be3206f98ff16a2a15ffc02c1</t>
  </si>
  <si>
    <t>0b8aa5910f151c5e974b776ea5d691d56fe5e7080b4ffc4c4017dfe24d31cb9e</t>
  </si>
  <si>
    <t>bfdcf7d8c54df366314fe8ba2ffca9c0a6d0c1ea271e9779fab02f18d7d47cd7</t>
  </si>
  <si>
    <t>5bd6685a6344b87338ccefbde993e2b5b1b03396c45d1e690ac4079c8a916786</t>
  </si>
  <si>
    <t>b7a1b73a9907fcc1873a44fd7257c320e7edbc7206f94fef52f3d841540f6884</t>
  </si>
  <si>
    <t>90ce6275f8ae2915341d6066bdaefacd9c6e92e954e6d435d37a8aedb8106fc9</t>
  </si>
  <si>
    <t>78d0e0d38bb3e5363c534a7cd3ca051bfd70a018e462559f37fd672387696cff</t>
  </si>
  <si>
    <t>c96fd7efbcd3ce1056fafeb002d1f441e6b7f40d4372dd60e9c599d51a808eb6</t>
  </si>
  <si>
    <t>4b720fbcfd2a695aa48d3519e17228da9cfa3c3bba369a6ccbf733f8d2175725</t>
  </si>
  <si>
    <t>ab7c51d31d1f925137daa0c251303177d28147f3feac3421c4393643bfe5f9fb</t>
  </si>
  <si>
    <t>6610863a7e4ccf158d6acdb9c94030c4b4096ee3aae9e970504a81b48830d2be</t>
  </si>
  <si>
    <t>TLACOLULA DE MATAMOROS</t>
  </si>
  <si>
    <t>9a8e3134751bec65f56d2347dd72941fb8e86593b4518da671d98f79c93bfc33</t>
  </si>
  <si>
    <t>ad010eb54d2b806f984047e9337e7085a7164b73795f17a9626236638b6bf484</t>
  </si>
  <si>
    <t>4da60c19dcf7b32ddae3260e95d5f4d0e0f98078e3c9f4d6cc6150addb514569</t>
  </si>
  <si>
    <t>65973e47bc0c028d7f1c41e6fa1d337bfcf197c409644ecc0feae572be6925d0</t>
  </si>
  <si>
    <t>186bc9c0a3da0a3581ddc4ed27f2868687ed58c8122ca1c5d9837f955b364aa7</t>
  </si>
  <si>
    <t>ace648ecee0ca690ca3bebf9cd55ec7e9cd2d98986952f7aad7c2a5d39f5aad3</t>
  </si>
  <si>
    <t>e720265b215bd7117f0982d9d09e008f8a8ed58df7b67831caf70909094bbc1c</t>
  </si>
  <si>
    <t>ae4c8e81084c99e3216f71cee19cf0560cb86fbd6f26acba22bf3fb4a85121bb</t>
  </si>
  <si>
    <t>22de014e531bdcdeeeb08c27d3ce6c23742ef114cc2280bf6deaf335b2cb1972</t>
  </si>
  <si>
    <t>211b2b05f3ef4ae3164991d4498c8217ebb8794a8090051751cfadb16f78d17c</t>
  </si>
  <si>
    <t>d1c824f7b84954f6413197cb060a51be1e0dcdc7e7c509bc924d807e310890a2</t>
  </si>
  <si>
    <t>20c9d1d7f0933f81a1c114428d2bc475c26723aa36210fdbc383685464789bd1</t>
  </si>
  <si>
    <t>74212683d71da3354acbd99fd9e8ab07159eba450243b2eec56aa70b1bf0e21e</t>
  </si>
  <si>
    <t>945d30188be937aa1523b49281a9a2795f7ae644b3fefa3edf523ef660e5d884</t>
  </si>
  <si>
    <t>13b56f8a071c2712243af033c54516213730e27921e5732587d4a4467e9a5883</t>
  </si>
  <si>
    <t>15be1a29c9967111803e05fece5afb0b7bda5539c2a6f1517bc4267325ce6ca8</t>
  </si>
  <si>
    <t>557fd2998526b0658abac45fe24fc89d5a9972a95c51ab7af381a9669fca1a17</t>
  </si>
  <si>
    <t>535b189918f009062ae319f9db779c34a12e491c8fb337e4ae2e35b64abc41f7</t>
  </si>
  <si>
    <t>a1287c1301dfa3adb98ae93dec24944f3b10349aa882b7341e46df55859342a1</t>
  </si>
  <si>
    <t>bf5afa09f0958e6e025c4301c2b6a3baff7ad1d91ba14493b1f879d8d2d5fd47</t>
  </si>
  <si>
    <t>c23dd647fb538e6b473f2c7d56e9c86fc4d5c7b8c59d2396a04266c459424224</t>
  </si>
  <si>
    <t>d0938b25d21954a2a079d292e4f0aebc5260b339e828f5c7df692a2e27c134cc</t>
  </si>
  <si>
    <t>5f658b616fdc3ae69e7b1b45211c98b660fe59574ad4a8bc9b9a476b68d7061e</t>
  </si>
  <si>
    <t>d454fb9070bccf725d16ab71152dcfb14f29ba9fdb4fcfaacb2df2f87b4c9202</t>
  </si>
  <si>
    <t>3a121e18a0daeede5816907fbf3600a51deaed3b28fb9efe61f34edbb182b66c</t>
  </si>
  <si>
    <t>2afd67eb6902f032591401ffe82ce1d9a50afe19f8cf84ecca89fc3ade08742e</t>
  </si>
  <si>
    <t>1f3acfb0240a3b068fc18eabcce4008a5fd6b415d0bf124ab082fded364d0307</t>
  </si>
  <si>
    <t>0d1fb27c7b4533f14af262707cf8d149bd142e23567f55addbe4af00f87cfaba</t>
  </si>
  <si>
    <t>2ff87dc666f0bae2601aec275f37a5220795cf3d9054e0a0a77bfab304228a0d</t>
  </si>
  <si>
    <t>370854b1f5441d1a5c735eecab4954eb4ed5b19663b49d2a3599bff31c5bf680</t>
  </si>
  <si>
    <t>6eb8f5403d7621e263df09ae5e43d261c423b2c058d978d87980fa8673ac586c</t>
  </si>
  <si>
    <t>4c0e578ebe62db7078807b37907173765cb14fb65f34ef073969e4745c70c215</t>
  </si>
  <si>
    <t>b9ca2b6a9fd917329f4c6022be6cc3c78fbe3c015d038ffda92d7f7d6ef0c7d1</t>
  </si>
  <si>
    <t>0a16e2284d4bd2cfc9efddbf99ffa1c4dc69920b001b5fa7cf3a8a82b27ae5fb</t>
  </si>
  <si>
    <t>c6d77ee9ce9f8e135557f446cfbaffde3c38f24686ece80ee6a64414444612b4</t>
  </si>
  <si>
    <t>7965d6b4c05bea199243a6a976e1d614f279fd088868c6bcd2f384a194675cf2</t>
  </si>
  <si>
    <t>HEROICA CIUDAD DE TLAXIACO</t>
  </si>
  <si>
    <t>5751953971db6672b74f1208ef7c89383ac3079dc06493f8df9ac51b291f0cf8</t>
  </si>
  <si>
    <t>31af245546116798adf498cbeac553d46e07a3d11b438fd4f2640a57d69e391c</t>
  </si>
  <si>
    <t>d2c6ad7e8605771236bb148cc0e164b92ea7d32e2cdf22a2b887b244d94d1395</t>
  </si>
  <si>
    <t>92cba1d1b8dfacbe79a3f5907c35544d247e47f11b0f2f5812ca0c54ce1d7a69</t>
  </si>
  <si>
    <t>d2ff7a891d3b33014d39e33e76b1c8c715bc7aca01c36b5a2ee9aeca48001486</t>
  </si>
  <si>
    <t>690a1e4ecffd2d7b16715e31025bfccb2f717dcd72aac80f7ee8e452ea110e07</t>
  </si>
  <si>
    <t>1bdaf44ce1e7cda76bef1922d14c47cb6adde5ddfa2b279ce6473cbe6b9255e9</t>
  </si>
  <si>
    <t>d8e092c9ebb0d596a4530d6ac9c1fc327376ae4d7b1e61dea2927bb9f549db0e</t>
  </si>
  <si>
    <t>e8eb020d422f8d03e98ecec9dc0d5932d093afc18341331f5b35152740301382</t>
  </si>
  <si>
    <t>3736cd4302f0cd9598caede5058ed700b5f12054b615929e3adfc76d0f444351</t>
  </si>
  <si>
    <t>504bebf283e6d4f30ccacedd3625cef9fddae6a809a68444b81752c8e3222558</t>
  </si>
  <si>
    <t>632eb5876616530cf90153db4e6cbd9f188d9122b34335e8cace10471f539246</t>
  </si>
  <si>
    <t>62f4a5b0ece72ec37d23bc1b19b67195efcca5dc2b63005128e9b8ec102830fa</t>
  </si>
  <si>
    <t>c1ca6e9f04f5aa849cc347216df598e41c0ea05bd91c79206790785602b15cfd</t>
  </si>
  <si>
    <t>4d923207dd7429cc44939027792516ab358c549166e582f617528ca02b7649db</t>
  </si>
  <si>
    <t>266f3ffe421f83cc0545c4ec2b0bfb74bed8a086da32350b1f61de50e56473a2</t>
  </si>
  <si>
    <t>5ecda30d8c6129c03f25eb9b61c8de40a134db8a783f8d23b4f7f5d805445e30</t>
  </si>
  <si>
    <t>8d129e56df4d88d3fe59ac50e829525eb595262680ebe898137fa7bff19c36b7</t>
  </si>
  <si>
    <t>7eb42ea56ab706a99887f261d0b9f342d93151da3ca5b759a21ed02d322ffe70</t>
  </si>
  <si>
    <t>4630e3bbf8146e7b70b634ed777f1c34b693b5d4c85b3c520510a594ea8b9a81</t>
  </si>
  <si>
    <t>2dfb4019992ef432b270b174ca794207a341ef8f18be9ca74d3d7f38c79bb891</t>
  </si>
  <si>
    <t>b1c33c51f614e55d3e97a70eec084fc1b9e49dd8cd46edf6c8c8d626157998f3</t>
  </si>
  <si>
    <t>c5539a1645a9cdf42817eaa773fec40be4b6532e91a2f78a22246472e0782a26</t>
  </si>
  <si>
    <t>88a03827e41756df1054d4ebcf392f7aa8855d43f0a542a94924608d407edfa9</t>
  </si>
  <si>
    <t>b1bae51703a7250c18c05239f017c86d60d07725becfcafd361ea3972ae4176d</t>
  </si>
  <si>
    <t>25239eeed723c8f93f57eb811ac78ce2bc0c937283e295dbfe05931a1d9be182</t>
  </si>
  <si>
    <t>c41cc99e5ab40bf9eeffdb5290938e6a643adcc20cd329fe107746e14aa2342f</t>
  </si>
  <si>
    <t>bad0e87959f5b30e2448182bb6708194617eff7830a7186cb734240fd4c85a2c</t>
  </si>
  <si>
    <t>52898955b567b4537d1e933efa069df16a09ead93bbf7efa6e23b96c3f0edbb7</t>
  </si>
  <si>
    <t>e993628241377caae89a49fb30ab26d38778509e39004481e9e563fe5344899b</t>
  </si>
  <si>
    <t>bbd8a58859e982a915d61588a918a2c3058690c062c9cbea877dcb9b020e3b6d</t>
  </si>
  <si>
    <t>2ea94db92b1d121907c14105d4f85c8a60f35df8f6a8a869c19ce8b9177d9718</t>
  </si>
  <si>
    <t>c9831729748f3b94b1b994d77b9ded9c0d56545fd609ebe60cc67e5b3c5aaacb</t>
  </si>
  <si>
    <t>3af70c28516a1bde1449a72eab17dbc764c6f9d690f61477d9c347ac65c590ae</t>
  </si>
  <si>
    <t>5fa8fe7026a6763336681319c7e29e276bd82e436ff39d1c0a2fd961675bf29c</t>
  </si>
  <si>
    <t>cd90dd836d027f316e304a1d68be5a5676cc21a07cbb4bb1a017246c0cc6537b</t>
  </si>
  <si>
    <t>6121150b774c71c58bfc36891b6b104e0faa963e5cefbf3f72f8e8b08d959858</t>
  </si>
  <si>
    <t>4e178d9dc295a6586c78a72d8bb6b572fe3d9f18089cf29c25ca546f73bc1a6f</t>
  </si>
  <si>
    <t>8d5dc67088efd4dca3c432554ab076c3f3893feb89f6f4dc61dadd1b7f983942</t>
  </si>
  <si>
    <t>1f233f77e9f8cced128a811db1ca9d2e12b8e9297dd66864a0e1fd4e7e1b24d2</t>
  </si>
  <si>
    <t>1a6d2434d6df5385d1eac1a89b8ec6c4f9de46d81e15e2825052fafe77f00d4f</t>
  </si>
  <si>
    <t>6ccd04e5247c1f7ab9a2ed18ad6a41b4fee7c5b1f2667b0b00c153491f5e29e6</t>
  </si>
  <si>
    <t>d984f79aaecd7c647d28e6811c9b5fe346f240ff99a8e17e0d320ebcf58c2032</t>
  </si>
  <si>
    <t>e9919c24f5756b99c87b2ad2d99c4490bc2aef747510f9f7c849c75ba68277a1</t>
  </si>
  <si>
    <t>648080928bb370d7c545bb09924621d91fc5c5e4882eafc14bce65d60ae06f83</t>
  </si>
  <si>
    <t>6886d77d9a61c6e8de4b862d4172ecd17369ceaff32c1d44db73eb5095053870</t>
  </si>
  <si>
    <t>f1bec888123765eaaf21a4eafffde44ab0dc3d5633b19b3eec3d33ab4d1a202f</t>
  </si>
  <si>
    <t>56fc328e12d46eabd419ba2a6edd6b2a1cfa0a1c2bc1feb370d03ee4137eb525</t>
  </si>
  <si>
    <t>d2e7da2785154872cd8191a7a93057e0877b9f2c3544f8555a17b3b84b6ef605</t>
  </si>
  <si>
    <t>7c836b15100b394cbf495f43677e65a74b8afc079693da95b08922f1b62c8913</t>
  </si>
  <si>
    <t>30f89b2431f4139988fe8e1fef45b70570191a3f2ee57221c0930ae4e57f6427</t>
  </si>
  <si>
    <t>a9f74abb2a8f691758b9f31ad2384155dcc832524b63e94e2d51db24bcb1ae48</t>
  </si>
  <si>
    <t>fb1dbf2d0d32bb453422b84067da744deddee04122ff43f2d91884240f0898fd</t>
  </si>
  <si>
    <t>1bb08b181cba35e1a0c4b5d91d65dac693a0d6d94416b7b6b17b32b191ece562</t>
  </si>
  <si>
    <t>365cf5376357749a61dd90bdaba40e372798017ea7925649b11f46e61aa47ad9</t>
  </si>
  <si>
    <t>b301a82ce9c4b3207d441423e69ac71fd111933e47de660b050e9b481aa65d07</t>
  </si>
  <si>
    <t>9d7f5cbb09af4704e73d9acc576a4983af297f0e78fb46e42c0b46de3bf27a2a</t>
  </si>
  <si>
    <t>b45f69a96d7916f7c31ccd652ca991e6d8b12d1353a2741668d4ee6f243c964f</t>
  </si>
  <si>
    <t>50e2584309030f93aedd8c6bd07ef3386502f23beec345a16c4fd179a852b7c1</t>
  </si>
  <si>
    <t>2ad71c684f976d527554c8a4ba089985e5d2238e3b86df9dee538d9d6f66ea6c</t>
  </si>
  <si>
    <t>TRINIDAD ZAACHILA</t>
  </si>
  <si>
    <t>f3911373beb3dd11f1c6075e565a45573aae8681b57019a84a9ee7f9a967b087</t>
  </si>
  <si>
    <t>e436da0d362bc5b11a1bbd2dd388ad295e5467031d3e050663a9421a6c8aaa87</t>
  </si>
  <si>
    <t>61785eecde5d2ed9ca1af9aa192b7ae0d93e699627c0847a2c26e98fb99c57ec</t>
  </si>
  <si>
    <t>db89e602d82138292d8082cf15e4771aeb3105e548c9590ed44072b7b80f1de5</t>
  </si>
  <si>
    <t>0b66196733d7240fc2e33b2ae3d5dde5052253e6de34764e10a22a1e5592e875</t>
  </si>
  <si>
    <t>UNION HIDALGO</t>
  </si>
  <si>
    <t>2f3da6e0f2eec2c80c9b9c5120a34bd2752d470b51d58e1eda1838c83e9fa859</t>
  </si>
  <si>
    <t>2a2551783fa029583378b6aca530a14661689f41327f981309501f9bb1f68c79</t>
  </si>
  <si>
    <t>5deb9e7a9bf483ecba49ce0e5147f2ded87bf76f6969206da51e25b04554a71e</t>
  </si>
  <si>
    <t>e01d55feb1056f841be3dd1edb2b14c42897d9ddaa7a0a3af98ad370cfe050fe</t>
  </si>
  <si>
    <t>69450c76fafc2a02aed69adc1a57315ef13242f9ed0d4015b1536d0a0740c3fb</t>
  </si>
  <si>
    <t>a0b74a2063b821bbc47c7bcfc86735871d158dccb240c82cc74d38b3fb7c53ce</t>
  </si>
  <si>
    <t>e67c0e6eb95fe5fefbcc014220a0622c2657ab8f5efff09530fa3c45208eebd9</t>
  </si>
  <si>
    <t>adeb63cd37bb0d1a1080819a65f80c77650478529e6c5a58886407ecec710531</t>
  </si>
  <si>
    <t>29571d75e777292169fed403212ea459350dd9fdab7b29e1b917176bb91a74c2</t>
  </si>
  <si>
    <t>33e2f74816bd4470eb9bd00c18240a732e6f243cb8dd1f8d0c99bf86e67f50c0</t>
  </si>
  <si>
    <t>1003c42ee4bf718db326965a81680fbb265197c1476734173b446dd350341682</t>
  </si>
  <si>
    <t>334f2f03e400ca1fc7996134dcb55f809878db0cc591d0b7da01e3c93a31eaea</t>
  </si>
  <si>
    <t>518079a6e67527e313f7c232bd7092d8000a9e5a77d60fc3ac07418aab7e8393</t>
  </si>
  <si>
    <t>2331aeffd6c0e7993bc523db2343062a0440e68e420fae95d22bb923543f30b5</t>
  </si>
  <si>
    <t>6937715e281a5f0b77d665f28a11c6750d6b83ab01a56ec2428fa52ca8ec0cb0</t>
  </si>
  <si>
    <t>026e825f754163bfa5ed5340496c4861781cdaffe3faf393425a320ebdbdac52</t>
  </si>
  <si>
    <t>611ed745f844435c5be86af09e0ded52ab541406ba3aa863499243b2a1ca2330</t>
  </si>
  <si>
    <t>f5c3cc060f45c7b8e6eb5b8b52acc30231295086928615a3ed3e6ce69330cf5a</t>
  </si>
  <si>
    <t>48128d5aff7a6510bdacf2920969e7db1ce82017ee185211811f019df08f0927</t>
  </si>
  <si>
    <t>0c6d7e55289e734518413382ce8e1243b57c7cb2369ef5347a669d7edcfb9f58</t>
  </si>
  <si>
    <t>ba89a995cdca527e297b38b1ff3f3a2d3064a21b375a8f2b270cbe91ebf6b8ad</t>
  </si>
  <si>
    <t>466a5fbe0ec0f20535073b943f932686bb3330046dec99aae92055b1c59057a4</t>
  </si>
  <si>
    <t>VALERIO TRUJANO</t>
  </si>
  <si>
    <t>61a0c134b7996f4081a8bbfdaf49d0ab7966fd4fd9fbafea44aa6474000d0ad0</t>
  </si>
  <si>
    <t>d2abb3ebf6bd44926287925f5ed6149cd6fd233d5967f0ee45644d64c71b75f8</t>
  </si>
  <si>
    <t>VILLA DE ETLA</t>
  </si>
  <si>
    <t>734349a861c003eaf0efbf4c7cb800f16b2c5265b4be982d8ad61f9729511c01</t>
  </si>
  <si>
    <t>6225effb0bb5a90f2ef9f70c000b6ff6c5acf12bd691e184a4a7fcfa6daad68a</t>
  </si>
  <si>
    <t>45d19ff298112cba67dcb0c7cd0aac5a2f8e47f178623cbe8ab9ae91a1f5a70a</t>
  </si>
  <si>
    <t>2d2d82d58ab4b803a9635cbaf7c6994480615cd07c18112bea3ea2241949dffa</t>
  </si>
  <si>
    <t>c96fa40fa921f7f08bc22aa6276cb30473767e5b5592bf7874449e905d4d9aec</t>
  </si>
  <si>
    <t>a1b918869d8158a36c2bd094083b3a5b7d132609081a80afb21f9a107a9ed470</t>
  </si>
  <si>
    <t>e0c01bfc280d2431f153c4305c9c94b82e106ae90c5d5ee66e732debed31ef3b</t>
  </si>
  <si>
    <t>dc33f7349beddb7571b1b01e45551c757492e88077cfd61c5412b52e6ecd1e6a</t>
  </si>
  <si>
    <t>e1f0408dd12b0aff4c8f67ae79b55ca1c25b6105c2645fbe1aee8a5abaf166c5</t>
  </si>
  <si>
    <t>6472942a5d3a4a2fdc4456979b8d08ab618483e472506e0f3aeda0d36402eafa</t>
  </si>
  <si>
    <t>31047352e2c4c05ffae235b0a17635f4c0752646353f96dec33aac237f655f4b</t>
  </si>
  <si>
    <t>45639b75eb406d38375b2dd6ec202bd790ded3f144cf067a435edefaf6386b94</t>
  </si>
  <si>
    <t>6aaa5dc808f77451179e34e2a2f78b2b26955c02013e559573b17bbf6a5119df</t>
  </si>
  <si>
    <t>1661963a21e7ea2a91109e68bc0e55e0685b4b2350e4b49b987235578fcf9246</t>
  </si>
  <si>
    <t>VILLA DE ZAACHILA</t>
  </si>
  <si>
    <t>ed3ab83b3746d34c4337c829a33a15f523d607b9fd3bf5cb1ad2ef9e79c866e1</t>
  </si>
  <si>
    <t>30f7d79bd5cd85943f86085764c66aacf1c60fb68bfedf348be62a3cf2aac5a0</t>
  </si>
  <si>
    <t>caa5f5793d2b5f81ab04e878483bc4617f01e3c19eaf3b46cd19c598feb7cad8</t>
  </si>
  <si>
    <t>526fa229845c37f83b7c1a86cdcb193f7fc272ece4adecfae29cab8e9bb42122</t>
  </si>
  <si>
    <t>23593c5d26f12fb5f0b1f75e25c81c9eea5fd9157fffb206916a607eb7f9c524</t>
  </si>
  <si>
    <t>c39be2d99504e2c16f790f3cb3d9ea1a85fb3250162c4f20c114da46075d8078</t>
  </si>
  <si>
    <t>45eea3690fc41b75edb94f1596aa6c0143140c33ced9baf71ca61224dea5be3a</t>
  </si>
  <si>
    <t>cf87436c87ba4d5c171464eb005e5335ef431474b2773a9ebbc9288ab024e1ec</t>
  </si>
  <si>
    <t>50aa234db84e90d109008e21aca23763713b05d05ce2359df5beeff9d2b84a3c</t>
  </si>
  <si>
    <t>78fc28405e7b0dd02ec09a6f17c90374f89a08e52abc8422bf488e9edfa6708f</t>
  </si>
  <si>
    <t>55dbd5ce5121531edea04956b24c49e9142e387a331c71983ba82182607b7ac4</t>
  </si>
  <si>
    <t>d4d73d21bbb1387aa9d980b5a003647db3b8c5027e461a2f2b6043050b3a6ecc</t>
  </si>
  <si>
    <t>ee9ef14619be1dacdf623e3f75d03fb25b76c01b089d87b7080040a622f8841e</t>
  </si>
  <si>
    <t>c65ca8fcfdf9b69af46570b78a1473ec98ce8e0e86d9e6bded6a74ca851d0c99</t>
  </si>
  <si>
    <t>55744cfed3a88a193c2172207d33202077ebaea21de88a59f17bacf42f56edda</t>
  </si>
  <si>
    <t>fa28e8e400f1dae59533622e1f57864ef9968510404c292205a6c938a369833b</t>
  </si>
  <si>
    <t>b1605919ee6cde35fb524abb30230b8a6e9ae426f2d0255e3ab51e5480fc1d88</t>
  </si>
  <si>
    <t>3f9d33d562148b13d942bda1543a5d90ef036ab168f08f69843a7d1508666750</t>
  </si>
  <si>
    <t>a2e96e30db6b0db0136044828be03599bc710ec082a382cb5bf11e541869d114</t>
  </si>
  <si>
    <t>406457b4ec7ddd497d62f5dde5aab1a47ce768c287a11101ecf7235c7666ad3d</t>
  </si>
  <si>
    <t>392d8bd77d8ced2457216f394dd76ad1c83185909b6e50c89518d13bac34f851</t>
  </si>
  <si>
    <t>5f7da10c6fbdf438098056984d298f0cea2c0bbadc225dd851ac7b0761e0da60</t>
  </si>
  <si>
    <t>d28d2931013064dc120ee10364e08a907c874f0d6821d75963b9b362b98e844a</t>
  </si>
  <si>
    <t>9879c00016e3a08989be4d1a1f67e614213d0b41f0b65d3447d52d0be9020146</t>
  </si>
  <si>
    <t>5a387b0cdc85a05f98bf3b844913904e29d1968ae927b02e6a8f46204de8602e</t>
  </si>
  <si>
    <t>ac28b3c99ae31cfece4a2b88c9ca653e22e162350ea17ba41c6a92935f21802f</t>
  </si>
  <si>
    <t>fb06458f4658f74fdfa094a6bf1014d16e55c850af04c571fb85eb085266a3e1</t>
  </si>
  <si>
    <t>1bea88edc527922e522796d320ec3314b310c01ca4529efeb338a48d06091fee</t>
  </si>
  <si>
    <t>5edf6a72a1ea592d80a2c5f68c3399df9c94578323ac66b57d8cea26dac0e4f8</t>
  </si>
  <si>
    <t>6634eb38f9a46fec99501d6fbf439b84df22be001d94decb4094cb2b23fd4371</t>
  </si>
  <si>
    <t>a3a3f2eb08e007d1f7309f96aaed586c34d0343c77da81def7177a8f57029afc</t>
  </si>
  <si>
    <t>54b53290125d48151df5d3597dc03fb35a01e84827ea0a555b180c047d2513dc</t>
  </si>
  <si>
    <t>cfd069871312815f35ebbb7005201cd1d65496c78c6374f8f16d7eb95a125f70</t>
  </si>
  <si>
    <t>d44bd31a9bdf1c4947477a3f89a1bf2ecd7dc63b28624607ce5a44bd7c946604</t>
  </si>
  <si>
    <t>046abbb8fd42b48bf137661d5b90ce6a965263c8da265ed49da9809c87d8dc82</t>
  </si>
  <si>
    <t>d36234d5b45400de31b34f22e3ec0040f3b19904abb03d4f8ada5838c216c3e2</t>
  </si>
  <si>
    <t>c3b7cb152141572703840779f670c1d156a851d7bddbc751e6109a37f31bd34c</t>
  </si>
  <si>
    <t>a042b68813c78266b7bf53b6ad49d669a5402afe429d2b9171b8f01ce6c8ff4e</t>
  </si>
  <si>
    <t>a7abace212e5d02a7997ef8aa182ba60491d1f8ba2da03a2a48180e180f97238</t>
  </si>
  <si>
    <t>44519f46e26f09f690742bda64cc780e3617f58e5efd25fe3c2e8b634bbb5b7a</t>
  </si>
  <si>
    <t>13c81ef85d743c9a2a625459780facfb9f49a1698935219c607e9886298f3859</t>
  </si>
  <si>
    <t>f832a844e466d820bf45468abd100d30051e3ac17acd5858ef54c106088ad68b</t>
  </si>
  <si>
    <t>e1b7b3c55646b33b3a3865ad4b55d3ac024a275926e819cbca89fe1c69802ed1</t>
  </si>
  <si>
    <t>d423770dee8632a54785ef73b55a9b3ebb1c9dc4f328663fca0e3aa62fb8aaed</t>
  </si>
  <si>
    <t>ee0e175184e7c56d64d822056772b20f60e7334b901e6d3074382256b5cffdbd</t>
  </si>
  <si>
    <t>75573e34e6229df9c92fcaf9dc9da3c14d8e190210045e43646475fd83334e4e</t>
  </si>
  <si>
    <t>ZAPOTITLAN LAGUNAS</t>
  </si>
  <si>
    <t>948a2fbc0075cca16a96a855235781d49fedc40cd6f11649161009c57a8f9071</t>
  </si>
  <si>
    <t>746a04161d497a69c08c0b3783033358fe843f148f39410a187ef25dbd32b423</t>
  </si>
  <si>
    <t>e48a06253c06833b91398a53984a1ca231483627834a3b99c16f86e0d9c7abb2</t>
  </si>
  <si>
    <t>07f4a9de393eba7e0d373f9121ecb2277ebed257d2e54cf349ca4b519c45eaaa</t>
  </si>
  <si>
    <t>ZIMATLAN DE ALVAREZ</t>
  </si>
  <si>
    <t>a62a6c17145dfbd43aac3e0643d74269881db331d82d6a5c663f1d6088eea011</t>
  </si>
  <si>
    <t>ab5993941ccbb66105e79030e66ba54a5b140f351100652a94f9805b4d491f07</t>
  </si>
  <si>
    <t>7c053514bc077e6e2619f11251336abcc774003ea64a37675e6fb45d1d030a21</t>
  </si>
  <si>
    <t>32a5d4bfc040d70ddf3590fa13874241e5925ed856d151bde2187f8db9d82486</t>
  </si>
  <si>
    <t>49007426c134568a588b85ce7d3b22f7a5c0c8247fc82738a4fbcb8c4df9dc08</t>
  </si>
  <si>
    <t>ea24c0ef3b4ab509b1df23b48531563ef430eee35629381513eac961e3fe95b5</t>
  </si>
  <si>
    <t>5d34674c451e8c12717ffc0cfa159d96846766211737350ccdb65c9b715c19ed</t>
  </si>
  <si>
    <t>4bc301ac1a7c5d8ffd513be861cd812316f425bd7aee2e392dbf2a1a3c173ca3</t>
  </si>
  <si>
    <t>c2638ba9ac12827f263c2cec65df62b7eaa82b212f7117aa7866bc7a10ac2285</t>
  </si>
  <si>
    <t>d44658d99c9f60ee8123163e07da570bd8960c74eb901ea0ace90315111d82cb</t>
  </si>
  <si>
    <t>82eb8ce9e3f5a14dcca2fdeda7ac474dc2ee9d6ba6f1399b1479bdd1c8a13c0e</t>
  </si>
  <si>
    <t>0a98d716f7827b2d83205619a0bba8fd83e3a9148b3dd5a990d23da1b717a738</t>
  </si>
  <si>
    <t>e064f5590447dfb073a7ae4b611449f56f2880e28b9a5cc6ccb9fc1ce5dd1b01</t>
  </si>
  <si>
    <t>261785d3c366ec4245e775d845613cd4208cf9e6805ffd7fb673dacca45765b8</t>
  </si>
  <si>
    <t>a5eb86a3cc9e61769ef69bfb6844c16152479cc6dd445dbd68e8cef04d24bf8e</t>
  </si>
  <si>
    <t>0d676f0d19ebde65044627f19c2818d495929558e152634e41bfdc1c619008f7</t>
  </si>
  <si>
    <t>1e44c7faddf85d8383a70ab28cfffa85ebcf13e73b6e4464f752ae80d02c3fcc</t>
  </si>
  <si>
    <t>f01509ab679485bb07ae95c5d2041aa602ad250ba3fc2f4046e18a0320dd4d60</t>
  </si>
  <si>
    <t>8e081881b4d929447dee75be67b282688716bd367507f016b77d0065260da361</t>
  </si>
  <si>
    <t>a3cf7c384aabfd1668b96a99abb728be6f252722f409dae7ad0de701737d1b11</t>
  </si>
  <si>
    <t>66fae4820da94b0ca4323ee1024852265b4ca05185850c5887e62b36f8c95004</t>
  </si>
  <si>
    <t>699da498fdd8fcc1b296b92731c516ce1a4ad8b0922e4fecc1ea89c56e7992b6</t>
  </si>
  <si>
    <t>624c10cd518fbbd90f06c9eefca1ab9590814f48b488a2483353911ab2280796</t>
  </si>
  <si>
    <t>367bbb48de483135f5d6fb9af15a3cc04ee29229a3ea4ecc720d225c6e2f5ab6</t>
  </si>
  <si>
    <t>8960b597ea63bc3769514f241f458fb278b44ab42456ec10a6bdf8ebc4d4eff1</t>
  </si>
  <si>
    <t>d06f8b065417b25ebb52c356df206131846a66530f3ed1e8c4e333c4662ceef8</t>
  </si>
  <si>
    <t>2c771eec6ba8167573b57072179345d6fa1b466103e7501f0ed5127032d56684</t>
  </si>
  <si>
    <t>dc5b6ee1a643c28f9ada6d84aa79eb4db8f47124558af96b37397fd8ffee1b60</t>
  </si>
  <si>
    <t>1fed40c4875b6b2dfbaa7cc1db86f846a434737be25abea452e3a81461f5c0cb</t>
  </si>
  <si>
    <t>FUERA DE CATÁLOGO</t>
  </si>
  <si>
    <t>9227b23da33aa8c3395bbf2297bee0a7e4ffb817ed6ab7e9b345feb2f6ddc0bd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</si>
</sst>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16</xdr:col>
      <xdr:colOff>556260</xdr:colOff>
      <xdr:row>5</xdr:row>
      <xdr:rowOff>7620</xdr:rowOff>
    </xdr:to>
    <xdr:pic>
      <xdr:nvPicPr>
        <xdr:cNvPr id="3" name="Imagen 2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9680" y="36576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556260</xdr:colOff>
      <xdr:row>5</xdr:row>
      <xdr:rowOff>7620</xdr:rowOff>
    </xdr:to>
    <xdr:pic>
      <xdr:nvPicPr>
        <xdr:cNvPr id="4" name="Imagen 3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36576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556260</xdr:colOff>
      <xdr:row>5</xdr:row>
      <xdr:rowOff>7620</xdr:rowOff>
    </xdr:to>
    <xdr:pic>
      <xdr:nvPicPr>
        <xdr:cNvPr id="6" name="Imagen 5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640" y="36576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552450</xdr:colOff>
      <xdr:row>5</xdr:row>
      <xdr:rowOff>3926</xdr:rowOff>
    </xdr:to>
    <xdr:pic>
      <xdr:nvPicPr>
        <xdr:cNvPr id="7" name="Imagen 6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361950"/>
          <a:ext cx="552450" cy="54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</xdr:colOff>
      <xdr:row>2</xdr:row>
      <xdr:rowOff>0</xdr:rowOff>
    </xdr:from>
    <xdr:to>
      <xdr:col>20</xdr:col>
      <xdr:colOff>547039</xdr:colOff>
      <xdr:row>5</xdr:row>
      <xdr:rowOff>0</xdr:rowOff>
    </xdr:to>
    <xdr:pic>
      <xdr:nvPicPr>
        <xdr:cNvPr id="8" name="Imagen 7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1" y="361950"/>
          <a:ext cx="547038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551837</xdr:colOff>
      <xdr:row>5</xdr:row>
      <xdr:rowOff>4763</xdr:rowOff>
    </xdr:to>
    <xdr:pic>
      <xdr:nvPicPr>
        <xdr:cNvPr id="9" name="Imagen 8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361950"/>
          <a:ext cx="551837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</xdr:colOff>
      <xdr:row>2</xdr:row>
      <xdr:rowOff>0</xdr:rowOff>
    </xdr:from>
    <xdr:to>
      <xdr:col>22</xdr:col>
      <xdr:colOff>547039</xdr:colOff>
      <xdr:row>5</xdr:row>
      <xdr:rowOff>0</xdr:rowOff>
    </xdr:to>
    <xdr:pic>
      <xdr:nvPicPr>
        <xdr:cNvPr id="11" name="Imagen 10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1" y="361950"/>
          <a:ext cx="547038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552529</xdr:colOff>
      <xdr:row>5</xdr:row>
      <xdr:rowOff>4763</xdr:rowOff>
    </xdr:to>
    <xdr:pic>
      <xdr:nvPicPr>
        <xdr:cNvPr id="12" name="Imagen 11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9725" y="361950"/>
          <a:ext cx="552529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</xdr:colOff>
      <xdr:row>2</xdr:row>
      <xdr:rowOff>0</xdr:rowOff>
    </xdr:from>
    <xdr:to>
      <xdr:col>24</xdr:col>
      <xdr:colOff>547039</xdr:colOff>
      <xdr:row>5</xdr:row>
      <xdr:rowOff>0</xdr:rowOff>
    </xdr:to>
    <xdr:pic>
      <xdr:nvPicPr>
        <xdr:cNvPr id="13" name="Imagen 12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5514" y="361950"/>
          <a:ext cx="547038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</xdr:row>
      <xdr:rowOff>0</xdr:rowOff>
    </xdr:from>
    <xdr:to>
      <xdr:col>25</xdr:col>
      <xdr:colOff>571031</xdr:colOff>
      <xdr:row>5</xdr:row>
      <xdr:rowOff>23813</xdr:rowOff>
    </xdr:to>
    <xdr:pic>
      <xdr:nvPicPr>
        <xdr:cNvPr id="14" name="Imagen 13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5588" y="361950"/>
          <a:ext cx="571031" cy="56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</xdr:colOff>
      <xdr:row>2</xdr:row>
      <xdr:rowOff>0</xdr:rowOff>
    </xdr:from>
    <xdr:to>
      <xdr:col>26</xdr:col>
      <xdr:colOff>547039</xdr:colOff>
      <xdr:row>5</xdr:row>
      <xdr:rowOff>0</xdr:rowOff>
    </xdr:to>
    <xdr:pic>
      <xdr:nvPicPr>
        <xdr:cNvPr id="15" name="Imagen 14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5664" y="361950"/>
          <a:ext cx="547038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27</xdr:col>
      <xdr:colOff>547687</xdr:colOff>
      <xdr:row>5</xdr:row>
      <xdr:rowOff>644</xdr:rowOff>
    </xdr:to>
    <xdr:pic>
      <xdr:nvPicPr>
        <xdr:cNvPr id="16" name="Imagen 15" descr="IMAGE LOGO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738" y="361950"/>
          <a:ext cx="547687" cy="54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553220</xdr:colOff>
      <xdr:row>5</xdr:row>
      <xdr:rowOff>4763</xdr:rowOff>
    </xdr:to>
    <xdr:pic>
      <xdr:nvPicPr>
        <xdr:cNvPr id="17" name="Imagen 16" descr="CI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5813" y="361950"/>
          <a:ext cx="553220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553220</xdr:colOff>
      <xdr:row>5</xdr:row>
      <xdr:rowOff>4763</xdr:rowOff>
    </xdr:to>
    <xdr:pic>
      <xdr:nvPicPr>
        <xdr:cNvPr id="18" name="Imagen 17" descr="CI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888" y="361950"/>
          <a:ext cx="553220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553220</xdr:colOff>
      <xdr:row>5</xdr:row>
      <xdr:rowOff>4763</xdr:rowOff>
    </xdr:to>
    <xdr:pic>
      <xdr:nvPicPr>
        <xdr:cNvPr id="19" name="Imagen 18" descr="CI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5963" y="361950"/>
          <a:ext cx="553220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2</xdr:row>
      <xdr:rowOff>176538</xdr:rowOff>
    </xdr:from>
    <xdr:to>
      <xdr:col>32</xdr:col>
      <xdr:colOff>4763</xdr:colOff>
      <xdr:row>4</xdr:row>
      <xdr:rowOff>176213</xdr:rowOff>
    </xdr:to>
    <xdr:pic>
      <xdr:nvPicPr>
        <xdr:cNvPr id="20" name="Imagen 19" descr="CO_PAN_PRI_PRD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6038" y="538488"/>
          <a:ext cx="1095375" cy="36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</xdr:colOff>
      <xdr:row>3</xdr:row>
      <xdr:rowOff>0</xdr:rowOff>
    </xdr:from>
    <xdr:to>
      <xdr:col>32</xdr:col>
      <xdr:colOff>730299</xdr:colOff>
      <xdr:row>5</xdr:row>
      <xdr:rowOff>0</xdr:rowOff>
    </xdr:to>
    <xdr:pic>
      <xdr:nvPicPr>
        <xdr:cNvPr id="21" name="Imagen 20" descr="CO_PAN_PRI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6651" y="542925"/>
          <a:ext cx="73029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33</xdr:col>
      <xdr:colOff>728663</xdr:colOff>
      <xdr:row>4</xdr:row>
      <xdr:rowOff>179713</xdr:rowOff>
    </xdr:to>
    <xdr:pic>
      <xdr:nvPicPr>
        <xdr:cNvPr id="22" name="Imagen 21" descr="CC_PAN_PRD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7225" y="542925"/>
          <a:ext cx="728663" cy="36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</xdr:colOff>
      <xdr:row>3</xdr:row>
      <xdr:rowOff>0</xdr:rowOff>
    </xdr:from>
    <xdr:to>
      <xdr:col>34</xdr:col>
      <xdr:colOff>738189</xdr:colOff>
      <xdr:row>5</xdr:row>
      <xdr:rowOff>3225</xdr:rowOff>
    </xdr:to>
    <xdr:pic>
      <xdr:nvPicPr>
        <xdr:cNvPr id="23" name="Imagen 22" descr="CO_PRI_PR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426" y="542925"/>
          <a:ext cx="738188" cy="3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1</xdr:colOff>
      <xdr:row>3</xdr:row>
      <xdr:rowOff>0</xdr:rowOff>
    </xdr:from>
    <xdr:to>
      <xdr:col>35</xdr:col>
      <xdr:colOff>1444087</xdr:colOff>
      <xdr:row>4</xdr:row>
      <xdr:rowOff>176213</xdr:rowOff>
    </xdr:to>
    <xdr:pic>
      <xdr:nvPicPr>
        <xdr:cNvPr id="24" name="Imagen 23" descr="CC_PAN_PRI_PRD_NAO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1239" y="542925"/>
          <a:ext cx="1444086" cy="357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0</xdr:colOff>
      <xdr:row>3</xdr:row>
      <xdr:rowOff>0</xdr:rowOff>
    </xdr:from>
    <xdr:to>
      <xdr:col>36</xdr:col>
      <xdr:colOff>1095375</xdr:colOff>
      <xdr:row>4</xdr:row>
      <xdr:rowOff>180650</xdr:rowOff>
    </xdr:to>
    <xdr:pic>
      <xdr:nvPicPr>
        <xdr:cNvPr id="25" name="Imagen 24" descr="CO_PAN_PRI_PRD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12850" y="542925"/>
          <a:ext cx="1095375" cy="36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3</xdr:row>
      <xdr:rowOff>0</xdr:rowOff>
    </xdr:from>
    <xdr:to>
      <xdr:col>37</xdr:col>
      <xdr:colOff>1126151</xdr:colOff>
      <xdr:row>5</xdr:row>
      <xdr:rowOff>9525</xdr:rowOff>
    </xdr:to>
    <xdr:pic>
      <xdr:nvPicPr>
        <xdr:cNvPr id="26" name="Imagen 25" descr="CC_PAN_PRI_PRD_NAO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0" y="542925"/>
          <a:ext cx="112615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38</xdr:col>
      <xdr:colOff>1123950</xdr:colOff>
      <xdr:row>5</xdr:row>
      <xdr:rowOff>9108</xdr:rowOff>
    </xdr:to>
    <xdr:pic>
      <xdr:nvPicPr>
        <xdr:cNvPr id="27" name="Imagen 26" descr="CC_PAN_PRD_NA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1225" y="542925"/>
          <a:ext cx="1123950" cy="371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3</xdr:row>
      <xdr:rowOff>0</xdr:rowOff>
    </xdr:from>
    <xdr:to>
      <xdr:col>39</xdr:col>
      <xdr:colOff>1100137</xdr:colOff>
      <xdr:row>5</xdr:row>
      <xdr:rowOff>1247</xdr:rowOff>
    </xdr:to>
    <xdr:pic>
      <xdr:nvPicPr>
        <xdr:cNvPr id="28" name="Imagen 27" descr="CC_PRI_PRD_NAO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8513" y="542925"/>
          <a:ext cx="1100137" cy="363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0</xdr:rowOff>
    </xdr:from>
    <xdr:to>
      <xdr:col>40</xdr:col>
      <xdr:colOff>740371</xdr:colOff>
      <xdr:row>5</xdr:row>
      <xdr:rowOff>4763</xdr:rowOff>
    </xdr:to>
    <xdr:pic>
      <xdr:nvPicPr>
        <xdr:cNvPr id="29" name="Imagen 28" descr="CO_PAN_PRI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22938" y="542925"/>
          <a:ext cx="740371" cy="36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</xdr:colOff>
      <xdr:row>3</xdr:row>
      <xdr:rowOff>0</xdr:rowOff>
    </xdr:from>
    <xdr:to>
      <xdr:col>41</xdr:col>
      <xdr:colOff>750925</xdr:colOff>
      <xdr:row>5</xdr:row>
      <xdr:rowOff>9525</xdr:rowOff>
    </xdr:to>
    <xdr:pic>
      <xdr:nvPicPr>
        <xdr:cNvPr id="30" name="Imagen 29" descr="CC_PAN_PRD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99226" y="542925"/>
          <a:ext cx="75092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0</xdr:colOff>
      <xdr:row>3</xdr:row>
      <xdr:rowOff>0</xdr:rowOff>
    </xdr:from>
    <xdr:to>
      <xdr:col>42</xdr:col>
      <xdr:colOff>730755</xdr:colOff>
      <xdr:row>5</xdr:row>
      <xdr:rowOff>0</xdr:rowOff>
    </xdr:to>
    <xdr:pic>
      <xdr:nvPicPr>
        <xdr:cNvPr id="31" name="Imagen 30" descr="CC_PAN_NAO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138" y="542925"/>
          <a:ext cx="73075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1</xdr:colOff>
      <xdr:row>3</xdr:row>
      <xdr:rowOff>0</xdr:rowOff>
    </xdr:from>
    <xdr:to>
      <xdr:col>43</xdr:col>
      <xdr:colOff>739909</xdr:colOff>
      <xdr:row>5</xdr:row>
      <xdr:rowOff>4763</xdr:rowOff>
    </xdr:to>
    <xdr:pic>
      <xdr:nvPicPr>
        <xdr:cNvPr id="32" name="Imagen 31" descr="CO_PRI_PR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75626" y="542925"/>
          <a:ext cx="739908" cy="36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1</xdr:colOff>
      <xdr:row>3</xdr:row>
      <xdr:rowOff>0</xdr:rowOff>
    </xdr:from>
    <xdr:to>
      <xdr:col>44</xdr:col>
      <xdr:colOff>730299</xdr:colOff>
      <xdr:row>5</xdr:row>
      <xdr:rowOff>0</xdr:rowOff>
    </xdr:to>
    <xdr:pic>
      <xdr:nvPicPr>
        <xdr:cNvPr id="33" name="Imagen 32" descr="CC_PRI_NAO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201" y="542925"/>
          <a:ext cx="73029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3</xdr:row>
      <xdr:rowOff>0</xdr:rowOff>
    </xdr:from>
    <xdr:to>
      <xdr:col>45</xdr:col>
      <xdr:colOff>751393</xdr:colOff>
      <xdr:row>5</xdr:row>
      <xdr:rowOff>9525</xdr:rowOff>
    </xdr:to>
    <xdr:pic>
      <xdr:nvPicPr>
        <xdr:cNvPr id="34" name="Imagen 33" descr="CC_PRD_NAO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6775" y="542925"/>
          <a:ext cx="751393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0</xdr:colOff>
      <xdr:row>3</xdr:row>
      <xdr:rowOff>0</xdr:rowOff>
    </xdr:from>
    <xdr:to>
      <xdr:col>46</xdr:col>
      <xdr:colOff>731669</xdr:colOff>
      <xdr:row>5</xdr:row>
      <xdr:rowOff>0</xdr:rowOff>
    </xdr:to>
    <xdr:pic>
      <xdr:nvPicPr>
        <xdr:cNvPr id="35" name="Imagen 34" descr="CC_PVEM_PT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0" y="542925"/>
          <a:ext cx="731669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</xdr:colOff>
      <xdr:row>3</xdr:row>
      <xdr:rowOff>0</xdr:rowOff>
    </xdr:from>
    <xdr:to>
      <xdr:col>47</xdr:col>
      <xdr:colOff>739909</xdr:colOff>
      <xdr:row>5</xdr:row>
      <xdr:rowOff>4763</xdr:rowOff>
    </xdr:to>
    <xdr:pic>
      <xdr:nvPicPr>
        <xdr:cNvPr id="36" name="Imagen 35" descr="CC_PVEM_NAO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8414" y="542925"/>
          <a:ext cx="739908" cy="36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36"/>
  <sheetViews>
    <sheetView tabSelected="1" zoomScale="160" zoomScaleNormal="160" workbookViewId="0">
      <selection activeCell="M3" sqref="M3"/>
    </sheetView>
  </sheetViews>
  <sheetFormatPr baseColWidth="10" defaultRowHeight="14.4" x14ac:dyDescent="0.3"/>
  <cols>
    <col min="1" max="1" width="22.21875" customWidth="1"/>
    <col min="2" max="2" width="23.21875" bestFit="1" customWidth="1"/>
    <col min="3" max="3" width="23" bestFit="1" customWidth="1"/>
    <col min="4" max="4" width="18.33203125" bestFit="1" customWidth="1"/>
    <col min="5" max="5" width="30.21875" bestFit="1" customWidth="1"/>
    <col min="6" max="6" width="44.44140625" bestFit="1" customWidth="1"/>
    <col min="7" max="7" width="33.5546875" bestFit="1" customWidth="1"/>
    <col min="8" max="8" width="34.33203125" bestFit="1" customWidth="1"/>
    <col min="9" max="9" width="25.33203125" bestFit="1" customWidth="1"/>
    <col min="10" max="10" width="36.6640625" bestFit="1" customWidth="1"/>
    <col min="11" max="11" width="18.21875" bestFit="1" customWidth="1"/>
    <col min="12" max="12" width="18" bestFit="1" customWidth="1"/>
    <col min="13" max="13" width="37.21875" bestFit="1" customWidth="1"/>
    <col min="14" max="14" width="25.5546875" bestFit="1" customWidth="1"/>
    <col min="15" max="15" width="31.109375" bestFit="1" customWidth="1"/>
    <col min="16" max="16" width="21.88671875" bestFit="1" customWidth="1"/>
    <col min="17" max="23" width="8.77734375" customWidth="1"/>
    <col min="24" max="24" width="8.5546875" bestFit="1" customWidth="1"/>
    <col min="25" max="31" width="8.77734375" customWidth="1"/>
    <col min="32" max="32" width="15.88671875" bestFit="1" customWidth="1"/>
    <col min="34" max="34" width="12.21875" bestFit="1" customWidth="1"/>
    <col min="35" max="35" width="11.44140625" bestFit="1" customWidth="1"/>
    <col min="36" max="36" width="21.44140625" customWidth="1"/>
    <col min="37" max="37" width="16.109375" customWidth="1"/>
    <col min="38" max="38" width="16.5546875" customWidth="1"/>
    <col min="39" max="39" width="16.88671875" bestFit="1" customWidth="1"/>
    <col min="40" max="40" width="16.21875" customWidth="1"/>
    <col min="41" max="41" width="11.33203125" bestFit="1" customWidth="1"/>
    <col min="42" max="42" width="12" bestFit="1" customWidth="1"/>
    <col min="43" max="43" width="12.44140625" bestFit="1" customWidth="1"/>
    <col min="46" max="46" width="12.33203125" bestFit="1" customWidth="1"/>
    <col min="47" max="47" width="12" bestFit="1" customWidth="1"/>
    <col min="48" max="48" width="13.77734375" bestFit="1" customWidth="1"/>
    <col min="49" max="49" width="16.21875" bestFit="1" customWidth="1"/>
    <col min="50" max="50" width="7.44140625" bestFit="1" customWidth="1"/>
    <col min="51" max="51" width="23.21875" bestFit="1" customWidth="1"/>
    <col min="52" max="52" width="24.33203125" bestFit="1" customWidth="1"/>
    <col min="53" max="53" width="14.6640625" bestFit="1" customWidth="1"/>
    <col min="54" max="54" width="21.6640625" bestFit="1" customWidth="1"/>
    <col min="55" max="55" width="41.109375" bestFit="1" customWidth="1"/>
    <col min="56" max="56" width="14.33203125" bestFit="1" customWidth="1"/>
    <col min="57" max="57" width="22.44140625" bestFit="1" customWidth="1"/>
    <col min="59" max="59" width="19.6640625" bestFit="1" customWidth="1"/>
    <col min="60" max="60" width="21" bestFit="1" customWidth="1"/>
    <col min="61" max="61" width="25.109375" bestFit="1" customWidth="1"/>
    <col min="62" max="62" width="7.5546875" bestFit="1" customWidth="1"/>
    <col min="63" max="63" width="14.44140625" bestFit="1" customWidth="1"/>
    <col min="64" max="64" width="17.33203125" bestFit="1" customWidth="1"/>
  </cols>
  <sheetData>
    <row r="1" spans="1:64" x14ac:dyDescent="0.3">
      <c r="A1" t="s">
        <v>0</v>
      </c>
      <c r="B1" t="s">
        <v>1</v>
      </c>
    </row>
    <row r="2" spans="1:64" x14ac:dyDescent="0.3">
      <c r="A2" t="s">
        <v>2</v>
      </c>
      <c r="B2" t="s">
        <v>3</v>
      </c>
    </row>
    <row r="3" spans="1:64" x14ac:dyDescent="0.3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</row>
    <row r="4" spans="1:64" x14ac:dyDescent="0.3">
      <c r="A4">
        <v>3629</v>
      </c>
      <c r="B4">
        <v>3629</v>
      </c>
      <c r="C4">
        <v>1</v>
      </c>
      <c r="D4">
        <v>3629</v>
      </c>
      <c r="E4" t="str">
        <f>"100.0000"</f>
        <v>100.0000</v>
      </c>
      <c r="F4">
        <v>3405</v>
      </c>
      <c r="G4" t="str">
        <f>"93.8275"</f>
        <v>93.8275</v>
      </c>
      <c r="H4" t="str">
        <f>"15.8445"</f>
        <v>15.8445</v>
      </c>
      <c r="I4">
        <v>224</v>
      </c>
      <c r="J4">
        <v>1866052</v>
      </c>
      <c r="K4">
        <v>1188321</v>
      </c>
      <c r="L4">
        <v>1184486</v>
      </c>
      <c r="M4" t="str">
        <f>"63.6810"</f>
        <v>63.6810</v>
      </c>
    </row>
    <row r="6" spans="1:64" x14ac:dyDescent="0.3">
      <c r="A6" t="s">
        <v>17</v>
      </c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  <c r="Q6" t="s">
        <v>33</v>
      </c>
      <c r="R6" t="s">
        <v>34</v>
      </c>
      <c r="S6" t="s">
        <v>35</v>
      </c>
      <c r="T6" t="s">
        <v>36</v>
      </c>
      <c r="U6" t="s">
        <v>37</v>
      </c>
      <c r="V6" t="s">
        <v>38</v>
      </c>
      <c r="W6" t="s">
        <v>39</v>
      </c>
      <c r="X6" t="s">
        <v>40</v>
      </c>
      <c r="Y6" t="s">
        <v>41</v>
      </c>
      <c r="Z6" t="s">
        <v>42</v>
      </c>
      <c r="AA6" t="s">
        <v>43</v>
      </c>
      <c r="AB6" t="s">
        <v>44</v>
      </c>
      <c r="AC6" t="s">
        <v>45</v>
      </c>
      <c r="AD6" t="s">
        <v>46</v>
      </c>
      <c r="AE6" t="s">
        <v>47</v>
      </c>
      <c r="AF6" t="s">
        <v>48</v>
      </c>
      <c r="AG6" t="s">
        <v>49</v>
      </c>
      <c r="AH6" t="s">
        <v>50</v>
      </c>
      <c r="AI6" t="s">
        <v>51</v>
      </c>
      <c r="AJ6" t="s">
        <v>52</v>
      </c>
      <c r="AK6" t="s">
        <v>53</v>
      </c>
      <c r="AL6" t="s">
        <v>54</v>
      </c>
      <c r="AM6" t="s">
        <v>55</v>
      </c>
      <c r="AN6" t="s">
        <v>56</v>
      </c>
      <c r="AO6" t="s">
        <v>57</v>
      </c>
      <c r="AP6" t="s">
        <v>58</v>
      </c>
      <c r="AQ6" t="s">
        <v>59</v>
      </c>
      <c r="AR6" t="s">
        <v>60</v>
      </c>
      <c r="AS6" t="s">
        <v>61</v>
      </c>
      <c r="AT6" t="s">
        <v>62</v>
      </c>
      <c r="AU6" t="s">
        <v>63</v>
      </c>
      <c r="AV6" t="s">
        <v>64</v>
      </c>
      <c r="AW6" t="s">
        <v>65</v>
      </c>
      <c r="AX6" t="s">
        <v>66</v>
      </c>
      <c r="AY6" t="s">
        <v>67</v>
      </c>
      <c r="AZ6" t="s">
        <v>68</v>
      </c>
      <c r="BA6" t="s">
        <v>69</v>
      </c>
      <c r="BB6" t="s">
        <v>70</v>
      </c>
      <c r="BC6" t="s">
        <v>71</v>
      </c>
      <c r="BD6" t="s">
        <v>72</v>
      </c>
      <c r="BE6" t="s">
        <v>73</v>
      </c>
      <c r="BF6" t="s">
        <v>74</v>
      </c>
      <c r="BG6" t="s">
        <v>75</v>
      </c>
      <c r="BH6" t="s">
        <v>76</v>
      </c>
      <c r="BI6" t="s">
        <v>77</v>
      </c>
      <c r="BJ6" t="s">
        <v>78</v>
      </c>
      <c r="BK6" t="s">
        <v>79</v>
      </c>
      <c r="BL6" t="s">
        <v>80</v>
      </c>
    </row>
    <row r="7" spans="1:64" x14ac:dyDescent="0.3">
      <c r="A7" t="str">
        <f>"200002B0000"</f>
        <v>200002B0000</v>
      </c>
      <c r="B7" t="str">
        <f>"200002B00003"</f>
        <v>200002B00003</v>
      </c>
      <c r="C7" t="str">
        <f t="shared" ref="C7:C70" si="0">"20"</f>
        <v>20</v>
      </c>
      <c r="D7" t="s">
        <v>81</v>
      </c>
      <c r="E7" t="str">
        <f t="shared" ref="E7:E38" si="1">"002"</f>
        <v>002</v>
      </c>
      <c r="F7" t="s">
        <v>82</v>
      </c>
      <c r="G7" t="str">
        <f>"0002"</f>
        <v>0002</v>
      </c>
      <c r="H7" t="str">
        <f>"0000"</f>
        <v>0000</v>
      </c>
      <c r="I7" t="s">
        <v>83</v>
      </c>
      <c r="J7">
        <v>0</v>
      </c>
      <c r="K7">
        <v>1</v>
      </c>
      <c r="L7">
        <v>3</v>
      </c>
      <c r="M7">
        <v>208</v>
      </c>
      <c r="N7">
        <v>540</v>
      </c>
      <c r="O7">
        <v>10</v>
      </c>
      <c r="P7">
        <v>540</v>
      </c>
      <c r="Q7">
        <v>6</v>
      </c>
      <c r="R7">
        <v>164</v>
      </c>
      <c r="S7">
        <v>0</v>
      </c>
      <c r="T7">
        <v>2</v>
      </c>
      <c r="U7">
        <v>3</v>
      </c>
      <c r="V7">
        <v>3</v>
      </c>
      <c r="X7">
        <v>337</v>
      </c>
      <c r="Y7">
        <v>3</v>
      </c>
      <c r="Z7">
        <v>3</v>
      </c>
      <c r="AB7">
        <v>6</v>
      </c>
      <c r="AF7">
        <v>0</v>
      </c>
      <c r="AG7">
        <v>1</v>
      </c>
      <c r="AH7">
        <v>0</v>
      </c>
      <c r="AI7">
        <v>0</v>
      </c>
      <c r="AW7">
        <v>0</v>
      </c>
      <c r="AX7">
        <v>12</v>
      </c>
      <c r="AY7">
        <v>540</v>
      </c>
      <c r="AZ7">
        <v>540</v>
      </c>
      <c r="BA7">
        <v>704</v>
      </c>
      <c r="BB7">
        <v>44</v>
      </c>
      <c r="BD7">
        <v>1</v>
      </c>
      <c r="BF7" t="s">
        <v>84</v>
      </c>
      <c r="BG7" s="1">
        <v>44354.081944444442</v>
      </c>
      <c r="BH7" s="1">
        <v>44354.089282407411</v>
      </c>
      <c r="BI7" s="1">
        <v>44354.089733796296</v>
      </c>
      <c r="BJ7" t="s">
        <v>85</v>
      </c>
      <c r="BK7" t="s">
        <v>86</v>
      </c>
      <c r="BL7" t="s">
        <v>87</v>
      </c>
    </row>
    <row r="8" spans="1:64" x14ac:dyDescent="0.3">
      <c r="A8" t="str">
        <f>"200003B0000"</f>
        <v>200003B0000</v>
      </c>
      <c r="B8" t="str">
        <f>"200003B00003"</f>
        <v>200003B00003</v>
      </c>
      <c r="C8" t="str">
        <f t="shared" si="0"/>
        <v>20</v>
      </c>
      <c r="D8" t="s">
        <v>81</v>
      </c>
      <c r="E8" t="str">
        <f t="shared" si="1"/>
        <v>002</v>
      </c>
      <c r="F8" t="s">
        <v>82</v>
      </c>
      <c r="G8" t="str">
        <f>"0003"</f>
        <v>0003</v>
      </c>
      <c r="H8" t="str">
        <f>"0000"</f>
        <v>0000</v>
      </c>
      <c r="I8" t="s">
        <v>83</v>
      </c>
      <c r="J8">
        <v>0</v>
      </c>
      <c r="K8">
        <v>1</v>
      </c>
      <c r="L8">
        <v>3</v>
      </c>
      <c r="M8">
        <v>176</v>
      </c>
      <c r="N8">
        <v>431</v>
      </c>
      <c r="O8">
        <v>3</v>
      </c>
      <c r="P8">
        <v>431</v>
      </c>
      <c r="Q8">
        <v>3</v>
      </c>
      <c r="R8">
        <v>109</v>
      </c>
      <c r="S8">
        <v>2</v>
      </c>
      <c r="T8">
        <v>1</v>
      </c>
      <c r="U8">
        <v>0</v>
      </c>
      <c r="V8">
        <v>2</v>
      </c>
      <c r="X8">
        <v>300</v>
      </c>
      <c r="Y8">
        <v>1</v>
      </c>
      <c r="Z8">
        <v>5</v>
      </c>
      <c r="AB8">
        <v>3</v>
      </c>
      <c r="AF8">
        <v>1</v>
      </c>
      <c r="AG8">
        <v>0</v>
      </c>
      <c r="AH8">
        <v>0</v>
      </c>
      <c r="AI8">
        <v>0</v>
      </c>
      <c r="AW8">
        <v>0</v>
      </c>
      <c r="AX8">
        <v>4</v>
      </c>
      <c r="AY8">
        <v>431</v>
      </c>
      <c r="AZ8">
        <v>431</v>
      </c>
      <c r="BA8">
        <v>563</v>
      </c>
      <c r="BB8">
        <v>44</v>
      </c>
      <c r="BD8">
        <v>1</v>
      </c>
      <c r="BF8" t="s">
        <v>88</v>
      </c>
      <c r="BG8" s="1">
        <v>44353.922222222223</v>
      </c>
      <c r="BH8" s="1">
        <v>44354.089965277781</v>
      </c>
      <c r="BI8" s="1">
        <v>44354.090416666666</v>
      </c>
      <c r="BJ8" t="s">
        <v>85</v>
      </c>
      <c r="BK8" t="s">
        <v>86</v>
      </c>
      <c r="BL8" t="s">
        <v>87</v>
      </c>
    </row>
    <row r="9" spans="1:64" x14ac:dyDescent="0.3">
      <c r="A9" t="str">
        <f>"200003C0100"</f>
        <v>200003C0100</v>
      </c>
      <c r="B9" t="str">
        <f>"200003C01003"</f>
        <v>200003C01003</v>
      </c>
      <c r="C9" t="str">
        <f t="shared" si="0"/>
        <v>20</v>
      </c>
      <c r="D9" t="s">
        <v>81</v>
      </c>
      <c r="E9" t="str">
        <f t="shared" si="1"/>
        <v>002</v>
      </c>
      <c r="F9" t="s">
        <v>82</v>
      </c>
      <c r="G9" t="str">
        <f>"0003"</f>
        <v>0003</v>
      </c>
      <c r="H9" t="str">
        <f>"0001"</f>
        <v>0001</v>
      </c>
      <c r="I9" t="s">
        <v>89</v>
      </c>
      <c r="J9">
        <v>0</v>
      </c>
      <c r="K9">
        <v>1</v>
      </c>
      <c r="L9">
        <v>3</v>
      </c>
      <c r="M9">
        <v>167</v>
      </c>
      <c r="N9">
        <v>440</v>
      </c>
      <c r="O9">
        <v>2</v>
      </c>
      <c r="P9">
        <v>440</v>
      </c>
      <c r="Q9">
        <v>6</v>
      </c>
      <c r="R9">
        <v>106</v>
      </c>
      <c r="S9">
        <v>0</v>
      </c>
      <c r="T9">
        <v>1</v>
      </c>
      <c r="U9">
        <v>2</v>
      </c>
      <c r="V9">
        <v>4</v>
      </c>
      <c r="X9">
        <v>294</v>
      </c>
      <c r="Y9">
        <v>1</v>
      </c>
      <c r="Z9">
        <v>3</v>
      </c>
      <c r="AB9">
        <v>7</v>
      </c>
      <c r="AF9">
        <v>2</v>
      </c>
      <c r="AG9">
        <v>1</v>
      </c>
      <c r="AH9">
        <v>0</v>
      </c>
      <c r="AI9">
        <v>0</v>
      </c>
      <c r="AW9">
        <v>0</v>
      </c>
      <c r="AX9">
        <v>13</v>
      </c>
      <c r="AY9">
        <v>440</v>
      </c>
      <c r="AZ9">
        <v>440</v>
      </c>
      <c r="BA9">
        <v>563</v>
      </c>
      <c r="BB9">
        <v>44</v>
      </c>
      <c r="BD9">
        <v>1</v>
      </c>
      <c r="BF9" t="s">
        <v>90</v>
      </c>
      <c r="BG9" s="1">
        <v>44354.082638888889</v>
      </c>
      <c r="BH9" s="1">
        <v>44354.093680555554</v>
      </c>
      <c r="BI9" s="1">
        <v>44354.094155092593</v>
      </c>
      <c r="BJ9" t="s">
        <v>85</v>
      </c>
      <c r="BK9" t="s">
        <v>86</v>
      </c>
      <c r="BL9" t="s">
        <v>87</v>
      </c>
    </row>
    <row r="10" spans="1:64" x14ac:dyDescent="0.3">
      <c r="A10" t="str">
        <f>"200003C0200"</f>
        <v>200003C0200</v>
      </c>
      <c r="B10" t="str">
        <f>"200003C02003"</f>
        <v>200003C02003</v>
      </c>
      <c r="C10" t="str">
        <f t="shared" si="0"/>
        <v>20</v>
      </c>
      <c r="D10" t="s">
        <v>81</v>
      </c>
      <c r="E10" t="str">
        <f t="shared" si="1"/>
        <v>002</v>
      </c>
      <c r="F10" t="s">
        <v>82</v>
      </c>
      <c r="G10" t="str">
        <f>"0003"</f>
        <v>0003</v>
      </c>
      <c r="H10" t="str">
        <f>"0002"</f>
        <v>0002</v>
      </c>
      <c r="I10" t="s">
        <v>89</v>
      </c>
      <c r="J10">
        <v>0</v>
      </c>
      <c r="K10">
        <v>1</v>
      </c>
      <c r="L10">
        <v>3</v>
      </c>
      <c r="M10">
        <v>171</v>
      </c>
      <c r="N10">
        <v>436</v>
      </c>
      <c r="O10">
        <v>2</v>
      </c>
      <c r="P10">
        <v>436</v>
      </c>
      <c r="Q10">
        <v>3</v>
      </c>
      <c r="R10">
        <v>104</v>
      </c>
      <c r="S10">
        <v>1</v>
      </c>
      <c r="T10">
        <v>1</v>
      </c>
      <c r="U10">
        <v>0</v>
      </c>
      <c r="V10">
        <v>4</v>
      </c>
      <c r="X10">
        <v>295</v>
      </c>
      <c r="Y10">
        <v>0</v>
      </c>
      <c r="Z10">
        <v>8</v>
      </c>
      <c r="AB10">
        <v>6</v>
      </c>
      <c r="AF10">
        <v>7</v>
      </c>
      <c r="AG10">
        <v>0</v>
      </c>
      <c r="AH10">
        <v>0</v>
      </c>
      <c r="AI10">
        <v>0</v>
      </c>
      <c r="AW10">
        <v>3</v>
      </c>
      <c r="AX10">
        <v>4</v>
      </c>
      <c r="AY10">
        <v>436</v>
      </c>
      <c r="AZ10">
        <v>436</v>
      </c>
      <c r="BA10">
        <v>563</v>
      </c>
      <c r="BB10">
        <v>44</v>
      </c>
      <c r="BD10">
        <v>1</v>
      </c>
      <c r="BF10" t="s">
        <v>91</v>
      </c>
      <c r="BG10" s="1">
        <v>44353.948611111111</v>
      </c>
      <c r="BH10" s="1">
        <v>44354.090856481482</v>
      </c>
      <c r="BI10" s="1">
        <v>44354.091597222221</v>
      </c>
      <c r="BJ10" t="s">
        <v>85</v>
      </c>
      <c r="BK10" t="s">
        <v>86</v>
      </c>
      <c r="BL10" t="s">
        <v>87</v>
      </c>
    </row>
    <row r="11" spans="1:64" x14ac:dyDescent="0.3">
      <c r="A11" t="str">
        <f>"200004B0000"</f>
        <v>200004B0000</v>
      </c>
      <c r="B11" t="str">
        <f>"200004B00003"</f>
        <v>200004B00003</v>
      </c>
      <c r="C11" t="str">
        <f t="shared" si="0"/>
        <v>20</v>
      </c>
      <c r="D11" t="s">
        <v>81</v>
      </c>
      <c r="E11" t="str">
        <f t="shared" si="1"/>
        <v>002</v>
      </c>
      <c r="F11" t="s">
        <v>82</v>
      </c>
      <c r="G11" t="str">
        <f>"0004"</f>
        <v>0004</v>
      </c>
      <c r="H11" t="str">
        <f>"0000"</f>
        <v>0000</v>
      </c>
      <c r="I11" t="s">
        <v>83</v>
      </c>
      <c r="J11">
        <v>0</v>
      </c>
      <c r="K11">
        <v>1</v>
      </c>
      <c r="L11">
        <v>3</v>
      </c>
      <c r="M11">
        <v>209</v>
      </c>
      <c r="N11" t="s">
        <v>92</v>
      </c>
      <c r="O11" t="s">
        <v>92</v>
      </c>
      <c r="P11">
        <v>418</v>
      </c>
      <c r="Q11">
        <v>8</v>
      </c>
      <c r="R11">
        <v>89</v>
      </c>
      <c r="S11">
        <v>1</v>
      </c>
      <c r="T11">
        <v>3</v>
      </c>
      <c r="U11">
        <v>3</v>
      </c>
      <c r="V11">
        <v>3</v>
      </c>
      <c r="X11">
        <v>278</v>
      </c>
      <c r="Y11">
        <v>4</v>
      </c>
      <c r="Z11">
        <v>7</v>
      </c>
      <c r="AB11">
        <v>8</v>
      </c>
      <c r="AF11">
        <v>2</v>
      </c>
      <c r="AG11">
        <v>0</v>
      </c>
      <c r="AH11">
        <v>0</v>
      </c>
      <c r="AI11">
        <v>0</v>
      </c>
      <c r="AW11">
        <v>0</v>
      </c>
      <c r="AX11">
        <v>12</v>
      </c>
      <c r="AY11">
        <v>418</v>
      </c>
      <c r="AZ11">
        <v>418</v>
      </c>
      <c r="BA11">
        <v>583</v>
      </c>
      <c r="BB11">
        <v>44</v>
      </c>
      <c r="BD11">
        <v>1</v>
      </c>
      <c r="BF11" t="s">
        <v>93</v>
      </c>
      <c r="BG11" s="1">
        <v>44354.181944444441</v>
      </c>
      <c r="BH11" s="1">
        <v>44354.186643518522</v>
      </c>
      <c r="BI11" s="1">
        <v>44354.187199074076</v>
      </c>
      <c r="BJ11" t="s">
        <v>85</v>
      </c>
      <c r="BK11" t="s">
        <v>86</v>
      </c>
      <c r="BL11" t="s">
        <v>87</v>
      </c>
    </row>
    <row r="12" spans="1:64" x14ac:dyDescent="0.3">
      <c r="A12" t="str">
        <f>"200004C0100"</f>
        <v>200004C0100</v>
      </c>
      <c r="B12" t="str">
        <f>"200004C01003"</f>
        <v>200004C01003</v>
      </c>
      <c r="C12" t="str">
        <f t="shared" si="0"/>
        <v>20</v>
      </c>
      <c r="D12" t="s">
        <v>81</v>
      </c>
      <c r="E12" t="str">
        <f t="shared" si="1"/>
        <v>002</v>
      </c>
      <c r="F12" t="s">
        <v>82</v>
      </c>
      <c r="G12" t="str">
        <f>"0004"</f>
        <v>0004</v>
      </c>
      <c r="H12" t="str">
        <f>"0001"</f>
        <v>0001</v>
      </c>
      <c r="I12" t="s">
        <v>89</v>
      </c>
      <c r="J12">
        <v>0</v>
      </c>
      <c r="K12">
        <v>1</v>
      </c>
      <c r="L12">
        <v>3</v>
      </c>
      <c r="M12">
        <v>194</v>
      </c>
      <c r="N12">
        <v>2</v>
      </c>
      <c r="O12" t="s">
        <v>92</v>
      </c>
      <c r="P12" t="s">
        <v>92</v>
      </c>
      <c r="Q12">
        <v>4</v>
      </c>
      <c r="R12">
        <v>98</v>
      </c>
      <c r="S12">
        <v>2</v>
      </c>
      <c r="T12">
        <v>1</v>
      </c>
      <c r="U12">
        <v>1</v>
      </c>
      <c r="V12">
        <v>5</v>
      </c>
      <c r="X12">
        <v>278</v>
      </c>
      <c r="Y12">
        <v>1</v>
      </c>
      <c r="Z12">
        <v>10</v>
      </c>
      <c r="AB12">
        <v>7</v>
      </c>
      <c r="AF12">
        <v>6</v>
      </c>
      <c r="AG12">
        <v>1</v>
      </c>
      <c r="AH12">
        <v>0</v>
      </c>
      <c r="AI12">
        <v>2</v>
      </c>
      <c r="AW12">
        <v>1</v>
      </c>
      <c r="AX12">
        <v>15</v>
      </c>
      <c r="AY12">
        <v>442</v>
      </c>
      <c r="AZ12">
        <v>432</v>
      </c>
      <c r="BA12">
        <v>583</v>
      </c>
      <c r="BB12">
        <v>44</v>
      </c>
      <c r="BD12">
        <v>1</v>
      </c>
      <c r="BF12" t="s">
        <v>94</v>
      </c>
      <c r="BG12" s="1">
        <v>44354.179861111108</v>
      </c>
      <c r="BH12" s="1">
        <v>44354.198564814818</v>
      </c>
      <c r="BI12" s="1">
        <v>44354.206250000003</v>
      </c>
      <c r="BJ12" t="s">
        <v>85</v>
      </c>
      <c r="BK12" t="s">
        <v>86</v>
      </c>
      <c r="BL12" t="s">
        <v>87</v>
      </c>
    </row>
    <row r="13" spans="1:64" x14ac:dyDescent="0.3">
      <c r="A13" t="str">
        <f>"200004C0200"</f>
        <v>200004C0200</v>
      </c>
      <c r="B13" t="str">
        <f>"200004C02003"</f>
        <v>200004C02003</v>
      </c>
      <c r="C13" t="str">
        <f t="shared" si="0"/>
        <v>20</v>
      </c>
      <c r="D13" t="s">
        <v>81</v>
      </c>
      <c r="E13" t="str">
        <f t="shared" si="1"/>
        <v>002</v>
      </c>
      <c r="F13" t="s">
        <v>82</v>
      </c>
      <c r="G13" t="str">
        <f>"0004"</f>
        <v>0004</v>
      </c>
      <c r="H13" t="str">
        <f>"0002"</f>
        <v>0002</v>
      </c>
      <c r="I13" t="s">
        <v>89</v>
      </c>
      <c r="J13">
        <v>0</v>
      </c>
      <c r="K13">
        <v>1</v>
      </c>
      <c r="L13">
        <v>3</v>
      </c>
      <c r="M13">
        <v>220</v>
      </c>
      <c r="N13">
        <v>406</v>
      </c>
      <c r="O13">
        <v>4</v>
      </c>
      <c r="P13" t="s">
        <v>92</v>
      </c>
      <c r="Q13">
        <v>6</v>
      </c>
      <c r="R13">
        <v>86</v>
      </c>
      <c r="S13">
        <v>5</v>
      </c>
      <c r="T13">
        <v>2</v>
      </c>
      <c r="U13">
        <v>3</v>
      </c>
      <c r="V13">
        <v>4</v>
      </c>
      <c r="X13">
        <v>260</v>
      </c>
      <c r="Y13">
        <v>3</v>
      </c>
      <c r="Z13">
        <v>5</v>
      </c>
      <c r="AB13">
        <v>10</v>
      </c>
      <c r="AF13">
        <v>6</v>
      </c>
      <c r="AG13" t="s">
        <v>95</v>
      </c>
      <c r="AH13" t="s">
        <v>95</v>
      </c>
      <c r="AI13">
        <v>1</v>
      </c>
      <c r="AW13">
        <v>3</v>
      </c>
      <c r="AX13">
        <v>12</v>
      </c>
      <c r="AY13" t="s">
        <v>95</v>
      </c>
      <c r="AZ13">
        <v>406</v>
      </c>
      <c r="BA13">
        <v>582</v>
      </c>
      <c r="BB13">
        <v>44</v>
      </c>
      <c r="BC13" t="s">
        <v>96</v>
      </c>
      <c r="BD13">
        <v>1</v>
      </c>
      <c r="BF13" t="s">
        <v>97</v>
      </c>
      <c r="BG13" s="1">
        <v>44354.184027777781</v>
      </c>
      <c r="BH13" s="1">
        <v>44354.192488425928</v>
      </c>
      <c r="BI13" s="1">
        <v>44354.19327546296</v>
      </c>
      <c r="BJ13" t="s">
        <v>85</v>
      </c>
      <c r="BK13" t="s">
        <v>86</v>
      </c>
      <c r="BL13" t="s">
        <v>87</v>
      </c>
    </row>
    <row r="14" spans="1:64" x14ac:dyDescent="0.3">
      <c r="A14" t="str">
        <f>"200005B0000"</f>
        <v>200005B0000</v>
      </c>
      <c r="B14" t="str">
        <f>"200005B00003"</f>
        <v>200005B00003</v>
      </c>
      <c r="C14" t="str">
        <f t="shared" si="0"/>
        <v>20</v>
      </c>
      <c r="D14" t="s">
        <v>81</v>
      </c>
      <c r="E14" t="str">
        <f t="shared" si="1"/>
        <v>002</v>
      </c>
      <c r="F14" t="s">
        <v>82</v>
      </c>
      <c r="G14" t="str">
        <f>"0005"</f>
        <v>0005</v>
      </c>
      <c r="H14" t="str">
        <f>"0000"</f>
        <v>0000</v>
      </c>
      <c r="I14" t="s">
        <v>83</v>
      </c>
      <c r="J14">
        <v>0</v>
      </c>
      <c r="K14">
        <v>1</v>
      </c>
      <c r="L14">
        <v>3</v>
      </c>
      <c r="M14">
        <v>229</v>
      </c>
      <c r="N14">
        <v>473</v>
      </c>
      <c r="O14">
        <v>5</v>
      </c>
      <c r="P14">
        <v>473</v>
      </c>
      <c r="Q14">
        <v>9</v>
      </c>
      <c r="R14">
        <v>167</v>
      </c>
      <c r="S14">
        <v>3</v>
      </c>
      <c r="T14">
        <v>1</v>
      </c>
      <c r="U14">
        <v>1</v>
      </c>
      <c r="V14">
        <v>0</v>
      </c>
      <c r="X14">
        <v>268</v>
      </c>
      <c r="Y14">
        <v>1</v>
      </c>
      <c r="Z14">
        <v>7</v>
      </c>
      <c r="AB14">
        <v>5</v>
      </c>
      <c r="AF14">
        <v>3</v>
      </c>
      <c r="AG14">
        <v>0</v>
      </c>
      <c r="AH14">
        <v>0</v>
      </c>
      <c r="AI14">
        <v>0</v>
      </c>
      <c r="AW14">
        <v>1</v>
      </c>
      <c r="AX14">
        <v>7</v>
      </c>
      <c r="AY14">
        <v>473</v>
      </c>
      <c r="AZ14">
        <v>473</v>
      </c>
      <c r="BA14">
        <v>658</v>
      </c>
      <c r="BB14">
        <v>44</v>
      </c>
      <c r="BD14">
        <v>1</v>
      </c>
      <c r="BF14" t="s">
        <v>98</v>
      </c>
      <c r="BG14" s="1">
        <v>44353.982638888891</v>
      </c>
      <c r="BH14" s="1">
        <v>44354.089375000003</v>
      </c>
      <c r="BI14" s="1">
        <v>44354.089988425927</v>
      </c>
      <c r="BJ14" t="s">
        <v>85</v>
      </c>
      <c r="BK14" t="s">
        <v>86</v>
      </c>
      <c r="BL14" t="s">
        <v>87</v>
      </c>
    </row>
    <row r="15" spans="1:64" x14ac:dyDescent="0.3">
      <c r="A15" t="str">
        <f>"200005S0100"</f>
        <v>200005S0100</v>
      </c>
      <c r="B15" t="str">
        <f>"200005S01003E"</f>
        <v>200005S01003E</v>
      </c>
      <c r="C15" t="str">
        <f t="shared" si="0"/>
        <v>20</v>
      </c>
      <c r="D15" t="s">
        <v>81</v>
      </c>
      <c r="E15" t="str">
        <f t="shared" si="1"/>
        <v>002</v>
      </c>
      <c r="F15" t="s">
        <v>82</v>
      </c>
      <c r="G15" t="str">
        <f>"0005"</f>
        <v>0005</v>
      </c>
      <c r="H15" t="str">
        <f>"0001"</f>
        <v>0001</v>
      </c>
      <c r="I15" t="s">
        <v>99</v>
      </c>
      <c r="J15">
        <v>0</v>
      </c>
      <c r="K15">
        <v>1</v>
      </c>
      <c r="L15" t="s">
        <v>100</v>
      </c>
      <c r="M15">
        <v>954</v>
      </c>
      <c r="N15">
        <v>46</v>
      </c>
      <c r="O15">
        <v>0</v>
      </c>
      <c r="P15">
        <v>46</v>
      </c>
      <c r="Q15">
        <v>0</v>
      </c>
      <c r="R15">
        <v>19</v>
      </c>
      <c r="S15">
        <v>1</v>
      </c>
      <c r="T15">
        <v>0</v>
      </c>
      <c r="U15">
        <v>0</v>
      </c>
      <c r="V15">
        <v>0</v>
      </c>
      <c r="X15">
        <v>20</v>
      </c>
      <c r="Y15">
        <v>0</v>
      </c>
      <c r="Z15">
        <v>2</v>
      </c>
      <c r="AB15">
        <v>0</v>
      </c>
      <c r="AF15">
        <v>1</v>
      </c>
      <c r="AG15">
        <v>0</v>
      </c>
      <c r="AH15">
        <v>1</v>
      </c>
      <c r="AI15">
        <v>0</v>
      </c>
      <c r="AW15">
        <v>1</v>
      </c>
      <c r="AX15">
        <v>1</v>
      </c>
      <c r="AY15">
        <v>46</v>
      </c>
      <c r="AZ15">
        <v>46</v>
      </c>
      <c r="BA15">
        <v>0</v>
      </c>
      <c r="BB15">
        <v>44</v>
      </c>
      <c r="BD15">
        <v>1</v>
      </c>
      <c r="BF15" t="s">
        <v>101</v>
      </c>
      <c r="BG15" s="1">
        <v>44354.082638888889</v>
      </c>
      <c r="BH15" s="1">
        <v>44354.091122685182</v>
      </c>
      <c r="BI15" s="1">
        <v>44354.09165509259</v>
      </c>
      <c r="BJ15" t="s">
        <v>85</v>
      </c>
      <c r="BK15" t="s">
        <v>86</v>
      </c>
      <c r="BL15" t="s">
        <v>87</v>
      </c>
    </row>
    <row r="16" spans="1:64" x14ac:dyDescent="0.3">
      <c r="A16" t="str">
        <f>"200006B0000"</f>
        <v>200006B0000</v>
      </c>
      <c r="B16" t="str">
        <f>"200006B00003"</f>
        <v>200006B00003</v>
      </c>
      <c r="C16" t="str">
        <f t="shared" si="0"/>
        <v>20</v>
      </c>
      <c r="D16" t="s">
        <v>81</v>
      </c>
      <c r="E16" t="str">
        <f t="shared" si="1"/>
        <v>002</v>
      </c>
      <c r="F16" t="s">
        <v>82</v>
      </c>
      <c r="G16" t="str">
        <f>"0006"</f>
        <v>0006</v>
      </c>
      <c r="H16" t="str">
        <f>"0000"</f>
        <v>0000</v>
      </c>
      <c r="I16" t="s">
        <v>83</v>
      </c>
      <c r="J16">
        <v>0</v>
      </c>
      <c r="K16">
        <v>1</v>
      </c>
      <c r="L16">
        <v>3</v>
      </c>
      <c r="M16">
        <v>183</v>
      </c>
      <c r="N16">
        <v>411</v>
      </c>
      <c r="O16">
        <v>5</v>
      </c>
      <c r="P16">
        <v>411</v>
      </c>
      <c r="Q16">
        <v>10</v>
      </c>
      <c r="R16">
        <v>106</v>
      </c>
      <c r="S16">
        <v>1</v>
      </c>
      <c r="T16">
        <v>1</v>
      </c>
      <c r="U16">
        <v>2</v>
      </c>
      <c r="V16">
        <v>2</v>
      </c>
      <c r="X16">
        <v>256</v>
      </c>
      <c r="Y16">
        <v>2</v>
      </c>
      <c r="Z16">
        <v>7</v>
      </c>
      <c r="AB16">
        <v>5</v>
      </c>
      <c r="AF16">
        <v>8</v>
      </c>
      <c r="AG16">
        <v>2</v>
      </c>
      <c r="AH16">
        <v>0</v>
      </c>
      <c r="AI16">
        <v>0</v>
      </c>
      <c r="AW16">
        <v>0</v>
      </c>
      <c r="AX16">
        <v>9</v>
      </c>
      <c r="AY16">
        <v>411</v>
      </c>
      <c r="AZ16">
        <v>411</v>
      </c>
      <c r="BA16">
        <v>550</v>
      </c>
      <c r="BB16">
        <v>44</v>
      </c>
      <c r="BD16">
        <v>1</v>
      </c>
      <c r="BF16" t="s">
        <v>102</v>
      </c>
      <c r="BG16" s="1">
        <v>44354.12777777778</v>
      </c>
      <c r="BH16" s="1">
        <v>44354.133032407408</v>
      </c>
      <c r="BI16" s="1">
        <v>44354.133634259262</v>
      </c>
      <c r="BJ16" t="s">
        <v>85</v>
      </c>
      <c r="BK16" t="s">
        <v>86</v>
      </c>
      <c r="BL16" t="s">
        <v>87</v>
      </c>
    </row>
    <row r="17" spans="1:64" x14ac:dyDescent="0.3">
      <c r="A17" t="str">
        <f>"200006C0100"</f>
        <v>200006C0100</v>
      </c>
      <c r="B17" t="str">
        <f>"200006C01003"</f>
        <v>200006C01003</v>
      </c>
      <c r="C17" t="str">
        <f t="shared" si="0"/>
        <v>20</v>
      </c>
      <c r="D17" t="s">
        <v>81</v>
      </c>
      <c r="E17" t="str">
        <f t="shared" si="1"/>
        <v>002</v>
      </c>
      <c r="F17" t="s">
        <v>82</v>
      </c>
      <c r="G17" t="str">
        <f>"0006"</f>
        <v>0006</v>
      </c>
      <c r="H17" t="str">
        <f>"0001"</f>
        <v>0001</v>
      </c>
      <c r="I17" t="s">
        <v>89</v>
      </c>
      <c r="J17">
        <v>0</v>
      </c>
      <c r="K17">
        <v>1</v>
      </c>
      <c r="L17">
        <v>3</v>
      </c>
      <c r="M17">
        <v>190</v>
      </c>
      <c r="N17">
        <v>404</v>
      </c>
      <c r="O17">
        <v>5</v>
      </c>
      <c r="P17">
        <v>404</v>
      </c>
      <c r="Q17">
        <v>8</v>
      </c>
      <c r="R17">
        <v>110</v>
      </c>
      <c r="S17">
        <v>6</v>
      </c>
      <c r="T17">
        <v>1</v>
      </c>
      <c r="U17">
        <v>1</v>
      </c>
      <c r="V17">
        <v>3</v>
      </c>
      <c r="X17">
        <v>248</v>
      </c>
      <c r="Y17">
        <v>1</v>
      </c>
      <c r="Z17">
        <v>11</v>
      </c>
      <c r="AB17">
        <v>4</v>
      </c>
      <c r="AF17">
        <v>2</v>
      </c>
      <c r="AG17">
        <v>1</v>
      </c>
      <c r="AH17">
        <v>1</v>
      </c>
      <c r="AI17">
        <v>0</v>
      </c>
      <c r="AW17">
        <v>0</v>
      </c>
      <c r="AX17">
        <v>7</v>
      </c>
      <c r="AY17">
        <v>404</v>
      </c>
      <c r="AZ17">
        <v>404</v>
      </c>
      <c r="BA17">
        <v>550</v>
      </c>
      <c r="BB17">
        <v>44</v>
      </c>
      <c r="BD17">
        <v>1</v>
      </c>
      <c r="BF17" t="s">
        <v>103</v>
      </c>
      <c r="BG17" s="1">
        <v>44354.128472222219</v>
      </c>
      <c r="BH17" s="1">
        <v>44354.138622685183</v>
      </c>
      <c r="BI17" s="1">
        <v>44354.139155092591</v>
      </c>
      <c r="BJ17" t="s">
        <v>85</v>
      </c>
      <c r="BK17" t="s">
        <v>86</v>
      </c>
      <c r="BL17" t="s">
        <v>87</v>
      </c>
    </row>
    <row r="18" spans="1:64" x14ac:dyDescent="0.3">
      <c r="A18" t="str">
        <f>"200006C0200"</f>
        <v>200006C0200</v>
      </c>
      <c r="B18" t="str">
        <f>"200006C02003"</f>
        <v>200006C02003</v>
      </c>
      <c r="C18" t="str">
        <f t="shared" si="0"/>
        <v>20</v>
      </c>
      <c r="D18" t="s">
        <v>81</v>
      </c>
      <c r="E18" t="str">
        <f t="shared" si="1"/>
        <v>002</v>
      </c>
      <c r="F18" t="s">
        <v>82</v>
      </c>
      <c r="G18" t="str">
        <f>"0006"</f>
        <v>0006</v>
      </c>
      <c r="H18" t="str">
        <f>"0002"</f>
        <v>0002</v>
      </c>
      <c r="I18" t="s">
        <v>89</v>
      </c>
      <c r="J18">
        <v>0</v>
      </c>
      <c r="K18">
        <v>1</v>
      </c>
      <c r="L18">
        <v>3</v>
      </c>
      <c r="M18">
        <v>186</v>
      </c>
      <c r="N18">
        <v>407</v>
      </c>
      <c r="O18">
        <v>8</v>
      </c>
      <c r="P18">
        <v>407</v>
      </c>
      <c r="Q18">
        <v>17</v>
      </c>
      <c r="R18">
        <v>70</v>
      </c>
      <c r="S18">
        <v>8</v>
      </c>
      <c r="T18">
        <v>2</v>
      </c>
      <c r="U18">
        <v>2</v>
      </c>
      <c r="V18">
        <v>5</v>
      </c>
      <c r="X18">
        <v>274</v>
      </c>
      <c r="Y18">
        <v>5</v>
      </c>
      <c r="Z18">
        <v>9</v>
      </c>
      <c r="AB18">
        <v>3</v>
      </c>
      <c r="AF18">
        <v>3</v>
      </c>
      <c r="AG18">
        <v>0</v>
      </c>
      <c r="AH18">
        <v>0</v>
      </c>
      <c r="AI18">
        <v>0</v>
      </c>
      <c r="AW18">
        <v>0</v>
      </c>
      <c r="AX18">
        <v>9</v>
      </c>
      <c r="AY18">
        <v>407</v>
      </c>
      <c r="AZ18">
        <v>407</v>
      </c>
      <c r="BA18">
        <v>549</v>
      </c>
      <c r="BB18">
        <v>44</v>
      </c>
      <c r="BD18">
        <v>1</v>
      </c>
      <c r="BF18" t="s">
        <v>104</v>
      </c>
      <c r="BG18" s="1">
        <v>44354.12777777778</v>
      </c>
      <c r="BH18" s="1">
        <v>44354.13</v>
      </c>
      <c r="BI18" s="1">
        <v>44354.130613425928</v>
      </c>
      <c r="BJ18" t="s">
        <v>85</v>
      </c>
      <c r="BK18" t="s">
        <v>86</v>
      </c>
      <c r="BL18" t="s">
        <v>87</v>
      </c>
    </row>
    <row r="19" spans="1:64" x14ac:dyDescent="0.3">
      <c r="A19" t="str">
        <f>"200007B0000"</f>
        <v>200007B0000</v>
      </c>
      <c r="B19" t="str">
        <f>"200007B00003"</f>
        <v>200007B00003</v>
      </c>
      <c r="C19" t="str">
        <f t="shared" si="0"/>
        <v>20</v>
      </c>
      <c r="D19" t="s">
        <v>81</v>
      </c>
      <c r="E19" t="str">
        <f t="shared" si="1"/>
        <v>002</v>
      </c>
      <c r="F19" t="s">
        <v>82</v>
      </c>
      <c r="G19" t="str">
        <f>"0007"</f>
        <v>0007</v>
      </c>
      <c r="H19" t="str">
        <f>"0000"</f>
        <v>0000</v>
      </c>
      <c r="I19" t="s">
        <v>83</v>
      </c>
      <c r="J19">
        <v>0</v>
      </c>
      <c r="K19">
        <v>1</v>
      </c>
      <c r="L19">
        <v>3</v>
      </c>
      <c r="M19">
        <v>147</v>
      </c>
      <c r="N19">
        <v>365</v>
      </c>
      <c r="O19">
        <v>5</v>
      </c>
      <c r="P19" t="s">
        <v>92</v>
      </c>
      <c r="Q19">
        <v>4</v>
      </c>
      <c r="R19">
        <v>65</v>
      </c>
      <c r="S19">
        <v>6</v>
      </c>
      <c r="T19">
        <v>0</v>
      </c>
      <c r="U19">
        <v>3</v>
      </c>
      <c r="V19">
        <v>2</v>
      </c>
      <c r="X19">
        <v>247</v>
      </c>
      <c r="Y19">
        <v>6</v>
      </c>
      <c r="Z19">
        <v>8</v>
      </c>
      <c r="AB19">
        <v>12</v>
      </c>
      <c r="AF19">
        <v>2</v>
      </c>
      <c r="AG19">
        <v>0</v>
      </c>
      <c r="AH19">
        <v>0</v>
      </c>
      <c r="AI19">
        <v>0</v>
      </c>
      <c r="AW19">
        <v>0</v>
      </c>
      <c r="AX19">
        <v>8</v>
      </c>
      <c r="AY19">
        <v>365</v>
      </c>
      <c r="AZ19">
        <v>363</v>
      </c>
      <c r="BA19">
        <v>469</v>
      </c>
      <c r="BB19">
        <v>44</v>
      </c>
      <c r="BD19">
        <v>1</v>
      </c>
      <c r="BF19" t="s">
        <v>105</v>
      </c>
      <c r="BG19" s="1">
        <v>44354.129166666666</v>
      </c>
      <c r="BH19" s="1">
        <v>44354.133043981485</v>
      </c>
      <c r="BI19" s="1">
        <v>44354.13354166667</v>
      </c>
      <c r="BJ19" t="s">
        <v>85</v>
      </c>
      <c r="BK19" t="s">
        <v>86</v>
      </c>
      <c r="BL19" t="s">
        <v>87</v>
      </c>
    </row>
    <row r="20" spans="1:64" x14ac:dyDescent="0.3">
      <c r="A20" t="str">
        <f>"200007C0100"</f>
        <v>200007C0100</v>
      </c>
      <c r="B20" t="str">
        <f>"200007C01003"</f>
        <v>200007C01003</v>
      </c>
      <c r="C20" t="str">
        <f t="shared" si="0"/>
        <v>20</v>
      </c>
      <c r="D20" t="s">
        <v>81</v>
      </c>
      <c r="E20" t="str">
        <f t="shared" si="1"/>
        <v>002</v>
      </c>
      <c r="F20" t="s">
        <v>82</v>
      </c>
      <c r="G20" t="str">
        <f>"0007"</f>
        <v>0007</v>
      </c>
      <c r="H20" t="str">
        <f>"0001"</f>
        <v>0001</v>
      </c>
      <c r="I20" t="s">
        <v>89</v>
      </c>
      <c r="J20">
        <v>0</v>
      </c>
      <c r="K20">
        <v>1</v>
      </c>
      <c r="L20">
        <v>3</v>
      </c>
      <c r="M20">
        <v>182</v>
      </c>
      <c r="N20">
        <v>330</v>
      </c>
      <c r="O20">
        <v>6</v>
      </c>
      <c r="P20">
        <v>330</v>
      </c>
      <c r="Q20">
        <v>6</v>
      </c>
      <c r="R20">
        <v>75</v>
      </c>
      <c r="S20">
        <v>3</v>
      </c>
      <c r="T20">
        <v>0</v>
      </c>
      <c r="U20">
        <v>2</v>
      </c>
      <c r="V20">
        <v>6</v>
      </c>
      <c r="X20">
        <v>211</v>
      </c>
      <c r="Y20">
        <v>4</v>
      </c>
      <c r="Z20">
        <v>6</v>
      </c>
      <c r="AB20">
        <v>8</v>
      </c>
      <c r="AF20">
        <v>0</v>
      </c>
      <c r="AG20">
        <v>0</v>
      </c>
      <c r="AH20">
        <v>0</v>
      </c>
      <c r="AI20">
        <v>0</v>
      </c>
      <c r="AW20">
        <v>0</v>
      </c>
      <c r="AX20">
        <v>9</v>
      </c>
      <c r="AY20">
        <v>330</v>
      </c>
      <c r="AZ20">
        <v>330</v>
      </c>
      <c r="BA20">
        <v>468</v>
      </c>
      <c r="BB20">
        <v>44</v>
      </c>
      <c r="BD20">
        <v>1</v>
      </c>
      <c r="BF20" t="s">
        <v>106</v>
      </c>
      <c r="BG20" s="1">
        <v>44354.129861111112</v>
      </c>
      <c r="BH20" s="1">
        <v>44354.135821759257</v>
      </c>
      <c r="BI20" s="1">
        <v>44354.136296296296</v>
      </c>
      <c r="BJ20" t="s">
        <v>85</v>
      </c>
      <c r="BK20" t="s">
        <v>86</v>
      </c>
      <c r="BL20" t="s">
        <v>87</v>
      </c>
    </row>
    <row r="21" spans="1:64" x14ac:dyDescent="0.3">
      <c r="A21" t="str">
        <f>"200008B0000"</f>
        <v>200008B0000</v>
      </c>
      <c r="B21" t="str">
        <f>"200008B00003"</f>
        <v>200008B00003</v>
      </c>
      <c r="C21" t="str">
        <f t="shared" si="0"/>
        <v>20</v>
      </c>
      <c r="D21" t="s">
        <v>81</v>
      </c>
      <c r="E21" t="str">
        <f t="shared" si="1"/>
        <v>002</v>
      </c>
      <c r="F21" t="s">
        <v>82</v>
      </c>
      <c r="G21" t="str">
        <f>"0008"</f>
        <v>0008</v>
      </c>
      <c r="H21" t="str">
        <f>"0000"</f>
        <v>0000</v>
      </c>
      <c r="I21" t="s">
        <v>83</v>
      </c>
      <c r="J21">
        <v>0</v>
      </c>
      <c r="K21">
        <v>1</v>
      </c>
      <c r="L21">
        <v>3</v>
      </c>
      <c r="M21">
        <v>141</v>
      </c>
      <c r="N21">
        <v>288</v>
      </c>
      <c r="O21">
        <v>7</v>
      </c>
      <c r="P21">
        <v>288</v>
      </c>
      <c r="Q21">
        <v>11</v>
      </c>
      <c r="R21">
        <v>75</v>
      </c>
      <c r="S21">
        <v>2</v>
      </c>
      <c r="T21">
        <v>2</v>
      </c>
      <c r="U21">
        <v>2</v>
      </c>
      <c r="V21">
        <v>0</v>
      </c>
      <c r="X21">
        <v>168</v>
      </c>
      <c r="Y21">
        <v>1</v>
      </c>
      <c r="Z21">
        <v>6</v>
      </c>
      <c r="AB21">
        <v>2</v>
      </c>
      <c r="AF21">
        <v>0</v>
      </c>
      <c r="AG21">
        <v>1</v>
      </c>
      <c r="AH21">
        <v>2</v>
      </c>
      <c r="AI21">
        <v>3</v>
      </c>
      <c r="AW21">
        <v>1</v>
      </c>
      <c r="AX21">
        <v>4</v>
      </c>
      <c r="AY21">
        <v>288</v>
      </c>
      <c r="AZ21">
        <v>280</v>
      </c>
      <c r="BA21">
        <v>385</v>
      </c>
      <c r="BB21">
        <v>44</v>
      </c>
      <c r="BD21">
        <v>1</v>
      </c>
      <c r="BF21" t="s">
        <v>107</v>
      </c>
      <c r="BG21" s="1">
        <v>44354.181944444441</v>
      </c>
      <c r="BH21" s="1">
        <v>44354.188101851854</v>
      </c>
      <c r="BI21" s="1">
        <v>44354.188831018517</v>
      </c>
      <c r="BJ21" t="s">
        <v>85</v>
      </c>
      <c r="BK21" t="s">
        <v>86</v>
      </c>
      <c r="BL21" t="s">
        <v>87</v>
      </c>
    </row>
    <row r="22" spans="1:64" x14ac:dyDescent="0.3">
      <c r="A22" t="str">
        <f>"200008C0100"</f>
        <v>200008C0100</v>
      </c>
      <c r="B22" t="str">
        <f>"200008C01003"</f>
        <v>200008C01003</v>
      </c>
      <c r="C22" t="str">
        <f t="shared" si="0"/>
        <v>20</v>
      </c>
      <c r="D22" t="s">
        <v>81</v>
      </c>
      <c r="E22" t="str">
        <f t="shared" si="1"/>
        <v>002</v>
      </c>
      <c r="F22" t="s">
        <v>82</v>
      </c>
      <c r="G22" t="str">
        <f>"0008"</f>
        <v>0008</v>
      </c>
      <c r="H22" t="str">
        <f>"0001"</f>
        <v>0001</v>
      </c>
      <c r="I22" t="s">
        <v>89</v>
      </c>
      <c r="J22">
        <v>0</v>
      </c>
      <c r="K22">
        <v>1</v>
      </c>
      <c r="L22">
        <v>3</v>
      </c>
      <c r="M22">
        <v>145</v>
      </c>
      <c r="N22">
        <v>283</v>
      </c>
      <c r="O22">
        <v>4</v>
      </c>
      <c r="P22">
        <v>283</v>
      </c>
      <c r="Q22">
        <v>5</v>
      </c>
      <c r="R22">
        <v>69</v>
      </c>
      <c r="S22">
        <v>3</v>
      </c>
      <c r="T22">
        <v>2</v>
      </c>
      <c r="U22">
        <v>1</v>
      </c>
      <c r="V22">
        <v>1</v>
      </c>
      <c r="X22">
        <v>177</v>
      </c>
      <c r="Y22">
        <v>1</v>
      </c>
      <c r="Z22">
        <v>5</v>
      </c>
      <c r="AB22">
        <v>7</v>
      </c>
      <c r="AF22">
        <v>6</v>
      </c>
      <c r="AG22">
        <v>2</v>
      </c>
      <c r="AH22">
        <v>0</v>
      </c>
      <c r="AI22">
        <v>0</v>
      </c>
      <c r="AW22">
        <v>0</v>
      </c>
      <c r="AX22">
        <v>4</v>
      </c>
      <c r="AY22">
        <v>283</v>
      </c>
      <c r="AZ22">
        <v>283</v>
      </c>
      <c r="BA22">
        <v>384</v>
      </c>
      <c r="BB22">
        <v>44</v>
      </c>
      <c r="BD22">
        <v>1</v>
      </c>
      <c r="BF22" t="s">
        <v>108</v>
      </c>
      <c r="BG22" s="1">
        <v>44354.182638888888</v>
      </c>
      <c r="BH22" s="1">
        <v>44354.188599537039</v>
      </c>
      <c r="BI22" s="1">
        <v>44354.189513888887</v>
      </c>
      <c r="BJ22" t="s">
        <v>85</v>
      </c>
      <c r="BK22" t="s">
        <v>86</v>
      </c>
      <c r="BL22" t="s">
        <v>87</v>
      </c>
    </row>
    <row r="23" spans="1:64" x14ac:dyDescent="0.3">
      <c r="A23" t="str">
        <f>"200009B0000"</f>
        <v>200009B0000</v>
      </c>
      <c r="B23" t="str">
        <f>"200009B00003"</f>
        <v>200009B00003</v>
      </c>
      <c r="C23" t="str">
        <f t="shared" si="0"/>
        <v>20</v>
      </c>
      <c r="D23" t="s">
        <v>81</v>
      </c>
      <c r="E23" t="str">
        <f t="shared" si="1"/>
        <v>002</v>
      </c>
      <c r="F23" t="s">
        <v>82</v>
      </c>
      <c r="G23" t="str">
        <f>"0009"</f>
        <v>0009</v>
      </c>
      <c r="H23" t="str">
        <f>"0000"</f>
        <v>0000</v>
      </c>
      <c r="I23" t="s">
        <v>83</v>
      </c>
      <c r="J23">
        <v>0</v>
      </c>
      <c r="K23">
        <v>1</v>
      </c>
      <c r="L23">
        <v>3</v>
      </c>
      <c r="M23">
        <v>210</v>
      </c>
      <c r="N23">
        <v>511</v>
      </c>
      <c r="O23">
        <v>5</v>
      </c>
      <c r="P23">
        <v>511</v>
      </c>
      <c r="Q23">
        <v>6</v>
      </c>
      <c r="R23">
        <v>76</v>
      </c>
      <c r="S23">
        <v>17</v>
      </c>
      <c r="T23">
        <v>2</v>
      </c>
      <c r="U23">
        <v>0</v>
      </c>
      <c r="V23">
        <v>1</v>
      </c>
      <c r="X23">
        <v>375</v>
      </c>
      <c r="Y23">
        <v>4</v>
      </c>
      <c r="Z23">
        <v>3</v>
      </c>
      <c r="AB23">
        <v>9</v>
      </c>
      <c r="AF23">
        <v>11</v>
      </c>
      <c r="AG23">
        <v>0</v>
      </c>
      <c r="AH23">
        <v>0</v>
      </c>
      <c r="AI23">
        <v>0</v>
      </c>
      <c r="AW23">
        <v>1</v>
      </c>
      <c r="AX23">
        <v>6</v>
      </c>
      <c r="AY23">
        <v>511</v>
      </c>
      <c r="AZ23">
        <v>511</v>
      </c>
      <c r="BA23">
        <v>677</v>
      </c>
      <c r="BB23">
        <v>44</v>
      </c>
      <c r="BD23">
        <v>1</v>
      </c>
      <c r="BF23" t="s">
        <v>109</v>
      </c>
      <c r="BG23" s="1">
        <v>44354.180555555555</v>
      </c>
      <c r="BH23" s="1">
        <v>44354.191261574073</v>
      </c>
      <c r="BI23" s="1">
        <v>44354.191643518519</v>
      </c>
      <c r="BJ23" t="s">
        <v>85</v>
      </c>
      <c r="BK23" t="s">
        <v>86</v>
      </c>
      <c r="BL23" t="s">
        <v>87</v>
      </c>
    </row>
    <row r="24" spans="1:64" x14ac:dyDescent="0.3">
      <c r="A24" t="str">
        <f>"200010B0000"</f>
        <v>200010B0000</v>
      </c>
      <c r="B24" t="str">
        <f>"200010B00003"</f>
        <v>200010B00003</v>
      </c>
      <c r="C24" t="str">
        <f t="shared" si="0"/>
        <v>20</v>
      </c>
      <c r="D24" t="s">
        <v>81</v>
      </c>
      <c r="E24" t="str">
        <f t="shared" si="1"/>
        <v>002</v>
      </c>
      <c r="F24" t="s">
        <v>82</v>
      </c>
      <c r="G24" t="str">
        <f>"0010"</f>
        <v>0010</v>
      </c>
      <c r="H24" t="str">
        <f>"0000"</f>
        <v>0000</v>
      </c>
      <c r="I24" t="s">
        <v>83</v>
      </c>
      <c r="J24">
        <v>0</v>
      </c>
      <c r="K24">
        <v>1</v>
      </c>
      <c r="L24">
        <v>3</v>
      </c>
      <c r="M24">
        <v>190</v>
      </c>
      <c r="N24">
        <v>459</v>
      </c>
      <c r="O24">
        <v>6</v>
      </c>
      <c r="P24">
        <v>459</v>
      </c>
      <c r="Q24">
        <v>13</v>
      </c>
      <c r="R24">
        <v>93</v>
      </c>
      <c r="S24">
        <v>1</v>
      </c>
      <c r="T24">
        <v>0</v>
      </c>
      <c r="U24">
        <v>0</v>
      </c>
      <c r="V24">
        <v>2</v>
      </c>
      <c r="X24">
        <v>332</v>
      </c>
      <c r="Y24">
        <v>1</v>
      </c>
      <c r="Z24">
        <v>8</v>
      </c>
      <c r="AB24">
        <v>5</v>
      </c>
      <c r="AF24">
        <v>4</v>
      </c>
      <c r="AG24">
        <v>0</v>
      </c>
      <c r="AH24">
        <v>0</v>
      </c>
      <c r="AI24">
        <v>0</v>
      </c>
      <c r="AW24">
        <v>0</v>
      </c>
      <c r="AX24">
        <v>0</v>
      </c>
      <c r="AY24">
        <v>459</v>
      </c>
      <c r="AZ24">
        <v>459</v>
      </c>
      <c r="BA24">
        <v>605</v>
      </c>
      <c r="BB24">
        <v>44</v>
      </c>
      <c r="BD24">
        <v>1</v>
      </c>
      <c r="BF24" t="s">
        <v>110</v>
      </c>
      <c r="BG24" s="1">
        <v>44354.083333333336</v>
      </c>
      <c r="BH24" s="1">
        <v>44354.090868055559</v>
      </c>
      <c r="BI24" s="1">
        <v>44354.09134259259</v>
      </c>
      <c r="BJ24" t="s">
        <v>85</v>
      </c>
      <c r="BK24" t="s">
        <v>86</v>
      </c>
      <c r="BL24" t="s">
        <v>87</v>
      </c>
    </row>
    <row r="25" spans="1:64" x14ac:dyDescent="0.3">
      <c r="A25" t="str">
        <f>"200010C0100"</f>
        <v>200010C0100</v>
      </c>
      <c r="B25" t="str">
        <f>"200010C01003"</f>
        <v>200010C01003</v>
      </c>
      <c r="C25" t="str">
        <f t="shared" si="0"/>
        <v>20</v>
      </c>
      <c r="D25" t="s">
        <v>81</v>
      </c>
      <c r="E25" t="str">
        <f t="shared" si="1"/>
        <v>002</v>
      </c>
      <c r="F25" t="s">
        <v>82</v>
      </c>
      <c r="G25" t="str">
        <f>"0010"</f>
        <v>0010</v>
      </c>
      <c r="H25" t="str">
        <f>"0001"</f>
        <v>0001</v>
      </c>
      <c r="I25" t="s">
        <v>89</v>
      </c>
      <c r="J25">
        <v>0</v>
      </c>
      <c r="K25">
        <v>1</v>
      </c>
      <c r="L25">
        <v>3</v>
      </c>
      <c r="M25">
        <v>193</v>
      </c>
      <c r="N25">
        <v>455</v>
      </c>
      <c r="O25">
        <v>2</v>
      </c>
      <c r="P25">
        <v>455</v>
      </c>
      <c r="Q25">
        <v>10</v>
      </c>
      <c r="R25">
        <v>66</v>
      </c>
      <c r="S25">
        <v>0</v>
      </c>
      <c r="T25">
        <v>1</v>
      </c>
      <c r="U25">
        <v>2</v>
      </c>
      <c r="V25">
        <v>5</v>
      </c>
      <c r="X25">
        <v>336</v>
      </c>
      <c r="Y25">
        <v>3</v>
      </c>
      <c r="Z25">
        <v>15</v>
      </c>
      <c r="AB25">
        <v>4</v>
      </c>
      <c r="AF25">
        <v>3</v>
      </c>
      <c r="AG25">
        <v>1</v>
      </c>
      <c r="AH25">
        <v>0</v>
      </c>
      <c r="AI25">
        <v>0</v>
      </c>
      <c r="AW25">
        <v>0</v>
      </c>
      <c r="AX25">
        <v>9</v>
      </c>
      <c r="AY25">
        <v>455</v>
      </c>
      <c r="AZ25">
        <v>455</v>
      </c>
      <c r="BA25">
        <v>604</v>
      </c>
      <c r="BB25">
        <v>44</v>
      </c>
      <c r="BD25">
        <v>1</v>
      </c>
      <c r="BF25" t="s">
        <v>111</v>
      </c>
      <c r="BG25" s="1">
        <v>44354.084027777775</v>
      </c>
      <c r="BH25" s="1">
        <v>44354.091782407406</v>
      </c>
      <c r="BI25" s="1">
        <v>44354.092256944445</v>
      </c>
      <c r="BJ25" t="s">
        <v>85</v>
      </c>
      <c r="BK25" t="s">
        <v>86</v>
      </c>
      <c r="BL25" t="s">
        <v>87</v>
      </c>
    </row>
    <row r="26" spans="1:64" x14ac:dyDescent="0.3">
      <c r="A26" t="str">
        <f>"200011B0000"</f>
        <v>200011B0000</v>
      </c>
      <c r="B26" t="str">
        <f>"200011B00003"</f>
        <v>200011B00003</v>
      </c>
      <c r="C26" t="str">
        <f t="shared" si="0"/>
        <v>20</v>
      </c>
      <c r="D26" t="s">
        <v>81</v>
      </c>
      <c r="E26" t="str">
        <f t="shared" si="1"/>
        <v>002</v>
      </c>
      <c r="F26" t="s">
        <v>82</v>
      </c>
      <c r="G26" t="str">
        <f>"0011"</f>
        <v>0011</v>
      </c>
      <c r="H26" t="str">
        <f>"0000"</f>
        <v>0000</v>
      </c>
      <c r="I26" t="s">
        <v>83</v>
      </c>
      <c r="J26">
        <v>0</v>
      </c>
      <c r="K26">
        <v>1</v>
      </c>
      <c r="L26">
        <v>3</v>
      </c>
      <c r="M26">
        <v>221</v>
      </c>
      <c r="N26">
        <v>345</v>
      </c>
      <c r="O26">
        <v>3</v>
      </c>
      <c r="P26">
        <v>345</v>
      </c>
      <c r="Q26">
        <v>8</v>
      </c>
      <c r="R26">
        <v>76</v>
      </c>
      <c r="S26">
        <v>3</v>
      </c>
      <c r="T26">
        <v>1</v>
      </c>
      <c r="U26">
        <v>3</v>
      </c>
      <c r="V26">
        <v>2</v>
      </c>
      <c r="X26">
        <v>229</v>
      </c>
      <c r="Y26">
        <v>0</v>
      </c>
      <c r="Z26">
        <v>8</v>
      </c>
      <c r="AB26">
        <v>7</v>
      </c>
      <c r="AF26">
        <v>3</v>
      </c>
      <c r="AG26">
        <v>0</v>
      </c>
      <c r="AH26">
        <v>0</v>
      </c>
      <c r="AI26">
        <v>0</v>
      </c>
      <c r="AW26">
        <v>0</v>
      </c>
      <c r="AX26">
        <v>5</v>
      </c>
      <c r="AY26">
        <v>345</v>
      </c>
      <c r="AZ26">
        <v>345</v>
      </c>
      <c r="BA26">
        <v>522</v>
      </c>
      <c r="BB26">
        <v>44</v>
      </c>
      <c r="BD26">
        <v>1</v>
      </c>
      <c r="BF26" t="s">
        <v>112</v>
      </c>
      <c r="BG26" s="1">
        <v>44354.082638888889</v>
      </c>
      <c r="BH26" s="1">
        <v>44354.08997685185</v>
      </c>
      <c r="BI26" s="1">
        <v>44354.090358796297</v>
      </c>
      <c r="BJ26" t="s">
        <v>85</v>
      </c>
      <c r="BK26" t="s">
        <v>86</v>
      </c>
      <c r="BL26" t="s">
        <v>87</v>
      </c>
    </row>
    <row r="27" spans="1:64" x14ac:dyDescent="0.3">
      <c r="A27" t="str">
        <f>"200011C0100"</f>
        <v>200011C0100</v>
      </c>
      <c r="B27" t="str">
        <f>"200011C01003"</f>
        <v>200011C01003</v>
      </c>
      <c r="C27" t="str">
        <f t="shared" si="0"/>
        <v>20</v>
      </c>
      <c r="D27" t="s">
        <v>81</v>
      </c>
      <c r="E27" t="str">
        <f t="shared" si="1"/>
        <v>002</v>
      </c>
      <c r="F27" t="s">
        <v>82</v>
      </c>
      <c r="G27" t="str">
        <f>"0011"</f>
        <v>0011</v>
      </c>
      <c r="H27" t="str">
        <f>"0001"</f>
        <v>0001</v>
      </c>
      <c r="I27" t="s">
        <v>89</v>
      </c>
      <c r="J27">
        <v>0</v>
      </c>
      <c r="K27">
        <v>1</v>
      </c>
      <c r="L27">
        <v>3</v>
      </c>
      <c r="M27">
        <v>201</v>
      </c>
      <c r="N27">
        <v>364</v>
      </c>
      <c r="O27">
        <v>1</v>
      </c>
      <c r="P27">
        <v>364</v>
      </c>
      <c r="Q27">
        <v>8</v>
      </c>
      <c r="R27">
        <v>72</v>
      </c>
      <c r="S27">
        <v>1</v>
      </c>
      <c r="T27">
        <v>1</v>
      </c>
      <c r="U27">
        <v>3</v>
      </c>
      <c r="V27">
        <v>2</v>
      </c>
      <c r="X27">
        <v>232</v>
      </c>
      <c r="Y27">
        <v>2</v>
      </c>
      <c r="Z27">
        <v>19</v>
      </c>
      <c r="AB27">
        <v>6</v>
      </c>
      <c r="AF27">
        <v>5</v>
      </c>
      <c r="AG27">
        <v>0</v>
      </c>
      <c r="AH27">
        <v>0</v>
      </c>
      <c r="AI27">
        <v>0</v>
      </c>
      <c r="AW27">
        <v>0</v>
      </c>
      <c r="AX27">
        <v>13</v>
      </c>
      <c r="AY27">
        <v>364</v>
      </c>
      <c r="AZ27">
        <v>364</v>
      </c>
      <c r="BA27">
        <v>521</v>
      </c>
      <c r="BB27">
        <v>44</v>
      </c>
      <c r="BD27">
        <v>1</v>
      </c>
      <c r="BF27" t="s">
        <v>113</v>
      </c>
      <c r="BG27" s="1">
        <v>44354.083333333336</v>
      </c>
      <c r="BH27" s="1">
        <v>44354.090648148151</v>
      </c>
      <c r="BI27" s="1">
        <v>44354.090925925928</v>
      </c>
      <c r="BJ27" t="s">
        <v>85</v>
      </c>
      <c r="BK27" t="s">
        <v>86</v>
      </c>
      <c r="BL27" t="s">
        <v>87</v>
      </c>
    </row>
    <row r="28" spans="1:64" x14ac:dyDescent="0.3">
      <c r="A28" t="str">
        <f>"200011C0200"</f>
        <v>200011C0200</v>
      </c>
      <c r="B28" t="str">
        <f>"200011C02003"</f>
        <v>200011C02003</v>
      </c>
      <c r="C28" t="str">
        <f t="shared" si="0"/>
        <v>20</v>
      </c>
      <c r="D28" t="s">
        <v>81</v>
      </c>
      <c r="E28" t="str">
        <f t="shared" si="1"/>
        <v>002</v>
      </c>
      <c r="F28" t="s">
        <v>82</v>
      </c>
      <c r="G28" t="str">
        <f>"0011"</f>
        <v>0011</v>
      </c>
      <c r="H28" t="str">
        <f>"0002"</f>
        <v>0002</v>
      </c>
      <c r="I28" t="s">
        <v>89</v>
      </c>
      <c r="J28">
        <v>0</v>
      </c>
      <c r="K28">
        <v>1</v>
      </c>
      <c r="L28">
        <v>3</v>
      </c>
      <c r="M28">
        <v>203</v>
      </c>
      <c r="N28">
        <v>362</v>
      </c>
      <c r="O28">
        <v>3</v>
      </c>
      <c r="P28">
        <v>362</v>
      </c>
      <c r="Q28">
        <v>10</v>
      </c>
      <c r="R28">
        <v>67</v>
      </c>
      <c r="S28">
        <v>6</v>
      </c>
      <c r="T28">
        <v>0</v>
      </c>
      <c r="U28">
        <v>1</v>
      </c>
      <c r="V28">
        <v>2</v>
      </c>
      <c r="X28">
        <v>238</v>
      </c>
      <c r="Y28">
        <v>1</v>
      </c>
      <c r="Z28">
        <v>15</v>
      </c>
      <c r="AB28">
        <v>9</v>
      </c>
      <c r="AF28">
        <v>6</v>
      </c>
      <c r="AG28">
        <v>0</v>
      </c>
      <c r="AH28">
        <v>0</v>
      </c>
      <c r="AI28">
        <v>0</v>
      </c>
      <c r="AW28">
        <v>0</v>
      </c>
      <c r="AX28">
        <v>7</v>
      </c>
      <c r="AY28">
        <v>362</v>
      </c>
      <c r="AZ28">
        <v>362</v>
      </c>
      <c r="BA28">
        <v>521</v>
      </c>
      <c r="BB28">
        <v>44</v>
      </c>
      <c r="BD28">
        <v>1</v>
      </c>
      <c r="BF28" t="s">
        <v>114</v>
      </c>
      <c r="BG28" s="1">
        <v>44354.084722222222</v>
      </c>
      <c r="BH28" s="1">
        <v>44354.092048611114</v>
      </c>
      <c r="BI28" s="1">
        <v>44354.092662037037</v>
      </c>
      <c r="BJ28" t="s">
        <v>85</v>
      </c>
      <c r="BK28" t="s">
        <v>86</v>
      </c>
      <c r="BL28" t="s">
        <v>87</v>
      </c>
    </row>
    <row r="29" spans="1:64" x14ac:dyDescent="0.3">
      <c r="A29" t="str">
        <f>"200012B0000"</f>
        <v>200012B0000</v>
      </c>
      <c r="B29" t="str">
        <f>"200012B00003"</f>
        <v>200012B00003</v>
      </c>
      <c r="C29" t="str">
        <f t="shared" si="0"/>
        <v>20</v>
      </c>
      <c r="D29" t="s">
        <v>81</v>
      </c>
      <c r="E29" t="str">
        <f t="shared" si="1"/>
        <v>002</v>
      </c>
      <c r="F29" t="s">
        <v>82</v>
      </c>
      <c r="G29" t="str">
        <f>"0012"</f>
        <v>0012</v>
      </c>
      <c r="H29" t="str">
        <f>"0000"</f>
        <v>0000</v>
      </c>
      <c r="I29" t="s">
        <v>83</v>
      </c>
      <c r="J29">
        <v>0</v>
      </c>
      <c r="K29">
        <v>1</v>
      </c>
      <c r="L29">
        <v>3</v>
      </c>
      <c r="M29">
        <v>222</v>
      </c>
      <c r="N29">
        <v>382</v>
      </c>
      <c r="O29">
        <v>3</v>
      </c>
      <c r="P29">
        <v>382</v>
      </c>
      <c r="Q29">
        <v>13</v>
      </c>
      <c r="R29">
        <v>72</v>
      </c>
      <c r="S29">
        <v>3</v>
      </c>
      <c r="T29">
        <v>0</v>
      </c>
      <c r="U29">
        <v>2</v>
      </c>
      <c r="V29">
        <v>2</v>
      </c>
      <c r="X29">
        <v>250</v>
      </c>
      <c r="Y29">
        <v>1</v>
      </c>
      <c r="Z29">
        <v>25</v>
      </c>
      <c r="AB29">
        <v>3</v>
      </c>
      <c r="AF29">
        <v>5</v>
      </c>
      <c r="AG29">
        <v>3</v>
      </c>
      <c r="AH29">
        <v>0</v>
      </c>
      <c r="AI29">
        <v>0</v>
      </c>
      <c r="AW29">
        <v>0</v>
      </c>
      <c r="AX29">
        <v>3</v>
      </c>
      <c r="AY29">
        <v>382</v>
      </c>
      <c r="AZ29">
        <v>382</v>
      </c>
      <c r="BA29">
        <v>560</v>
      </c>
      <c r="BB29">
        <v>44</v>
      </c>
      <c r="BD29">
        <v>1</v>
      </c>
      <c r="BF29" t="s">
        <v>115</v>
      </c>
      <c r="BG29" s="1">
        <v>44354.131944444445</v>
      </c>
      <c r="BH29" s="1">
        <v>44354.135729166665</v>
      </c>
      <c r="BI29" s="1">
        <v>44354.136458333334</v>
      </c>
      <c r="BJ29" t="s">
        <v>85</v>
      </c>
      <c r="BK29" t="s">
        <v>86</v>
      </c>
      <c r="BL29" t="s">
        <v>87</v>
      </c>
    </row>
    <row r="30" spans="1:64" x14ac:dyDescent="0.3">
      <c r="A30" t="str">
        <f>"200012C0100"</f>
        <v>200012C0100</v>
      </c>
      <c r="B30" t="str">
        <f>"200012C01003"</f>
        <v>200012C01003</v>
      </c>
      <c r="C30" t="str">
        <f t="shared" si="0"/>
        <v>20</v>
      </c>
      <c r="D30" t="s">
        <v>81</v>
      </c>
      <c r="E30" t="str">
        <f t="shared" si="1"/>
        <v>002</v>
      </c>
      <c r="F30" t="s">
        <v>82</v>
      </c>
      <c r="G30" t="str">
        <f>"0012"</f>
        <v>0012</v>
      </c>
      <c r="H30" t="str">
        <f>"0001"</f>
        <v>0001</v>
      </c>
      <c r="I30" t="s">
        <v>89</v>
      </c>
      <c r="J30">
        <v>0</v>
      </c>
      <c r="K30">
        <v>1</v>
      </c>
      <c r="L30">
        <v>3</v>
      </c>
      <c r="M30">
        <v>215</v>
      </c>
      <c r="N30">
        <v>389</v>
      </c>
      <c r="O30">
        <v>0</v>
      </c>
      <c r="P30">
        <v>389</v>
      </c>
      <c r="Q30">
        <v>13</v>
      </c>
      <c r="R30">
        <v>60</v>
      </c>
      <c r="S30">
        <v>5</v>
      </c>
      <c r="T30">
        <v>1</v>
      </c>
      <c r="U30">
        <v>4</v>
      </c>
      <c r="V30">
        <v>2</v>
      </c>
      <c r="X30">
        <v>258</v>
      </c>
      <c r="Y30">
        <v>3</v>
      </c>
      <c r="Z30">
        <v>21</v>
      </c>
      <c r="AB30">
        <v>6</v>
      </c>
      <c r="AF30">
        <v>6</v>
      </c>
      <c r="AG30" t="s">
        <v>95</v>
      </c>
      <c r="AH30" t="s">
        <v>95</v>
      </c>
      <c r="AI30" t="s">
        <v>95</v>
      </c>
      <c r="AW30" t="s">
        <v>95</v>
      </c>
      <c r="AX30">
        <v>10</v>
      </c>
      <c r="AY30">
        <v>389</v>
      </c>
      <c r="AZ30">
        <v>389</v>
      </c>
      <c r="BA30">
        <v>560</v>
      </c>
      <c r="BB30">
        <v>44</v>
      </c>
      <c r="BC30" t="s">
        <v>96</v>
      </c>
      <c r="BD30">
        <v>1</v>
      </c>
      <c r="BF30" t="s">
        <v>116</v>
      </c>
      <c r="BG30" s="1">
        <v>44354.179861111108</v>
      </c>
      <c r="BH30" s="1">
        <v>44354.19189814815</v>
      </c>
      <c r="BI30" s="1">
        <v>44354.192372685182</v>
      </c>
      <c r="BJ30" t="s">
        <v>85</v>
      </c>
      <c r="BK30" t="s">
        <v>86</v>
      </c>
      <c r="BL30" t="s">
        <v>87</v>
      </c>
    </row>
    <row r="31" spans="1:64" x14ac:dyDescent="0.3">
      <c r="A31" t="str">
        <f>"200012C0200"</f>
        <v>200012C0200</v>
      </c>
      <c r="B31" t="str">
        <f>"200012C02003"</f>
        <v>200012C02003</v>
      </c>
      <c r="C31" t="str">
        <f t="shared" si="0"/>
        <v>20</v>
      </c>
      <c r="D31" t="s">
        <v>81</v>
      </c>
      <c r="E31" t="str">
        <f t="shared" si="1"/>
        <v>002</v>
      </c>
      <c r="F31" t="s">
        <v>82</v>
      </c>
      <c r="G31" t="str">
        <f>"0012"</f>
        <v>0012</v>
      </c>
      <c r="H31" t="str">
        <f>"0002"</f>
        <v>0002</v>
      </c>
      <c r="I31" t="s">
        <v>89</v>
      </c>
      <c r="J31">
        <v>0</v>
      </c>
      <c r="K31">
        <v>1</v>
      </c>
      <c r="L31">
        <v>3</v>
      </c>
      <c r="M31">
        <v>233</v>
      </c>
      <c r="N31">
        <v>371</v>
      </c>
      <c r="O31">
        <v>1</v>
      </c>
      <c r="P31">
        <v>371</v>
      </c>
      <c r="Q31">
        <v>11</v>
      </c>
      <c r="R31">
        <v>58</v>
      </c>
      <c r="S31">
        <v>3</v>
      </c>
      <c r="T31">
        <v>0</v>
      </c>
      <c r="U31">
        <v>5</v>
      </c>
      <c r="V31">
        <v>2</v>
      </c>
      <c r="X31">
        <v>258</v>
      </c>
      <c r="Y31">
        <v>1</v>
      </c>
      <c r="Z31">
        <v>18</v>
      </c>
      <c r="AB31">
        <v>3</v>
      </c>
      <c r="AF31">
        <v>2</v>
      </c>
      <c r="AG31">
        <v>3</v>
      </c>
      <c r="AH31">
        <v>0</v>
      </c>
      <c r="AI31">
        <v>1</v>
      </c>
      <c r="AW31">
        <v>0</v>
      </c>
      <c r="AX31">
        <v>6</v>
      </c>
      <c r="AY31">
        <v>371</v>
      </c>
      <c r="AZ31">
        <v>371</v>
      </c>
      <c r="BA31">
        <v>560</v>
      </c>
      <c r="BB31">
        <v>44</v>
      </c>
      <c r="BD31">
        <v>1</v>
      </c>
      <c r="BF31" t="s">
        <v>117</v>
      </c>
      <c r="BG31" s="1">
        <v>44354.131944444445</v>
      </c>
      <c r="BH31" s="1">
        <v>44354.136874999997</v>
      </c>
      <c r="BI31" s="1">
        <v>44354.137465277781</v>
      </c>
      <c r="BJ31" t="s">
        <v>85</v>
      </c>
      <c r="BK31" t="s">
        <v>86</v>
      </c>
      <c r="BL31" t="s">
        <v>87</v>
      </c>
    </row>
    <row r="32" spans="1:64" x14ac:dyDescent="0.3">
      <c r="A32" t="str">
        <f>"200013B0000"</f>
        <v>200013B0000</v>
      </c>
      <c r="B32" t="str">
        <f>"200013B00003"</f>
        <v>200013B00003</v>
      </c>
      <c r="C32" t="str">
        <f t="shared" si="0"/>
        <v>20</v>
      </c>
      <c r="D32" t="s">
        <v>81</v>
      </c>
      <c r="E32" t="str">
        <f t="shared" si="1"/>
        <v>002</v>
      </c>
      <c r="F32" t="s">
        <v>82</v>
      </c>
      <c r="G32" t="str">
        <f>"0013"</f>
        <v>0013</v>
      </c>
      <c r="H32" t="str">
        <f>"0000"</f>
        <v>0000</v>
      </c>
      <c r="I32" t="s">
        <v>83</v>
      </c>
      <c r="J32">
        <v>0</v>
      </c>
      <c r="K32">
        <v>1</v>
      </c>
      <c r="L32">
        <v>3</v>
      </c>
      <c r="M32">
        <v>185</v>
      </c>
      <c r="N32">
        <v>499</v>
      </c>
      <c r="O32">
        <v>0</v>
      </c>
      <c r="P32">
        <v>499</v>
      </c>
      <c r="Q32">
        <v>4</v>
      </c>
      <c r="R32">
        <v>146</v>
      </c>
      <c r="S32">
        <v>1</v>
      </c>
      <c r="T32">
        <v>0</v>
      </c>
      <c r="U32">
        <v>6</v>
      </c>
      <c r="V32">
        <v>6</v>
      </c>
      <c r="X32">
        <v>287</v>
      </c>
      <c r="Y32">
        <v>2</v>
      </c>
      <c r="Z32">
        <v>15</v>
      </c>
      <c r="AB32">
        <v>14</v>
      </c>
      <c r="AF32">
        <v>4</v>
      </c>
      <c r="AG32">
        <v>2</v>
      </c>
      <c r="AH32">
        <v>0</v>
      </c>
      <c r="AI32">
        <v>0</v>
      </c>
      <c r="AW32">
        <v>0</v>
      </c>
      <c r="AX32">
        <v>2</v>
      </c>
      <c r="AY32">
        <v>499</v>
      </c>
      <c r="AZ32">
        <v>489</v>
      </c>
      <c r="BA32">
        <v>640</v>
      </c>
      <c r="BB32">
        <v>44</v>
      </c>
      <c r="BD32">
        <v>1</v>
      </c>
      <c r="BF32" t="s">
        <v>118</v>
      </c>
      <c r="BG32" s="1">
        <v>44354.131249999999</v>
      </c>
      <c r="BH32" s="1">
        <v>44354.136597222219</v>
      </c>
      <c r="BI32" s="1">
        <v>44354.13726851852</v>
      </c>
      <c r="BJ32" t="s">
        <v>85</v>
      </c>
      <c r="BK32" t="s">
        <v>86</v>
      </c>
      <c r="BL32" t="s">
        <v>87</v>
      </c>
    </row>
    <row r="33" spans="1:64" x14ac:dyDescent="0.3">
      <c r="A33" t="str">
        <f>"200014B0000"</f>
        <v>200014B0000</v>
      </c>
      <c r="B33" t="str">
        <f>"200014B00003"</f>
        <v>200014B00003</v>
      </c>
      <c r="C33" t="str">
        <f t="shared" si="0"/>
        <v>20</v>
      </c>
      <c r="D33" t="s">
        <v>81</v>
      </c>
      <c r="E33" t="str">
        <f t="shared" si="1"/>
        <v>002</v>
      </c>
      <c r="F33" t="s">
        <v>82</v>
      </c>
      <c r="G33" t="str">
        <f>"0014"</f>
        <v>0014</v>
      </c>
      <c r="H33" t="str">
        <f>"0000"</f>
        <v>0000</v>
      </c>
      <c r="I33" t="s">
        <v>83</v>
      </c>
      <c r="J33">
        <v>0</v>
      </c>
      <c r="K33">
        <v>1</v>
      </c>
      <c r="L33">
        <v>3</v>
      </c>
      <c r="M33">
        <v>124</v>
      </c>
      <c r="N33">
        <v>326</v>
      </c>
      <c r="O33">
        <v>0</v>
      </c>
      <c r="P33">
        <v>326</v>
      </c>
      <c r="Q33">
        <v>20</v>
      </c>
      <c r="R33">
        <v>125</v>
      </c>
      <c r="S33">
        <v>1</v>
      </c>
      <c r="T33">
        <v>1</v>
      </c>
      <c r="U33">
        <v>5</v>
      </c>
      <c r="V33">
        <v>3</v>
      </c>
      <c r="X33">
        <v>138</v>
      </c>
      <c r="Y33">
        <v>3</v>
      </c>
      <c r="Z33">
        <v>3</v>
      </c>
      <c r="AB33">
        <v>17</v>
      </c>
      <c r="AF33">
        <v>3</v>
      </c>
      <c r="AG33">
        <v>1</v>
      </c>
      <c r="AH33">
        <v>0</v>
      </c>
      <c r="AI33">
        <v>0</v>
      </c>
      <c r="AW33">
        <v>0</v>
      </c>
      <c r="AX33">
        <v>6</v>
      </c>
      <c r="AY33">
        <v>326</v>
      </c>
      <c r="AZ33">
        <v>326</v>
      </c>
      <c r="BA33">
        <v>406</v>
      </c>
      <c r="BB33">
        <v>44</v>
      </c>
      <c r="BD33">
        <v>1</v>
      </c>
      <c r="BF33" t="s">
        <v>119</v>
      </c>
      <c r="BG33" s="1">
        <v>44354.081250000003</v>
      </c>
      <c r="BH33" s="1">
        <v>44354.094363425924</v>
      </c>
      <c r="BI33" s="1">
        <v>44354.095335648148</v>
      </c>
      <c r="BJ33" t="s">
        <v>85</v>
      </c>
      <c r="BK33" t="s">
        <v>86</v>
      </c>
      <c r="BL33" t="s">
        <v>87</v>
      </c>
    </row>
    <row r="34" spans="1:64" x14ac:dyDescent="0.3">
      <c r="A34" t="str">
        <f>"200014C0100"</f>
        <v>200014C0100</v>
      </c>
      <c r="B34" t="str">
        <f>"200014C01003"</f>
        <v>200014C01003</v>
      </c>
      <c r="C34" t="str">
        <f t="shared" si="0"/>
        <v>20</v>
      </c>
      <c r="D34" t="s">
        <v>81</v>
      </c>
      <c r="E34" t="str">
        <f t="shared" si="1"/>
        <v>002</v>
      </c>
      <c r="F34" t="s">
        <v>82</v>
      </c>
      <c r="G34" t="str">
        <f>"0014"</f>
        <v>0014</v>
      </c>
      <c r="H34" t="str">
        <f>"0001"</f>
        <v>0001</v>
      </c>
      <c r="I34" t="s">
        <v>89</v>
      </c>
      <c r="J34">
        <v>0</v>
      </c>
      <c r="K34">
        <v>1</v>
      </c>
      <c r="L34">
        <v>3</v>
      </c>
      <c r="M34">
        <v>122</v>
      </c>
      <c r="N34">
        <v>327</v>
      </c>
      <c r="O34">
        <v>0</v>
      </c>
      <c r="P34">
        <v>327</v>
      </c>
      <c r="Q34">
        <v>20</v>
      </c>
      <c r="R34">
        <v>140</v>
      </c>
      <c r="S34">
        <v>0</v>
      </c>
      <c r="T34">
        <v>1</v>
      </c>
      <c r="U34">
        <v>4</v>
      </c>
      <c r="V34">
        <v>2</v>
      </c>
      <c r="X34">
        <v>119</v>
      </c>
      <c r="Y34">
        <v>4</v>
      </c>
      <c r="Z34">
        <v>8</v>
      </c>
      <c r="AB34">
        <v>8</v>
      </c>
      <c r="AF34">
        <v>10</v>
      </c>
      <c r="AG34" t="s">
        <v>95</v>
      </c>
      <c r="AH34" t="s">
        <v>95</v>
      </c>
      <c r="AI34" t="s">
        <v>95</v>
      </c>
      <c r="AW34" t="s">
        <v>95</v>
      </c>
      <c r="AX34">
        <v>11</v>
      </c>
      <c r="AY34">
        <v>327</v>
      </c>
      <c r="AZ34">
        <v>327</v>
      </c>
      <c r="BA34">
        <v>405</v>
      </c>
      <c r="BB34">
        <v>44</v>
      </c>
      <c r="BC34" t="s">
        <v>96</v>
      </c>
      <c r="BD34">
        <v>1</v>
      </c>
      <c r="BF34" t="s">
        <v>120</v>
      </c>
      <c r="BG34" s="1">
        <v>44354.081250000003</v>
      </c>
      <c r="BH34" s="1">
        <v>44354.095266203702</v>
      </c>
      <c r="BI34" s="1">
        <v>44354.095868055556</v>
      </c>
      <c r="BJ34" t="s">
        <v>85</v>
      </c>
      <c r="BK34" t="s">
        <v>86</v>
      </c>
      <c r="BL34" t="s">
        <v>87</v>
      </c>
    </row>
    <row r="35" spans="1:64" x14ac:dyDescent="0.3">
      <c r="A35" t="str">
        <f>"200015B0000"</f>
        <v>200015B0000</v>
      </c>
      <c r="B35" t="str">
        <f>"200015B00003"</f>
        <v>200015B00003</v>
      </c>
      <c r="C35" t="str">
        <f t="shared" si="0"/>
        <v>20</v>
      </c>
      <c r="D35" t="s">
        <v>81</v>
      </c>
      <c r="E35" t="str">
        <f t="shared" si="1"/>
        <v>002</v>
      </c>
      <c r="F35" t="s">
        <v>82</v>
      </c>
      <c r="G35" t="str">
        <f>"0015"</f>
        <v>0015</v>
      </c>
      <c r="H35" t="str">
        <f>"0000"</f>
        <v>0000</v>
      </c>
      <c r="I35" t="s">
        <v>83</v>
      </c>
      <c r="J35">
        <v>0</v>
      </c>
      <c r="K35">
        <v>1</v>
      </c>
      <c r="L35">
        <v>3</v>
      </c>
      <c r="M35">
        <v>132</v>
      </c>
      <c r="N35">
        <v>373</v>
      </c>
      <c r="O35">
        <v>6</v>
      </c>
      <c r="P35">
        <v>373</v>
      </c>
      <c r="Q35">
        <v>21</v>
      </c>
      <c r="R35">
        <v>147</v>
      </c>
      <c r="S35">
        <v>2</v>
      </c>
      <c r="T35">
        <v>1</v>
      </c>
      <c r="U35">
        <v>5</v>
      </c>
      <c r="V35">
        <v>2</v>
      </c>
      <c r="X35">
        <v>171</v>
      </c>
      <c r="Y35">
        <v>0</v>
      </c>
      <c r="Z35">
        <v>11</v>
      </c>
      <c r="AB35">
        <v>4</v>
      </c>
      <c r="AF35">
        <v>3</v>
      </c>
      <c r="AG35">
        <v>2</v>
      </c>
      <c r="AH35">
        <v>0</v>
      </c>
      <c r="AI35">
        <v>1</v>
      </c>
      <c r="AW35">
        <v>0</v>
      </c>
      <c r="AX35">
        <v>3</v>
      </c>
      <c r="AY35">
        <v>373</v>
      </c>
      <c r="AZ35">
        <v>373</v>
      </c>
      <c r="BA35">
        <v>461</v>
      </c>
      <c r="BB35">
        <v>44</v>
      </c>
      <c r="BD35">
        <v>1</v>
      </c>
      <c r="BF35" t="s">
        <v>121</v>
      </c>
      <c r="BG35" s="1">
        <v>44354.179861111108</v>
      </c>
      <c r="BH35" s="1">
        <v>44354.193495370368</v>
      </c>
      <c r="BI35" s="1">
        <v>44354.194340277776</v>
      </c>
      <c r="BJ35" t="s">
        <v>85</v>
      </c>
      <c r="BK35" t="s">
        <v>86</v>
      </c>
      <c r="BL35" t="s">
        <v>87</v>
      </c>
    </row>
    <row r="36" spans="1:64" x14ac:dyDescent="0.3">
      <c r="A36" t="str">
        <f>"200015E0100"</f>
        <v>200015E0100</v>
      </c>
      <c r="B36" t="str">
        <f>"200015E01003"</f>
        <v>200015E01003</v>
      </c>
      <c r="C36" t="str">
        <f t="shared" si="0"/>
        <v>20</v>
      </c>
      <c r="D36" t="s">
        <v>81</v>
      </c>
      <c r="E36" t="str">
        <f t="shared" si="1"/>
        <v>002</v>
      </c>
      <c r="F36" t="s">
        <v>82</v>
      </c>
      <c r="G36" t="str">
        <f>"0015"</f>
        <v>0015</v>
      </c>
      <c r="H36" t="str">
        <f>"0001"</f>
        <v>0001</v>
      </c>
      <c r="I36" t="s">
        <v>122</v>
      </c>
      <c r="J36">
        <v>0</v>
      </c>
      <c r="K36">
        <v>1</v>
      </c>
      <c r="L36">
        <v>3</v>
      </c>
      <c r="M36">
        <v>129</v>
      </c>
      <c r="N36">
        <v>252</v>
      </c>
      <c r="O36">
        <v>5</v>
      </c>
      <c r="P36">
        <v>252</v>
      </c>
      <c r="Q36">
        <v>4</v>
      </c>
      <c r="R36">
        <v>61</v>
      </c>
      <c r="S36">
        <v>1</v>
      </c>
      <c r="T36">
        <v>2</v>
      </c>
      <c r="U36">
        <v>0</v>
      </c>
      <c r="V36">
        <v>2</v>
      </c>
      <c r="X36">
        <v>161</v>
      </c>
      <c r="Y36">
        <v>3</v>
      </c>
      <c r="Z36">
        <v>5</v>
      </c>
      <c r="AB36">
        <v>8</v>
      </c>
      <c r="AF36">
        <v>0</v>
      </c>
      <c r="AG36">
        <v>0</v>
      </c>
      <c r="AH36">
        <v>1</v>
      </c>
      <c r="AI36">
        <v>0</v>
      </c>
      <c r="AW36">
        <v>0</v>
      </c>
      <c r="AX36">
        <v>4</v>
      </c>
      <c r="AY36">
        <v>252</v>
      </c>
      <c r="AZ36">
        <v>252</v>
      </c>
      <c r="BA36">
        <v>337</v>
      </c>
      <c r="BB36">
        <v>44</v>
      </c>
      <c r="BD36">
        <v>1</v>
      </c>
      <c r="BF36" t="s">
        <v>123</v>
      </c>
      <c r="BG36" s="1">
        <v>44354.129861111112</v>
      </c>
      <c r="BH36" s="1">
        <v>44354.133333333331</v>
      </c>
      <c r="BI36" s="1">
        <v>44354.133773148147</v>
      </c>
      <c r="BJ36" t="s">
        <v>85</v>
      </c>
      <c r="BK36" t="s">
        <v>86</v>
      </c>
      <c r="BL36" t="s">
        <v>87</v>
      </c>
    </row>
    <row r="37" spans="1:64" x14ac:dyDescent="0.3">
      <c r="A37" t="str">
        <f>"200016B0000"</f>
        <v>200016B0000</v>
      </c>
      <c r="B37" t="str">
        <f>"200016B00003"</f>
        <v>200016B00003</v>
      </c>
      <c r="C37" t="str">
        <f t="shared" si="0"/>
        <v>20</v>
      </c>
      <c r="D37" t="s">
        <v>81</v>
      </c>
      <c r="E37" t="str">
        <f t="shared" si="1"/>
        <v>002</v>
      </c>
      <c r="F37" t="s">
        <v>82</v>
      </c>
      <c r="G37" t="str">
        <f>"0016"</f>
        <v>0016</v>
      </c>
      <c r="H37" t="str">
        <f>"0000"</f>
        <v>0000</v>
      </c>
      <c r="I37" t="s">
        <v>83</v>
      </c>
      <c r="J37">
        <v>0</v>
      </c>
      <c r="K37">
        <v>1</v>
      </c>
      <c r="L37">
        <v>3</v>
      </c>
      <c r="M37">
        <v>142</v>
      </c>
      <c r="N37">
        <v>243</v>
      </c>
      <c r="O37">
        <v>8</v>
      </c>
      <c r="P37">
        <v>243</v>
      </c>
      <c r="Q37">
        <v>16</v>
      </c>
      <c r="R37">
        <v>60</v>
      </c>
      <c r="S37">
        <v>0</v>
      </c>
      <c r="T37">
        <v>1</v>
      </c>
      <c r="U37">
        <v>3</v>
      </c>
      <c r="V37">
        <v>3</v>
      </c>
      <c r="X37">
        <v>142</v>
      </c>
      <c r="Y37">
        <v>0</v>
      </c>
      <c r="Z37">
        <v>7</v>
      </c>
      <c r="AB37">
        <v>4</v>
      </c>
      <c r="AF37" t="s">
        <v>95</v>
      </c>
      <c r="AG37" t="s">
        <v>95</v>
      </c>
      <c r="AH37" t="s">
        <v>95</v>
      </c>
      <c r="AI37" t="s">
        <v>95</v>
      </c>
      <c r="AW37" t="s">
        <v>95</v>
      </c>
      <c r="AX37">
        <v>8</v>
      </c>
      <c r="AY37">
        <v>243</v>
      </c>
      <c r="AZ37">
        <v>244</v>
      </c>
      <c r="BA37">
        <v>342</v>
      </c>
      <c r="BB37">
        <v>44</v>
      </c>
      <c r="BC37" t="s">
        <v>96</v>
      </c>
      <c r="BD37">
        <v>1</v>
      </c>
      <c r="BF37" t="s">
        <v>124</v>
      </c>
      <c r="BG37" s="1">
        <v>44354.129861111112</v>
      </c>
      <c r="BH37" s="1">
        <v>44354.135092592594</v>
      </c>
      <c r="BI37" s="1">
        <v>44354.135706018518</v>
      </c>
      <c r="BJ37" t="s">
        <v>85</v>
      </c>
      <c r="BK37" t="s">
        <v>86</v>
      </c>
      <c r="BL37" t="s">
        <v>87</v>
      </c>
    </row>
    <row r="38" spans="1:64" x14ac:dyDescent="0.3">
      <c r="A38" t="str">
        <f>"200017B0000"</f>
        <v>200017B0000</v>
      </c>
      <c r="B38" t="str">
        <f>"200017B00003"</f>
        <v>200017B00003</v>
      </c>
      <c r="C38" t="str">
        <f t="shared" si="0"/>
        <v>20</v>
      </c>
      <c r="D38" t="s">
        <v>81</v>
      </c>
      <c r="E38" t="str">
        <f t="shared" si="1"/>
        <v>002</v>
      </c>
      <c r="F38" t="s">
        <v>82</v>
      </c>
      <c r="G38" t="str">
        <f>"0017"</f>
        <v>0017</v>
      </c>
      <c r="H38" t="str">
        <f>"0000"</f>
        <v>0000</v>
      </c>
      <c r="I38" t="s">
        <v>83</v>
      </c>
      <c r="J38">
        <v>0</v>
      </c>
      <c r="K38">
        <v>1</v>
      </c>
      <c r="L38">
        <v>3</v>
      </c>
      <c r="M38">
        <v>197</v>
      </c>
      <c r="N38">
        <v>467</v>
      </c>
      <c r="O38">
        <v>2</v>
      </c>
      <c r="P38">
        <v>467</v>
      </c>
      <c r="Q38">
        <v>2</v>
      </c>
      <c r="R38">
        <v>118</v>
      </c>
      <c r="S38">
        <v>0</v>
      </c>
      <c r="T38">
        <v>1</v>
      </c>
      <c r="U38">
        <v>2</v>
      </c>
      <c r="V38">
        <v>1</v>
      </c>
      <c r="X38">
        <v>306</v>
      </c>
      <c r="Y38">
        <v>2</v>
      </c>
      <c r="Z38">
        <v>10</v>
      </c>
      <c r="AB38">
        <v>13</v>
      </c>
      <c r="AF38">
        <v>1</v>
      </c>
      <c r="AG38">
        <v>2</v>
      </c>
      <c r="AH38">
        <v>0</v>
      </c>
      <c r="AI38">
        <v>0</v>
      </c>
      <c r="AW38">
        <v>0</v>
      </c>
      <c r="AX38">
        <v>9</v>
      </c>
      <c r="AY38">
        <v>467</v>
      </c>
      <c r="AZ38">
        <v>467</v>
      </c>
      <c r="BA38">
        <v>620</v>
      </c>
      <c r="BB38">
        <v>44</v>
      </c>
      <c r="BD38">
        <v>1</v>
      </c>
      <c r="BF38" s="2" t="s">
        <v>125</v>
      </c>
      <c r="BG38" s="1">
        <v>44354.131249999999</v>
      </c>
      <c r="BH38" s="1">
        <v>44354.137488425928</v>
      </c>
      <c r="BI38" s="1">
        <v>44354.137881944444</v>
      </c>
      <c r="BJ38" t="s">
        <v>85</v>
      </c>
      <c r="BK38" t="s">
        <v>86</v>
      </c>
      <c r="BL38" t="s">
        <v>87</v>
      </c>
    </row>
    <row r="39" spans="1:64" x14ac:dyDescent="0.3">
      <c r="A39" t="str">
        <f>"200017C0100"</f>
        <v>200017C0100</v>
      </c>
      <c r="B39" t="str">
        <f>"200017C01003"</f>
        <v>200017C01003</v>
      </c>
      <c r="C39" t="str">
        <f t="shared" si="0"/>
        <v>20</v>
      </c>
      <c r="D39" t="s">
        <v>81</v>
      </c>
      <c r="E39" t="str">
        <f t="shared" ref="E39:E71" si="2">"002"</f>
        <v>002</v>
      </c>
      <c r="F39" t="s">
        <v>82</v>
      </c>
      <c r="G39" t="str">
        <f>"0017"</f>
        <v>0017</v>
      </c>
      <c r="H39" t="str">
        <f>"0001"</f>
        <v>0001</v>
      </c>
      <c r="I39" t="s">
        <v>89</v>
      </c>
      <c r="J39">
        <v>0</v>
      </c>
      <c r="K39">
        <v>1</v>
      </c>
      <c r="L39">
        <v>3</v>
      </c>
      <c r="M39">
        <v>180</v>
      </c>
      <c r="N39">
        <v>483</v>
      </c>
      <c r="O39">
        <v>0</v>
      </c>
      <c r="P39">
        <v>483</v>
      </c>
      <c r="Q39">
        <v>4</v>
      </c>
      <c r="R39">
        <v>114</v>
      </c>
      <c r="S39">
        <v>2</v>
      </c>
      <c r="T39">
        <v>4</v>
      </c>
      <c r="U39">
        <v>1</v>
      </c>
      <c r="V39">
        <v>6</v>
      </c>
      <c r="X39">
        <v>316</v>
      </c>
      <c r="Y39">
        <v>1</v>
      </c>
      <c r="Z39">
        <v>11</v>
      </c>
      <c r="AB39">
        <v>9</v>
      </c>
      <c r="AF39">
        <v>1</v>
      </c>
      <c r="AG39">
        <v>0</v>
      </c>
      <c r="AH39">
        <v>0</v>
      </c>
      <c r="AI39">
        <v>0</v>
      </c>
      <c r="AW39">
        <v>0</v>
      </c>
      <c r="AX39">
        <v>14</v>
      </c>
      <c r="AY39">
        <v>483</v>
      </c>
      <c r="AZ39">
        <v>483</v>
      </c>
      <c r="BA39">
        <v>620</v>
      </c>
      <c r="BB39">
        <v>44</v>
      </c>
      <c r="BD39">
        <v>1</v>
      </c>
      <c r="BF39" t="s">
        <v>126</v>
      </c>
      <c r="BG39" s="1">
        <v>44354.131249999999</v>
      </c>
      <c r="BH39" s="1">
        <v>44354.137118055558</v>
      </c>
      <c r="BI39" s="1">
        <v>44354.137696759259</v>
      </c>
      <c r="BJ39" t="s">
        <v>85</v>
      </c>
      <c r="BK39" t="s">
        <v>86</v>
      </c>
      <c r="BL39" t="s">
        <v>87</v>
      </c>
    </row>
    <row r="40" spans="1:64" x14ac:dyDescent="0.3">
      <c r="A40" t="str">
        <f>"200018B0000"</f>
        <v>200018B0000</v>
      </c>
      <c r="B40" t="str">
        <f>"200018B00003"</f>
        <v>200018B00003</v>
      </c>
      <c r="C40" t="str">
        <f t="shared" si="0"/>
        <v>20</v>
      </c>
      <c r="D40" t="s">
        <v>81</v>
      </c>
      <c r="E40" t="str">
        <f t="shared" si="2"/>
        <v>002</v>
      </c>
      <c r="F40" t="s">
        <v>82</v>
      </c>
      <c r="G40" t="str">
        <f>"0018"</f>
        <v>0018</v>
      </c>
      <c r="H40" t="str">
        <f>"0000"</f>
        <v>0000</v>
      </c>
      <c r="I40" t="s">
        <v>83</v>
      </c>
      <c r="J40">
        <v>0</v>
      </c>
      <c r="K40">
        <v>1</v>
      </c>
      <c r="L40">
        <v>3</v>
      </c>
      <c r="M40">
        <v>127</v>
      </c>
      <c r="N40">
        <v>373</v>
      </c>
      <c r="O40">
        <v>0</v>
      </c>
      <c r="P40">
        <v>373</v>
      </c>
      <c r="Q40">
        <v>6</v>
      </c>
      <c r="R40">
        <v>101</v>
      </c>
      <c r="S40">
        <v>1</v>
      </c>
      <c r="T40">
        <v>1</v>
      </c>
      <c r="U40">
        <v>2</v>
      </c>
      <c r="V40">
        <v>0</v>
      </c>
      <c r="X40">
        <v>242</v>
      </c>
      <c r="Y40">
        <v>0</v>
      </c>
      <c r="Z40">
        <v>1</v>
      </c>
      <c r="AB40">
        <v>11</v>
      </c>
      <c r="AF40">
        <v>2</v>
      </c>
      <c r="AG40">
        <v>4</v>
      </c>
      <c r="AH40">
        <v>0</v>
      </c>
      <c r="AI40">
        <v>0</v>
      </c>
      <c r="AW40">
        <v>0</v>
      </c>
      <c r="AX40">
        <v>2</v>
      </c>
      <c r="AY40">
        <v>373</v>
      </c>
      <c r="AZ40">
        <v>373</v>
      </c>
      <c r="BA40">
        <v>456</v>
      </c>
      <c r="BB40">
        <v>44</v>
      </c>
      <c r="BD40">
        <v>1</v>
      </c>
      <c r="BF40" t="s">
        <v>127</v>
      </c>
      <c r="BG40" s="1">
        <v>44354.081250000003</v>
      </c>
      <c r="BH40" s="1">
        <v>44354.088842592595</v>
      </c>
      <c r="BI40" s="1">
        <v>44354.089409722219</v>
      </c>
      <c r="BJ40" t="s">
        <v>85</v>
      </c>
      <c r="BK40" t="s">
        <v>86</v>
      </c>
      <c r="BL40" t="s">
        <v>87</v>
      </c>
    </row>
    <row r="41" spans="1:64" x14ac:dyDescent="0.3">
      <c r="A41" t="str">
        <f>"200019B0000"</f>
        <v>200019B0000</v>
      </c>
      <c r="B41" t="str">
        <f>"200019B00003"</f>
        <v>200019B00003</v>
      </c>
      <c r="C41" t="str">
        <f t="shared" si="0"/>
        <v>20</v>
      </c>
      <c r="D41" t="s">
        <v>81</v>
      </c>
      <c r="E41" t="str">
        <f t="shared" si="2"/>
        <v>002</v>
      </c>
      <c r="F41" t="s">
        <v>82</v>
      </c>
      <c r="G41" t="str">
        <f>"0019"</f>
        <v>0019</v>
      </c>
      <c r="H41" t="str">
        <f>"0000"</f>
        <v>0000</v>
      </c>
      <c r="I41" t="s">
        <v>83</v>
      </c>
      <c r="J41">
        <v>0</v>
      </c>
      <c r="K41">
        <v>1</v>
      </c>
      <c r="L41">
        <v>3</v>
      </c>
      <c r="M41">
        <v>179</v>
      </c>
      <c r="N41">
        <v>428</v>
      </c>
      <c r="O41">
        <v>10</v>
      </c>
      <c r="P41">
        <v>428</v>
      </c>
      <c r="Q41">
        <v>5</v>
      </c>
      <c r="R41">
        <v>130</v>
      </c>
      <c r="S41">
        <v>1</v>
      </c>
      <c r="T41" t="s">
        <v>95</v>
      </c>
      <c r="U41" t="s">
        <v>95</v>
      </c>
      <c r="V41" t="s">
        <v>95</v>
      </c>
      <c r="X41">
        <v>271</v>
      </c>
      <c r="Y41" t="s">
        <v>95</v>
      </c>
      <c r="Z41">
        <v>8</v>
      </c>
      <c r="AB41">
        <v>7</v>
      </c>
      <c r="AF41">
        <v>1</v>
      </c>
      <c r="AG41" t="s">
        <v>95</v>
      </c>
      <c r="AH41" t="s">
        <v>95</v>
      </c>
      <c r="AI41" t="s">
        <v>95</v>
      </c>
      <c r="AW41" t="s">
        <v>95</v>
      </c>
      <c r="AX41">
        <v>5</v>
      </c>
      <c r="AY41">
        <v>428</v>
      </c>
      <c r="AZ41">
        <v>428</v>
      </c>
      <c r="BA41">
        <v>563</v>
      </c>
      <c r="BB41">
        <v>44</v>
      </c>
      <c r="BC41" t="s">
        <v>96</v>
      </c>
      <c r="BD41">
        <v>1</v>
      </c>
      <c r="BF41" t="s">
        <v>128</v>
      </c>
      <c r="BG41" s="1">
        <v>44354.181250000001</v>
      </c>
      <c r="BH41" s="1">
        <v>44354.187997685185</v>
      </c>
      <c r="BI41" s="1">
        <v>44354.188333333332</v>
      </c>
      <c r="BJ41" t="s">
        <v>85</v>
      </c>
      <c r="BK41" t="s">
        <v>86</v>
      </c>
      <c r="BL41" t="s">
        <v>87</v>
      </c>
    </row>
    <row r="42" spans="1:64" x14ac:dyDescent="0.3">
      <c r="A42" t="str">
        <f>"200020B0000"</f>
        <v>200020B0000</v>
      </c>
      <c r="B42" t="str">
        <f>"200020B00003"</f>
        <v>200020B00003</v>
      </c>
      <c r="C42" t="str">
        <f t="shared" si="0"/>
        <v>20</v>
      </c>
      <c r="D42" t="s">
        <v>81</v>
      </c>
      <c r="E42" t="str">
        <f t="shared" si="2"/>
        <v>002</v>
      </c>
      <c r="F42" t="s">
        <v>82</v>
      </c>
      <c r="G42" t="str">
        <f>"0020"</f>
        <v>0020</v>
      </c>
      <c r="H42" t="str">
        <f>"0000"</f>
        <v>0000</v>
      </c>
      <c r="I42" t="s">
        <v>83</v>
      </c>
      <c r="J42">
        <v>0</v>
      </c>
      <c r="K42">
        <v>1</v>
      </c>
      <c r="L42">
        <v>3</v>
      </c>
      <c r="M42">
        <v>210</v>
      </c>
      <c r="N42">
        <v>509</v>
      </c>
      <c r="O42">
        <v>5</v>
      </c>
      <c r="P42" t="s">
        <v>92</v>
      </c>
      <c r="Q42">
        <v>16</v>
      </c>
      <c r="R42">
        <v>97</v>
      </c>
      <c r="S42">
        <v>4</v>
      </c>
      <c r="T42">
        <v>1</v>
      </c>
      <c r="U42">
        <v>9</v>
      </c>
      <c r="V42">
        <v>4</v>
      </c>
      <c r="X42">
        <v>301</v>
      </c>
      <c r="Y42">
        <v>4</v>
      </c>
      <c r="Z42">
        <v>42</v>
      </c>
      <c r="AB42">
        <v>21</v>
      </c>
      <c r="AF42">
        <v>3</v>
      </c>
      <c r="AG42">
        <v>1</v>
      </c>
      <c r="AH42">
        <v>0</v>
      </c>
      <c r="AI42">
        <v>0</v>
      </c>
      <c r="AW42">
        <v>0</v>
      </c>
      <c r="AX42">
        <v>6</v>
      </c>
      <c r="AY42">
        <v>509</v>
      </c>
      <c r="AZ42">
        <v>509</v>
      </c>
      <c r="BA42">
        <v>675</v>
      </c>
      <c r="BB42">
        <v>44</v>
      </c>
      <c r="BD42">
        <v>1</v>
      </c>
      <c r="BF42" t="s">
        <v>129</v>
      </c>
      <c r="BG42" s="1">
        <v>44354.128472222219</v>
      </c>
      <c r="BH42" s="1">
        <v>44354.13212962963</v>
      </c>
      <c r="BI42" s="1">
        <v>44354.132939814815</v>
      </c>
      <c r="BJ42" t="s">
        <v>85</v>
      </c>
      <c r="BK42" t="s">
        <v>86</v>
      </c>
      <c r="BL42" t="s">
        <v>87</v>
      </c>
    </row>
    <row r="43" spans="1:64" x14ac:dyDescent="0.3">
      <c r="A43" t="str">
        <f>"200021B0000"</f>
        <v>200021B0000</v>
      </c>
      <c r="B43" t="str">
        <f>"200021B00003"</f>
        <v>200021B00003</v>
      </c>
      <c r="C43" t="str">
        <f t="shared" si="0"/>
        <v>20</v>
      </c>
      <c r="D43" t="s">
        <v>81</v>
      </c>
      <c r="E43" t="str">
        <f t="shared" si="2"/>
        <v>002</v>
      </c>
      <c r="F43" t="s">
        <v>82</v>
      </c>
      <c r="G43" t="str">
        <f>"0021"</f>
        <v>0021</v>
      </c>
      <c r="H43" t="str">
        <f>"0000"</f>
        <v>0000</v>
      </c>
      <c r="I43" t="s">
        <v>83</v>
      </c>
      <c r="J43">
        <v>0</v>
      </c>
      <c r="K43">
        <v>1</v>
      </c>
      <c r="L43">
        <v>3</v>
      </c>
      <c r="M43">
        <v>207</v>
      </c>
      <c r="N43">
        <v>471</v>
      </c>
      <c r="O43">
        <v>0</v>
      </c>
      <c r="P43">
        <v>546</v>
      </c>
      <c r="Q43">
        <v>7</v>
      </c>
      <c r="R43">
        <v>95</v>
      </c>
      <c r="S43">
        <v>60</v>
      </c>
      <c r="T43">
        <v>2</v>
      </c>
      <c r="U43">
        <v>2</v>
      </c>
      <c r="V43">
        <v>2</v>
      </c>
      <c r="X43">
        <v>270</v>
      </c>
      <c r="Y43">
        <v>1</v>
      </c>
      <c r="Z43">
        <v>9</v>
      </c>
      <c r="AB43">
        <v>23</v>
      </c>
      <c r="AF43">
        <v>0</v>
      </c>
      <c r="AG43">
        <v>0</v>
      </c>
      <c r="AH43">
        <v>0</v>
      </c>
      <c r="AI43">
        <v>0</v>
      </c>
      <c r="AW43">
        <v>0</v>
      </c>
      <c r="AX43">
        <v>5</v>
      </c>
      <c r="AY43" t="s">
        <v>95</v>
      </c>
      <c r="AZ43">
        <v>476</v>
      </c>
      <c r="BA43">
        <v>639</v>
      </c>
      <c r="BB43">
        <v>44</v>
      </c>
      <c r="BD43">
        <v>1</v>
      </c>
      <c r="BF43" t="s">
        <v>130</v>
      </c>
      <c r="BG43" s="1">
        <v>44354.129861111112</v>
      </c>
      <c r="BH43" s="1">
        <v>44354.133206018516</v>
      </c>
      <c r="BI43" s="1">
        <v>44354.133900462963</v>
      </c>
      <c r="BJ43" t="s">
        <v>85</v>
      </c>
      <c r="BK43" t="s">
        <v>86</v>
      </c>
      <c r="BL43" t="s">
        <v>87</v>
      </c>
    </row>
    <row r="44" spans="1:64" x14ac:dyDescent="0.3">
      <c r="A44" t="str">
        <f>"200021E0100"</f>
        <v>200021E0100</v>
      </c>
      <c r="B44" t="str">
        <f>"200021E01003"</f>
        <v>200021E01003</v>
      </c>
      <c r="C44" t="str">
        <f t="shared" si="0"/>
        <v>20</v>
      </c>
      <c r="D44" t="s">
        <v>81</v>
      </c>
      <c r="E44" t="str">
        <f t="shared" si="2"/>
        <v>002</v>
      </c>
      <c r="F44" t="s">
        <v>82</v>
      </c>
      <c r="G44" t="str">
        <f>"0021"</f>
        <v>0021</v>
      </c>
      <c r="H44" t="str">
        <f>"0001"</f>
        <v>0001</v>
      </c>
      <c r="I44" t="s">
        <v>122</v>
      </c>
      <c r="J44">
        <v>0</v>
      </c>
      <c r="K44">
        <v>1</v>
      </c>
      <c r="L44">
        <v>3</v>
      </c>
      <c r="M44">
        <v>175</v>
      </c>
      <c r="N44">
        <v>438</v>
      </c>
      <c r="O44">
        <v>10</v>
      </c>
      <c r="P44">
        <v>438</v>
      </c>
      <c r="Q44">
        <v>26</v>
      </c>
      <c r="R44">
        <v>98</v>
      </c>
      <c r="S44">
        <v>42</v>
      </c>
      <c r="T44">
        <v>3</v>
      </c>
      <c r="U44">
        <v>10</v>
      </c>
      <c r="V44">
        <v>7</v>
      </c>
      <c r="X44">
        <v>205</v>
      </c>
      <c r="Y44">
        <v>5</v>
      </c>
      <c r="Z44">
        <v>7</v>
      </c>
      <c r="AB44">
        <v>19</v>
      </c>
      <c r="AF44">
        <v>3</v>
      </c>
      <c r="AG44">
        <v>1</v>
      </c>
      <c r="AH44">
        <v>0</v>
      </c>
      <c r="AI44">
        <v>0</v>
      </c>
      <c r="AW44">
        <v>0</v>
      </c>
      <c r="AX44">
        <v>12</v>
      </c>
      <c r="AY44" t="s">
        <v>131</v>
      </c>
      <c r="AZ44">
        <v>438</v>
      </c>
      <c r="BA44">
        <v>569</v>
      </c>
      <c r="BB44">
        <v>44</v>
      </c>
      <c r="BD44">
        <v>1</v>
      </c>
      <c r="BF44" t="s">
        <v>132</v>
      </c>
      <c r="BG44" s="1">
        <v>44354.130555555559</v>
      </c>
      <c r="BH44" s="1">
        <v>44354.136354166665</v>
      </c>
      <c r="BI44" s="1">
        <v>44354.137060185189</v>
      </c>
      <c r="BJ44" t="s">
        <v>85</v>
      </c>
      <c r="BK44" t="s">
        <v>86</v>
      </c>
      <c r="BL44" t="s">
        <v>87</v>
      </c>
    </row>
    <row r="45" spans="1:64" x14ac:dyDescent="0.3">
      <c r="A45" t="str">
        <f>"200022B0000"</f>
        <v>200022B0000</v>
      </c>
      <c r="B45" t="str">
        <f>"200022B00003"</f>
        <v>200022B00003</v>
      </c>
      <c r="C45" t="str">
        <f t="shared" si="0"/>
        <v>20</v>
      </c>
      <c r="D45" t="s">
        <v>81</v>
      </c>
      <c r="E45" t="str">
        <f t="shared" si="2"/>
        <v>002</v>
      </c>
      <c r="F45" t="s">
        <v>82</v>
      </c>
      <c r="G45" t="str">
        <f>"0022"</f>
        <v>0022</v>
      </c>
      <c r="H45" t="str">
        <f>"0000"</f>
        <v>0000</v>
      </c>
      <c r="I45" t="s">
        <v>83</v>
      </c>
      <c r="J45">
        <v>0</v>
      </c>
      <c r="K45">
        <v>1</v>
      </c>
      <c r="L45">
        <v>3</v>
      </c>
      <c r="M45">
        <v>156</v>
      </c>
      <c r="N45">
        <v>405</v>
      </c>
      <c r="O45">
        <v>0</v>
      </c>
      <c r="P45">
        <v>405</v>
      </c>
      <c r="Q45">
        <v>7</v>
      </c>
      <c r="R45">
        <v>68</v>
      </c>
      <c r="S45">
        <v>17</v>
      </c>
      <c r="T45">
        <v>0</v>
      </c>
      <c r="U45">
        <v>9</v>
      </c>
      <c r="V45">
        <v>1</v>
      </c>
      <c r="X45">
        <v>261</v>
      </c>
      <c r="Y45">
        <v>1</v>
      </c>
      <c r="Z45">
        <v>6</v>
      </c>
      <c r="AB45">
        <v>21</v>
      </c>
      <c r="AF45">
        <v>2</v>
      </c>
      <c r="AG45">
        <v>0</v>
      </c>
      <c r="AH45">
        <v>1</v>
      </c>
      <c r="AI45">
        <v>0</v>
      </c>
      <c r="AW45">
        <v>0</v>
      </c>
      <c r="AX45">
        <v>11</v>
      </c>
      <c r="AY45">
        <v>405</v>
      </c>
      <c r="AZ45">
        <v>405</v>
      </c>
      <c r="BA45">
        <v>517</v>
      </c>
      <c r="BB45">
        <v>44</v>
      </c>
      <c r="BD45">
        <v>1</v>
      </c>
      <c r="BF45" t="s">
        <v>133</v>
      </c>
      <c r="BG45" s="1">
        <v>44354.180555555555</v>
      </c>
      <c r="BH45" s="1">
        <v>44354.194409722222</v>
      </c>
      <c r="BI45" s="1">
        <v>44354.194895833331</v>
      </c>
      <c r="BJ45" t="s">
        <v>85</v>
      </c>
      <c r="BK45" t="s">
        <v>86</v>
      </c>
      <c r="BL45" t="s">
        <v>87</v>
      </c>
    </row>
    <row r="46" spans="1:64" x14ac:dyDescent="0.3">
      <c r="A46" t="str">
        <f>"200023B0000"</f>
        <v>200023B0000</v>
      </c>
      <c r="B46" t="str">
        <f>"200023B00003"</f>
        <v>200023B00003</v>
      </c>
      <c r="C46" t="str">
        <f t="shared" si="0"/>
        <v>20</v>
      </c>
      <c r="D46" t="s">
        <v>81</v>
      </c>
      <c r="E46" t="str">
        <f t="shared" si="2"/>
        <v>002</v>
      </c>
      <c r="F46" t="s">
        <v>82</v>
      </c>
      <c r="G46" t="str">
        <f>"0023"</f>
        <v>0023</v>
      </c>
      <c r="H46" t="str">
        <f>"0000"</f>
        <v>0000</v>
      </c>
      <c r="I46" t="s">
        <v>83</v>
      </c>
      <c r="J46">
        <v>0</v>
      </c>
      <c r="K46">
        <v>1</v>
      </c>
      <c r="L46">
        <v>3</v>
      </c>
      <c r="M46">
        <v>167</v>
      </c>
      <c r="N46">
        <v>484</v>
      </c>
      <c r="O46">
        <v>7</v>
      </c>
      <c r="P46">
        <v>484</v>
      </c>
      <c r="Q46">
        <v>12</v>
      </c>
      <c r="R46">
        <v>100</v>
      </c>
      <c r="S46">
        <v>3</v>
      </c>
      <c r="T46">
        <v>0</v>
      </c>
      <c r="U46">
        <v>4</v>
      </c>
      <c r="V46">
        <v>2</v>
      </c>
      <c r="X46">
        <v>316</v>
      </c>
      <c r="Y46">
        <v>3</v>
      </c>
      <c r="Z46">
        <v>13</v>
      </c>
      <c r="AB46">
        <v>8</v>
      </c>
      <c r="AF46">
        <v>6</v>
      </c>
      <c r="AG46">
        <v>2</v>
      </c>
      <c r="AH46">
        <v>1</v>
      </c>
      <c r="AI46">
        <v>0</v>
      </c>
      <c r="AW46">
        <v>0</v>
      </c>
      <c r="AX46">
        <v>14</v>
      </c>
      <c r="AY46">
        <v>484</v>
      </c>
      <c r="AZ46">
        <v>484</v>
      </c>
      <c r="BA46">
        <v>607</v>
      </c>
      <c r="BB46">
        <v>44</v>
      </c>
      <c r="BD46">
        <v>1</v>
      </c>
      <c r="BF46" t="s">
        <v>134</v>
      </c>
      <c r="BG46" s="1">
        <v>44354.182638888888</v>
      </c>
      <c r="BH46" s="1">
        <v>44354.186238425929</v>
      </c>
      <c r="BI46" s="1">
        <v>44354.187094907407</v>
      </c>
      <c r="BJ46" t="s">
        <v>85</v>
      </c>
      <c r="BK46" t="s">
        <v>86</v>
      </c>
      <c r="BL46" t="s">
        <v>87</v>
      </c>
    </row>
    <row r="47" spans="1:64" x14ac:dyDescent="0.3">
      <c r="A47" t="str">
        <f>"200024B0000"</f>
        <v>200024B0000</v>
      </c>
      <c r="B47" t="str">
        <f>"200024B00003"</f>
        <v>200024B00003</v>
      </c>
      <c r="C47" t="str">
        <f t="shared" si="0"/>
        <v>20</v>
      </c>
      <c r="D47" t="s">
        <v>81</v>
      </c>
      <c r="E47" t="str">
        <f t="shared" si="2"/>
        <v>002</v>
      </c>
      <c r="F47" t="s">
        <v>82</v>
      </c>
      <c r="G47" t="str">
        <f>"0024"</f>
        <v>0024</v>
      </c>
      <c r="H47" t="str">
        <f>"0000"</f>
        <v>0000</v>
      </c>
      <c r="I47" t="s">
        <v>83</v>
      </c>
      <c r="J47">
        <v>0</v>
      </c>
      <c r="K47">
        <v>1</v>
      </c>
      <c r="L47">
        <v>3</v>
      </c>
      <c r="M47">
        <v>161</v>
      </c>
      <c r="N47">
        <v>304</v>
      </c>
      <c r="O47">
        <v>4</v>
      </c>
      <c r="P47">
        <v>304</v>
      </c>
      <c r="Q47">
        <v>3</v>
      </c>
      <c r="R47">
        <v>72</v>
      </c>
      <c r="S47">
        <v>2</v>
      </c>
      <c r="T47">
        <v>0</v>
      </c>
      <c r="U47">
        <v>5</v>
      </c>
      <c r="V47">
        <v>0</v>
      </c>
      <c r="X47">
        <v>170</v>
      </c>
      <c r="Y47">
        <v>1</v>
      </c>
      <c r="Z47">
        <v>10</v>
      </c>
      <c r="AB47">
        <v>31</v>
      </c>
      <c r="AF47">
        <v>2</v>
      </c>
      <c r="AG47">
        <v>4</v>
      </c>
      <c r="AH47" t="s">
        <v>95</v>
      </c>
      <c r="AI47" t="s">
        <v>95</v>
      </c>
      <c r="AW47" t="s">
        <v>95</v>
      </c>
      <c r="AX47">
        <v>4</v>
      </c>
      <c r="AY47">
        <v>304</v>
      </c>
      <c r="AZ47">
        <v>304</v>
      </c>
      <c r="BA47">
        <v>421</v>
      </c>
      <c r="BB47">
        <v>44</v>
      </c>
      <c r="BC47" t="s">
        <v>96</v>
      </c>
      <c r="BD47">
        <v>1</v>
      </c>
      <c r="BF47" t="s">
        <v>135</v>
      </c>
      <c r="BG47" s="1">
        <v>44354.184027777781</v>
      </c>
      <c r="BH47" s="1">
        <v>44354.191863425927</v>
      </c>
      <c r="BI47" s="1">
        <v>44354.192233796297</v>
      </c>
      <c r="BJ47" t="s">
        <v>85</v>
      </c>
      <c r="BK47" t="s">
        <v>86</v>
      </c>
      <c r="BL47" t="s">
        <v>87</v>
      </c>
    </row>
    <row r="48" spans="1:64" x14ac:dyDescent="0.3">
      <c r="A48" t="str">
        <f>"200024C0100"</f>
        <v>200024C0100</v>
      </c>
      <c r="B48" t="str">
        <f>"200024C01003"</f>
        <v>200024C01003</v>
      </c>
      <c r="C48" t="str">
        <f t="shared" si="0"/>
        <v>20</v>
      </c>
      <c r="D48" t="s">
        <v>81</v>
      </c>
      <c r="E48" t="str">
        <f t="shared" si="2"/>
        <v>002</v>
      </c>
      <c r="F48" t="s">
        <v>82</v>
      </c>
      <c r="G48" t="str">
        <f>"0024"</f>
        <v>0024</v>
      </c>
      <c r="H48" t="str">
        <f>"0001"</f>
        <v>0001</v>
      </c>
      <c r="I48" t="s">
        <v>89</v>
      </c>
      <c r="J48">
        <v>0</v>
      </c>
      <c r="K48">
        <v>1</v>
      </c>
      <c r="L48">
        <v>3</v>
      </c>
      <c r="M48">
        <v>161</v>
      </c>
      <c r="N48">
        <v>304</v>
      </c>
      <c r="O48">
        <v>8</v>
      </c>
      <c r="P48">
        <v>0</v>
      </c>
      <c r="Q48">
        <v>11</v>
      </c>
      <c r="R48">
        <v>68</v>
      </c>
      <c r="S48">
        <v>1</v>
      </c>
      <c r="T48">
        <v>4</v>
      </c>
      <c r="U48">
        <v>5</v>
      </c>
      <c r="V48">
        <v>3</v>
      </c>
      <c r="X48">
        <v>158</v>
      </c>
      <c r="Y48">
        <v>3</v>
      </c>
      <c r="Z48">
        <v>15</v>
      </c>
      <c r="AB48">
        <v>16</v>
      </c>
      <c r="AF48">
        <v>5</v>
      </c>
      <c r="AG48">
        <v>1</v>
      </c>
      <c r="AH48">
        <v>0</v>
      </c>
      <c r="AI48">
        <v>1</v>
      </c>
      <c r="AW48">
        <v>1</v>
      </c>
      <c r="AX48">
        <v>12</v>
      </c>
      <c r="AY48">
        <v>304</v>
      </c>
      <c r="AZ48">
        <v>304</v>
      </c>
      <c r="BA48">
        <v>421</v>
      </c>
      <c r="BB48">
        <v>44</v>
      </c>
      <c r="BD48">
        <v>1</v>
      </c>
      <c r="BF48" t="s">
        <v>136</v>
      </c>
      <c r="BG48" s="1">
        <v>44354.038194444445</v>
      </c>
      <c r="BH48" s="1">
        <v>44354.190486111111</v>
      </c>
      <c r="BI48" s="1">
        <v>44354.190891203703</v>
      </c>
      <c r="BJ48" t="s">
        <v>85</v>
      </c>
      <c r="BK48" t="s">
        <v>86</v>
      </c>
      <c r="BL48" t="s">
        <v>87</v>
      </c>
    </row>
    <row r="49" spans="1:64" x14ac:dyDescent="0.3">
      <c r="A49" t="str">
        <f>"200024E0100"</f>
        <v>200024E0100</v>
      </c>
      <c r="B49" t="str">
        <f>"200024E01003"</f>
        <v>200024E01003</v>
      </c>
      <c r="C49" t="str">
        <f t="shared" si="0"/>
        <v>20</v>
      </c>
      <c r="D49" t="s">
        <v>81</v>
      </c>
      <c r="E49" t="str">
        <f t="shared" si="2"/>
        <v>002</v>
      </c>
      <c r="F49" t="s">
        <v>82</v>
      </c>
      <c r="G49" t="str">
        <f>"0024"</f>
        <v>0024</v>
      </c>
      <c r="H49" t="str">
        <f>"0001"</f>
        <v>0001</v>
      </c>
      <c r="I49" t="s">
        <v>122</v>
      </c>
      <c r="J49">
        <v>0</v>
      </c>
      <c r="K49">
        <v>1</v>
      </c>
      <c r="L49">
        <v>3</v>
      </c>
      <c r="M49">
        <v>156</v>
      </c>
      <c r="N49">
        <v>221</v>
      </c>
      <c r="O49">
        <v>8</v>
      </c>
      <c r="P49">
        <v>221</v>
      </c>
      <c r="Q49">
        <v>4</v>
      </c>
      <c r="R49">
        <v>28</v>
      </c>
      <c r="S49">
        <v>1</v>
      </c>
      <c r="T49">
        <v>0</v>
      </c>
      <c r="U49">
        <v>1</v>
      </c>
      <c r="V49">
        <v>5</v>
      </c>
      <c r="X49">
        <v>159</v>
      </c>
      <c r="Y49">
        <v>1</v>
      </c>
      <c r="Z49">
        <v>6</v>
      </c>
      <c r="AB49">
        <v>6</v>
      </c>
      <c r="AF49" t="s">
        <v>95</v>
      </c>
      <c r="AG49">
        <v>1</v>
      </c>
      <c r="AH49" t="s">
        <v>95</v>
      </c>
      <c r="AI49" t="s">
        <v>95</v>
      </c>
      <c r="AW49" t="s">
        <v>95</v>
      </c>
      <c r="AX49">
        <v>9</v>
      </c>
      <c r="AY49">
        <v>221</v>
      </c>
      <c r="AZ49">
        <v>221</v>
      </c>
      <c r="BA49">
        <v>333</v>
      </c>
      <c r="BB49">
        <v>44</v>
      </c>
      <c r="BC49" t="s">
        <v>96</v>
      </c>
      <c r="BD49">
        <v>1</v>
      </c>
      <c r="BF49" t="s">
        <v>137</v>
      </c>
      <c r="BG49" s="1">
        <v>44353.866666666669</v>
      </c>
      <c r="BH49" s="1">
        <v>44354.092465277776</v>
      </c>
      <c r="BI49" s="1">
        <v>44354.0934837963</v>
      </c>
      <c r="BJ49" t="s">
        <v>85</v>
      </c>
      <c r="BK49" t="s">
        <v>86</v>
      </c>
      <c r="BL49" t="s">
        <v>87</v>
      </c>
    </row>
    <row r="50" spans="1:64" x14ac:dyDescent="0.3">
      <c r="A50" t="str">
        <f>"200025B0000"</f>
        <v>200025B0000</v>
      </c>
      <c r="B50" t="str">
        <f>"200025B00003"</f>
        <v>200025B00003</v>
      </c>
      <c r="C50" t="str">
        <f t="shared" si="0"/>
        <v>20</v>
      </c>
      <c r="D50" t="s">
        <v>81</v>
      </c>
      <c r="E50" t="str">
        <f t="shared" si="2"/>
        <v>002</v>
      </c>
      <c r="F50" t="s">
        <v>82</v>
      </c>
      <c r="G50" t="str">
        <f>"0025"</f>
        <v>0025</v>
      </c>
      <c r="H50" t="str">
        <f>"0000"</f>
        <v>0000</v>
      </c>
      <c r="I50" t="s">
        <v>83</v>
      </c>
      <c r="J50">
        <v>0</v>
      </c>
      <c r="K50">
        <v>1</v>
      </c>
      <c r="L50">
        <v>3</v>
      </c>
      <c r="M50">
        <v>150</v>
      </c>
      <c r="N50">
        <v>326</v>
      </c>
      <c r="O50">
        <v>1</v>
      </c>
      <c r="P50">
        <v>326</v>
      </c>
      <c r="Q50">
        <v>4</v>
      </c>
      <c r="R50">
        <v>43</v>
      </c>
      <c r="S50">
        <v>0</v>
      </c>
      <c r="T50">
        <v>1</v>
      </c>
      <c r="U50">
        <v>1</v>
      </c>
      <c r="V50">
        <v>3</v>
      </c>
      <c r="X50">
        <v>253</v>
      </c>
      <c r="Y50">
        <v>0</v>
      </c>
      <c r="Z50">
        <v>7</v>
      </c>
      <c r="AB50">
        <v>7</v>
      </c>
      <c r="AF50">
        <v>0</v>
      </c>
      <c r="AG50">
        <v>0</v>
      </c>
      <c r="AH50">
        <v>0</v>
      </c>
      <c r="AI50">
        <v>0</v>
      </c>
      <c r="AW50">
        <v>0</v>
      </c>
      <c r="AX50">
        <v>7</v>
      </c>
      <c r="AY50">
        <v>326</v>
      </c>
      <c r="AZ50">
        <v>326</v>
      </c>
      <c r="BA50">
        <v>432</v>
      </c>
      <c r="BB50">
        <v>44</v>
      </c>
      <c r="BD50">
        <v>1</v>
      </c>
      <c r="BF50" t="s">
        <v>138</v>
      </c>
      <c r="BG50" s="1">
        <v>44354.084722222222</v>
      </c>
      <c r="BH50" s="1">
        <v>44354.092210648145</v>
      </c>
      <c r="BI50" s="1">
        <v>44354.092731481483</v>
      </c>
      <c r="BJ50" t="s">
        <v>85</v>
      </c>
      <c r="BK50" t="s">
        <v>86</v>
      </c>
      <c r="BL50" t="s">
        <v>87</v>
      </c>
    </row>
    <row r="51" spans="1:64" x14ac:dyDescent="0.3">
      <c r="A51" t="str">
        <f>"200025C0100"</f>
        <v>200025C0100</v>
      </c>
      <c r="B51" t="str">
        <f>"200025C01003"</f>
        <v>200025C01003</v>
      </c>
      <c r="C51" t="str">
        <f t="shared" si="0"/>
        <v>20</v>
      </c>
      <c r="D51" t="s">
        <v>81</v>
      </c>
      <c r="E51" t="str">
        <f t="shared" si="2"/>
        <v>002</v>
      </c>
      <c r="F51" t="s">
        <v>82</v>
      </c>
      <c r="G51" t="str">
        <f>"0025"</f>
        <v>0025</v>
      </c>
      <c r="H51" t="str">
        <f>"0001"</f>
        <v>0001</v>
      </c>
      <c r="I51" t="s">
        <v>89</v>
      </c>
      <c r="J51">
        <v>0</v>
      </c>
      <c r="K51">
        <v>1</v>
      </c>
      <c r="L51">
        <v>3</v>
      </c>
      <c r="M51">
        <v>150</v>
      </c>
      <c r="N51">
        <v>326</v>
      </c>
      <c r="O51">
        <v>0</v>
      </c>
      <c r="P51">
        <v>326</v>
      </c>
      <c r="Q51">
        <v>4</v>
      </c>
      <c r="R51">
        <v>50</v>
      </c>
      <c r="S51">
        <v>0</v>
      </c>
      <c r="T51">
        <v>1</v>
      </c>
      <c r="U51">
        <v>0</v>
      </c>
      <c r="V51">
        <v>4</v>
      </c>
      <c r="X51">
        <v>245</v>
      </c>
      <c r="Y51">
        <v>1</v>
      </c>
      <c r="Z51">
        <v>1</v>
      </c>
      <c r="AB51">
        <v>6</v>
      </c>
      <c r="AF51">
        <v>2</v>
      </c>
      <c r="AG51">
        <v>1</v>
      </c>
      <c r="AH51">
        <v>1</v>
      </c>
      <c r="AI51">
        <v>1</v>
      </c>
      <c r="AW51" t="s">
        <v>95</v>
      </c>
      <c r="AX51">
        <v>9</v>
      </c>
      <c r="AY51">
        <v>326</v>
      </c>
      <c r="AZ51">
        <v>326</v>
      </c>
      <c r="BA51">
        <v>432</v>
      </c>
      <c r="BB51">
        <v>44</v>
      </c>
      <c r="BC51" t="s">
        <v>96</v>
      </c>
      <c r="BD51">
        <v>1</v>
      </c>
      <c r="BF51" t="s">
        <v>139</v>
      </c>
      <c r="BG51" s="1">
        <v>44354.043749999997</v>
      </c>
      <c r="BH51" s="1">
        <v>44354.133148148147</v>
      </c>
      <c r="BI51" s="1">
        <v>44354.133530092593</v>
      </c>
      <c r="BJ51" t="s">
        <v>85</v>
      </c>
      <c r="BK51" t="s">
        <v>86</v>
      </c>
      <c r="BL51" t="s">
        <v>87</v>
      </c>
    </row>
    <row r="52" spans="1:64" x14ac:dyDescent="0.3">
      <c r="A52" t="str">
        <f>"200026B0000"</f>
        <v>200026B0000</v>
      </c>
      <c r="B52" t="str">
        <f>"200026B00003"</f>
        <v>200026B00003</v>
      </c>
      <c r="C52" t="str">
        <f t="shared" si="0"/>
        <v>20</v>
      </c>
      <c r="D52" t="s">
        <v>81</v>
      </c>
      <c r="E52" t="str">
        <f t="shared" si="2"/>
        <v>002</v>
      </c>
      <c r="F52" t="s">
        <v>82</v>
      </c>
      <c r="G52" t="str">
        <f>"0026"</f>
        <v>0026</v>
      </c>
      <c r="H52" t="str">
        <f>"0000"</f>
        <v>0000</v>
      </c>
      <c r="I52" t="s">
        <v>83</v>
      </c>
      <c r="J52">
        <v>0</v>
      </c>
      <c r="K52">
        <v>1</v>
      </c>
      <c r="L52">
        <v>3</v>
      </c>
      <c r="M52">
        <v>133</v>
      </c>
      <c r="N52">
        <v>352</v>
      </c>
      <c r="O52">
        <v>2</v>
      </c>
      <c r="P52">
        <v>352</v>
      </c>
      <c r="Q52">
        <v>16</v>
      </c>
      <c r="R52">
        <v>96</v>
      </c>
      <c r="S52" t="s">
        <v>95</v>
      </c>
      <c r="T52" t="s">
        <v>95</v>
      </c>
      <c r="U52">
        <v>3</v>
      </c>
      <c r="V52">
        <v>1</v>
      </c>
      <c r="X52">
        <v>205</v>
      </c>
      <c r="Y52">
        <v>3</v>
      </c>
      <c r="Z52">
        <v>3</v>
      </c>
      <c r="AB52">
        <v>4</v>
      </c>
      <c r="AF52">
        <v>4</v>
      </c>
      <c r="AG52">
        <v>2</v>
      </c>
      <c r="AH52">
        <v>1</v>
      </c>
      <c r="AI52" t="s">
        <v>95</v>
      </c>
      <c r="AW52" t="s">
        <v>95</v>
      </c>
      <c r="AX52">
        <v>14</v>
      </c>
      <c r="AY52">
        <v>352</v>
      </c>
      <c r="AZ52">
        <v>352</v>
      </c>
      <c r="BA52">
        <v>441</v>
      </c>
      <c r="BB52">
        <v>44</v>
      </c>
      <c r="BC52" t="s">
        <v>96</v>
      </c>
      <c r="BD52">
        <v>1</v>
      </c>
      <c r="BF52" t="s">
        <v>140</v>
      </c>
      <c r="BG52" s="1">
        <v>44353.935416666667</v>
      </c>
      <c r="BH52" s="1">
        <v>44354.184212962966</v>
      </c>
      <c r="BI52" s="1">
        <v>44354.184791666667</v>
      </c>
      <c r="BJ52" t="s">
        <v>85</v>
      </c>
      <c r="BK52" t="s">
        <v>86</v>
      </c>
      <c r="BL52" t="s">
        <v>87</v>
      </c>
    </row>
    <row r="53" spans="1:64" x14ac:dyDescent="0.3">
      <c r="A53" t="str">
        <f>"200026C0100"</f>
        <v>200026C0100</v>
      </c>
      <c r="B53" t="str">
        <f>"200026C01003"</f>
        <v>200026C01003</v>
      </c>
      <c r="C53" t="str">
        <f t="shared" si="0"/>
        <v>20</v>
      </c>
      <c r="D53" t="s">
        <v>81</v>
      </c>
      <c r="E53" t="str">
        <f t="shared" si="2"/>
        <v>002</v>
      </c>
      <c r="F53" t="s">
        <v>82</v>
      </c>
      <c r="G53" t="str">
        <f>"0026"</f>
        <v>0026</v>
      </c>
      <c r="H53" t="str">
        <f>"0001"</f>
        <v>0001</v>
      </c>
      <c r="I53" t="s">
        <v>89</v>
      </c>
      <c r="J53">
        <v>0</v>
      </c>
      <c r="K53">
        <v>1</v>
      </c>
      <c r="L53">
        <v>3</v>
      </c>
      <c r="M53">
        <v>140</v>
      </c>
      <c r="N53">
        <v>345</v>
      </c>
      <c r="O53">
        <v>0</v>
      </c>
      <c r="P53">
        <v>345</v>
      </c>
      <c r="Q53">
        <v>7</v>
      </c>
      <c r="R53">
        <v>76</v>
      </c>
      <c r="S53" t="s">
        <v>95</v>
      </c>
      <c r="T53" t="s">
        <v>95</v>
      </c>
      <c r="U53">
        <v>4</v>
      </c>
      <c r="V53" t="s">
        <v>95</v>
      </c>
      <c r="X53">
        <v>238</v>
      </c>
      <c r="Y53">
        <v>2</v>
      </c>
      <c r="Z53">
        <v>3</v>
      </c>
      <c r="AB53">
        <v>2</v>
      </c>
      <c r="AF53">
        <v>4</v>
      </c>
      <c r="AG53">
        <v>2</v>
      </c>
      <c r="AH53" t="s">
        <v>95</v>
      </c>
      <c r="AI53">
        <v>1</v>
      </c>
      <c r="AW53">
        <v>0</v>
      </c>
      <c r="AX53">
        <v>6</v>
      </c>
      <c r="AY53">
        <v>345</v>
      </c>
      <c r="AZ53">
        <v>345</v>
      </c>
      <c r="BA53">
        <v>441</v>
      </c>
      <c r="BB53">
        <v>44</v>
      </c>
      <c r="BC53" t="s">
        <v>96</v>
      </c>
      <c r="BD53">
        <v>1</v>
      </c>
      <c r="BF53" t="s">
        <v>141</v>
      </c>
      <c r="BG53" s="1">
        <v>44354.180555555555</v>
      </c>
      <c r="BH53" s="1">
        <v>44354.195393518516</v>
      </c>
      <c r="BI53" s="1">
        <v>44354.195775462962</v>
      </c>
      <c r="BJ53" t="s">
        <v>85</v>
      </c>
      <c r="BK53" t="s">
        <v>86</v>
      </c>
      <c r="BL53" t="s">
        <v>87</v>
      </c>
    </row>
    <row r="54" spans="1:64" x14ac:dyDescent="0.3">
      <c r="A54" t="str">
        <f>"200027B0000"</f>
        <v>200027B0000</v>
      </c>
      <c r="B54" t="str">
        <f>"200027B00003"</f>
        <v>200027B00003</v>
      </c>
      <c r="C54" t="str">
        <f t="shared" si="0"/>
        <v>20</v>
      </c>
      <c r="D54" t="s">
        <v>81</v>
      </c>
      <c r="E54" t="str">
        <f t="shared" si="2"/>
        <v>002</v>
      </c>
      <c r="F54" t="s">
        <v>82</v>
      </c>
      <c r="G54" t="str">
        <f>"0027"</f>
        <v>0027</v>
      </c>
      <c r="H54" t="str">
        <f>"0000"</f>
        <v>0000</v>
      </c>
      <c r="I54" t="s">
        <v>83</v>
      </c>
      <c r="J54">
        <v>0</v>
      </c>
      <c r="K54">
        <v>1</v>
      </c>
      <c r="L54">
        <v>3</v>
      </c>
      <c r="M54">
        <v>173</v>
      </c>
      <c r="N54">
        <v>375</v>
      </c>
      <c r="O54">
        <v>0</v>
      </c>
      <c r="P54">
        <v>375</v>
      </c>
      <c r="Q54">
        <v>7</v>
      </c>
      <c r="R54">
        <v>142</v>
      </c>
      <c r="S54">
        <v>2</v>
      </c>
      <c r="T54">
        <v>0</v>
      </c>
      <c r="U54">
        <v>0</v>
      </c>
      <c r="V54">
        <v>4</v>
      </c>
      <c r="X54">
        <v>189</v>
      </c>
      <c r="Y54">
        <v>5</v>
      </c>
      <c r="Z54">
        <v>6</v>
      </c>
      <c r="AB54">
        <v>9</v>
      </c>
      <c r="AF54">
        <v>2</v>
      </c>
      <c r="AG54">
        <v>1</v>
      </c>
      <c r="AH54">
        <v>0</v>
      </c>
      <c r="AI54">
        <v>0</v>
      </c>
      <c r="AW54">
        <v>0</v>
      </c>
      <c r="AX54">
        <v>8</v>
      </c>
      <c r="AY54">
        <v>375</v>
      </c>
      <c r="AZ54">
        <v>375</v>
      </c>
      <c r="BA54">
        <v>504</v>
      </c>
      <c r="BB54">
        <v>44</v>
      </c>
      <c r="BD54">
        <v>1</v>
      </c>
      <c r="BF54" t="s">
        <v>142</v>
      </c>
      <c r="BG54" s="1">
        <v>44354.181250000001</v>
      </c>
      <c r="BH54" s="1">
        <v>44354.189340277779</v>
      </c>
      <c r="BI54" s="1">
        <v>44354.189953703702</v>
      </c>
      <c r="BJ54" t="s">
        <v>85</v>
      </c>
      <c r="BK54" t="s">
        <v>86</v>
      </c>
      <c r="BL54" t="s">
        <v>87</v>
      </c>
    </row>
    <row r="55" spans="1:64" x14ac:dyDescent="0.3">
      <c r="A55" t="str">
        <f>"200027E0100"</f>
        <v>200027E0100</v>
      </c>
      <c r="B55" t="str">
        <f>"200027E01003"</f>
        <v>200027E01003</v>
      </c>
      <c r="C55" t="str">
        <f t="shared" si="0"/>
        <v>20</v>
      </c>
      <c r="D55" t="s">
        <v>81</v>
      </c>
      <c r="E55" t="str">
        <f t="shared" si="2"/>
        <v>002</v>
      </c>
      <c r="F55" t="s">
        <v>82</v>
      </c>
      <c r="G55" t="str">
        <f>"0027"</f>
        <v>0027</v>
      </c>
      <c r="H55" t="str">
        <f>"0001"</f>
        <v>0001</v>
      </c>
      <c r="I55" t="s">
        <v>122</v>
      </c>
      <c r="J55">
        <v>0</v>
      </c>
      <c r="K55">
        <v>1</v>
      </c>
      <c r="L55">
        <v>3</v>
      </c>
      <c r="M55">
        <v>75</v>
      </c>
      <c r="N55">
        <v>179</v>
      </c>
      <c r="O55">
        <v>9</v>
      </c>
      <c r="P55">
        <v>179</v>
      </c>
      <c r="Q55">
        <v>8</v>
      </c>
      <c r="R55">
        <v>69</v>
      </c>
      <c r="S55">
        <v>6</v>
      </c>
      <c r="T55">
        <v>0</v>
      </c>
      <c r="U55">
        <v>2</v>
      </c>
      <c r="V55">
        <v>3</v>
      </c>
      <c r="X55">
        <v>84</v>
      </c>
      <c r="Y55">
        <v>0</v>
      </c>
      <c r="Z55">
        <v>1</v>
      </c>
      <c r="AB55">
        <v>3</v>
      </c>
      <c r="AF55">
        <v>1</v>
      </c>
      <c r="AG55">
        <v>1</v>
      </c>
      <c r="AH55">
        <v>0</v>
      </c>
      <c r="AI55">
        <v>0</v>
      </c>
      <c r="AW55">
        <v>0</v>
      </c>
      <c r="AX55">
        <v>1</v>
      </c>
      <c r="AY55">
        <v>179</v>
      </c>
      <c r="AZ55">
        <v>179</v>
      </c>
      <c r="BA55">
        <v>210</v>
      </c>
      <c r="BB55">
        <v>44</v>
      </c>
      <c r="BD55">
        <v>1</v>
      </c>
      <c r="BF55" t="s">
        <v>143</v>
      </c>
      <c r="BG55" s="1">
        <v>44354.180555555555</v>
      </c>
      <c r="BH55" s="1">
        <v>44354.184641203705</v>
      </c>
      <c r="BI55" s="1">
        <v>44354.185520833336</v>
      </c>
      <c r="BJ55" t="s">
        <v>85</v>
      </c>
      <c r="BK55" t="s">
        <v>86</v>
      </c>
      <c r="BL55" t="s">
        <v>87</v>
      </c>
    </row>
    <row r="56" spans="1:64" x14ac:dyDescent="0.3">
      <c r="A56" t="str">
        <f>"200028B0000"</f>
        <v>200028B0000</v>
      </c>
      <c r="B56" t="str">
        <f>"200028B00003"</f>
        <v>200028B00003</v>
      </c>
      <c r="C56" t="str">
        <f t="shared" si="0"/>
        <v>20</v>
      </c>
      <c r="D56" t="s">
        <v>81</v>
      </c>
      <c r="E56" t="str">
        <f t="shared" si="2"/>
        <v>002</v>
      </c>
      <c r="F56" t="s">
        <v>82</v>
      </c>
      <c r="G56" t="str">
        <f>"0028"</f>
        <v>0028</v>
      </c>
      <c r="H56" t="str">
        <f>"0000"</f>
        <v>0000</v>
      </c>
      <c r="I56" t="s">
        <v>83</v>
      </c>
      <c r="J56">
        <v>0</v>
      </c>
      <c r="K56">
        <v>1</v>
      </c>
      <c r="L56">
        <v>3</v>
      </c>
      <c r="M56">
        <v>116</v>
      </c>
      <c r="N56">
        <v>348</v>
      </c>
      <c r="O56">
        <v>0</v>
      </c>
      <c r="P56">
        <v>348</v>
      </c>
      <c r="Q56">
        <v>12</v>
      </c>
      <c r="R56">
        <v>90</v>
      </c>
      <c r="S56">
        <v>16</v>
      </c>
      <c r="T56">
        <v>6</v>
      </c>
      <c r="U56">
        <v>10</v>
      </c>
      <c r="V56">
        <v>4</v>
      </c>
      <c r="X56">
        <v>183</v>
      </c>
      <c r="Y56">
        <v>3</v>
      </c>
      <c r="Z56">
        <v>7</v>
      </c>
      <c r="AB56">
        <v>8</v>
      </c>
      <c r="AF56">
        <v>0</v>
      </c>
      <c r="AG56">
        <v>1</v>
      </c>
      <c r="AH56">
        <v>0</v>
      </c>
      <c r="AI56">
        <v>0</v>
      </c>
      <c r="AW56">
        <v>0</v>
      </c>
      <c r="AX56">
        <v>8</v>
      </c>
      <c r="AY56">
        <v>348</v>
      </c>
      <c r="AZ56">
        <v>348</v>
      </c>
      <c r="BA56">
        <v>420</v>
      </c>
      <c r="BB56">
        <v>44</v>
      </c>
      <c r="BD56">
        <v>1</v>
      </c>
      <c r="BF56" t="s">
        <v>144</v>
      </c>
      <c r="BG56" s="1">
        <v>44354.181944444441</v>
      </c>
      <c r="BH56" s="1">
        <v>44354.186030092591</v>
      </c>
      <c r="BI56" s="1">
        <v>44354.186689814815</v>
      </c>
      <c r="BJ56" t="s">
        <v>85</v>
      </c>
      <c r="BK56" t="s">
        <v>86</v>
      </c>
      <c r="BL56" t="s">
        <v>87</v>
      </c>
    </row>
    <row r="57" spans="1:64" x14ac:dyDescent="0.3">
      <c r="A57" t="str">
        <f>"200028E0100"</f>
        <v>200028E0100</v>
      </c>
      <c r="B57" t="str">
        <f>"200028E01003"</f>
        <v>200028E01003</v>
      </c>
      <c r="C57" t="str">
        <f t="shared" si="0"/>
        <v>20</v>
      </c>
      <c r="D57" t="s">
        <v>81</v>
      </c>
      <c r="E57" t="str">
        <f t="shared" si="2"/>
        <v>002</v>
      </c>
      <c r="F57" t="s">
        <v>82</v>
      </c>
      <c r="G57" t="str">
        <f>"0028"</f>
        <v>0028</v>
      </c>
      <c r="H57" t="str">
        <f>"0001"</f>
        <v>0001</v>
      </c>
      <c r="I57" t="s">
        <v>122</v>
      </c>
      <c r="J57">
        <v>0</v>
      </c>
      <c r="K57">
        <v>1</v>
      </c>
      <c r="L57">
        <v>3</v>
      </c>
      <c r="M57" t="s">
        <v>92</v>
      </c>
      <c r="N57" t="s">
        <v>92</v>
      </c>
      <c r="O57" t="s">
        <v>92</v>
      </c>
      <c r="P57" t="s">
        <v>92</v>
      </c>
      <c r="Q57">
        <v>8</v>
      </c>
      <c r="R57">
        <v>89</v>
      </c>
      <c r="S57" t="s">
        <v>95</v>
      </c>
      <c r="T57">
        <v>1</v>
      </c>
      <c r="U57">
        <v>6</v>
      </c>
      <c r="V57">
        <v>1</v>
      </c>
      <c r="X57">
        <v>154</v>
      </c>
      <c r="Y57">
        <v>1</v>
      </c>
      <c r="Z57">
        <v>3</v>
      </c>
      <c r="AB57">
        <v>10</v>
      </c>
      <c r="AF57">
        <v>4</v>
      </c>
      <c r="AG57">
        <v>2</v>
      </c>
      <c r="AH57">
        <v>1</v>
      </c>
      <c r="AI57" t="s">
        <v>95</v>
      </c>
      <c r="AW57" t="s">
        <v>95</v>
      </c>
      <c r="AX57">
        <v>7</v>
      </c>
      <c r="AY57">
        <v>287</v>
      </c>
      <c r="AZ57">
        <v>287</v>
      </c>
      <c r="BA57">
        <v>369</v>
      </c>
      <c r="BB57">
        <v>44</v>
      </c>
      <c r="BC57" t="s">
        <v>96</v>
      </c>
      <c r="BD57">
        <v>1</v>
      </c>
      <c r="BF57" t="s">
        <v>145</v>
      </c>
      <c r="BG57" s="1">
        <v>44354.181250000001</v>
      </c>
      <c r="BH57" s="1">
        <v>44354.194791666669</v>
      </c>
      <c r="BI57" s="1">
        <v>44354.195219907408</v>
      </c>
      <c r="BJ57" t="s">
        <v>85</v>
      </c>
      <c r="BK57" t="s">
        <v>86</v>
      </c>
      <c r="BL57" t="s">
        <v>87</v>
      </c>
    </row>
    <row r="58" spans="1:64" x14ac:dyDescent="0.3">
      <c r="A58" t="str">
        <f>"200029B0000"</f>
        <v>200029B0000</v>
      </c>
      <c r="B58" t="str">
        <f>"200029B00003"</f>
        <v>200029B00003</v>
      </c>
      <c r="C58" t="str">
        <f t="shared" si="0"/>
        <v>20</v>
      </c>
      <c r="D58" t="s">
        <v>81</v>
      </c>
      <c r="E58" t="str">
        <f t="shared" si="2"/>
        <v>002</v>
      </c>
      <c r="F58" t="s">
        <v>82</v>
      </c>
      <c r="G58" t="str">
        <f>"0029"</f>
        <v>0029</v>
      </c>
      <c r="H58" t="str">
        <f>"0000"</f>
        <v>0000</v>
      </c>
      <c r="I58" t="s">
        <v>83</v>
      </c>
      <c r="J58">
        <v>0</v>
      </c>
      <c r="K58">
        <v>1</v>
      </c>
      <c r="L58">
        <v>3</v>
      </c>
      <c r="M58">
        <v>155</v>
      </c>
      <c r="N58">
        <v>327</v>
      </c>
      <c r="O58">
        <v>0</v>
      </c>
      <c r="P58">
        <v>327</v>
      </c>
      <c r="Q58">
        <v>3</v>
      </c>
      <c r="R58">
        <v>68</v>
      </c>
      <c r="S58">
        <v>1</v>
      </c>
      <c r="T58">
        <v>1</v>
      </c>
      <c r="U58">
        <v>6</v>
      </c>
      <c r="V58">
        <v>1</v>
      </c>
      <c r="X58">
        <v>212</v>
      </c>
      <c r="Y58">
        <v>2</v>
      </c>
      <c r="Z58">
        <v>15</v>
      </c>
      <c r="AB58">
        <v>12</v>
      </c>
      <c r="AF58">
        <v>0</v>
      </c>
      <c r="AG58">
        <v>2</v>
      </c>
      <c r="AH58">
        <v>0</v>
      </c>
      <c r="AI58">
        <v>0</v>
      </c>
      <c r="AW58">
        <v>0</v>
      </c>
      <c r="AX58">
        <v>4</v>
      </c>
      <c r="AY58">
        <v>327</v>
      </c>
      <c r="AZ58">
        <v>327</v>
      </c>
      <c r="BA58">
        <v>438</v>
      </c>
      <c r="BB58">
        <v>44</v>
      </c>
      <c r="BD58">
        <v>1</v>
      </c>
      <c r="BF58" t="s">
        <v>146</v>
      </c>
      <c r="BG58" s="1">
        <v>44354.131249999999</v>
      </c>
      <c r="BH58" s="1">
        <v>44354.134884259256</v>
      </c>
      <c r="BI58" s="1">
        <v>44354.135451388887</v>
      </c>
      <c r="BJ58" t="s">
        <v>85</v>
      </c>
      <c r="BK58" t="s">
        <v>86</v>
      </c>
      <c r="BL58" t="s">
        <v>87</v>
      </c>
    </row>
    <row r="59" spans="1:64" x14ac:dyDescent="0.3">
      <c r="A59" t="str">
        <f>"200029C0100"</f>
        <v>200029C0100</v>
      </c>
      <c r="B59" t="str">
        <f>"200029C01003"</f>
        <v>200029C01003</v>
      </c>
      <c r="C59" t="str">
        <f t="shared" si="0"/>
        <v>20</v>
      </c>
      <c r="D59" t="s">
        <v>81</v>
      </c>
      <c r="E59" t="str">
        <f t="shared" si="2"/>
        <v>002</v>
      </c>
      <c r="F59" t="s">
        <v>82</v>
      </c>
      <c r="G59" t="str">
        <f>"0029"</f>
        <v>0029</v>
      </c>
      <c r="H59" t="str">
        <f>"0001"</f>
        <v>0001</v>
      </c>
      <c r="I59" t="s">
        <v>89</v>
      </c>
      <c r="J59">
        <v>0</v>
      </c>
      <c r="K59">
        <v>1</v>
      </c>
      <c r="L59">
        <v>3</v>
      </c>
      <c r="M59">
        <v>127</v>
      </c>
      <c r="N59">
        <v>355</v>
      </c>
      <c r="O59">
        <v>0</v>
      </c>
      <c r="P59">
        <v>355</v>
      </c>
      <c r="Q59">
        <v>6</v>
      </c>
      <c r="R59">
        <v>71</v>
      </c>
      <c r="S59">
        <v>2</v>
      </c>
      <c r="T59">
        <v>0</v>
      </c>
      <c r="U59">
        <v>2</v>
      </c>
      <c r="V59">
        <v>3</v>
      </c>
      <c r="X59">
        <v>245</v>
      </c>
      <c r="Y59">
        <v>3</v>
      </c>
      <c r="Z59">
        <v>8</v>
      </c>
      <c r="AB59">
        <v>9</v>
      </c>
      <c r="AF59">
        <v>2</v>
      </c>
      <c r="AG59">
        <v>0</v>
      </c>
      <c r="AH59">
        <v>0</v>
      </c>
      <c r="AI59">
        <v>0</v>
      </c>
      <c r="AW59">
        <v>0</v>
      </c>
      <c r="AX59">
        <v>4</v>
      </c>
      <c r="AY59">
        <v>355</v>
      </c>
      <c r="AZ59">
        <v>355</v>
      </c>
      <c r="BA59">
        <v>438</v>
      </c>
      <c r="BB59">
        <v>44</v>
      </c>
      <c r="BD59">
        <v>1</v>
      </c>
      <c r="BF59" t="s">
        <v>147</v>
      </c>
      <c r="BG59" s="1">
        <v>44353.958333333336</v>
      </c>
      <c r="BH59" s="1">
        <v>44354.135636574072</v>
      </c>
      <c r="BI59" s="1">
        <v>44354.136620370373</v>
      </c>
      <c r="BJ59" t="s">
        <v>85</v>
      </c>
      <c r="BK59" t="s">
        <v>86</v>
      </c>
      <c r="BL59" t="s">
        <v>87</v>
      </c>
    </row>
    <row r="60" spans="1:64" x14ac:dyDescent="0.3">
      <c r="A60" t="str">
        <f>"200029E0100"</f>
        <v>200029E0100</v>
      </c>
      <c r="B60" t="str">
        <f>"200029E01003"</f>
        <v>200029E01003</v>
      </c>
      <c r="C60" t="str">
        <f t="shared" si="0"/>
        <v>20</v>
      </c>
      <c r="D60" t="s">
        <v>81</v>
      </c>
      <c r="E60" t="str">
        <f t="shared" si="2"/>
        <v>002</v>
      </c>
      <c r="F60" t="s">
        <v>82</v>
      </c>
      <c r="G60" t="str">
        <f>"0029"</f>
        <v>0029</v>
      </c>
      <c r="H60" t="str">
        <f>"0001"</f>
        <v>0001</v>
      </c>
      <c r="I60" t="s">
        <v>122</v>
      </c>
      <c r="J60">
        <v>0</v>
      </c>
      <c r="K60">
        <v>1</v>
      </c>
      <c r="L60">
        <v>3</v>
      </c>
      <c r="M60">
        <v>86</v>
      </c>
      <c r="N60" t="s">
        <v>92</v>
      </c>
      <c r="O60">
        <v>7</v>
      </c>
      <c r="P60">
        <v>218</v>
      </c>
      <c r="Q60">
        <v>6</v>
      </c>
      <c r="R60">
        <v>20</v>
      </c>
      <c r="S60">
        <v>0</v>
      </c>
      <c r="T60">
        <v>2</v>
      </c>
      <c r="U60">
        <v>0</v>
      </c>
      <c r="V60">
        <v>3</v>
      </c>
      <c r="X60">
        <v>168</v>
      </c>
      <c r="Y60">
        <v>0</v>
      </c>
      <c r="Z60">
        <v>8</v>
      </c>
      <c r="AB60">
        <v>2</v>
      </c>
      <c r="AF60">
        <v>2</v>
      </c>
      <c r="AG60">
        <v>0</v>
      </c>
      <c r="AH60">
        <v>0</v>
      </c>
      <c r="AI60">
        <v>0</v>
      </c>
      <c r="AW60">
        <v>0</v>
      </c>
      <c r="AX60">
        <v>7</v>
      </c>
      <c r="AY60">
        <v>218</v>
      </c>
      <c r="AZ60">
        <v>218</v>
      </c>
      <c r="BA60">
        <v>260</v>
      </c>
      <c r="BB60">
        <v>44</v>
      </c>
      <c r="BD60">
        <v>1</v>
      </c>
      <c r="BF60" t="s">
        <v>148</v>
      </c>
      <c r="BG60" s="1">
        <v>44354.181944444441</v>
      </c>
      <c r="BH60" s="1">
        <v>44354.190138888887</v>
      </c>
      <c r="BI60" s="1">
        <v>44354.190601851849</v>
      </c>
      <c r="BJ60" t="s">
        <v>85</v>
      </c>
      <c r="BK60" t="s">
        <v>86</v>
      </c>
      <c r="BL60" t="s">
        <v>87</v>
      </c>
    </row>
    <row r="61" spans="1:64" x14ac:dyDescent="0.3">
      <c r="A61" t="str">
        <f>"200030B0000"</f>
        <v>200030B0000</v>
      </c>
      <c r="B61" t="str">
        <f>"200030B00003"</f>
        <v>200030B00003</v>
      </c>
      <c r="C61" t="str">
        <f t="shared" si="0"/>
        <v>20</v>
      </c>
      <c r="D61" t="s">
        <v>81</v>
      </c>
      <c r="E61" t="str">
        <f t="shared" si="2"/>
        <v>002</v>
      </c>
      <c r="F61" t="s">
        <v>82</v>
      </c>
      <c r="G61" t="str">
        <f>"0030"</f>
        <v>0030</v>
      </c>
      <c r="H61" t="str">
        <f>"0000"</f>
        <v>0000</v>
      </c>
      <c r="I61" t="s">
        <v>83</v>
      </c>
      <c r="J61">
        <v>0</v>
      </c>
      <c r="K61">
        <v>1</v>
      </c>
      <c r="L61">
        <v>3</v>
      </c>
      <c r="M61">
        <v>219</v>
      </c>
      <c r="N61">
        <v>564</v>
      </c>
      <c r="O61">
        <v>10</v>
      </c>
      <c r="P61">
        <v>564</v>
      </c>
      <c r="Q61">
        <v>13</v>
      </c>
      <c r="R61">
        <v>147</v>
      </c>
      <c r="S61">
        <v>2</v>
      </c>
      <c r="T61">
        <v>0</v>
      </c>
      <c r="U61">
        <v>3</v>
      </c>
      <c r="V61">
        <v>5</v>
      </c>
      <c r="X61">
        <v>349</v>
      </c>
      <c r="Y61">
        <v>2</v>
      </c>
      <c r="Z61">
        <v>9</v>
      </c>
      <c r="AB61">
        <v>26</v>
      </c>
      <c r="AF61" t="s">
        <v>95</v>
      </c>
      <c r="AG61" t="s">
        <v>95</v>
      </c>
      <c r="AH61" t="s">
        <v>95</v>
      </c>
      <c r="AI61" t="s">
        <v>95</v>
      </c>
      <c r="AW61" t="s">
        <v>95</v>
      </c>
      <c r="AX61">
        <v>8</v>
      </c>
      <c r="AY61">
        <v>564</v>
      </c>
      <c r="AZ61">
        <v>564</v>
      </c>
      <c r="BA61">
        <v>738</v>
      </c>
      <c r="BB61">
        <v>44</v>
      </c>
      <c r="BC61" t="s">
        <v>96</v>
      </c>
      <c r="BD61">
        <v>1</v>
      </c>
      <c r="BF61" t="s">
        <v>149</v>
      </c>
      <c r="BG61" s="1">
        <v>44353.915972222225</v>
      </c>
      <c r="BH61" s="1">
        <v>44354.093229166669</v>
      </c>
      <c r="BI61" s="1">
        <v>44354.093784722223</v>
      </c>
      <c r="BJ61" t="s">
        <v>85</v>
      </c>
      <c r="BK61" t="s">
        <v>86</v>
      </c>
      <c r="BL61" t="s">
        <v>87</v>
      </c>
    </row>
    <row r="62" spans="1:64" x14ac:dyDescent="0.3">
      <c r="A62" t="str">
        <f>"200030E0100"</f>
        <v>200030E0100</v>
      </c>
      <c r="B62" t="str">
        <f>"200030E01003"</f>
        <v>200030E01003</v>
      </c>
      <c r="C62" t="str">
        <f t="shared" si="0"/>
        <v>20</v>
      </c>
      <c r="D62" t="s">
        <v>81</v>
      </c>
      <c r="E62" t="str">
        <f t="shared" si="2"/>
        <v>002</v>
      </c>
      <c r="F62" t="s">
        <v>82</v>
      </c>
      <c r="G62" t="str">
        <f>"0030"</f>
        <v>0030</v>
      </c>
      <c r="H62" t="str">
        <f>"0001"</f>
        <v>0001</v>
      </c>
      <c r="I62" t="s">
        <v>122</v>
      </c>
      <c r="J62">
        <v>0</v>
      </c>
      <c r="K62">
        <v>1</v>
      </c>
      <c r="L62">
        <v>3</v>
      </c>
      <c r="M62">
        <v>91</v>
      </c>
      <c r="N62">
        <v>105</v>
      </c>
      <c r="O62">
        <v>2</v>
      </c>
      <c r="P62">
        <v>105</v>
      </c>
      <c r="Q62">
        <v>2</v>
      </c>
      <c r="R62">
        <v>27</v>
      </c>
      <c r="S62">
        <v>1</v>
      </c>
      <c r="T62">
        <v>1</v>
      </c>
      <c r="U62">
        <v>3</v>
      </c>
      <c r="V62">
        <v>3</v>
      </c>
      <c r="X62">
        <v>48</v>
      </c>
      <c r="Y62">
        <v>1</v>
      </c>
      <c r="Z62">
        <v>4</v>
      </c>
      <c r="AB62">
        <v>8</v>
      </c>
      <c r="AF62">
        <v>2</v>
      </c>
      <c r="AG62" t="s">
        <v>95</v>
      </c>
      <c r="AH62" t="s">
        <v>95</v>
      </c>
      <c r="AI62" t="s">
        <v>95</v>
      </c>
      <c r="AW62" t="s">
        <v>95</v>
      </c>
      <c r="AX62">
        <v>5</v>
      </c>
      <c r="AY62">
        <v>105</v>
      </c>
      <c r="AZ62">
        <v>105</v>
      </c>
      <c r="BA62">
        <v>152</v>
      </c>
      <c r="BB62">
        <v>44</v>
      </c>
      <c r="BC62" t="s">
        <v>96</v>
      </c>
      <c r="BD62">
        <v>1</v>
      </c>
      <c r="BF62" t="s">
        <v>150</v>
      </c>
      <c r="BG62" s="1">
        <v>44353.833333333336</v>
      </c>
      <c r="BH62" s="1">
        <v>44354.137442129628</v>
      </c>
      <c r="BI62" s="1">
        <v>44354.137835648151</v>
      </c>
      <c r="BJ62" t="s">
        <v>85</v>
      </c>
      <c r="BK62" t="s">
        <v>86</v>
      </c>
      <c r="BL62" t="s">
        <v>87</v>
      </c>
    </row>
    <row r="63" spans="1:64" x14ac:dyDescent="0.3">
      <c r="A63" t="str">
        <f>"200031B0000"</f>
        <v>200031B0000</v>
      </c>
      <c r="B63" t="str">
        <f>"200031B00003"</f>
        <v>200031B00003</v>
      </c>
      <c r="C63" t="str">
        <f t="shared" si="0"/>
        <v>20</v>
      </c>
      <c r="D63" t="s">
        <v>81</v>
      </c>
      <c r="E63" t="str">
        <f t="shared" si="2"/>
        <v>002</v>
      </c>
      <c r="F63" t="s">
        <v>82</v>
      </c>
      <c r="G63" t="str">
        <f>"0031"</f>
        <v>0031</v>
      </c>
      <c r="H63" t="str">
        <f>"0000"</f>
        <v>0000</v>
      </c>
      <c r="I63" t="s">
        <v>83</v>
      </c>
      <c r="J63">
        <v>0</v>
      </c>
      <c r="K63">
        <v>1</v>
      </c>
      <c r="L63">
        <v>3</v>
      </c>
      <c r="M63">
        <v>174</v>
      </c>
      <c r="N63">
        <v>517</v>
      </c>
      <c r="O63">
        <v>0</v>
      </c>
      <c r="P63">
        <v>517</v>
      </c>
      <c r="Q63">
        <v>4</v>
      </c>
      <c r="R63">
        <v>160</v>
      </c>
      <c r="S63">
        <v>7</v>
      </c>
      <c r="T63">
        <v>1</v>
      </c>
      <c r="U63">
        <v>4</v>
      </c>
      <c r="V63">
        <v>6</v>
      </c>
      <c r="X63">
        <v>294</v>
      </c>
      <c r="Y63">
        <v>6</v>
      </c>
      <c r="Z63">
        <v>12</v>
      </c>
      <c r="AB63">
        <v>12</v>
      </c>
      <c r="AF63">
        <v>3</v>
      </c>
      <c r="AG63">
        <v>1</v>
      </c>
      <c r="AH63">
        <v>0</v>
      </c>
      <c r="AI63">
        <v>0</v>
      </c>
      <c r="AW63">
        <v>0</v>
      </c>
      <c r="AX63">
        <v>7</v>
      </c>
      <c r="AY63">
        <v>517</v>
      </c>
      <c r="AZ63">
        <v>517</v>
      </c>
      <c r="BA63">
        <v>647</v>
      </c>
      <c r="BB63">
        <v>44</v>
      </c>
      <c r="BD63">
        <v>1</v>
      </c>
      <c r="BF63" t="s">
        <v>151</v>
      </c>
      <c r="BG63" s="1">
        <v>44354.182638888888</v>
      </c>
      <c r="BH63" s="1">
        <v>44354.186782407407</v>
      </c>
      <c r="BI63" s="1">
        <v>44354.187928240739</v>
      </c>
      <c r="BJ63" t="s">
        <v>85</v>
      </c>
      <c r="BK63" t="s">
        <v>86</v>
      </c>
      <c r="BL63" t="s">
        <v>87</v>
      </c>
    </row>
    <row r="64" spans="1:64" x14ac:dyDescent="0.3">
      <c r="A64" t="str">
        <f>"200031C0100"</f>
        <v>200031C0100</v>
      </c>
      <c r="B64" t="str">
        <f>"200031C01003"</f>
        <v>200031C01003</v>
      </c>
      <c r="C64" t="str">
        <f t="shared" si="0"/>
        <v>20</v>
      </c>
      <c r="D64" t="s">
        <v>81</v>
      </c>
      <c r="E64" t="str">
        <f t="shared" si="2"/>
        <v>002</v>
      </c>
      <c r="F64" t="s">
        <v>82</v>
      </c>
      <c r="G64" t="str">
        <f>"0031"</f>
        <v>0031</v>
      </c>
      <c r="H64" t="str">
        <f>"0001"</f>
        <v>0001</v>
      </c>
      <c r="I64" t="s">
        <v>89</v>
      </c>
      <c r="J64">
        <v>0</v>
      </c>
      <c r="K64">
        <v>1</v>
      </c>
      <c r="L64">
        <v>3</v>
      </c>
      <c r="M64">
        <v>185</v>
      </c>
      <c r="N64">
        <v>505</v>
      </c>
      <c r="O64">
        <v>0</v>
      </c>
      <c r="P64">
        <v>505</v>
      </c>
      <c r="Q64">
        <v>5</v>
      </c>
      <c r="R64">
        <v>142</v>
      </c>
      <c r="S64">
        <v>8</v>
      </c>
      <c r="T64">
        <v>1</v>
      </c>
      <c r="U64">
        <v>6</v>
      </c>
      <c r="V64">
        <v>4</v>
      </c>
      <c r="X64">
        <v>289</v>
      </c>
      <c r="Y64">
        <v>2</v>
      </c>
      <c r="Z64">
        <v>27</v>
      </c>
      <c r="AB64">
        <v>6</v>
      </c>
      <c r="AF64">
        <v>7</v>
      </c>
      <c r="AG64">
        <v>2</v>
      </c>
      <c r="AH64">
        <v>0</v>
      </c>
      <c r="AI64">
        <v>0</v>
      </c>
      <c r="AW64">
        <v>0</v>
      </c>
      <c r="AX64">
        <v>6</v>
      </c>
      <c r="AY64">
        <v>505</v>
      </c>
      <c r="AZ64">
        <v>505</v>
      </c>
      <c r="BA64">
        <v>646</v>
      </c>
      <c r="BB64">
        <v>44</v>
      </c>
      <c r="BD64">
        <v>1</v>
      </c>
      <c r="BF64" t="s">
        <v>152</v>
      </c>
      <c r="BG64" s="1">
        <v>44354.182638888888</v>
      </c>
      <c r="BH64" s="1">
        <v>44354.192060185182</v>
      </c>
      <c r="BI64" s="1">
        <v>44354.19321759259</v>
      </c>
      <c r="BJ64" t="s">
        <v>85</v>
      </c>
      <c r="BK64" t="s">
        <v>86</v>
      </c>
      <c r="BL64" t="s">
        <v>87</v>
      </c>
    </row>
    <row r="65" spans="1:64" x14ac:dyDescent="0.3">
      <c r="A65" t="str">
        <f>"200031C0200"</f>
        <v>200031C0200</v>
      </c>
      <c r="B65" t="str">
        <f>"200031C02003"</f>
        <v>200031C02003</v>
      </c>
      <c r="C65" t="str">
        <f t="shared" si="0"/>
        <v>20</v>
      </c>
      <c r="D65" t="s">
        <v>81</v>
      </c>
      <c r="E65" t="str">
        <f t="shared" si="2"/>
        <v>002</v>
      </c>
      <c r="F65" t="s">
        <v>82</v>
      </c>
      <c r="G65" t="str">
        <f>"0031"</f>
        <v>0031</v>
      </c>
      <c r="H65" t="str">
        <f>"0002"</f>
        <v>0002</v>
      </c>
      <c r="I65" t="s">
        <v>89</v>
      </c>
      <c r="J65">
        <v>0</v>
      </c>
      <c r="K65">
        <v>1</v>
      </c>
      <c r="L65">
        <v>3</v>
      </c>
      <c r="M65">
        <v>212</v>
      </c>
      <c r="N65">
        <v>477</v>
      </c>
      <c r="O65">
        <v>0</v>
      </c>
      <c r="P65">
        <v>477</v>
      </c>
      <c r="Q65">
        <v>5</v>
      </c>
      <c r="R65">
        <v>144</v>
      </c>
      <c r="S65">
        <v>7</v>
      </c>
      <c r="T65">
        <v>1</v>
      </c>
      <c r="U65">
        <v>4</v>
      </c>
      <c r="V65">
        <v>1</v>
      </c>
      <c r="X65">
        <v>267</v>
      </c>
      <c r="Y65">
        <v>3</v>
      </c>
      <c r="Z65">
        <v>17</v>
      </c>
      <c r="AB65">
        <v>16</v>
      </c>
      <c r="AF65">
        <v>0</v>
      </c>
      <c r="AG65">
        <v>0</v>
      </c>
      <c r="AH65">
        <v>0</v>
      </c>
      <c r="AI65">
        <v>0</v>
      </c>
      <c r="AW65">
        <v>0</v>
      </c>
      <c r="AX65">
        <v>12</v>
      </c>
      <c r="AY65">
        <v>477</v>
      </c>
      <c r="AZ65">
        <v>477</v>
      </c>
      <c r="BA65">
        <v>646</v>
      </c>
      <c r="BB65">
        <v>44</v>
      </c>
      <c r="BD65">
        <v>1</v>
      </c>
      <c r="BF65" t="s">
        <v>153</v>
      </c>
      <c r="BG65" s="1">
        <v>44354.183333333334</v>
      </c>
      <c r="BH65" s="1">
        <v>44354.725682870368</v>
      </c>
      <c r="BI65" s="1">
        <v>44354.726585648146</v>
      </c>
      <c r="BJ65" t="s">
        <v>85</v>
      </c>
      <c r="BK65" t="s">
        <v>86</v>
      </c>
      <c r="BL65" t="s">
        <v>87</v>
      </c>
    </row>
    <row r="66" spans="1:64" x14ac:dyDescent="0.3">
      <c r="A66" t="str">
        <f>"200032B0000"</f>
        <v>200032B0000</v>
      </c>
      <c r="B66" t="str">
        <f>"200032B00003"</f>
        <v>200032B00003</v>
      </c>
      <c r="C66" t="str">
        <f t="shared" si="0"/>
        <v>20</v>
      </c>
      <c r="D66" t="s">
        <v>81</v>
      </c>
      <c r="E66" t="str">
        <f t="shared" si="2"/>
        <v>002</v>
      </c>
      <c r="F66" t="s">
        <v>82</v>
      </c>
      <c r="G66" t="str">
        <f>"0032"</f>
        <v>0032</v>
      </c>
      <c r="H66" t="str">
        <f>"0000"</f>
        <v>0000</v>
      </c>
      <c r="I66" t="s">
        <v>83</v>
      </c>
      <c r="J66">
        <v>0</v>
      </c>
      <c r="K66">
        <v>1</v>
      </c>
      <c r="L66">
        <v>3</v>
      </c>
      <c r="M66">
        <v>112</v>
      </c>
      <c r="N66">
        <v>385</v>
      </c>
      <c r="O66">
        <v>2</v>
      </c>
      <c r="P66">
        <v>385</v>
      </c>
      <c r="Q66">
        <v>1</v>
      </c>
      <c r="R66">
        <v>179</v>
      </c>
      <c r="S66">
        <v>1</v>
      </c>
      <c r="T66">
        <v>0</v>
      </c>
      <c r="U66">
        <v>1</v>
      </c>
      <c r="V66">
        <v>1</v>
      </c>
      <c r="X66">
        <v>182</v>
      </c>
      <c r="Y66">
        <v>1</v>
      </c>
      <c r="Z66">
        <v>2</v>
      </c>
      <c r="AB66">
        <v>8</v>
      </c>
      <c r="AF66">
        <v>1</v>
      </c>
      <c r="AG66">
        <v>1</v>
      </c>
      <c r="AH66">
        <v>0</v>
      </c>
      <c r="AI66">
        <v>1</v>
      </c>
      <c r="AW66">
        <v>1</v>
      </c>
      <c r="AX66">
        <v>8</v>
      </c>
      <c r="AY66">
        <v>385</v>
      </c>
      <c r="AZ66">
        <v>388</v>
      </c>
      <c r="BA66">
        <v>453</v>
      </c>
      <c r="BB66">
        <v>44</v>
      </c>
      <c r="BD66">
        <v>1</v>
      </c>
      <c r="BF66" t="s">
        <v>154</v>
      </c>
      <c r="BG66" s="1">
        <v>44354.179861111108</v>
      </c>
      <c r="BH66" s="1">
        <v>44354.184652777774</v>
      </c>
      <c r="BI66" s="1">
        <v>44354.185532407406</v>
      </c>
      <c r="BJ66" t="s">
        <v>85</v>
      </c>
      <c r="BK66" t="s">
        <v>86</v>
      </c>
      <c r="BL66" t="s">
        <v>87</v>
      </c>
    </row>
    <row r="67" spans="1:64" x14ac:dyDescent="0.3">
      <c r="A67" t="str">
        <f>"200033B0000"</f>
        <v>200033B0000</v>
      </c>
      <c r="B67" t="str">
        <f>"200033B00003"</f>
        <v>200033B00003</v>
      </c>
      <c r="C67" t="str">
        <f t="shared" si="0"/>
        <v>20</v>
      </c>
      <c r="D67" t="s">
        <v>81</v>
      </c>
      <c r="E67" t="str">
        <f t="shared" si="2"/>
        <v>002</v>
      </c>
      <c r="F67" t="s">
        <v>82</v>
      </c>
      <c r="G67" t="str">
        <f>"0033"</f>
        <v>0033</v>
      </c>
      <c r="H67" t="str">
        <f>"0000"</f>
        <v>0000</v>
      </c>
      <c r="I67" t="s">
        <v>83</v>
      </c>
      <c r="J67">
        <v>0</v>
      </c>
      <c r="K67">
        <v>1</v>
      </c>
      <c r="L67">
        <v>3</v>
      </c>
      <c r="M67">
        <v>107</v>
      </c>
      <c r="N67">
        <v>360</v>
      </c>
      <c r="O67">
        <v>0</v>
      </c>
      <c r="P67" t="s">
        <v>92</v>
      </c>
      <c r="Q67">
        <v>1</v>
      </c>
      <c r="R67">
        <v>138</v>
      </c>
      <c r="S67">
        <v>1</v>
      </c>
      <c r="T67">
        <v>2</v>
      </c>
      <c r="U67">
        <v>3</v>
      </c>
      <c r="V67">
        <v>4</v>
      </c>
      <c r="X67">
        <v>189</v>
      </c>
      <c r="Y67">
        <v>3</v>
      </c>
      <c r="Z67">
        <v>5</v>
      </c>
      <c r="AB67">
        <v>9</v>
      </c>
      <c r="AF67">
        <v>0</v>
      </c>
      <c r="AG67">
        <v>0</v>
      </c>
      <c r="AH67">
        <v>0</v>
      </c>
      <c r="AI67">
        <v>1</v>
      </c>
      <c r="AW67" t="s">
        <v>95</v>
      </c>
      <c r="AX67">
        <v>4</v>
      </c>
      <c r="AY67">
        <v>360</v>
      </c>
      <c r="AZ67">
        <v>360</v>
      </c>
      <c r="BA67">
        <v>423</v>
      </c>
      <c r="BB67">
        <v>44</v>
      </c>
      <c r="BC67" t="s">
        <v>96</v>
      </c>
      <c r="BD67">
        <v>1</v>
      </c>
      <c r="BF67" t="s">
        <v>155</v>
      </c>
      <c r="BG67" s="1">
        <v>44354.131249999999</v>
      </c>
      <c r="BH67" s="1">
        <v>44354.137106481481</v>
      </c>
      <c r="BI67" s="1">
        <v>44354.137546296297</v>
      </c>
      <c r="BJ67" t="s">
        <v>85</v>
      </c>
      <c r="BK67" t="s">
        <v>86</v>
      </c>
      <c r="BL67" t="s">
        <v>87</v>
      </c>
    </row>
    <row r="68" spans="1:64" x14ac:dyDescent="0.3">
      <c r="A68" t="str">
        <f>"200033C0100"</f>
        <v>200033C0100</v>
      </c>
      <c r="B68" t="str">
        <f>"200033C01003"</f>
        <v>200033C01003</v>
      </c>
      <c r="C68" t="str">
        <f t="shared" si="0"/>
        <v>20</v>
      </c>
      <c r="D68" t="s">
        <v>81</v>
      </c>
      <c r="E68" t="str">
        <f t="shared" si="2"/>
        <v>002</v>
      </c>
      <c r="F68" t="s">
        <v>82</v>
      </c>
      <c r="G68" t="str">
        <f>"0033"</f>
        <v>0033</v>
      </c>
      <c r="H68" t="str">
        <f>"0001"</f>
        <v>0001</v>
      </c>
      <c r="I68" t="s">
        <v>89</v>
      </c>
      <c r="J68">
        <v>0</v>
      </c>
      <c r="K68">
        <v>1</v>
      </c>
      <c r="L68">
        <v>3</v>
      </c>
      <c r="M68">
        <v>103</v>
      </c>
      <c r="N68">
        <v>364</v>
      </c>
      <c r="O68">
        <v>0</v>
      </c>
      <c r="P68">
        <v>364</v>
      </c>
      <c r="Q68">
        <v>3</v>
      </c>
      <c r="R68">
        <v>139</v>
      </c>
      <c r="S68">
        <v>2</v>
      </c>
      <c r="T68">
        <v>1</v>
      </c>
      <c r="U68">
        <v>4</v>
      </c>
      <c r="V68">
        <v>3</v>
      </c>
      <c r="X68">
        <v>197</v>
      </c>
      <c r="Y68">
        <v>1</v>
      </c>
      <c r="Z68">
        <v>3</v>
      </c>
      <c r="AB68">
        <v>6</v>
      </c>
      <c r="AF68">
        <v>0</v>
      </c>
      <c r="AG68">
        <v>0</v>
      </c>
      <c r="AH68">
        <v>0</v>
      </c>
      <c r="AI68">
        <v>0</v>
      </c>
      <c r="AW68">
        <v>0</v>
      </c>
      <c r="AX68">
        <v>5</v>
      </c>
      <c r="AY68">
        <v>364</v>
      </c>
      <c r="AZ68">
        <v>364</v>
      </c>
      <c r="BA68">
        <v>423</v>
      </c>
      <c r="BB68">
        <v>44</v>
      </c>
      <c r="BD68">
        <v>1</v>
      </c>
      <c r="BF68" t="s">
        <v>156</v>
      </c>
      <c r="BG68" s="1">
        <v>44354.131944444445</v>
      </c>
      <c r="BH68" s="1">
        <v>44354.137928240743</v>
      </c>
      <c r="BI68" s="1">
        <v>44354.138865740744</v>
      </c>
      <c r="BJ68" t="s">
        <v>85</v>
      </c>
      <c r="BK68" t="s">
        <v>86</v>
      </c>
      <c r="BL68" t="s">
        <v>87</v>
      </c>
    </row>
    <row r="69" spans="1:64" x14ac:dyDescent="0.3">
      <c r="A69" t="str">
        <f>"200033E0100"</f>
        <v>200033E0100</v>
      </c>
      <c r="B69" t="str">
        <f>"200033E01003"</f>
        <v>200033E01003</v>
      </c>
      <c r="C69" t="str">
        <f t="shared" si="0"/>
        <v>20</v>
      </c>
      <c r="D69" t="s">
        <v>81</v>
      </c>
      <c r="E69" t="str">
        <f t="shared" si="2"/>
        <v>002</v>
      </c>
      <c r="F69" t="s">
        <v>82</v>
      </c>
      <c r="G69" t="str">
        <f>"0033"</f>
        <v>0033</v>
      </c>
      <c r="H69" t="str">
        <f>"0001"</f>
        <v>0001</v>
      </c>
      <c r="I69" t="s">
        <v>122</v>
      </c>
      <c r="J69">
        <v>0</v>
      </c>
      <c r="K69">
        <v>1</v>
      </c>
      <c r="L69">
        <v>3</v>
      </c>
      <c r="M69" t="s">
        <v>92</v>
      </c>
      <c r="N69" t="s">
        <v>92</v>
      </c>
      <c r="O69" t="s">
        <v>92</v>
      </c>
      <c r="P69">
        <v>408</v>
      </c>
      <c r="Q69">
        <v>7</v>
      </c>
      <c r="R69">
        <v>177</v>
      </c>
      <c r="S69">
        <v>1</v>
      </c>
      <c r="T69">
        <v>2</v>
      </c>
      <c r="U69">
        <v>0</v>
      </c>
      <c r="V69">
        <v>0</v>
      </c>
      <c r="X69">
        <v>205</v>
      </c>
      <c r="Y69">
        <v>3</v>
      </c>
      <c r="Z69">
        <v>6</v>
      </c>
      <c r="AB69">
        <v>2</v>
      </c>
      <c r="AF69">
        <v>2</v>
      </c>
      <c r="AG69" t="s">
        <v>95</v>
      </c>
      <c r="AH69" t="s">
        <v>95</v>
      </c>
      <c r="AI69" t="s">
        <v>95</v>
      </c>
      <c r="AW69" t="s">
        <v>95</v>
      </c>
      <c r="AX69">
        <v>3</v>
      </c>
      <c r="AY69">
        <v>408</v>
      </c>
      <c r="AZ69">
        <v>408</v>
      </c>
      <c r="BA69">
        <v>481</v>
      </c>
      <c r="BB69">
        <v>44</v>
      </c>
      <c r="BC69" t="s">
        <v>96</v>
      </c>
      <c r="BD69">
        <v>1</v>
      </c>
      <c r="BF69" s="2" t="s">
        <v>157</v>
      </c>
      <c r="BG69" s="1">
        <v>44354.128472222219</v>
      </c>
      <c r="BH69" s="1">
        <v>44354.133275462962</v>
      </c>
      <c r="BI69" s="1">
        <v>44354.13380787037</v>
      </c>
      <c r="BJ69" t="s">
        <v>85</v>
      </c>
      <c r="BK69" t="s">
        <v>86</v>
      </c>
      <c r="BL69" t="s">
        <v>87</v>
      </c>
    </row>
    <row r="70" spans="1:64" x14ac:dyDescent="0.3">
      <c r="A70" t="str">
        <f>"200034B0000"</f>
        <v>200034B0000</v>
      </c>
      <c r="B70" t="str">
        <f>"200034B00003"</f>
        <v>200034B00003</v>
      </c>
      <c r="C70" t="str">
        <f t="shared" si="0"/>
        <v>20</v>
      </c>
      <c r="D70" t="s">
        <v>81</v>
      </c>
      <c r="E70" t="str">
        <f t="shared" si="2"/>
        <v>002</v>
      </c>
      <c r="F70" t="s">
        <v>82</v>
      </c>
      <c r="G70" t="str">
        <f>"0034"</f>
        <v>0034</v>
      </c>
      <c r="H70" t="str">
        <f>"0000"</f>
        <v>0000</v>
      </c>
      <c r="I70" t="s">
        <v>83</v>
      </c>
      <c r="J70">
        <v>0</v>
      </c>
      <c r="K70">
        <v>1</v>
      </c>
      <c r="L70">
        <v>3</v>
      </c>
      <c r="M70">
        <v>142</v>
      </c>
      <c r="N70">
        <v>428</v>
      </c>
      <c r="O70">
        <v>1</v>
      </c>
      <c r="P70">
        <v>428</v>
      </c>
      <c r="Q70">
        <v>7</v>
      </c>
      <c r="R70">
        <v>82</v>
      </c>
      <c r="S70">
        <v>31</v>
      </c>
      <c r="T70">
        <v>3</v>
      </c>
      <c r="U70">
        <v>50</v>
      </c>
      <c r="V70">
        <v>6</v>
      </c>
      <c r="X70">
        <v>220</v>
      </c>
      <c r="Y70">
        <v>5</v>
      </c>
      <c r="Z70">
        <v>8</v>
      </c>
      <c r="AB70">
        <v>4</v>
      </c>
      <c r="AF70">
        <v>1</v>
      </c>
      <c r="AG70">
        <v>0</v>
      </c>
      <c r="AH70">
        <v>0</v>
      </c>
      <c r="AI70">
        <v>0</v>
      </c>
      <c r="AW70">
        <v>2</v>
      </c>
      <c r="AX70">
        <v>9</v>
      </c>
      <c r="AY70">
        <v>428</v>
      </c>
      <c r="AZ70">
        <v>428</v>
      </c>
      <c r="BA70">
        <v>526</v>
      </c>
      <c r="BB70">
        <v>44</v>
      </c>
      <c r="BD70">
        <v>1</v>
      </c>
      <c r="BF70" t="s">
        <v>158</v>
      </c>
      <c r="BG70" s="1">
        <v>44354.181944444441</v>
      </c>
      <c r="BH70" s="1">
        <v>44354.188078703701</v>
      </c>
      <c r="BI70" s="1">
        <v>44354.188368055555</v>
      </c>
      <c r="BJ70" t="s">
        <v>85</v>
      </c>
      <c r="BK70" t="s">
        <v>86</v>
      </c>
      <c r="BL70" t="s">
        <v>87</v>
      </c>
    </row>
    <row r="71" spans="1:64" x14ac:dyDescent="0.3">
      <c r="A71" t="str">
        <f>"200034E0100"</f>
        <v>200034E0100</v>
      </c>
      <c r="B71" t="str">
        <f>"200034E01003"</f>
        <v>200034E01003</v>
      </c>
      <c r="C71" t="str">
        <f t="shared" ref="C71:C134" si="3">"20"</f>
        <v>20</v>
      </c>
      <c r="D71" t="s">
        <v>81</v>
      </c>
      <c r="E71" t="str">
        <f t="shared" si="2"/>
        <v>002</v>
      </c>
      <c r="F71" t="s">
        <v>82</v>
      </c>
      <c r="G71" t="str">
        <f>"0034"</f>
        <v>0034</v>
      </c>
      <c r="H71" t="str">
        <f>"0001"</f>
        <v>0001</v>
      </c>
      <c r="I71" t="s">
        <v>122</v>
      </c>
      <c r="J71">
        <v>0</v>
      </c>
      <c r="K71">
        <v>1</v>
      </c>
      <c r="L71">
        <v>3</v>
      </c>
      <c r="M71">
        <v>219</v>
      </c>
      <c r="N71">
        <v>515</v>
      </c>
      <c r="O71">
        <v>6</v>
      </c>
      <c r="P71">
        <v>515</v>
      </c>
      <c r="Q71">
        <v>11</v>
      </c>
      <c r="R71">
        <v>131</v>
      </c>
      <c r="S71">
        <v>11</v>
      </c>
      <c r="T71">
        <v>1</v>
      </c>
      <c r="U71">
        <v>9</v>
      </c>
      <c r="V71">
        <v>3</v>
      </c>
      <c r="X71">
        <v>314</v>
      </c>
      <c r="Y71">
        <v>6</v>
      </c>
      <c r="Z71">
        <v>6</v>
      </c>
      <c r="AB71">
        <v>12</v>
      </c>
      <c r="AF71">
        <v>2</v>
      </c>
      <c r="AG71">
        <v>1</v>
      </c>
      <c r="AH71">
        <v>0</v>
      </c>
      <c r="AI71">
        <v>0</v>
      </c>
      <c r="AW71">
        <v>0</v>
      </c>
      <c r="AX71">
        <v>8</v>
      </c>
      <c r="AY71">
        <v>515</v>
      </c>
      <c r="AZ71">
        <v>515</v>
      </c>
      <c r="BA71">
        <v>690</v>
      </c>
      <c r="BB71">
        <v>44</v>
      </c>
      <c r="BD71">
        <v>1</v>
      </c>
      <c r="BF71" t="s">
        <v>159</v>
      </c>
      <c r="BG71" s="1">
        <v>44354.316666666666</v>
      </c>
      <c r="BH71" s="1">
        <v>44354.322650462964</v>
      </c>
      <c r="BI71" s="1">
        <v>44354.323252314818</v>
      </c>
      <c r="BJ71" t="s">
        <v>85</v>
      </c>
      <c r="BK71" t="s">
        <v>86</v>
      </c>
      <c r="BL71" t="s">
        <v>87</v>
      </c>
    </row>
    <row r="72" spans="1:64" x14ac:dyDescent="0.3">
      <c r="A72" t="str">
        <f>"200042B0000"</f>
        <v>200042B0000</v>
      </c>
      <c r="B72" t="str">
        <f>"200042B00003"</f>
        <v>200042B00003</v>
      </c>
      <c r="C72" t="str">
        <f t="shared" si="3"/>
        <v>20</v>
      </c>
      <c r="D72" t="s">
        <v>81</v>
      </c>
      <c r="E72" t="str">
        <f>"005"</f>
        <v>005</v>
      </c>
      <c r="F72" t="s">
        <v>160</v>
      </c>
      <c r="G72" t="str">
        <f>"0042"</f>
        <v>0042</v>
      </c>
      <c r="H72" t="str">
        <f>"0000"</f>
        <v>0000</v>
      </c>
      <c r="I72" t="s">
        <v>83</v>
      </c>
      <c r="J72">
        <v>0</v>
      </c>
      <c r="K72">
        <v>1</v>
      </c>
      <c r="L72">
        <v>3</v>
      </c>
      <c r="BA72">
        <v>432</v>
      </c>
      <c r="BB72">
        <v>44</v>
      </c>
      <c r="BC72" t="s">
        <v>161</v>
      </c>
      <c r="BD72">
        <v>0</v>
      </c>
      <c r="BF72" s="2" t="s">
        <v>162</v>
      </c>
      <c r="BG72" s="1">
        <v>44354.686111111114</v>
      </c>
      <c r="BH72" s="1">
        <v>44354.688946759263</v>
      </c>
      <c r="BI72" s="1">
        <v>44354.688946759263</v>
      </c>
      <c r="BJ72" t="s">
        <v>85</v>
      </c>
      <c r="BK72" t="s">
        <v>86</v>
      </c>
      <c r="BL72" t="s">
        <v>87</v>
      </c>
    </row>
    <row r="73" spans="1:64" x14ac:dyDescent="0.3">
      <c r="A73" t="str">
        <f>"200042C0100"</f>
        <v>200042C0100</v>
      </c>
      <c r="B73" t="str">
        <f>"200042C01003"</f>
        <v>200042C01003</v>
      </c>
      <c r="C73" t="str">
        <f t="shared" si="3"/>
        <v>20</v>
      </c>
      <c r="D73" t="s">
        <v>81</v>
      </c>
      <c r="E73" t="str">
        <f>"005"</f>
        <v>005</v>
      </c>
      <c r="F73" t="s">
        <v>160</v>
      </c>
      <c r="G73" t="str">
        <f>"0042"</f>
        <v>0042</v>
      </c>
      <c r="H73" t="str">
        <f>"0001"</f>
        <v>0001</v>
      </c>
      <c r="I73" t="s">
        <v>89</v>
      </c>
      <c r="J73">
        <v>0</v>
      </c>
      <c r="K73">
        <v>1</v>
      </c>
      <c r="L73">
        <v>3</v>
      </c>
      <c r="BA73">
        <v>432</v>
      </c>
      <c r="BB73">
        <v>44</v>
      </c>
      <c r="BC73" t="s">
        <v>161</v>
      </c>
      <c r="BD73">
        <v>0</v>
      </c>
      <c r="BF73" t="s">
        <v>163</v>
      </c>
      <c r="BG73" s="1">
        <v>44354.686111111114</v>
      </c>
      <c r="BH73" s="1">
        <v>44354.688819444447</v>
      </c>
      <c r="BI73" s="1">
        <v>44354.688819444447</v>
      </c>
      <c r="BJ73" t="s">
        <v>85</v>
      </c>
      <c r="BK73" t="s">
        <v>86</v>
      </c>
      <c r="BL73" t="s">
        <v>87</v>
      </c>
    </row>
    <row r="74" spans="1:64" x14ac:dyDescent="0.3">
      <c r="A74" t="str">
        <f>"200043B0000"</f>
        <v>200043B0000</v>
      </c>
      <c r="B74" t="str">
        <f>"200043B00003"</f>
        <v>200043B00003</v>
      </c>
      <c r="C74" t="str">
        <f t="shared" si="3"/>
        <v>20</v>
      </c>
      <c r="D74" t="s">
        <v>81</v>
      </c>
      <c r="E74" t="str">
        <f t="shared" ref="E74:E99" si="4">"006"</f>
        <v>006</v>
      </c>
      <c r="F74" t="s">
        <v>164</v>
      </c>
      <c r="G74" t="str">
        <f>"0043"</f>
        <v>0043</v>
      </c>
      <c r="H74" t="str">
        <f>"0000"</f>
        <v>0000</v>
      </c>
      <c r="I74" t="s">
        <v>83</v>
      </c>
      <c r="J74">
        <v>0</v>
      </c>
      <c r="K74">
        <v>1</v>
      </c>
      <c r="L74">
        <v>3</v>
      </c>
      <c r="M74">
        <v>128</v>
      </c>
      <c r="N74">
        <v>307</v>
      </c>
      <c r="O74">
        <v>3</v>
      </c>
      <c r="P74">
        <v>307</v>
      </c>
      <c r="Q74">
        <v>1</v>
      </c>
      <c r="R74">
        <v>151</v>
      </c>
      <c r="S74">
        <v>3</v>
      </c>
      <c r="T74">
        <v>1</v>
      </c>
      <c r="U74">
        <v>18</v>
      </c>
      <c r="X74">
        <v>116</v>
      </c>
      <c r="Y74">
        <v>0</v>
      </c>
      <c r="Z74">
        <v>1</v>
      </c>
      <c r="AA74">
        <v>4</v>
      </c>
      <c r="AB74">
        <v>3</v>
      </c>
      <c r="AJ74">
        <v>0</v>
      </c>
      <c r="AK74">
        <v>4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W74">
        <v>0</v>
      </c>
      <c r="AX74">
        <v>5</v>
      </c>
      <c r="AY74">
        <v>307</v>
      </c>
      <c r="AZ74">
        <v>307</v>
      </c>
      <c r="BA74">
        <v>391</v>
      </c>
      <c r="BB74">
        <v>44</v>
      </c>
      <c r="BD74">
        <v>1</v>
      </c>
      <c r="BF74" t="s">
        <v>165</v>
      </c>
      <c r="BG74" s="1">
        <v>44353.988194444442</v>
      </c>
      <c r="BH74" s="1">
        <v>44353.992962962962</v>
      </c>
      <c r="BI74" s="1">
        <v>44353.993611111109</v>
      </c>
      <c r="BJ74" t="s">
        <v>85</v>
      </c>
      <c r="BK74" t="s">
        <v>86</v>
      </c>
      <c r="BL74" t="s">
        <v>87</v>
      </c>
    </row>
    <row r="75" spans="1:64" x14ac:dyDescent="0.3">
      <c r="A75" t="str">
        <f>"200043C0100"</f>
        <v>200043C0100</v>
      </c>
      <c r="B75" t="str">
        <f>"200043C01003"</f>
        <v>200043C01003</v>
      </c>
      <c r="C75" t="str">
        <f t="shared" si="3"/>
        <v>20</v>
      </c>
      <c r="D75" t="s">
        <v>81</v>
      </c>
      <c r="E75" t="str">
        <f t="shared" si="4"/>
        <v>006</v>
      </c>
      <c r="F75" t="s">
        <v>164</v>
      </c>
      <c r="G75" t="str">
        <f>"0043"</f>
        <v>0043</v>
      </c>
      <c r="H75" t="str">
        <f>"0001"</f>
        <v>0001</v>
      </c>
      <c r="I75" t="s">
        <v>89</v>
      </c>
      <c r="J75">
        <v>0</v>
      </c>
      <c r="K75">
        <v>1</v>
      </c>
      <c r="L75">
        <v>3</v>
      </c>
      <c r="M75">
        <v>119</v>
      </c>
      <c r="N75">
        <v>319</v>
      </c>
      <c r="O75">
        <v>7</v>
      </c>
      <c r="P75">
        <v>313</v>
      </c>
      <c r="Q75">
        <v>0</v>
      </c>
      <c r="R75">
        <v>146</v>
      </c>
      <c r="S75">
        <v>0</v>
      </c>
      <c r="T75">
        <v>1</v>
      </c>
      <c r="U75">
        <v>28</v>
      </c>
      <c r="X75">
        <v>120</v>
      </c>
      <c r="Y75">
        <v>0</v>
      </c>
      <c r="Z75">
        <v>2</v>
      </c>
      <c r="AA75">
        <v>1</v>
      </c>
      <c r="AB75">
        <v>1</v>
      </c>
      <c r="AJ75">
        <v>0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1</v>
      </c>
      <c r="AS75">
        <v>0</v>
      </c>
      <c r="AT75">
        <v>0</v>
      </c>
      <c r="AU75">
        <v>2</v>
      </c>
      <c r="AW75">
        <v>0</v>
      </c>
      <c r="AX75">
        <v>8</v>
      </c>
      <c r="AY75">
        <v>313</v>
      </c>
      <c r="AZ75">
        <v>313</v>
      </c>
      <c r="BA75">
        <v>391</v>
      </c>
      <c r="BB75">
        <v>44</v>
      </c>
      <c r="BD75">
        <v>1</v>
      </c>
      <c r="BF75" t="s">
        <v>166</v>
      </c>
      <c r="BG75" s="1">
        <v>44354.004861111112</v>
      </c>
      <c r="BH75" s="1">
        <v>44354.011412037034</v>
      </c>
      <c r="BI75" s="1">
        <v>44354.012106481481</v>
      </c>
      <c r="BJ75" t="s">
        <v>85</v>
      </c>
      <c r="BK75" t="s">
        <v>86</v>
      </c>
      <c r="BL75" t="s">
        <v>87</v>
      </c>
    </row>
    <row r="76" spans="1:64" x14ac:dyDescent="0.3">
      <c r="A76" t="str">
        <f>"200044B0000"</f>
        <v>200044B0000</v>
      </c>
      <c r="B76" t="str">
        <f>"200044B00003"</f>
        <v>200044B00003</v>
      </c>
      <c r="C76" t="str">
        <f t="shared" si="3"/>
        <v>20</v>
      </c>
      <c r="D76" t="s">
        <v>81</v>
      </c>
      <c r="E76" t="str">
        <f t="shared" si="4"/>
        <v>006</v>
      </c>
      <c r="F76" t="s">
        <v>164</v>
      </c>
      <c r="G76" t="str">
        <f>"0044"</f>
        <v>0044</v>
      </c>
      <c r="H76" t="str">
        <f>"0000"</f>
        <v>0000</v>
      </c>
      <c r="I76" t="s">
        <v>83</v>
      </c>
      <c r="J76">
        <v>0</v>
      </c>
      <c r="K76">
        <v>1</v>
      </c>
      <c r="L76">
        <v>3</v>
      </c>
      <c r="M76">
        <v>180</v>
      </c>
      <c r="N76">
        <v>311</v>
      </c>
      <c r="O76">
        <v>1</v>
      </c>
      <c r="P76">
        <v>311</v>
      </c>
      <c r="Q76">
        <v>0</v>
      </c>
      <c r="R76">
        <v>102</v>
      </c>
      <c r="S76">
        <v>2</v>
      </c>
      <c r="T76">
        <v>0</v>
      </c>
      <c r="U76">
        <v>25</v>
      </c>
      <c r="X76">
        <v>150</v>
      </c>
      <c r="Y76">
        <v>1</v>
      </c>
      <c r="Z76">
        <v>0</v>
      </c>
      <c r="AA76">
        <v>14</v>
      </c>
      <c r="AB76">
        <v>7</v>
      </c>
      <c r="AJ76">
        <v>0</v>
      </c>
      <c r="AK76">
        <v>3</v>
      </c>
      <c r="AL76">
        <v>0</v>
      </c>
      <c r="AM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W76">
        <v>0</v>
      </c>
      <c r="AX76">
        <v>6</v>
      </c>
      <c r="AY76">
        <v>311</v>
      </c>
      <c r="AZ76">
        <v>311</v>
      </c>
      <c r="BA76">
        <v>447</v>
      </c>
      <c r="BB76">
        <v>44</v>
      </c>
      <c r="BD76">
        <v>1</v>
      </c>
      <c r="BF76" t="s">
        <v>167</v>
      </c>
      <c r="BG76" s="1">
        <v>44353.943055555559</v>
      </c>
      <c r="BH76" s="1">
        <v>44353.94431712963</v>
      </c>
      <c r="BI76" s="1">
        <v>44353.945185185185</v>
      </c>
      <c r="BJ76" t="s">
        <v>85</v>
      </c>
      <c r="BK76" t="s">
        <v>86</v>
      </c>
      <c r="BL76" t="s">
        <v>87</v>
      </c>
    </row>
    <row r="77" spans="1:64" x14ac:dyDescent="0.3">
      <c r="A77" t="str">
        <f>"200044C0100"</f>
        <v>200044C0100</v>
      </c>
      <c r="B77" t="str">
        <f>"200044C01003"</f>
        <v>200044C01003</v>
      </c>
      <c r="C77" t="str">
        <f t="shared" si="3"/>
        <v>20</v>
      </c>
      <c r="D77" t="s">
        <v>81</v>
      </c>
      <c r="E77" t="str">
        <f t="shared" si="4"/>
        <v>006</v>
      </c>
      <c r="F77" t="s">
        <v>164</v>
      </c>
      <c r="G77" t="str">
        <f>"0044"</f>
        <v>0044</v>
      </c>
      <c r="H77" t="str">
        <f>"0001"</f>
        <v>0001</v>
      </c>
      <c r="I77" t="s">
        <v>89</v>
      </c>
      <c r="J77">
        <v>0</v>
      </c>
      <c r="K77">
        <v>1</v>
      </c>
      <c r="L77">
        <v>3</v>
      </c>
      <c r="M77">
        <v>161</v>
      </c>
      <c r="N77">
        <v>322</v>
      </c>
      <c r="O77">
        <v>2</v>
      </c>
      <c r="P77">
        <v>322</v>
      </c>
      <c r="Q77">
        <v>3</v>
      </c>
      <c r="R77">
        <v>122</v>
      </c>
      <c r="S77">
        <v>1</v>
      </c>
      <c r="T77">
        <v>1</v>
      </c>
      <c r="U77">
        <v>43</v>
      </c>
      <c r="X77">
        <v>124</v>
      </c>
      <c r="Y77">
        <v>0</v>
      </c>
      <c r="Z77">
        <v>2</v>
      </c>
      <c r="AA77">
        <v>15</v>
      </c>
      <c r="AB77">
        <v>4</v>
      </c>
      <c r="AJ77">
        <v>2</v>
      </c>
      <c r="AK77">
        <v>1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W77">
        <v>0</v>
      </c>
      <c r="AX77">
        <v>4</v>
      </c>
      <c r="AY77">
        <v>322</v>
      </c>
      <c r="AZ77">
        <v>322</v>
      </c>
      <c r="BA77">
        <v>446</v>
      </c>
      <c r="BB77">
        <v>44</v>
      </c>
      <c r="BD77">
        <v>1</v>
      </c>
      <c r="BF77" t="s">
        <v>168</v>
      </c>
      <c r="BG77" s="1">
        <v>44354.003472222219</v>
      </c>
      <c r="BH77" s="1">
        <v>44354.00922453704</v>
      </c>
      <c r="BI77" s="1">
        <v>44354.013402777775</v>
      </c>
      <c r="BJ77" t="s">
        <v>85</v>
      </c>
      <c r="BK77" t="s">
        <v>86</v>
      </c>
      <c r="BL77" t="s">
        <v>87</v>
      </c>
    </row>
    <row r="78" spans="1:64" x14ac:dyDescent="0.3">
      <c r="A78" t="str">
        <f>"200045B0000"</f>
        <v>200045B0000</v>
      </c>
      <c r="B78" t="str">
        <f>"200045B00003"</f>
        <v>200045B00003</v>
      </c>
      <c r="C78" t="str">
        <f t="shared" si="3"/>
        <v>20</v>
      </c>
      <c r="D78" t="s">
        <v>81</v>
      </c>
      <c r="E78" t="str">
        <f t="shared" si="4"/>
        <v>006</v>
      </c>
      <c r="F78" t="s">
        <v>164</v>
      </c>
      <c r="G78" t="str">
        <f>"0045"</f>
        <v>0045</v>
      </c>
      <c r="H78" t="str">
        <f>"0000"</f>
        <v>0000</v>
      </c>
      <c r="I78" t="s">
        <v>83</v>
      </c>
      <c r="J78">
        <v>0</v>
      </c>
      <c r="K78">
        <v>1</v>
      </c>
      <c r="L78">
        <v>3</v>
      </c>
      <c r="M78">
        <v>131</v>
      </c>
      <c r="N78">
        <v>310</v>
      </c>
      <c r="O78">
        <v>1</v>
      </c>
      <c r="P78">
        <v>310</v>
      </c>
      <c r="Q78">
        <v>1</v>
      </c>
      <c r="R78">
        <v>116</v>
      </c>
      <c r="S78">
        <v>1</v>
      </c>
      <c r="T78">
        <v>3</v>
      </c>
      <c r="U78">
        <v>17</v>
      </c>
      <c r="X78">
        <v>156</v>
      </c>
      <c r="Y78">
        <v>0</v>
      </c>
      <c r="Z78">
        <v>1</v>
      </c>
      <c r="AA78">
        <v>4</v>
      </c>
      <c r="AB78">
        <v>3</v>
      </c>
      <c r="AJ78">
        <v>1</v>
      </c>
      <c r="AK78">
        <v>1</v>
      </c>
      <c r="AL78">
        <v>0</v>
      </c>
      <c r="AM78">
        <v>0</v>
      </c>
      <c r="AN78">
        <v>0</v>
      </c>
      <c r="AO78">
        <v>1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W78">
        <v>0</v>
      </c>
      <c r="AX78">
        <v>5</v>
      </c>
      <c r="AY78">
        <v>310</v>
      </c>
      <c r="AZ78">
        <v>310</v>
      </c>
      <c r="BA78">
        <v>397</v>
      </c>
      <c r="BB78">
        <v>44</v>
      </c>
      <c r="BD78">
        <v>1</v>
      </c>
      <c r="BF78" t="s">
        <v>169</v>
      </c>
      <c r="BG78" s="1">
        <v>44353.996527777781</v>
      </c>
      <c r="BH78" s="1">
        <v>44354.005347222221</v>
      </c>
      <c r="BI78" s="1">
        <v>44354.006157407406</v>
      </c>
      <c r="BJ78" t="s">
        <v>85</v>
      </c>
      <c r="BK78" t="s">
        <v>86</v>
      </c>
      <c r="BL78" t="s">
        <v>87</v>
      </c>
    </row>
    <row r="79" spans="1:64" x14ac:dyDescent="0.3">
      <c r="A79" t="str">
        <f>"200045C0100"</f>
        <v>200045C0100</v>
      </c>
      <c r="B79" t="str">
        <f>"200045C01003"</f>
        <v>200045C01003</v>
      </c>
      <c r="C79" t="str">
        <f t="shared" si="3"/>
        <v>20</v>
      </c>
      <c r="D79" t="s">
        <v>81</v>
      </c>
      <c r="E79" t="str">
        <f t="shared" si="4"/>
        <v>006</v>
      </c>
      <c r="F79" t="s">
        <v>164</v>
      </c>
      <c r="G79" t="str">
        <f>"0045"</f>
        <v>0045</v>
      </c>
      <c r="H79" t="str">
        <f>"0001"</f>
        <v>0001</v>
      </c>
      <c r="I79" t="s">
        <v>89</v>
      </c>
      <c r="J79">
        <v>0</v>
      </c>
      <c r="K79">
        <v>1</v>
      </c>
      <c r="L79">
        <v>3</v>
      </c>
      <c r="M79">
        <v>137</v>
      </c>
      <c r="N79">
        <v>303</v>
      </c>
      <c r="O79">
        <v>0</v>
      </c>
      <c r="P79" t="s">
        <v>92</v>
      </c>
      <c r="Q79">
        <v>1</v>
      </c>
      <c r="R79">
        <v>126</v>
      </c>
      <c r="S79">
        <v>1</v>
      </c>
      <c r="T79">
        <v>1</v>
      </c>
      <c r="U79">
        <v>16</v>
      </c>
      <c r="X79">
        <v>145</v>
      </c>
      <c r="Y79">
        <v>1</v>
      </c>
      <c r="Z79">
        <v>1</v>
      </c>
      <c r="AA79">
        <v>3</v>
      </c>
      <c r="AB79">
        <v>3</v>
      </c>
      <c r="AJ79" t="s">
        <v>95</v>
      </c>
      <c r="AK79">
        <v>1</v>
      </c>
      <c r="AL79" t="s">
        <v>95</v>
      </c>
      <c r="AM79" t="s">
        <v>95</v>
      </c>
      <c r="AN79" t="s">
        <v>95</v>
      </c>
      <c r="AO79" t="s">
        <v>95</v>
      </c>
      <c r="AP79" t="s">
        <v>95</v>
      </c>
      <c r="AQ79" t="s">
        <v>95</v>
      </c>
      <c r="AR79" t="s">
        <v>95</v>
      </c>
      <c r="AS79" t="s">
        <v>95</v>
      </c>
      <c r="AT79" t="s">
        <v>95</v>
      </c>
      <c r="AU79" t="s">
        <v>95</v>
      </c>
      <c r="AW79" t="s">
        <v>95</v>
      </c>
      <c r="AX79">
        <v>4</v>
      </c>
      <c r="AY79">
        <v>303</v>
      </c>
      <c r="AZ79">
        <v>303</v>
      </c>
      <c r="BA79">
        <v>396</v>
      </c>
      <c r="BB79">
        <v>44</v>
      </c>
      <c r="BC79" t="s">
        <v>96</v>
      </c>
      <c r="BD79">
        <v>1</v>
      </c>
      <c r="BF79" t="s">
        <v>170</v>
      </c>
      <c r="BG79" s="1">
        <v>44354</v>
      </c>
      <c r="BH79" s="1">
        <v>44354.004583333335</v>
      </c>
      <c r="BI79" s="1">
        <v>44354.005277777775</v>
      </c>
      <c r="BJ79" t="s">
        <v>85</v>
      </c>
      <c r="BK79" t="s">
        <v>86</v>
      </c>
      <c r="BL79" t="s">
        <v>87</v>
      </c>
    </row>
    <row r="80" spans="1:64" x14ac:dyDescent="0.3">
      <c r="A80" t="str">
        <f>"200046B0000"</f>
        <v>200046B0000</v>
      </c>
      <c r="B80" t="str">
        <f>"200046B00003"</f>
        <v>200046B00003</v>
      </c>
      <c r="C80" t="str">
        <f t="shared" si="3"/>
        <v>20</v>
      </c>
      <c r="D80" t="s">
        <v>81</v>
      </c>
      <c r="E80" t="str">
        <f t="shared" si="4"/>
        <v>006</v>
      </c>
      <c r="F80" t="s">
        <v>164</v>
      </c>
      <c r="G80" t="str">
        <f>"0046"</f>
        <v>0046</v>
      </c>
      <c r="H80" t="str">
        <f>"0000"</f>
        <v>0000</v>
      </c>
      <c r="I80" t="s">
        <v>83</v>
      </c>
      <c r="J80">
        <v>0</v>
      </c>
      <c r="K80">
        <v>1</v>
      </c>
      <c r="L80">
        <v>3</v>
      </c>
      <c r="M80">
        <v>182</v>
      </c>
      <c r="N80">
        <v>366</v>
      </c>
      <c r="O80">
        <v>1</v>
      </c>
      <c r="P80">
        <v>366</v>
      </c>
      <c r="Q80">
        <v>1</v>
      </c>
      <c r="R80">
        <v>142</v>
      </c>
      <c r="S80">
        <v>1</v>
      </c>
      <c r="T80">
        <v>1</v>
      </c>
      <c r="U80">
        <v>41</v>
      </c>
      <c r="X80">
        <v>150</v>
      </c>
      <c r="Y80">
        <v>0</v>
      </c>
      <c r="Z80">
        <v>0</v>
      </c>
      <c r="AA80">
        <v>10</v>
      </c>
      <c r="AB80">
        <v>3</v>
      </c>
      <c r="AJ80">
        <v>0</v>
      </c>
      <c r="AK80">
        <v>3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0</v>
      </c>
      <c r="AS80">
        <v>0</v>
      </c>
      <c r="AT80">
        <v>0</v>
      </c>
      <c r="AU80">
        <v>0</v>
      </c>
      <c r="AW80">
        <v>0</v>
      </c>
      <c r="AX80">
        <v>13</v>
      </c>
      <c r="AY80">
        <v>366</v>
      </c>
      <c r="AZ80">
        <v>366</v>
      </c>
      <c r="BA80">
        <v>504</v>
      </c>
      <c r="BB80">
        <v>44</v>
      </c>
      <c r="BD80">
        <v>1</v>
      </c>
      <c r="BF80" t="s">
        <v>171</v>
      </c>
      <c r="BG80" s="1">
        <v>44354.040277777778</v>
      </c>
      <c r="BH80" s="1">
        <v>44354.050127314818</v>
      </c>
      <c r="BI80" s="1">
        <v>44354.050763888888</v>
      </c>
      <c r="BJ80" t="s">
        <v>85</v>
      </c>
      <c r="BK80" t="s">
        <v>86</v>
      </c>
      <c r="BL80" t="s">
        <v>87</v>
      </c>
    </row>
    <row r="81" spans="1:64" x14ac:dyDescent="0.3">
      <c r="A81" t="str">
        <f>"200046C0100"</f>
        <v>200046C0100</v>
      </c>
      <c r="B81" t="str">
        <f>"200046C01003"</f>
        <v>200046C01003</v>
      </c>
      <c r="C81" t="str">
        <f t="shared" si="3"/>
        <v>20</v>
      </c>
      <c r="D81" t="s">
        <v>81</v>
      </c>
      <c r="E81" t="str">
        <f t="shared" si="4"/>
        <v>006</v>
      </c>
      <c r="F81" t="s">
        <v>164</v>
      </c>
      <c r="G81" t="str">
        <f>"0046"</f>
        <v>0046</v>
      </c>
      <c r="H81" t="str">
        <f>"0001"</f>
        <v>0001</v>
      </c>
      <c r="I81" t="s">
        <v>89</v>
      </c>
      <c r="J81">
        <v>0</v>
      </c>
      <c r="K81">
        <v>1</v>
      </c>
      <c r="L81">
        <v>3</v>
      </c>
      <c r="M81">
        <v>174</v>
      </c>
      <c r="N81">
        <v>372</v>
      </c>
      <c r="O81">
        <v>0</v>
      </c>
      <c r="P81">
        <v>372</v>
      </c>
      <c r="Q81">
        <v>0</v>
      </c>
      <c r="R81">
        <v>156</v>
      </c>
      <c r="S81">
        <v>3</v>
      </c>
      <c r="T81">
        <v>0</v>
      </c>
      <c r="U81">
        <v>55</v>
      </c>
      <c r="X81">
        <v>144</v>
      </c>
      <c r="Y81">
        <v>0</v>
      </c>
      <c r="Z81">
        <v>2</v>
      </c>
      <c r="AA81">
        <v>4</v>
      </c>
      <c r="AB81">
        <v>1</v>
      </c>
      <c r="AJ81">
        <v>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W81">
        <v>0</v>
      </c>
      <c r="AX81">
        <v>5</v>
      </c>
      <c r="AY81">
        <v>372</v>
      </c>
      <c r="AZ81">
        <v>372</v>
      </c>
      <c r="BA81">
        <v>503</v>
      </c>
      <c r="BB81">
        <v>44</v>
      </c>
      <c r="BD81">
        <v>1</v>
      </c>
      <c r="BF81" t="s">
        <v>172</v>
      </c>
      <c r="BG81" s="1">
        <v>44354.043055555558</v>
      </c>
      <c r="BH81" s="1">
        <v>44354.051412037035</v>
      </c>
      <c r="BI81" s="1">
        <v>44354.05201388889</v>
      </c>
      <c r="BJ81" t="s">
        <v>85</v>
      </c>
      <c r="BK81" t="s">
        <v>86</v>
      </c>
      <c r="BL81" t="s">
        <v>87</v>
      </c>
    </row>
    <row r="82" spans="1:64" x14ac:dyDescent="0.3">
      <c r="A82" t="str">
        <f>"200047B0000"</f>
        <v>200047B0000</v>
      </c>
      <c r="B82" t="str">
        <f>"200047B00003"</f>
        <v>200047B00003</v>
      </c>
      <c r="C82" t="str">
        <f t="shared" si="3"/>
        <v>20</v>
      </c>
      <c r="D82" t="s">
        <v>81</v>
      </c>
      <c r="E82" t="str">
        <f t="shared" si="4"/>
        <v>006</v>
      </c>
      <c r="F82" t="s">
        <v>164</v>
      </c>
      <c r="G82" t="str">
        <f>"0047"</f>
        <v>0047</v>
      </c>
      <c r="H82" t="str">
        <f>"0000"</f>
        <v>0000</v>
      </c>
      <c r="I82" t="s">
        <v>83</v>
      </c>
      <c r="J82">
        <v>0</v>
      </c>
      <c r="K82">
        <v>1</v>
      </c>
      <c r="L82">
        <v>3</v>
      </c>
      <c r="M82">
        <v>245</v>
      </c>
      <c r="N82">
        <v>459</v>
      </c>
      <c r="O82">
        <v>0</v>
      </c>
      <c r="P82">
        <v>459</v>
      </c>
      <c r="Q82">
        <v>4</v>
      </c>
      <c r="R82">
        <v>206</v>
      </c>
      <c r="S82">
        <v>2</v>
      </c>
      <c r="T82">
        <v>1</v>
      </c>
      <c r="U82">
        <v>32</v>
      </c>
      <c r="X82">
        <v>199</v>
      </c>
      <c r="Y82">
        <v>0</v>
      </c>
      <c r="Z82">
        <v>2</v>
      </c>
      <c r="AA82">
        <v>1</v>
      </c>
      <c r="AB82">
        <v>2</v>
      </c>
      <c r="AJ82" t="s">
        <v>95</v>
      </c>
      <c r="AK82">
        <v>2</v>
      </c>
      <c r="AL82" t="s">
        <v>95</v>
      </c>
      <c r="AM82" t="s">
        <v>95</v>
      </c>
      <c r="AN82" t="s">
        <v>95</v>
      </c>
      <c r="AO82" t="s">
        <v>95</v>
      </c>
      <c r="AP82" t="s">
        <v>95</v>
      </c>
      <c r="AQ82" t="s">
        <v>95</v>
      </c>
      <c r="AR82" t="s">
        <v>95</v>
      </c>
      <c r="AS82">
        <v>1</v>
      </c>
      <c r="AT82">
        <v>0</v>
      </c>
      <c r="AU82">
        <v>1</v>
      </c>
      <c r="AW82" t="s">
        <v>95</v>
      </c>
      <c r="AX82">
        <v>6</v>
      </c>
      <c r="AY82">
        <v>459</v>
      </c>
      <c r="AZ82">
        <v>459</v>
      </c>
      <c r="BA82">
        <v>660</v>
      </c>
      <c r="BB82">
        <v>44</v>
      </c>
      <c r="BC82" t="s">
        <v>96</v>
      </c>
      <c r="BD82">
        <v>1</v>
      </c>
      <c r="BF82" t="s">
        <v>173</v>
      </c>
      <c r="BG82" s="1">
        <v>44354.036805555559</v>
      </c>
      <c r="BH82" s="1">
        <v>44354.044710648152</v>
      </c>
      <c r="BI82" s="1">
        <v>44354.045023148145</v>
      </c>
      <c r="BJ82" t="s">
        <v>85</v>
      </c>
      <c r="BK82" t="s">
        <v>86</v>
      </c>
      <c r="BL82" t="s">
        <v>87</v>
      </c>
    </row>
    <row r="83" spans="1:64" x14ac:dyDescent="0.3">
      <c r="A83" t="str">
        <f>"200047C0100"</f>
        <v>200047C0100</v>
      </c>
      <c r="B83" t="str">
        <f>"200047C01003"</f>
        <v>200047C01003</v>
      </c>
      <c r="C83" t="str">
        <f t="shared" si="3"/>
        <v>20</v>
      </c>
      <c r="D83" t="s">
        <v>81</v>
      </c>
      <c r="E83" t="str">
        <f t="shared" si="4"/>
        <v>006</v>
      </c>
      <c r="F83" t="s">
        <v>164</v>
      </c>
      <c r="G83" t="str">
        <f>"0047"</f>
        <v>0047</v>
      </c>
      <c r="H83" t="str">
        <f>"0001"</f>
        <v>0001</v>
      </c>
      <c r="I83" t="s">
        <v>89</v>
      </c>
      <c r="J83">
        <v>0</v>
      </c>
      <c r="K83">
        <v>1</v>
      </c>
      <c r="L83">
        <v>3</v>
      </c>
      <c r="M83">
        <v>236</v>
      </c>
      <c r="N83">
        <v>467</v>
      </c>
      <c r="O83">
        <v>1</v>
      </c>
      <c r="P83">
        <v>467</v>
      </c>
      <c r="Q83">
        <v>2</v>
      </c>
      <c r="R83">
        <v>184</v>
      </c>
      <c r="S83">
        <v>3</v>
      </c>
      <c r="T83">
        <v>2</v>
      </c>
      <c r="U83">
        <v>36</v>
      </c>
      <c r="X83">
        <v>226</v>
      </c>
      <c r="Y83" t="s">
        <v>95</v>
      </c>
      <c r="Z83">
        <v>1</v>
      </c>
      <c r="AA83">
        <v>1</v>
      </c>
      <c r="AB83">
        <v>2</v>
      </c>
      <c r="AJ83" t="s">
        <v>95</v>
      </c>
      <c r="AK83">
        <v>1</v>
      </c>
      <c r="AL83" t="s">
        <v>95</v>
      </c>
      <c r="AM83" t="s">
        <v>95</v>
      </c>
      <c r="AN83">
        <v>1</v>
      </c>
      <c r="AO83" t="s">
        <v>95</v>
      </c>
      <c r="AP83" t="s">
        <v>95</v>
      </c>
      <c r="AQ83" t="s">
        <v>95</v>
      </c>
      <c r="AR83">
        <v>2</v>
      </c>
      <c r="AS83" t="s">
        <v>95</v>
      </c>
      <c r="AT83" t="s">
        <v>95</v>
      </c>
      <c r="AU83" t="s">
        <v>95</v>
      </c>
      <c r="AW83" t="s">
        <v>95</v>
      </c>
      <c r="AX83">
        <v>6</v>
      </c>
      <c r="AY83">
        <v>467</v>
      </c>
      <c r="AZ83">
        <v>467</v>
      </c>
      <c r="BA83">
        <v>659</v>
      </c>
      <c r="BB83">
        <v>44</v>
      </c>
      <c r="BC83" t="s">
        <v>96</v>
      </c>
      <c r="BD83">
        <v>1</v>
      </c>
      <c r="BF83" t="s">
        <v>174</v>
      </c>
      <c r="BG83" s="1">
        <v>44354.112500000003</v>
      </c>
      <c r="BH83" s="1">
        <v>44354.116967592592</v>
      </c>
      <c r="BI83" s="1">
        <v>44354.118761574071</v>
      </c>
      <c r="BJ83" t="s">
        <v>85</v>
      </c>
      <c r="BK83" t="s">
        <v>86</v>
      </c>
      <c r="BL83" t="s">
        <v>87</v>
      </c>
    </row>
    <row r="84" spans="1:64" x14ac:dyDescent="0.3">
      <c r="A84" t="str">
        <f>"200048B0000"</f>
        <v>200048B0000</v>
      </c>
      <c r="B84" t="str">
        <f>"200048B00003"</f>
        <v>200048B00003</v>
      </c>
      <c r="C84" t="str">
        <f t="shared" si="3"/>
        <v>20</v>
      </c>
      <c r="D84" t="s">
        <v>81</v>
      </c>
      <c r="E84" t="str">
        <f t="shared" si="4"/>
        <v>006</v>
      </c>
      <c r="F84" t="s">
        <v>164</v>
      </c>
      <c r="G84" t="str">
        <f>"0048"</f>
        <v>0048</v>
      </c>
      <c r="H84" t="str">
        <f>"0000"</f>
        <v>0000</v>
      </c>
      <c r="I84" t="s">
        <v>83</v>
      </c>
      <c r="J84">
        <v>0</v>
      </c>
      <c r="K84">
        <v>1</v>
      </c>
      <c r="L84">
        <v>3</v>
      </c>
      <c r="M84">
        <v>147</v>
      </c>
      <c r="N84">
        <v>293</v>
      </c>
      <c r="O84">
        <v>4</v>
      </c>
      <c r="P84">
        <v>293</v>
      </c>
      <c r="Q84">
        <v>0</v>
      </c>
      <c r="R84">
        <v>98</v>
      </c>
      <c r="S84">
        <v>1</v>
      </c>
      <c r="T84">
        <v>0</v>
      </c>
      <c r="U84">
        <v>21</v>
      </c>
      <c r="X84">
        <v>146</v>
      </c>
      <c r="Y84">
        <v>0</v>
      </c>
      <c r="Z84">
        <v>1</v>
      </c>
      <c r="AA84">
        <v>1</v>
      </c>
      <c r="AB84">
        <v>5</v>
      </c>
      <c r="AJ84">
        <v>0</v>
      </c>
      <c r="AK84">
        <v>5</v>
      </c>
      <c r="AL84">
        <v>0</v>
      </c>
      <c r="AM84">
        <v>0</v>
      </c>
      <c r="AN84">
        <v>0</v>
      </c>
      <c r="AO84">
        <v>1</v>
      </c>
      <c r="AP84">
        <v>0</v>
      </c>
      <c r="AQ84">
        <v>0</v>
      </c>
      <c r="AR84">
        <v>1</v>
      </c>
      <c r="AS84">
        <v>0</v>
      </c>
      <c r="AT84">
        <v>0</v>
      </c>
      <c r="AU84">
        <v>0</v>
      </c>
      <c r="AW84" t="s">
        <v>95</v>
      </c>
      <c r="AX84">
        <v>13</v>
      </c>
      <c r="AY84">
        <v>293</v>
      </c>
      <c r="AZ84">
        <v>293</v>
      </c>
      <c r="BA84">
        <v>397</v>
      </c>
      <c r="BB84">
        <v>44</v>
      </c>
      <c r="BC84" t="s">
        <v>96</v>
      </c>
      <c r="BD84">
        <v>1</v>
      </c>
      <c r="BF84" t="s">
        <v>175</v>
      </c>
      <c r="BG84" s="1">
        <v>44354.163194444445</v>
      </c>
      <c r="BH84" s="1">
        <v>44354.165891203702</v>
      </c>
      <c r="BI84" s="1">
        <v>44354.167187500003</v>
      </c>
      <c r="BJ84" t="s">
        <v>85</v>
      </c>
      <c r="BK84" t="s">
        <v>86</v>
      </c>
      <c r="BL84" t="s">
        <v>87</v>
      </c>
    </row>
    <row r="85" spans="1:64" x14ac:dyDescent="0.3">
      <c r="A85" t="str">
        <f>"200048C0100"</f>
        <v>200048C0100</v>
      </c>
      <c r="B85" t="str">
        <f>"200048C01003"</f>
        <v>200048C01003</v>
      </c>
      <c r="C85" t="str">
        <f t="shared" si="3"/>
        <v>20</v>
      </c>
      <c r="D85" t="s">
        <v>81</v>
      </c>
      <c r="E85" t="str">
        <f t="shared" si="4"/>
        <v>006</v>
      </c>
      <c r="F85" t="s">
        <v>164</v>
      </c>
      <c r="G85" t="str">
        <f>"0048"</f>
        <v>0048</v>
      </c>
      <c r="H85" t="str">
        <f>"0001"</f>
        <v>0001</v>
      </c>
      <c r="I85" t="s">
        <v>89</v>
      </c>
      <c r="J85">
        <v>0</v>
      </c>
      <c r="K85">
        <v>1</v>
      </c>
      <c r="L85">
        <v>3</v>
      </c>
      <c r="M85">
        <v>133</v>
      </c>
      <c r="N85">
        <v>308</v>
      </c>
      <c r="O85">
        <v>0</v>
      </c>
      <c r="P85" t="s">
        <v>92</v>
      </c>
      <c r="Q85">
        <v>1</v>
      </c>
      <c r="R85">
        <v>98</v>
      </c>
      <c r="S85">
        <v>2</v>
      </c>
      <c r="T85">
        <v>0</v>
      </c>
      <c r="U85">
        <v>11</v>
      </c>
      <c r="X85">
        <v>187</v>
      </c>
      <c r="Y85">
        <v>0</v>
      </c>
      <c r="Z85">
        <v>0</v>
      </c>
      <c r="AA85">
        <v>2</v>
      </c>
      <c r="AB85">
        <v>2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W85">
        <v>0</v>
      </c>
      <c r="AX85">
        <v>4</v>
      </c>
      <c r="AY85">
        <v>308</v>
      </c>
      <c r="AZ85">
        <v>308</v>
      </c>
      <c r="BA85">
        <v>397</v>
      </c>
      <c r="BB85">
        <v>44</v>
      </c>
      <c r="BD85">
        <v>1</v>
      </c>
      <c r="BF85" t="s">
        <v>176</v>
      </c>
      <c r="BG85" s="1">
        <v>44354.037499999999</v>
      </c>
      <c r="BH85" s="1">
        <v>44354.046689814815</v>
      </c>
      <c r="BI85" s="1">
        <v>44354.047488425924</v>
      </c>
      <c r="BJ85" t="s">
        <v>85</v>
      </c>
      <c r="BK85" t="s">
        <v>86</v>
      </c>
      <c r="BL85" t="s">
        <v>87</v>
      </c>
    </row>
    <row r="86" spans="1:64" x14ac:dyDescent="0.3">
      <c r="A86" t="str">
        <f>"200049B0000"</f>
        <v>200049B0000</v>
      </c>
      <c r="B86" t="str">
        <f>"200049B00003"</f>
        <v>200049B00003</v>
      </c>
      <c r="C86" t="str">
        <f t="shared" si="3"/>
        <v>20</v>
      </c>
      <c r="D86" t="s">
        <v>81</v>
      </c>
      <c r="E86" t="str">
        <f t="shared" si="4"/>
        <v>006</v>
      </c>
      <c r="F86" t="s">
        <v>164</v>
      </c>
      <c r="G86" t="str">
        <f>"0049"</f>
        <v>0049</v>
      </c>
      <c r="H86" t="str">
        <f>"0000"</f>
        <v>0000</v>
      </c>
      <c r="I86" t="s">
        <v>83</v>
      </c>
      <c r="J86">
        <v>0</v>
      </c>
      <c r="K86">
        <v>1</v>
      </c>
      <c r="L86">
        <v>3</v>
      </c>
      <c r="M86">
        <v>203</v>
      </c>
      <c r="N86">
        <v>371</v>
      </c>
      <c r="O86">
        <v>2</v>
      </c>
      <c r="P86">
        <v>371</v>
      </c>
      <c r="Q86">
        <v>2</v>
      </c>
      <c r="R86">
        <v>108</v>
      </c>
      <c r="S86">
        <v>4</v>
      </c>
      <c r="T86">
        <v>2</v>
      </c>
      <c r="U86">
        <v>43</v>
      </c>
      <c r="X86">
        <v>183</v>
      </c>
      <c r="Y86">
        <v>0</v>
      </c>
      <c r="Z86">
        <v>2</v>
      </c>
      <c r="AA86">
        <v>15</v>
      </c>
      <c r="AB86">
        <v>4</v>
      </c>
      <c r="AJ86" t="s">
        <v>95</v>
      </c>
      <c r="AK86" t="s">
        <v>95</v>
      </c>
      <c r="AL86" t="s">
        <v>95</v>
      </c>
      <c r="AM86" t="s">
        <v>95</v>
      </c>
      <c r="AN86" t="s">
        <v>95</v>
      </c>
      <c r="AO86">
        <v>1</v>
      </c>
      <c r="AP86" t="s">
        <v>95</v>
      </c>
      <c r="AQ86" t="s">
        <v>95</v>
      </c>
      <c r="AR86" t="s">
        <v>95</v>
      </c>
      <c r="AS86" t="s">
        <v>95</v>
      </c>
      <c r="AT86" t="s">
        <v>95</v>
      </c>
      <c r="AU86" t="s">
        <v>95</v>
      </c>
      <c r="AW86" t="s">
        <v>95</v>
      </c>
      <c r="AX86">
        <v>7</v>
      </c>
      <c r="AY86">
        <v>371</v>
      </c>
      <c r="AZ86">
        <v>371</v>
      </c>
      <c r="BA86">
        <v>530</v>
      </c>
      <c r="BB86">
        <v>44</v>
      </c>
      <c r="BC86" t="s">
        <v>96</v>
      </c>
      <c r="BD86">
        <v>1</v>
      </c>
      <c r="BF86" t="s">
        <v>177</v>
      </c>
      <c r="BG86" s="1">
        <v>44353.990972222222</v>
      </c>
      <c r="BH86" s="1">
        <v>44353.999016203707</v>
      </c>
      <c r="BI86" s="1">
        <v>44353.999780092592</v>
      </c>
      <c r="BJ86" t="s">
        <v>85</v>
      </c>
      <c r="BK86" t="s">
        <v>86</v>
      </c>
      <c r="BL86" t="s">
        <v>87</v>
      </c>
    </row>
    <row r="87" spans="1:64" x14ac:dyDescent="0.3">
      <c r="A87" t="str">
        <f>"200049C0100"</f>
        <v>200049C0100</v>
      </c>
      <c r="B87" t="str">
        <f>"200049C01003"</f>
        <v>200049C01003</v>
      </c>
      <c r="C87" t="str">
        <f t="shared" si="3"/>
        <v>20</v>
      </c>
      <c r="D87" t="s">
        <v>81</v>
      </c>
      <c r="E87" t="str">
        <f t="shared" si="4"/>
        <v>006</v>
      </c>
      <c r="F87" t="s">
        <v>164</v>
      </c>
      <c r="G87" t="str">
        <f>"0049"</f>
        <v>0049</v>
      </c>
      <c r="H87" t="str">
        <f>"0001"</f>
        <v>0001</v>
      </c>
      <c r="I87" t="s">
        <v>89</v>
      </c>
      <c r="J87">
        <v>0</v>
      </c>
      <c r="K87">
        <v>1</v>
      </c>
      <c r="L87">
        <v>3</v>
      </c>
      <c r="BA87">
        <v>529</v>
      </c>
      <c r="BB87">
        <v>44</v>
      </c>
      <c r="BC87" t="s">
        <v>161</v>
      </c>
      <c r="BD87">
        <v>0</v>
      </c>
      <c r="BF87" t="s">
        <v>178</v>
      </c>
      <c r="BG87" s="1">
        <v>44353.99722222222</v>
      </c>
      <c r="BH87" s="1">
        <v>44354.017812500002</v>
      </c>
      <c r="BI87" s="1">
        <v>44354.017812500002</v>
      </c>
      <c r="BJ87" t="s">
        <v>85</v>
      </c>
      <c r="BK87" t="s">
        <v>86</v>
      </c>
      <c r="BL87" t="s">
        <v>87</v>
      </c>
    </row>
    <row r="88" spans="1:64" x14ac:dyDescent="0.3">
      <c r="A88" t="str">
        <f>"200050B0000"</f>
        <v>200050B0000</v>
      </c>
      <c r="B88" t="str">
        <f>"200050B00003"</f>
        <v>200050B00003</v>
      </c>
      <c r="C88" t="str">
        <f t="shared" si="3"/>
        <v>20</v>
      </c>
      <c r="D88" t="s">
        <v>81</v>
      </c>
      <c r="E88" t="str">
        <f t="shared" si="4"/>
        <v>006</v>
      </c>
      <c r="F88" t="s">
        <v>164</v>
      </c>
      <c r="G88" t="str">
        <f>"0050"</f>
        <v>0050</v>
      </c>
      <c r="H88" t="str">
        <f>"0000"</f>
        <v>0000</v>
      </c>
      <c r="I88" t="s">
        <v>83</v>
      </c>
      <c r="J88">
        <v>0</v>
      </c>
      <c r="K88">
        <v>1</v>
      </c>
      <c r="L88">
        <v>3</v>
      </c>
      <c r="M88">
        <v>252</v>
      </c>
      <c r="N88">
        <v>517</v>
      </c>
      <c r="O88">
        <v>1</v>
      </c>
      <c r="P88">
        <v>517</v>
      </c>
      <c r="Q88">
        <v>3</v>
      </c>
      <c r="R88">
        <v>183</v>
      </c>
      <c r="S88">
        <v>5</v>
      </c>
      <c r="T88">
        <v>5</v>
      </c>
      <c r="U88">
        <v>21</v>
      </c>
      <c r="X88">
        <v>211</v>
      </c>
      <c r="Y88">
        <v>0</v>
      </c>
      <c r="Z88">
        <v>4</v>
      </c>
      <c r="AA88">
        <v>6</v>
      </c>
      <c r="AB88">
        <v>58</v>
      </c>
      <c r="AJ88">
        <v>0</v>
      </c>
      <c r="AK88">
        <v>3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1</v>
      </c>
      <c r="AS88">
        <v>0</v>
      </c>
      <c r="AT88">
        <v>0</v>
      </c>
      <c r="AU88">
        <v>0</v>
      </c>
      <c r="AW88">
        <v>0</v>
      </c>
      <c r="AX88">
        <v>17</v>
      </c>
      <c r="AY88">
        <v>517</v>
      </c>
      <c r="AZ88">
        <v>517</v>
      </c>
      <c r="BA88">
        <v>725</v>
      </c>
      <c r="BB88">
        <v>44</v>
      </c>
      <c r="BD88">
        <v>1</v>
      </c>
      <c r="BF88" t="s">
        <v>179</v>
      </c>
      <c r="BG88" s="1">
        <v>44354.056944444441</v>
      </c>
      <c r="BH88" s="1">
        <v>44354.063090277778</v>
      </c>
      <c r="BI88" s="1">
        <v>44354.064131944448</v>
      </c>
      <c r="BJ88" t="s">
        <v>85</v>
      </c>
      <c r="BK88" t="s">
        <v>86</v>
      </c>
      <c r="BL88" t="s">
        <v>87</v>
      </c>
    </row>
    <row r="89" spans="1:64" x14ac:dyDescent="0.3">
      <c r="A89" t="str">
        <f>"200051B0000"</f>
        <v>200051B0000</v>
      </c>
      <c r="B89" t="str">
        <f>"200051B00003"</f>
        <v>200051B00003</v>
      </c>
      <c r="C89" t="str">
        <f t="shared" si="3"/>
        <v>20</v>
      </c>
      <c r="D89" t="s">
        <v>81</v>
      </c>
      <c r="E89" t="str">
        <f t="shared" si="4"/>
        <v>006</v>
      </c>
      <c r="F89" t="s">
        <v>164</v>
      </c>
      <c r="G89" t="str">
        <f>"0051"</f>
        <v>0051</v>
      </c>
      <c r="H89" t="str">
        <f>"0000"</f>
        <v>0000</v>
      </c>
      <c r="I89" t="s">
        <v>83</v>
      </c>
      <c r="J89">
        <v>0</v>
      </c>
      <c r="K89">
        <v>1</v>
      </c>
      <c r="L89">
        <v>3</v>
      </c>
      <c r="M89">
        <v>119</v>
      </c>
      <c r="N89">
        <v>427</v>
      </c>
      <c r="O89">
        <v>1</v>
      </c>
      <c r="P89">
        <v>426</v>
      </c>
      <c r="Q89">
        <v>1</v>
      </c>
      <c r="R89">
        <v>254</v>
      </c>
      <c r="S89">
        <v>6</v>
      </c>
      <c r="T89">
        <v>7</v>
      </c>
      <c r="U89">
        <v>6</v>
      </c>
      <c r="X89">
        <v>124</v>
      </c>
      <c r="Y89">
        <v>0</v>
      </c>
      <c r="Z89">
        <v>8</v>
      </c>
      <c r="AA89">
        <v>8</v>
      </c>
      <c r="AB89">
        <v>2</v>
      </c>
      <c r="AJ89">
        <v>0</v>
      </c>
      <c r="AK89">
        <v>2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W89">
        <v>0</v>
      </c>
      <c r="AX89">
        <v>6</v>
      </c>
      <c r="AY89">
        <v>426</v>
      </c>
      <c r="AZ89">
        <v>424</v>
      </c>
      <c r="BA89">
        <v>504</v>
      </c>
      <c r="BB89">
        <v>44</v>
      </c>
      <c r="BD89">
        <v>1</v>
      </c>
      <c r="BF89" t="s">
        <v>180</v>
      </c>
      <c r="BG89" s="1">
        <v>44354.069444444445</v>
      </c>
      <c r="BH89" s="1">
        <v>44354.076249999998</v>
      </c>
      <c r="BI89" s="1">
        <v>44354.076967592591</v>
      </c>
      <c r="BJ89" t="s">
        <v>85</v>
      </c>
      <c r="BK89" t="s">
        <v>86</v>
      </c>
      <c r="BL89" t="s">
        <v>87</v>
      </c>
    </row>
    <row r="90" spans="1:64" x14ac:dyDescent="0.3">
      <c r="A90" t="str">
        <f>"200051C0100"</f>
        <v>200051C0100</v>
      </c>
      <c r="B90" t="str">
        <f>"200051C01003"</f>
        <v>200051C01003</v>
      </c>
      <c r="C90" t="str">
        <f t="shared" si="3"/>
        <v>20</v>
      </c>
      <c r="D90" t="s">
        <v>81</v>
      </c>
      <c r="E90" t="str">
        <f t="shared" si="4"/>
        <v>006</v>
      </c>
      <c r="F90" t="s">
        <v>164</v>
      </c>
      <c r="G90" t="str">
        <f>"0051"</f>
        <v>0051</v>
      </c>
      <c r="H90" t="str">
        <f>"0001"</f>
        <v>0001</v>
      </c>
      <c r="I90" t="s">
        <v>89</v>
      </c>
      <c r="J90">
        <v>0</v>
      </c>
      <c r="K90">
        <v>1</v>
      </c>
      <c r="L90">
        <v>3</v>
      </c>
      <c r="M90">
        <v>144</v>
      </c>
      <c r="N90">
        <v>404</v>
      </c>
      <c r="O90">
        <v>0</v>
      </c>
      <c r="P90" t="s">
        <v>92</v>
      </c>
      <c r="Q90">
        <v>2</v>
      </c>
      <c r="R90">
        <v>258</v>
      </c>
      <c r="S90">
        <v>2</v>
      </c>
      <c r="T90">
        <v>0</v>
      </c>
      <c r="U90">
        <v>11</v>
      </c>
      <c r="X90">
        <v>110</v>
      </c>
      <c r="Y90">
        <v>0</v>
      </c>
      <c r="Z90">
        <v>3</v>
      </c>
      <c r="AA90">
        <v>9</v>
      </c>
      <c r="AB90">
        <v>3</v>
      </c>
      <c r="AJ90">
        <v>0</v>
      </c>
      <c r="AK90">
        <v>1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W90">
        <v>0</v>
      </c>
      <c r="AX90">
        <v>5</v>
      </c>
      <c r="AY90">
        <v>404</v>
      </c>
      <c r="AZ90">
        <v>404</v>
      </c>
      <c r="BA90">
        <v>504</v>
      </c>
      <c r="BB90">
        <v>44</v>
      </c>
      <c r="BD90">
        <v>1</v>
      </c>
      <c r="BF90" t="s">
        <v>181</v>
      </c>
      <c r="BG90" s="1">
        <v>44354.073611111111</v>
      </c>
      <c r="BH90" s="1">
        <v>44354.080543981479</v>
      </c>
      <c r="BI90" s="1">
        <v>44354.081203703703</v>
      </c>
      <c r="BJ90" t="s">
        <v>85</v>
      </c>
      <c r="BK90" t="s">
        <v>86</v>
      </c>
      <c r="BL90" t="s">
        <v>87</v>
      </c>
    </row>
    <row r="91" spans="1:64" x14ac:dyDescent="0.3">
      <c r="A91" t="str">
        <f>"200052B0000"</f>
        <v>200052B0000</v>
      </c>
      <c r="B91" t="str">
        <f>"200052B00003"</f>
        <v>200052B00003</v>
      </c>
      <c r="C91" t="str">
        <f t="shared" si="3"/>
        <v>20</v>
      </c>
      <c r="D91" t="s">
        <v>81</v>
      </c>
      <c r="E91" t="str">
        <f t="shared" si="4"/>
        <v>006</v>
      </c>
      <c r="F91" t="s">
        <v>164</v>
      </c>
      <c r="G91" t="str">
        <f>"0052"</f>
        <v>0052</v>
      </c>
      <c r="H91" t="str">
        <f>"0000"</f>
        <v>0000</v>
      </c>
      <c r="I91" t="s">
        <v>83</v>
      </c>
      <c r="J91">
        <v>0</v>
      </c>
      <c r="K91">
        <v>1</v>
      </c>
      <c r="L91">
        <v>3</v>
      </c>
      <c r="M91">
        <v>165</v>
      </c>
      <c r="N91">
        <v>314</v>
      </c>
      <c r="O91">
        <v>0</v>
      </c>
      <c r="P91">
        <v>314</v>
      </c>
      <c r="Q91">
        <v>1</v>
      </c>
      <c r="R91">
        <v>104</v>
      </c>
      <c r="S91">
        <v>2</v>
      </c>
      <c r="T91">
        <v>1</v>
      </c>
      <c r="U91">
        <v>6</v>
      </c>
      <c r="X91">
        <v>167</v>
      </c>
      <c r="Y91">
        <v>0</v>
      </c>
      <c r="Z91">
        <v>1</v>
      </c>
      <c r="AA91">
        <v>0</v>
      </c>
      <c r="AB91">
        <v>22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W91">
        <v>0</v>
      </c>
      <c r="AX91">
        <v>10</v>
      </c>
      <c r="AY91">
        <v>314</v>
      </c>
      <c r="AZ91">
        <v>314</v>
      </c>
      <c r="BA91">
        <v>435</v>
      </c>
      <c r="BB91">
        <v>44</v>
      </c>
      <c r="BD91">
        <v>1</v>
      </c>
      <c r="BF91" t="s">
        <v>182</v>
      </c>
      <c r="BG91" s="1">
        <v>44354.075694444444</v>
      </c>
      <c r="BH91" s="1">
        <v>44354.08394675926</v>
      </c>
      <c r="BI91" s="1">
        <v>44354.084467592591</v>
      </c>
      <c r="BJ91" t="s">
        <v>85</v>
      </c>
      <c r="BK91" t="s">
        <v>86</v>
      </c>
      <c r="BL91" t="s">
        <v>87</v>
      </c>
    </row>
    <row r="92" spans="1:64" x14ac:dyDescent="0.3">
      <c r="A92" t="str">
        <f>"200052C0100"</f>
        <v>200052C0100</v>
      </c>
      <c r="B92" t="str">
        <f>"200052C01003"</f>
        <v>200052C01003</v>
      </c>
      <c r="C92" t="str">
        <f t="shared" si="3"/>
        <v>20</v>
      </c>
      <c r="D92" t="s">
        <v>81</v>
      </c>
      <c r="E92" t="str">
        <f t="shared" si="4"/>
        <v>006</v>
      </c>
      <c r="F92" t="s">
        <v>164</v>
      </c>
      <c r="G92" t="str">
        <f>"0052"</f>
        <v>0052</v>
      </c>
      <c r="H92" t="str">
        <f>"0001"</f>
        <v>0001</v>
      </c>
      <c r="I92" t="s">
        <v>89</v>
      </c>
      <c r="J92">
        <v>0</v>
      </c>
      <c r="K92">
        <v>1</v>
      </c>
      <c r="L92">
        <v>3</v>
      </c>
      <c r="M92">
        <v>153</v>
      </c>
      <c r="N92">
        <v>326</v>
      </c>
      <c r="O92">
        <v>0</v>
      </c>
      <c r="P92">
        <v>326</v>
      </c>
      <c r="Q92">
        <v>0</v>
      </c>
      <c r="R92">
        <v>118</v>
      </c>
      <c r="S92">
        <v>0</v>
      </c>
      <c r="T92">
        <v>1</v>
      </c>
      <c r="U92">
        <v>8</v>
      </c>
      <c r="X92">
        <v>169</v>
      </c>
      <c r="Y92">
        <v>0</v>
      </c>
      <c r="Z92">
        <v>3</v>
      </c>
      <c r="AA92">
        <v>3</v>
      </c>
      <c r="AB92">
        <v>17</v>
      </c>
      <c r="AJ92">
        <v>0</v>
      </c>
      <c r="AK92">
        <v>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  <c r="AS92">
        <v>0</v>
      </c>
      <c r="AT92">
        <v>0</v>
      </c>
      <c r="AU92">
        <v>0</v>
      </c>
      <c r="AW92">
        <v>0</v>
      </c>
      <c r="AX92">
        <v>5</v>
      </c>
      <c r="AY92">
        <v>326</v>
      </c>
      <c r="AZ92">
        <v>326</v>
      </c>
      <c r="BA92">
        <v>435</v>
      </c>
      <c r="BB92">
        <v>44</v>
      </c>
      <c r="BD92">
        <v>1</v>
      </c>
      <c r="BF92" t="s">
        <v>183</v>
      </c>
      <c r="BG92" s="1">
        <v>44354.074999999997</v>
      </c>
      <c r="BH92" s="1">
        <v>44354.081342592595</v>
      </c>
      <c r="BI92" s="1">
        <v>44354.082384259258</v>
      </c>
      <c r="BJ92" t="s">
        <v>85</v>
      </c>
      <c r="BK92" t="s">
        <v>86</v>
      </c>
      <c r="BL92" t="s">
        <v>87</v>
      </c>
    </row>
    <row r="93" spans="1:64" x14ac:dyDescent="0.3">
      <c r="A93" t="str">
        <f>"200053B0000"</f>
        <v>200053B0000</v>
      </c>
      <c r="B93" t="str">
        <f>"200053B00003"</f>
        <v>200053B00003</v>
      </c>
      <c r="C93" t="str">
        <f t="shared" si="3"/>
        <v>20</v>
      </c>
      <c r="D93" t="s">
        <v>81</v>
      </c>
      <c r="E93" t="str">
        <f t="shared" si="4"/>
        <v>006</v>
      </c>
      <c r="F93" t="s">
        <v>164</v>
      </c>
      <c r="G93" t="str">
        <f>"0053"</f>
        <v>0053</v>
      </c>
      <c r="H93" t="str">
        <f>"0000"</f>
        <v>0000</v>
      </c>
      <c r="I93" t="s">
        <v>83</v>
      </c>
      <c r="J93">
        <v>0</v>
      </c>
      <c r="K93">
        <v>1</v>
      </c>
      <c r="L93">
        <v>3</v>
      </c>
      <c r="M93">
        <v>192</v>
      </c>
      <c r="N93">
        <v>525</v>
      </c>
      <c r="O93">
        <v>0</v>
      </c>
      <c r="P93">
        <v>527</v>
      </c>
      <c r="Q93">
        <v>2</v>
      </c>
      <c r="R93">
        <v>280</v>
      </c>
      <c r="S93">
        <v>2</v>
      </c>
      <c r="T93">
        <v>2</v>
      </c>
      <c r="U93">
        <v>36</v>
      </c>
      <c r="X93">
        <v>182</v>
      </c>
      <c r="Y93" t="s">
        <v>95</v>
      </c>
      <c r="Z93">
        <v>1</v>
      </c>
      <c r="AA93">
        <v>11</v>
      </c>
      <c r="AB93">
        <v>2</v>
      </c>
      <c r="AJ93" t="s">
        <v>95</v>
      </c>
      <c r="AK93">
        <v>1</v>
      </c>
      <c r="AL93" t="s">
        <v>95</v>
      </c>
      <c r="AM93" t="s">
        <v>95</v>
      </c>
      <c r="AN93" t="s">
        <v>95</v>
      </c>
      <c r="AO93" t="s">
        <v>95</v>
      </c>
      <c r="AP93" t="s">
        <v>95</v>
      </c>
      <c r="AQ93" t="s">
        <v>95</v>
      </c>
      <c r="AR93">
        <v>2</v>
      </c>
      <c r="AS93" t="s">
        <v>95</v>
      </c>
      <c r="AT93" t="s">
        <v>95</v>
      </c>
      <c r="AU93" t="s">
        <v>95</v>
      </c>
      <c r="AW93" t="s">
        <v>95</v>
      </c>
      <c r="AX93" t="s">
        <v>95</v>
      </c>
      <c r="AY93" t="s">
        <v>95</v>
      </c>
      <c r="AZ93">
        <v>521</v>
      </c>
      <c r="BA93">
        <v>676</v>
      </c>
      <c r="BB93">
        <v>44</v>
      </c>
      <c r="BC93" t="s">
        <v>96</v>
      </c>
      <c r="BD93">
        <v>1</v>
      </c>
      <c r="BF93" t="s">
        <v>184</v>
      </c>
      <c r="BG93" s="1">
        <v>44354.053472222222</v>
      </c>
      <c r="BH93" s="1">
        <v>44354.085219907407</v>
      </c>
      <c r="BI93" s="1">
        <v>44354.089189814818</v>
      </c>
      <c r="BJ93" t="s">
        <v>85</v>
      </c>
      <c r="BK93" t="s">
        <v>86</v>
      </c>
      <c r="BL93" t="s">
        <v>87</v>
      </c>
    </row>
    <row r="94" spans="1:64" x14ac:dyDescent="0.3">
      <c r="A94" t="str">
        <f>"200053E0100"</f>
        <v>200053E0100</v>
      </c>
      <c r="B94" t="str">
        <f>"200053E01003"</f>
        <v>200053E01003</v>
      </c>
      <c r="C94" t="str">
        <f t="shared" si="3"/>
        <v>20</v>
      </c>
      <c r="D94" t="s">
        <v>81</v>
      </c>
      <c r="E94" t="str">
        <f t="shared" si="4"/>
        <v>006</v>
      </c>
      <c r="F94" t="s">
        <v>164</v>
      </c>
      <c r="G94" t="str">
        <f>"0053"</f>
        <v>0053</v>
      </c>
      <c r="H94" t="str">
        <f>"0001"</f>
        <v>0001</v>
      </c>
      <c r="I94" t="s">
        <v>122</v>
      </c>
      <c r="J94">
        <v>0</v>
      </c>
      <c r="K94">
        <v>1</v>
      </c>
      <c r="L94">
        <v>3</v>
      </c>
      <c r="M94">
        <v>139</v>
      </c>
      <c r="N94">
        <v>182</v>
      </c>
      <c r="O94">
        <v>5</v>
      </c>
      <c r="P94" t="s">
        <v>92</v>
      </c>
      <c r="Q94">
        <v>5</v>
      </c>
      <c r="R94">
        <v>43</v>
      </c>
      <c r="S94">
        <v>0</v>
      </c>
      <c r="T94">
        <v>0</v>
      </c>
      <c r="U94">
        <v>53</v>
      </c>
      <c r="X94">
        <v>65</v>
      </c>
      <c r="Y94">
        <v>0</v>
      </c>
      <c r="Z94">
        <v>1</v>
      </c>
      <c r="AA94">
        <v>0</v>
      </c>
      <c r="AB94">
        <v>7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W94">
        <v>0</v>
      </c>
      <c r="AX94">
        <v>9</v>
      </c>
      <c r="AY94">
        <v>183</v>
      </c>
      <c r="AZ94">
        <v>183</v>
      </c>
      <c r="BA94">
        <v>278</v>
      </c>
      <c r="BB94">
        <v>44</v>
      </c>
      <c r="BD94">
        <v>1</v>
      </c>
      <c r="BF94" t="s">
        <v>185</v>
      </c>
      <c r="BG94" s="1">
        <v>44354.056250000001</v>
      </c>
      <c r="BH94" s="1">
        <v>44354.06212962963</v>
      </c>
      <c r="BI94" s="1">
        <v>44354.062662037039</v>
      </c>
      <c r="BJ94" t="s">
        <v>85</v>
      </c>
      <c r="BK94" t="s">
        <v>86</v>
      </c>
      <c r="BL94" t="s">
        <v>87</v>
      </c>
    </row>
    <row r="95" spans="1:64" x14ac:dyDescent="0.3">
      <c r="A95" t="str">
        <f>"200054B0000"</f>
        <v>200054B0000</v>
      </c>
      <c r="B95" t="str">
        <f>"200054B00003"</f>
        <v>200054B00003</v>
      </c>
      <c r="C95" t="str">
        <f t="shared" si="3"/>
        <v>20</v>
      </c>
      <c r="D95" t="s">
        <v>81</v>
      </c>
      <c r="E95" t="str">
        <f t="shared" si="4"/>
        <v>006</v>
      </c>
      <c r="F95" t="s">
        <v>164</v>
      </c>
      <c r="G95" t="str">
        <f>"0054"</f>
        <v>0054</v>
      </c>
      <c r="H95" t="str">
        <f>"0000"</f>
        <v>0000</v>
      </c>
      <c r="I95" t="s">
        <v>83</v>
      </c>
      <c r="J95">
        <v>0</v>
      </c>
      <c r="K95">
        <v>1</v>
      </c>
      <c r="L95">
        <v>3</v>
      </c>
      <c r="M95">
        <v>184</v>
      </c>
      <c r="N95">
        <v>529</v>
      </c>
      <c r="O95">
        <v>1</v>
      </c>
      <c r="P95" t="s">
        <v>92</v>
      </c>
      <c r="Q95">
        <v>2</v>
      </c>
      <c r="R95">
        <v>207</v>
      </c>
      <c r="S95">
        <v>2</v>
      </c>
      <c r="T95">
        <v>3</v>
      </c>
      <c r="U95">
        <v>35</v>
      </c>
      <c r="X95">
        <v>246</v>
      </c>
      <c r="Y95">
        <v>0</v>
      </c>
      <c r="Z95">
        <v>1</v>
      </c>
      <c r="AA95">
        <v>2</v>
      </c>
      <c r="AB95">
        <v>12</v>
      </c>
      <c r="AJ95">
        <v>0</v>
      </c>
      <c r="AK95">
        <v>6</v>
      </c>
      <c r="AL95">
        <v>0</v>
      </c>
      <c r="AM95">
        <v>0</v>
      </c>
      <c r="AN95">
        <v>0</v>
      </c>
      <c r="AO95">
        <v>1</v>
      </c>
      <c r="AP95">
        <v>0</v>
      </c>
      <c r="AQ95">
        <v>0</v>
      </c>
      <c r="AR95">
        <v>0</v>
      </c>
      <c r="AS95">
        <v>1</v>
      </c>
      <c r="AT95">
        <v>0</v>
      </c>
      <c r="AU95">
        <v>0</v>
      </c>
      <c r="AW95">
        <v>0</v>
      </c>
      <c r="AX95">
        <v>11</v>
      </c>
      <c r="AY95">
        <v>529</v>
      </c>
      <c r="AZ95">
        <v>529</v>
      </c>
      <c r="BA95">
        <v>669</v>
      </c>
      <c r="BB95">
        <v>44</v>
      </c>
      <c r="BD95">
        <v>1</v>
      </c>
      <c r="BF95" t="s">
        <v>186</v>
      </c>
      <c r="BG95" s="1">
        <v>44354.054861111108</v>
      </c>
      <c r="BH95" s="1">
        <v>44354.060752314814</v>
      </c>
      <c r="BI95" s="1">
        <v>44354.061365740738</v>
      </c>
      <c r="BJ95" t="s">
        <v>85</v>
      </c>
      <c r="BK95" t="s">
        <v>86</v>
      </c>
      <c r="BL95" t="s">
        <v>87</v>
      </c>
    </row>
    <row r="96" spans="1:64" x14ac:dyDescent="0.3">
      <c r="A96" t="str">
        <f>"200054E0100"</f>
        <v>200054E0100</v>
      </c>
      <c r="B96" t="str">
        <f>"200054E01003"</f>
        <v>200054E01003</v>
      </c>
      <c r="C96" t="str">
        <f t="shared" si="3"/>
        <v>20</v>
      </c>
      <c r="D96" t="s">
        <v>81</v>
      </c>
      <c r="E96" t="str">
        <f t="shared" si="4"/>
        <v>006</v>
      </c>
      <c r="F96" t="s">
        <v>164</v>
      </c>
      <c r="G96" t="str">
        <f>"0054"</f>
        <v>0054</v>
      </c>
      <c r="H96" t="str">
        <f>"0001"</f>
        <v>0001</v>
      </c>
      <c r="I96" t="s">
        <v>122</v>
      </c>
      <c r="J96">
        <v>0</v>
      </c>
      <c r="K96">
        <v>1</v>
      </c>
      <c r="L96">
        <v>3</v>
      </c>
      <c r="M96">
        <v>82</v>
      </c>
      <c r="N96">
        <v>214</v>
      </c>
      <c r="O96">
        <v>1</v>
      </c>
      <c r="P96">
        <v>214</v>
      </c>
      <c r="Q96">
        <v>2</v>
      </c>
      <c r="R96">
        <v>124</v>
      </c>
      <c r="S96">
        <v>1</v>
      </c>
      <c r="T96">
        <v>1</v>
      </c>
      <c r="U96">
        <v>20</v>
      </c>
      <c r="X96">
        <v>58</v>
      </c>
      <c r="Y96">
        <v>0</v>
      </c>
      <c r="Z96">
        <v>0</v>
      </c>
      <c r="AA96">
        <v>4</v>
      </c>
      <c r="AB96">
        <v>0</v>
      </c>
      <c r="AJ96">
        <v>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</v>
      </c>
      <c r="AS96">
        <v>0</v>
      </c>
      <c r="AT96">
        <v>0</v>
      </c>
      <c r="AU96">
        <v>0</v>
      </c>
      <c r="AW96">
        <v>0</v>
      </c>
      <c r="AX96">
        <v>2</v>
      </c>
      <c r="AY96">
        <v>214</v>
      </c>
      <c r="AZ96">
        <v>214</v>
      </c>
      <c r="BA96">
        <v>252</v>
      </c>
      <c r="BB96">
        <v>44</v>
      </c>
      <c r="BD96">
        <v>1</v>
      </c>
      <c r="BF96" t="s">
        <v>187</v>
      </c>
      <c r="BG96" s="1">
        <v>44354.070138888892</v>
      </c>
      <c r="BH96" s="1">
        <v>44354.076354166667</v>
      </c>
      <c r="BI96" s="1">
        <v>44354.077210648145</v>
      </c>
      <c r="BJ96" t="s">
        <v>85</v>
      </c>
      <c r="BK96" t="s">
        <v>86</v>
      </c>
      <c r="BL96" t="s">
        <v>87</v>
      </c>
    </row>
    <row r="97" spans="1:64" x14ac:dyDescent="0.3">
      <c r="A97" t="str">
        <f>"200055B0000"</f>
        <v>200055B0000</v>
      </c>
      <c r="B97" t="str">
        <f>"200055B00003"</f>
        <v>200055B00003</v>
      </c>
      <c r="C97" t="str">
        <f t="shared" si="3"/>
        <v>20</v>
      </c>
      <c r="D97" t="s">
        <v>81</v>
      </c>
      <c r="E97" t="str">
        <f t="shared" si="4"/>
        <v>006</v>
      </c>
      <c r="F97" t="s">
        <v>164</v>
      </c>
      <c r="G97" t="str">
        <f>"0055"</f>
        <v>0055</v>
      </c>
      <c r="H97" t="str">
        <f>"0000"</f>
        <v>0000</v>
      </c>
      <c r="I97" t="s">
        <v>83</v>
      </c>
      <c r="J97">
        <v>0</v>
      </c>
      <c r="K97">
        <v>1</v>
      </c>
      <c r="L97">
        <v>3</v>
      </c>
      <c r="M97">
        <v>84</v>
      </c>
      <c r="N97">
        <v>183</v>
      </c>
      <c r="O97">
        <v>2</v>
      </c>
      <c r="P97">
        <v>173</v>
      </c>
      <c r="Q97">
        <v>1</v>
      </c>
      <c r="R97">
        <v>48</v>
      </c>
      <c r="S97">
        <v>0</v>
      </c>
      <c r="T97">
        <v>0</v>
      </c>
      <c r="U97">
        <v>1</v>
      </c>
      <c r="X97">
        <v>106</v>
      </c>
      <c r="Y97">
        <v>0</v>
      </c>
      <c r="Z97">
        <v>1</v>
      </c>
      <c r="AA97">
        <v>9</v>
      </c>
      <c r="AB97">
        <v>1</v>
      </c>
      <c r="AJ97">
        <v>0</v>
      </c>
      <c r="AK97">
        <v>1</v>
      </c>
      <c r="AL97">
        <v>0</v>
      </c>
      <c r="AM97">
        <v>0</v>
      </c>
      <c r="AN97">
        <v>0</v>
      </c>
      <c r="AO97">
        <v>1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W97">
        <v>0</v>
      </c>
      <c r="AX97">
        <v>4</v>
      </c>
      <c r="AY97">
        <v>173</v>
      </c>
      <c r="AZ97">
        <v>173</v>
      </c>
      <c r="BA97">
        <v>213</v>
      </c>
      <c r="BB97">
        <v>44</v>
      </c>
      <c r="BD97">
        <v>1</v>
      </c>
      <c r="BF97" t="s">
        <v>188</v>
      </c>
      <c r="BG97" s="1">
        <v>44354.072222222225</v>
      </c>
      <c r="BH97" s="1">
        <v>44354.080497685187</v>
      </c>
      <c r="BI97" s="1">
        <v>44354.081076388888</v>
      </c>
      <c r="BJ97" t="s">
        <v>85</v>
      </c>
      <c r="BK97" t="s">
        <v>86</v>
      </c>
      <c r="BL97" t="s">
        <v>87</v>
      </c>
    </row>
    <row r="98" spans="1:64" x14ac:dyDescent="0.3">
      <c r="A98" t="str">
        <f>"200056B0000"</f>
        <v>200056B0000</v>
      </c>
      <c r="B98" t="str">
        <f>"200056B00003"</f>
        <v>200056B00003</v>
      </c>
      <c r="C98" t="str">
        <f t="shared" si="3"/>
        <v>20</v>
      </c>
      <c r="D98" t="s">
        <v>81</v>
      </c>
      <c r="E98" t="str">
        <f t="shared" si="4"/>
        <v>006</v>
      </c>
      <c r="F98" t="s">
        <v>164</v>
      </c>
      <c r="G98" t="str">
        <f>"0056"</f>
        <v>0056</v>
      </c>
      <c r="H98" t="str">
        <f>"0000"</f>
        <v>0000</v>
      </c>
      <c r="I98" t="s">
        <v>83</v>
      </c>
      <c r="J98">
        <v>0</v>
      </c>
      <c r="K98">
        <v>1</v>
      </c>
      <c r="L98">
        <v>3</v>
      </c>
      <c r="M98">
        <v>164</v>
      </c>
      <c r="N98">
        <v>323</v>
      </c>
      <c r="O98">
        <v>1</v>
      </c>
      <c r="P98">
        <v>323</v>
      </c>
      <c r="Q98">
        <v>1</v>
      </c>
      <c r="R98">
        <v>155</v>
      </c>
      <c r="S98" t="s">
        <v>95</v>
      </c>
      <c r="T98" t="s">
        <v>95</v>
      </c>
      <c r="U98">
        <v>23</v>
      </c>
      <c r="X98">
        <v>114</v>
      </c>
      <c r="Y98" t="s">
        <v>95</v>
      </c>
      <c r="Z98">
        <v>2</v>
      </c>
      <c r="AA98">
        <v>4</v>
      </c>
      <c r="AB98">
        <v>3</v>
      </c>
      <c r="AJ98" t="s">
        <v>95</v>
      </c>
      <c r="AK98">
        <v>7</v>
      </c>
      <c r="AL98" t="s">
        <v>95</v>
      </c>
      <c r="AM98" t="s">
        <v>95</v>
      </c>
      <c r="AN98" t="s">
        <v>95</v>
      </c>
      <c r="AO98">
        <v>1</v>
      </c>
      <c r="AP98" t="s">
        <v>95</v>
      </c>
      <c r="AQ98" t="s">
        <v>95</v>
      </c>
      <c r="AR98" t="s">
        <v>95</v>
      </c>
      <c r="AS98" t="s">
        <v>95</v>
      </c>
      <c r="AT98" t="s">
        <v>95</v>
      </c>
      <c r="AU98">
        <v>1</v>
      </c>
      <c r="AW98" t="s">
        <v>95</v>
      </c>
      <c r="AX98">
        <v>12</v>
      </c>
      <c r="AY98">
        <v>323</v>
      </c>
      <c r="AZ98">
        <v>323</v>
      </c>
      <c r="BA98">
        <v>443</v>
      </c>
      <c r="BB98">
        <v>44</v>
      </c>
      <c r="BC98" t="s">
        <v>96</v>
      </c>
      <c r="BD98">
        <v>1</v>
      </c>
      <c r="BF98" t="s">
        <v>189</v>
      </c>
      <c r="BG98" s="1">
        <v>44354.071527777778</v>
      </c>
      <c r="BH98" s="1">
        <v>44354.077407407407</v>
      </c>
      <c r="BI98" s="1">
        <v>44354.078738425924</v>
      </c>
      <c r="BJ98" t="s">
        <v>85</v>
      </c>
      <c r="BK98" t="s">
        <v>86</v>
      </c>
      <c r="BL98" t="s">
        <v>87</v>
      </c>
    </row>
    <row r="99" spans="1:64" x14ac:dyDescent="0.3">
      <c r="A99" t="str">
        <f>"200056C0100"</f>
        <v>200056C0100</v>
      </c>
      <c r="B99" t="str">
        <f>"200056C01003"</f>
        <v>200056C01003</v>
      </c>
      <c r="C99" t="str">
        <f t="shared" si="3"/>
        <v>20</v>
      </c>
      <c r="D99" t="s">
        <v>81</v>
      </c>
      <c r="E99" t="str">
        <f t="shared" si="4"/>
        <v>006</v>
      </c>
      <c r="F99" t="s">
        <v>164</v>
      </c>
      <c r="G99" t="str">
        <f>"0056"</f>
        <v>0056</v>
      </c>
      <c r="H99" t="str">
        <f>"0001"</f>
        <v>0001</v>
      </c>
      <c r="I99" t="s">
        <v>89</v>
      </c>
      <c r="J99">
        <v>0</v>
      </c>
      <c r="K99">
        <v>1</v>
      </c>
      <c r="L99">
        <v>3</v>
      </c>
      <c r="M99">
        <v>171</v>
      </c>
      <c r="N99">
        <v>315</v>
      </c>
      <c r="O99">
        <v>0</v>
      </c>
      <c r="P99">
        <v>315</v>
      </c>
      <c r="Q99">
        <v>5</v>
      </c>
      <c r="R99">
        <v>156</v>
      </c>
      <c r="S99">
        <v>0</v>
      </c>
      <c r="T99">
        <v>2</v>
      </c>
      <c r="U99">
        <v>20</v>
      </c>
      <c r="X99">
        <v>122</v>
      </c>
      <c r="Y99">
        <v>0</v>
      </c>
      <c r="Z99">
        <v>1</v>
      </c>
      <c r="AA99">
        <v>1</v>
      </c>
      <c r="AB99">
        <v>1</v>
      </c>
      <c r="AJ99">
        <v>0</v>
      </c>
      <c r="AK99">
        <v>3</v>
      </c>
      <c r="AL99">
        <v>0</v>
      </c>
      <c r="AM99">
        <v>0</v>
      </c>
      <c r="AN99">
        <v>1</v>
      </c>
      <c r="AO99">
        <v>1</v>
      </c>
      <c r="AP99">
        <v>0</v>
      </c>
      <c r="AQ99">
        <v>0</v>
      </c>
      <c r="AR99">
        <v>2</v>
      </c>
      <c r="AS99">
        <v>0</v>
      </c>
      <c r="AT99">
        <v>0</v>
      </c>
      <c r="AU99">
        <v>0</v>
      </c>
      <c r="AW99">
        <v>0</v>
      </c>
      <c r="AX99">
        <v>1</v>
      </c>
      <c r="AY99">
        <v>315</v>
      </c>
      <c r="AZ99">
        <v>316</v>
      </c>
      <c r="BA99">
        <v>442</v>
      </c>
      <c r="BB99">
        <v>44</v>
      </c>
      <c r="BD99">
        <v>1</v>
      </c>
      <c r="BF99" t="s">
        <v>190</v>
      </c>
      <c r="BG99" s="1">
        <v>44354.068055555559</v>
      </c>
      <c r="BH99" s="1">
        <v>44354.073807870373</v>
      </c>
      <c r="BI99" s="1">
        <v>44354.074583333335</v>
      </c>
      <c r="BJ99" t="s">
        <v>85</v>
      </c>
      <c r="BK99" t="s">
        <v>86</v>
      </c>
      <c r="BL99" t="s">
        <v>87</v>
      </c>
    </row>
    <row r="100" spans="1:64" x14ac:dyDescent="0.3">
      <c r="A100" t="str">
        <f>"200057B0000"</f>
        <v>200057B0000</v>
      </c>
      <c r="B100" t="str">
        <f>"200057B00003"</f>
        <v>200057B00003</v>
      </c>
      <c r="C100" t="str">
        <f t="shared" si="3"/>
        <v>20</v>
      </c>
      <c r="D100" t="s">
        <v>81</v>
      </c>
      <c r="E100" t="str">
        <f t="shared" ref="E100:E126" si="5">"007"</f>
        <v>007</v>
      </c>
      <c r="F100" t="s">
        <v>191</v>
      </c>
      <c r="G100" t="str">
        <f>"0057"</f>
        <v>0057</v>
      </c>
      <c r="H100" t="str">
        <f>"0000"</f>
        <v>0000</v>
      </c>
      <c r="I100" t="s">
        <v>83</v>
      </c>
      <c r="J100">
        <v>0</v>
      </c>
      <c r="K100">
        <v>1</v>
      </c>
      <c r="L100">
        <v>3</v>
      </c>
      <c r="M100">
        <v>316</v>
      </c>
      <c r="N100">
        <v>415</v>
      </c>
      <c r="O100">
        <v>5</v>
      </c>
      <c r="P100">
        <v>415</v>
      </c>
      <c r="Q100">
        <v>94</v>
      </c>
      <c r="R100">
        <v>20</v>
      </c>
      <c r="S100">
        <v>20</v>
      </c>
      <c r="T100">
        <v>19</v>
      </c>
      <c r="U100">
        <v>47</v>
      </c>
      <c r="V100">
        <v>43</v>
      </c>
      <c r="W100">
        <v>41</v>
      </c>
      <c r="X100">
        <v>50</v>
      </c>
      <c r="Y100">
        <v>24</v>
      </c>
      <c r="Z100">
        <v>1</v>
      </c>
      <c r="AA100">
        <v>27</v>
      </c>
      <c r="AB100">
        <v>13</v>
      </c>
      <c r="AW100" t="s">
        <v>95</v>
      </c>
      <c r="AX100">
        <v>15</v>
      </c>
      <c r="AY100">
        <v>415</v>
      </c>
      <c r="AZ100">
        <v>414</v>
      </c>
      <c r="BA100">
        <v>687</v>
      </c>
      <c r="BB100">
        <v>44</v>
      </c>
      <c r="BC100" t="s">
        <v>96</v>
      </c>
      <c r="BD100">
        <v>1</v>
      </c>
      <c r="BF100" t="s">
        <v>192</v>
      </c>
      <c r="BG100" s="1">
        <v>44354.053472222222</v>
      </c>
      <c r="BH100" s="1">
        <v>44354.062442129631</v>
      </c>
      <c r="BI100" s="1">
        <v>44354.062858796293</v>
      </c>
      <c r="BJ100" t="s">
        <v>85</v>
      </c>
      <c r="BK100" t="s">
        <v>86</v>
      </c>
      <c r="BL100" t="s">
        <v>87</v>
      </c>
    </row>
    <row r="101" spans="1:64" x14ac:dyDescent="0.3">
      <c r="A101" t="str">
        <f>"200057C0100"</f>
        <v>200057C0100</v>
      </c>
      <c r="B101" t="str">
        <f>"200057C01003"</f>
        <v>200057C01003</v>
      </c>
      <c r="C101" t="str">
        <f t="shared" si="3"/>
        <v>20</v>
      </c>
      <c r="D101" t="s">
        <v>81</v>
      </c>
      <c r="E101" t="str">
        <f t="shared" si="5"/>
        <v>007</v>
      </c>
      <c r="F101" t="s">
        <v>191</v>
      </c>
      <c r="G101" t="str">
        <f>"0057"</f>
        <v>0057</v>
      </c>
      <c r="H101" t="str">
        <f>"0001"</f>
        <v>0001</v>
      </c>
      <c r="I101" t="s">
        <v>89</v>
      </c>
      <c r="J101">
        <v>0</v>
      </c>
      <c r="K101">
        <v>1</v>
      </c>
      <c r="L101">
        <v>3</v>
      </c>
      <c r="M101">
        <v>305</v>
      </c>
      <c r="N101">
        <v>426</v>
      </c>
      <c r="O101">
        <v>4</v>
      </c>
      <c r="P101">
        <v>426</v>
      </c>
      <c r="Q101">
        <v>90</v>
      </c>
      <c r="R101">
        <v>21</v>
      </c>
      <c r="S101">
        <v>35</v>
      </c>
      <c r="T101">
        <v>22</v>
      </c>
      <c r="U101">
        <v>41</v>
      </c>
      <c r="V101">
        <v>50</v>
      </c>
      <c r="W101">
        <v>42</v>
      </c>
      <c r="X101">
        <v>70</v>
      </c>
      <c r="Y101">
        <v>12</v>
      </c>
      <c r="Z101">
        <v>2</v>
      </c>
      <c r="AA101">
        <v>15</v>
      </c>
      <c r="AB101">
        <v>14</v>
      </c>
      <c r="AW101">
        <v>0</v>
      </c>
      <c r="AX101">
        <v>11</v>
      </c>
      <c r="AY101">
        <v>426</v>
      </c>
      <c r="AZ101">
        <v>425</v>
      </c>
      <c r="BA101">
        <v>687</v>
      </c>
      <c r="BB101">
        <v>44</v>
      </c>
      <c r="BD101">
        <v>1</v>
      </c>
      <c r="BF101" t="s">
        <v>193</v>
      </c>
      <c r="BG101" s="1">
        <v>44354.051388888889</v>
      </c>
      <c r="BH101" s="1">
        <v>44354.058819444443</v>
      </c>
      <c r="BI101" s="1">
        <v>44354.05908564815</v>
      </c>
      <c r="BJ101" t="s">
        <v>85</v>
      </c>
      <c r="BK101" t="s">
        <v>86</v>
      </c>
      <c r="BL101" t="s">
        <v>87</v>
      </c>
    </row>
    <row r="102" spans="1:64" x14ac:dyDescent="0.3">
      <c r="A102" t="str">
        <f>"200057C0200"</f>
        <v>200057C0200</v>
      </c>
      <c r="B102" t="str">
        <f>"200057C02003"</f>
        <v>200057C02003</v>
      </c>
      <c r="C102" t="str">
        <f t="shared" si="3"/>
        <v>20</v>
      </c>
      <c r="D102" t="s">
        <v>81</v>
      </c>
      <c r="E102" t="str">
        <f t="shared" si="5"/>
        <v>007</v>
      </c>
      <c r="F102" t="s">
        <v>191</v>
      </c>
      <c r="G102" t="str">
        <f>"0057"</f>
        <v>0057</v>
      </c>
      <c r="H102" t="str">
        <f>"0002"</f>
        <v>0002</v>
      </c>
      <c r="I102" t="s">
        <v>89</v>
      </c>
      <c r="J102">
        <v>0</v>
      </c>
      <c r="K102">
        <v>1</v>
      </c>
      <c r="L102">
        <v>3</v>
      </c>
      <c r="M102">
        <v>294</v>
      </c>
      <c r="N102">
        <v>437</v>
      </c>
      <c r="O102">
        <v>3</v>
      </c>
      <c r="P102">
        <v>437</v>
      </c>
      <c r="Q102">
        <v>88</v>
      </c>
      <c r="R102">
        <v>16</v>
      </c>
      <c r="S102">
        <v>28</v>
      </c>
      <c r="T102">
        <v>22</v>
      </c>
      <c r="U102">
        <v>46</v>
      </c>
      <c r="V102">
        <v>38</v>
      </c>
      <c r="W102">
        <v>50</v>
      </c>
      <c r="X102">
        <v>74</v>
      </c>
      <c r="Y102">
        <v>20</v>
      </c>
      <c r="Z102">
        <v>2</v>
      </c>
      <c r="AA102">
        <v>30</v>
      </c>
      <c r="AB102">
        <v>14</v>
      </c>
      <c r="AW102">
        <v>0</v>
      </c>
      <c r="AX102">
        <v>9</v>
      </c>
      <c r="AY102">
        <v>437</v>
      </c>
      <c r="AZ102">
        <v>437</v>
      </c>
      <c r="BA102">
        <v>687</v>
      </c>
      <c r="BB102">
        <v>44</v>
      </c>
      <c r="BD102">
        <v>1</v>
      </c>
      <c r="BF102" t="s">
        <v>194</v>
      </c>
      <c r="BG102" s="1">
        <v>44354.052083333336</v>
      </c>
      <c r="BH102" s="1">
        <v>44354.059004629627</v>
      </c>
      <c r="BI102" s="1">
        <v>44354.059421296297</v>
      </c>
      <c r="BJ102" t="s">
        <v>85</v>
      </c>
      <c r="BK102" t="s">
        <v>86</v>
      </c>
      <c r="BL102" t="s">
        <v>87</v>
      </c>
    </row>
    <row r="103" spans="1:64" x14ac:dyDescent="0.3">
      <c r="A103" t="str">
        <f>"200057C0300"</f>
        <v>200057C0300</v>
      </c>
      <c r="B103" t="str">
        <f>"200057C03003"</f>
        <v>200057C03003</v>
      </c>
      <c r="C103" t="str">
        <f t="shared" si="3"/>
        <v>20</v>
      </c>
      <c r="D103" t="s">
        <v>81</v>
      </c>
      <c r="E103" t="str">
        <f t="shared" si="5"/>
        <v>007</v>
      </c>
      <c r="F103" t="s">
        <v>191</v>
      </c>
      <c r="G103" t="str">
        <f>"0057"</f>
        <v>0057</v>
      </c>
      <c r="H103" t="str">
        <f>"0003"</f>
        <v>0003</v>
      </c>
      <c r="I103" t="s">
        <v>89</v>
      </c>
      <c r="J103">
        <v>0</v>
      </c>
      <c r="K103">
        <v>1</v>
      </c>
      <c r="L103">
        <v>3</v>
      </c>
      <c r="M103">
        <v>322</v>
      </c>
      <c r="N103">
        <v>408</v>
      </c>
      <c r="O103">
        <v>3</v>
      </c>
      <c r="P103">
        <v>408</v>
      </c>
      <c r="Q103">
        <v>75</v>
      </c>
      <c r="R103">
        <v>22</v>
      </c>
      <c r="S103">
        <v>36</v>
      </c>
      <c r="T103">
        <v>20</v>
      </c>
      <c r="U103">
        <v>40</v>
      </c>
      <c r="V103">
        <v>39</v>
      </c>
      <c r="W103">
        <v>59</v>
      </c>
      <c r="X103">
        <v>62</v>
      </c>
      <c r="Y103">
        <v>17</v>
      </c>
      <c r="Z103">
        <v>1</v>
      </c>
      <c r="AA103">
        <v>12</v>
      </c>
      <c r="AB103">
        <v>14</v>
      </c>
      <c r="AW103">
        <v>0</v>
      </c>
      <c r="AX103">
        <v>11</v>
      </c>
      <c r="AY103">
        <v>408</v>
      </c>
      <c r="AZ103">
        <v>408</v>
      </c>
      <c r="BA103">
        <v>686</v>
      </c>
      <c r="BB103">
        <v>44</v>
      </c>
      <c r="BD103">
        <v>1</v>
      </c>
      <c r="BF103" t="s">
        <v>195</v>
      </c>
      <c r="BG103" s="1">
        <v>44354.054861111108</v>
      </c>
      <c r="BH103" s="1">
        <v>44354.062048611115</v>
      </c>
      <c r="BI103" s="1">
        <v>44354.062893518516</v>
      </c>
      <c r="BJ103" t="s">
        <v>85</v>
      </c>
      <c r="BK103" t="s">
        <v>86</v>
      </c>
      <c r="BL103" t="s">
        <v>87</v>
      </c>
    </row>
    <row r="104" spans="1:64" x14ac:dyDescent="0.3">
      <c r="A104" t="str">
        <f>"200057C0400"</f>
        <v>200057C0400</v>
      </c>
      <c r="B104" t="str">
        <f>"200057C04003"</f>
        <v>200057C04003</v>
      </c>
      <c r="C104" t="str">
        <f t="shared" si="3"/>
        <v>20</v>
      </c>
      <c r="D104" t="s">
        <v>81</v>
      </c>
      <c r="E104" t="str">
        <f t="shared" si="5"/>
        <v>007</v>
      </c>
      <c r="F104" t="s">
        <v>191</v>
      </c>
      <c r="G104" t="str">
        <f>"0057"</f>
        <v>0057</v>
      </c>
      <c r="H104" t="str">
        <f>"0004"</f>
        <v>0004</v>
      </c>
      <c r="I104" t="s">
        <v>89</v>
      </c>
      <c r="J104">
        <v>0</v>
      </c>
      <c r="K104">
        <v>1</v>
      </c>
      <c r="L104">
        <v>3</v>
      </c>
      <c r="M104">
        <v>327</v>
      </c>
      <c r="N104">
        <v>403</v>
      </c>
      <c r="O104">
        <v>1</v>
      </c>
      <c r="P104">
        <v>403</v>
      </c>
      <c r="Q104">
        <v>83</v>
      </c>
      <c r="R104">
        <v>13</v>
      </c>
      <c r="S104">
        <v>29</v>
      </c>
      <c r="T104">
        <v>13</v>
      </c>
      <c r="U104">
        <v>43</v>
      </c>
      <c r="V104">
        <v>49</v>
      </c>
      <c r="W104">
        <v>48</v>
      </c>
      <c r="X104">
        <v>71</v>
      </c>
      <c r="Y104">
        <v>13</v>
      </c>
      <c r="Z104">
        <v>2</v>
      </c>
      <c r="AA104">
        <v>17</v>
      </c>
      <c r="AB104">
        <v>14</v>
      </c>
      <c r="AW104">
        <v>1</v>
      </c>
      <c r="AX104">
        <v>7</v>
      </c>
      <c r="AY104">
        <v>403</v>
      </c>
      <c r="AZ104">
        <v>403</v>
      </c>
      <c r="BA104">
        <v>686</v>
      </c>
      <c r="BB104">
        <v>44</v>
      </c>
      <c r="BD104">
        <v>1</v>
      </c>
      <c r="BF104" t="s">
        <v>196</v>
      </c>
      <c r="BG104" s="1">
        <v>44353.935729166667</v>
      </c>
      <c r="BH104" s="1">
        <v>44353.937048611115</v>
      </c>
      <c r="BI104" s="1">
        <v>44353.937557870369</v>
      </c>
      <c r="BJ104" t="s">
        <v>197</v>
      </c>
      <c r="BK104" t="s">
        <v>198</v>
      </c>
      <c r="BL104" t="s">
        <v>87</v>
      </c>
    </row>
    <row r="105" spans="1:64" x14ac:dyDescent="0.3">
      <c r="A105" t="str">
        <f>"200058B0000"</f>
        <v>200058B0000</v>
      </c>
      <c r="B105" t="str">
        <f>"200058B00003"</f>
        <v>200058B00003</v>
      </c>
      <c r="C105" t="str">
        <f t="shared" si="3"/>
        <v>20</v>
      </c>
      <c r="D105" t="s">
        <v>81</v>
      </c>
      <c r="E105" t="str">
        <f t="shared" si="5"/>
        <v>007</v>
      </c>
      <c r="F105" t="s">
        <v>191</v>
      </c>
      <c r="G105" t="str">
        <f>"0058"</f>
        <v>0058</v>
      </c>
      <c r="H105" t="str">
        <f>"0000"</f>
        <v>0000</v>
      </c>
      <c r="I105" t="s">
        <v>83</v>
      </c>
      <c r="J105">
        <v>0</v>
      </c>
      <c r="K105">
        <v>1</v>
      </c>
      <c r="L105">
        <v>3</v>
      </c>
      <c r="M105">
        <v>245</v>
      </c>
      <c r="N105">
        <v>419</v>
      </c>
      <c r="O105">
        <v>5</v>
      </c>
      <c r="P105">
        <v>419</v>
      </c>
      <c r="Q105">
        <v>114</v>
      </c>
      <c r="R105">
        <v>31</v>
      </c>
      <c r="S105">
        <v>20</v>
      </c>
      <c r="T105">
        <v>21</v>
      </c>
      <c r="U105">
        <v>39</v>
      </c>
      <c r="V105">
        <v>50</v>
      </c>
      <c r="W105">
        <v>25</v>
      </c>
      <c r="X105">
        <v>67</v>
      </c>
      <c r="Y105">
        <v>11</v>
      </c>
      <c r="Z105">
        <v>0</v>
      </c>
      <c r="AA105">
        <v>21</v>
      </c>
      <c r="AB105">
        <v>10</v>
      </c>
      <c r="AW105">
        <v>0</v>
      </c>
      <c r="AX105">
        <v>10</v>
      </c>
      <c r="AY105">
        <v>419</v>
      </c>
      <c r="AZ105">
        <v>419</v>
      </c>
      <c r="BA105">
        <v>620</v>
      </c>
      <c r="BB105">
        <v>44</v>
      </c>
      <c r="BD105">
        <v>1</v>
      </c>
      <c r="BF105" t="s">
        <v>199</v>
      </c>
      <c r="BG105" s="1">
        <v>44354.161111111112</v>
      </c>
      <c r="BH105" s="1">
        <v>44354.164594907408</v>
      </c>
      <c r="BI105" s="1">
        <v>44354.164849537039</v>
      </c>
      <c r="BJ105" t="s">
        <v>85</v>
      </c>
      <c r="BK105" t="s">
        <v>86</v>
      </c>
      <c r="BL105" t="s">
        <v>87</v>
      </c>
    </row>
    <row r="106" spans="1:64" x14ac:dyDescent="0.3">
      <c r="A106" t="str">
        <f>"200058C0100"</f>
        <v>200058C0100</v>
      </c>
      <c r="B106" t="str">
        <f>"200058C01003"</f>
        <v>200058C01003</v>
      </c>
      <c r="C106" t="str">
        <f t="shared" si="3"/>
        <v>20</v>
      </c>
      <c r="D106" t="s">
        <v>81</v>
      </c>
      <c r="E106" t="str">
        <f t="shared" si="5"/>
        <v>007</v>
      </c>
      <c r="F106" t="s">
        <v>191</v>
      </c>
      <c r="G106" t="str">
        <f>"0058"</f>
        <v>0058</v>
      </c>
      <c r="H106" t="str">
        <f>"0001"</f>
        <v>0001</v>
      </c>
      <c r="I106" t="s">
        <v>89</v>
      </c>
      <c r="J106">
        <v>0</v>
      </c>
      <c r="K106">
        <v>1</v>
      </c>
      <c r="L106">
        <v>3</v>
      </c>
      <c r="M106">
        <v>272</v>
      </c>
      <c r="N106">
        <v>392</v>
      </c>
      <c r="O106">
        <v>3</v>
      </c>
      <c r="P106">
        <v>391</v>
      </c>
      <c r="Q106">
        <v>78</v>
      </c>
      <c r="R106">
        <v>21</v>
      </c>
      <c r="S106">
        <v>14</v>
      </c>
      <c r="T106">
        <v>28</v>
      </c>
      <c r="U106">
        <v>50</v>
      </c>
      <c r="V106">
        <v>41</v>
      </c>
      <c r="W106">
        <v>32</v>
      </c>
      <c r="X106">
        <v>64</v>
      </c>
      <c r="Y106">
        <v>21</v>
      </c>
      <c r="Z106">
        <v>3</v>
      </c>
      <c r="AA106">
        <v>15</v>
      </c>
      <c r="AB106">
        <v>16</v>
      </c>
      <c r="AW106">
        <v>0</v>
      </c>
      <c r="AX106">
        <v>8</v>
      </c>
      <c r="AY106">
        <v>391</v>
      </c>
      <c r="AZ106">
        <v>391</v>
      </c>
      <c r="BA106">
        <v>620</v>
      </c>
      <c r="BB106">
        <v>44</v>
      </c>
      <c r="BD106">
        <v>1</v>
      </c>
      <c r="BF106" t="s">
        <v>200</v>
      </c>
      <c r="BG106" s="1">
        <v>44354.160416666666</v>
      </c>
      <c r="BH106" s="1">
        <v>44354.165069444447</v>
      </c>
      <c r="BI106" s="1">
        <v>44354.165462962963</v>
      </c>
      <c r="BJ106" t="s">
        <v>85</v>
      </c>
      <c r="BK106" t="s">
        <v>86</v>
      </c>
      <c r="BL106" t="s">
        <v>87</v>
      </c>
    </row>
    <row r="107" spans="1:64" x14ac:dyDescent="0.3">
      <c r="A107" t="str">
        <f>"200058C0200"</f>
        <v>200058C0200</v>
      </c>
      <c r="B107" t="str">
        <f>"200058C02003"</f>
        <v>200058C02003</v>
      </c>
      <c r="C107" t="str">
        <f t="shared" si="3"/>
        <v>20</v>
      </c>
      <c r="D107" t="s">
        <v>81</v>
      </c>
      <c r="E107" t="str">
        <f t="shared" si="5"/>
        <v>007</v>
      </c>
      <c r="F107" t="s">
        <v>191</v>
      </c>
      <c r="G107" t="str">
        <f>"0058"</f>
        <v>0058</v>
      </c>
      <c r="H107" t="str">
        <f>"0002"</f>
        <v>0002</v>
      </c>
      <c r="I107" t="s">
        <v>89</v>
      </c>
      <c r="J107">
        <v>0</v>
      </c>
      <c r="K107">
        <v>1</v>
      </c>
      <c r="L107">
        <v>3</v>
      </c>
      <c r="M107">
        <v>253</v>
      </c>
      <c r="N107">
        <v>411</v>
      </c>
      <c r="O107">
        <v>3</v>
      </c>
      <c r="P107">
        <v>664</v>
      </c>
      <c r="Q107">
        <v>84</v>
      </c>
      <c r="R107">
        <v>27</v>
      </c>
      <c r="S107">
        <v>22</v>
      </c>
      <c r="T107">
        <v>22</v>
      </c>
      <c r="U107">
        <v>57</v>
      </c>
      <c r="V107">
        <v>44</v>
      </c>
      <c r="W107">
        <v>39</v>
      </c>
      <c r="X107">
        <v>69</v>
      </c>
      <c r="Y107">
        <v>17</v>
      </c>
      <c r="Z107">
        <v>0</v>
      </c>
      <c r="AA107">
        <v>18</v>
      </c>
      <c r="AB107">
        <v>9</v>
      </c>
      <c r="AW107">
        <v>0</v>
      </c>
      <c r="AX107">
        <v>3</v>
      </c>
      <c r="AY107">
        <v>411</v>
      </c>
      <c r="AZ107">
        <v>411</v>
      </c>
      <c r="BA107">
        <v>620</v>
      </c>
      <c r="BB107">
        <v>44</v>
      </c>
      <c r="BD107">
        <v>1</v>
      </c>
      <c r="BF107" t="s">
        <v>201</v>
      </c>
      <c r="BG107" s="1">
        <v>44354.161111111112</v>
      </c>
      <c r="BH107" s="1">
        <v>44354.164722222224</v>
      </c>
      <c r="BI107" s="1">
        <v>44354.165208333332</v>
      </c>
      <c r="BJ107" t="s">
        <v>85</v>
      </c>
      <c r="BK107" t="s">
        <v>86</v>
      </c>
      <c r="BL107" t="s">
        <v>87</v>
      </c>
    </row>
    <row r="108" spans="1:64" x14ac:dyDescent="0.3">
      <c r="A108" t="str">
        <f>"200058C0300"</f>
        <v>200058C0300</v>
      </c>
      <c r="B108" t="str">
        <f>"200058C03003"</f>
        <v>200058C03003</v>
      </c>
      <c r="C108" t="str">
        <f t="shared" si="3"/>
        <v>20</v>
      </c>
      <c r="D108" t="s">
        <v>81</v>
      </c>
      <c r="E108" t="str">
        <f t="shared" si="5"/>
        <v>007</v>
      </c>
      <c r="F108" t="s">
        <v>191</v>
      </c>
      <c r="G108" t="str">
        <f>"0058"</f>
        <v>0058</v>
      </c>
      <c r="H108" t="str">
        <f>"0003"</f>
        <v>0003</v>
      </c>
      <c r="I108" t="s">
        <v>89</v>
      </c>
      <c r="J108">
        <v>0</v>
      </c>
      <c r="K108">
        <v>1</v>
      </c>
      <c r="L108">
        <v>3</v>
      </c>
      <c r="M108">
        <v>254</v>
      </c>
      <c r="N108">
        <v>411</v>
      </c>
      <c r="O108">
        <v>5</v>
      </c>
      <c r="P108">
        <v>410</v>
      </c>
      <c r="Q108">
        <v>81</v>
      </c>
      <c r="R108">
        <v>25</v>
      </c>
      <c r="S108">
        <v>28</v>
      </c>
      <c r="T108">
        <v>20</v>
      </c>
      <c r="U108">
        <v>65</v>
      </c>
      <c r="V108">
        <v>58</v>
      </c>
      <c r="W108">
        <v>25</v>
      </c>
      <c r="X108">
        <v>54</v>
      </c>
      <c r="Y108">
        <v>12</v>
      </c>
      <c r="Z108">
        <v>2</v>
      </c>
      <c r="AA108">
        <v>12</v>
      </c>
      <c r="AB108">
        <v>14</v>
      </c>
      <c r="AW108">
        <v>0</v>
      </c>
      <c r="AX108">
        <v>14</v>
      </c>
      <c r="AY108">
        <v>410</v>
      </c>
      <c r="AZ108">
        <v>410</v>
      </c>
      <c r="BA108">
        <v>620</v>
      </c>
      <c r="BB108">
        <v>44</v>
      </c>
      <c r="BD108">
        <v>1</v>
      </c>
      <c r="BF108" t="s">
        <v>202</v>
      </c>
      <c r="BG108" s="1">
        <v>44354.150694444441</v>
      </c>
      <c r="BH108" s="1">
        <v>44354.154456018521</v>
      </c>
      <c r="BI108" s="1">
        <v>44354.154814814814</v>
      </c>
      <c r="BJ108" t="s">
        <v>85</v>
      </c>
      <c r="BK108" t="s">
        <v>86</v>
      </c>
      <c r="BL108" t="s">
        <v>87</v>
      </c>
    </row>
    <row r="109" spans="1:64" x14ac:dyDescent="0.3">
      <c r="A109" t="str">
        <f>"200058C0400"</f>
        <v>200058C0400</v>
      </c>
      <c r="B109" t="str">
        <f>"200058C04003"</f>
        <v>200058C04003</v>
      </c>
      <c r="C109" t="str">
        <f t="shared" si="3"/>
        <v>20</v>
      </c>
      <c r="D109" t="s">
        <v>81</v>
      </c>
      <c r="E109" t="str">
        <f t="shared" si="5"/>
        <v>007</v>
      </c>
      <c r="F109" t="s">
        <v>191</v>
      </c>
      <c r="G109" t="str">
        <f>"0058"</f>
        <v>0058</v>
      </c>
      <c r="H109" t="str">
        <f>"0004"</f>
        <v>0004</v>
      </c>
      <c r="I109" t="s">
        <v>89</v>
      </c>
      <c r="J109">
        <v>0</v>
      </c>
      <c r="K109">
        <v>1</v>
      </c>
      <c r="L109">
        <v>3</v>
      </c>
      <c r="M109">
        <v>277</v>
      </c>
      <c r="N109">
        <v>386</v>
      </c>
      <c r="O109">
        <v>3</v>
      </c>
      <c r="P109">
        <v>386</v>
      </c>
      <c r="Q109">
        <v>85</v>
      </c>
      <c r="R109">
        <v>16</v>
      </c>
      <c r="S109">
        <v>32</v>
      </c>
      <c r="T109">
        <v>29</v>
      </c>
      <c r="U109">
        <v>41</v>
      </c>
      <c r="V109">
        <v>45</v>
      </c>
      <c r="W109">
        <v>31</v>
      </c>
      <c r="X109">
        <v>58</v>
      </c>
      <c r="Y109">
        <v>11</v>
      </c>
      <c r="Z109">
        <v>1</v>
      </c>
      <c r="AA109">
        <v>19</v>
      </c>
      <c r="AB109">
        <v>7</v>
      </c>
      <c r="AW109" t="s">
        <v>95</v>
      </c>
      <c r="AX109">
        <v>11</v>
      </c>
      <c r="AY109">
        <v>386</v>
      </c>
      <c r="AZ109">
        <v>386</v>
      </c>
      <c r="BA109">
        <v>619</v>
      </c>
      <c r="BB109">
        <v>44</v>
      </c>
      <c r="BC109" t="s">
        <v>96</v>
      </c>
      <c r="BD109">
        <v>1</v>
      </c>
      <c r="BF109" t="s">
        <v>203</v>
      </c>
      <c r="BG109" s="1">
        <v>44354.15</v>
      </c>
      <c r="BH109" s="1">
        <v>44354.15488425926</v>
      </c>
      <c r="BI109" s="1">
        <v>44354.155694444446</v>
      </c>
      <c r="BJ109" t="s">
        <v>85</v>
      </c>
      <c r="BK109" t="s">
        <v>86</v>
      </c>
      <c r="BL109" t="s">
        <v>87</v>
      </c>
    </row>
    <row r="110" spans="1:64" x14ac:dyDescent="0.3">
      <c r="A110" t="str">
        <f>"200059B0000"</f>
        <v>200059B0000</v>
      </c>
      <c r="B110" t="str">
        <f>"200059B00003"</f>
        <v>200059B00003</v>
      </c>
      <c r="C110" t="str">
        <f t="shared" si="3"/>
        <v>20</v>
      </c>
      <c r="D110" t="s">
        <v>81</v>
      </c>
      <c r="E110" t="str">
        <f t="shared" si="5"/>
        <v>007</v>
      </c>
      <c r="F110" t="s">
        <v>191</v>
      </c>
      <c r="G110" t="str">
        <f>"0059"</f>
        <v>0059</v>
      </c>
      <c r="H110" t="str">
        <f>"0000"</f>
        <v>0000</v>
      </c>
      <c r="I110" t="s">
        <v>83</v>
      </c>
      <c r="J110">
        <v>0</v>
      </c>
      <c r="K110">
        <v>1</v>
      </c>
      <c r="L110">
        <v>3</v>
      </c>
      <c r="M110">
        <v>236</v>
      </c>
      <c r="N110">
        <v>396</v>
      </c>
      <c r="O110">
        <v>2</v>
      </c>
      <c r="P110">
        <v>394</v>
      </c>
      <c r="Q110">
        <v>96</v>
      </c>
      <c r="R110">
        <v>32</v>
      </c>
      <c r="S110">
        <v>10</v>
      </c>
      <c r="T110">
        <v>24</v>
      </c>
      <c r="U110">
        <v>38</v>
      </c>
      <c r="V110">
        <v>54</v>
      </c>
      <c r="W110">
        <v>28</v>
      </c>
      <c r="X110">
        <v>49</v>
      </c>
      <c r="Y110">
        <v>9</v>
      </c>
      <c r="Z110">
        <v>2</v>
      </c>
      <c r="AA110">
        <v>29</v>
      </c>
      <c r="AB110">
        <v>10</v>
      </c>
      <c r="AW110">
        <v>0</v>
      </c>
      <c r="AX110">
        <v>13</v>
      </c>
      <c r="AY110">
        <v>394</v>
      </c>
      <c r="AZ110">
        <v>394</v>
      </c>
      <c r="BA110">
        <v>588</v>
      </c>
      <c r="BB110">
        <v>44</v>
      </c>
      <c r="BD110">
        <v>1</v>
      </c>
      <c r="BF110" t="s">
        <v>204</v>
      </c>
      <c r="BG110" s="1">
        <v>44353.919351851851</v>
      </c>
      <c r="BH110" s="1">
        <v>44353.921006944445</v>
      </c>
      <c r="BI110" s="1">
        <v>44353.921527777777</v>
      </c>
      <c r="BJ110" t="s">
        <v>197</v>
      </c>
      <c r="BK110" t="s">
        <v>198</v>
      </c>
      <c r="BL110" t="s">
        <v>87</v>
      </c>
    </row>
    <row r="111" spans="1:64" x14ac:dyDescent="0.3">
      <c r="A111" t="str">
        <f>"200059C0100"</f>
        <v>200059C0100</v>
      </c>
      <c r="B111" t="str">
        <f>"200059C01003"</f>
        <v>200059C01003</v>
      </c>
      <c r="C111" t="str">
        <f t="shared" si="3"/>
        <v>20</v>
      </c>
      <c r="D111" t="s">
        <v>81</v>
      </c>
      <c r="E111" t="str">
        <f t="shared" si="5"/>
        <v>007</v>
      </c>
      <c r="F111" t="s">
        <v>191</v>
      </c>
      <c r="G111" t="str">
        <f>"0059"</f>
        <v>0059</v>
      </c>
      <c r="H111" t="str">
        <f>"0001"</f>
        <v>0001</v>
      </c>
      <c r="I111" t="s">
        <v>89</v>
      </c>
      <c r="J111">
        <v>0</v>
      </c>
      <c r="K111">
        <v>1</v>
      </c>
      <c r="L111">
        <v>3</v>
      </c>
      <c r="M111">
        <v>260</v>
      </c>
      <c r="N111">
        <v>372</v>
      </c>
      <c r="O111">
        <v>5</v>
      </c>
      <c r="P111">
        <v>372</v>
      </c>
      <c r="Q111">
        <v>78</v>
      </c>
      <c r="R111">
        <v>28</v>
      </c>
      <c r="S111">
        <v>14</v>
      </c>
      <c r="T111">
        <v>20</v>
      </c>
      <c r="U111">
        <v>48</v>
      </c>
      <c r="V111">
        <v>41</v>
      </c>
      <c r="W111">
        <v>22</v>
      </c>
      <c r="X111">
        <v>60</v>
      </c>
      <c r="Y111">
        <v>19</v>
      </c>
      <c r="Z111">
        <v>1</v>
      </c>
      <c r="AA111">
        <v>17</v>
      </c>
      <c r="AB111">
        <v>13</v>
      </c>
      <c r="AW111">
        <v>0</v>
      </c>
      <c r="AX111">
        <v>11</v>
      </c>
      <c r="AY111">
        <v>372</v>
      </c>
      <c r="AZ111">
        <v>372</v>
      </c>
      <c r="BA111">
        <v>588</v>
      </c>
      <c r="BB111">
        <v>44</v>
      </c>
      <c r="BD111">
        <v>1</v>
      </c>
      <c r="BF111" t="s">
        <v>205</v>
      </c>
      <c r="BG111" s="1">
        <v>44353.92528935185</v>
      </c>
      <c r="BH111" s="1">
        <v>44353.926620370374</v>
      </c>
      <c r="BI111" s="1">
        <v>44353.927685185183</v>
      </c>
      <c r="BJ111" t="s">
        <v>197</v>
      </c>
      <c r="BK111" t="s">
        <v>198</v>
      </c>
      <c r="BL111" t="s">
        <v>87</v>
      </c>
    </row>
    <row r="112" spans="1:64" x14ac:dyDescent="0.3">
      <c r="A112" t="str">
        <f>"200059C0200"</f>
        <v>200059C0200</v>
      </c>
      <c r="B112" t="str">
        <f>"200059C02003"</f>
        <v>200059C02003</v>
      </c>
      <c r="C112" t="str">
        <f t="shared" si="3"/>
        <v>20</v>
      </c>
      <c r="D112" t="s">
        <v>81</v>
      </c>
      <c r="E112" t="str">
        <f t="shared" si="5"/>
        <v>007</v>
      </c>
      <c r="F112" t="s">
        <v>191</v>
      </c>
      <c r="G112" t="str">
        <f>"0059"</f>
        <v>0059</v>
      </c>
      <c r="H112" t="str">
        <f>"0002"</f>
        <v>0002</v>
      </c>
      <c r="I112" t="s">
        <v>89</v>
      </c>
      <c r="J112">
        <v>0</v>
      </c>
      <c r="K112">
        <v>1</v>
      </c>
      <c r="L112">
        <v>3</v>
      </c>
      <c r="M112">
        <v>242</v>
      </c>
      <c r="N112">
        <v>390</v>
      </c>
      <c r="O112">
        <v>11</v>
      </c>
      <c r="P112" t="s">
        <v>92</v>
      </c>
      <c r="Q112">
        <v>73</v>
      </c>
      <c r="R112">
        <v>42</v>
      </c>
      <c r="S112">
        <v>26</v>
      </c>
      <c r="T112">
        <v>30</v>
      </c>
      <c r="U112">
        <v>31</v>
      </c>
      <c r="V112">
        <v>44</v>
      </c>
      <c r="W112">
        <v>24</v>
      </c>
      <c r="X112">
        <v>51</v>
      </c>
      <c r="Y112">
        <v>26</v>
      </c>
      <c r="Z112">
        <v>2</v>
      </c>
      <c r="AA112">
        <v>21</v>
      </c>
      <c r="AB112">
        <v>10</v>
      </c>
      <c r="AW112">
        <v>0</v>
      </c>
      <c r="AX112">
        <v>10</v>
      </c>
      <c r="AY112">
        <v>390</v>
      </c>
      <c r="AZ112">
        <v>390</v>
      </c>
      <c r="BA112">
        <v>588</v>
      </c>
      <c r="BB112">
        <v>44</v>
      </c>
      <c r="BD112">
        <v>1</v>
      </c>
      <c r="BF112" t="s">
        <v>206</v>
      </c>
      <c r="BG112" s="1">
        <v>44353.979548611111</v>
      </c>
      <c r="BH112" s="1">
        <v>44353.981168981481</v>
      </c>
      <c r="BI112" s="1">
        <v>44353.981562499997</v>
      </c>
      <c r="BJ112" t="s">
        <v>197</v>
      </c>
      <c r="BK112" t="s">
        <v>198</v>
      </c>
      <c r="BL112" t="s">
        <v>87</v>
      </c>
    </row>
    <row r="113" spans="1:64" x14ac:dyDescent="0.3">
      <c r="A113" t="str">
        <f>"200059C0300"</f>
        <v>200059C0300</v>
      </c>
      <c r="B113" t="str">
        <f>"200059C03003"</f>
        <v>200059C03003</v>
      </c>
      <c r="C113" t="str">
        <f t="shared" si="3"/>
        <v>20</v>
      </c>
      <c r="D113" t="s">
        <v>81</v>
      </c>
      <c r="E113" t="str">
        <f t="shared" si="5"/>
        <v>007</v>
      </c>
      <c r="F113" t="s">
        <v>191</v>
      </c>
      <c r="G113" t="str">
        <f>"0059"</f>
        <v>0059</v>
      </c>
      <c r="H113" t="str">
        <f>"0003"</f>
        <v>0003</v>
      </c>
      <c r="I113" t="s">
        <v>89</v>
      </c>
      <c r="J113">
        <v>0</v>
      </c>
      <c r="K113">
        <v>1</v>
      </c>
      <c r="L113">
        <v>3</v>
      </c>
      <c r="M113">
        <v>228</v>
      </c>
      <c r="N113">
        <v>404</v>
      </c>
      <c r="O113">
        <v>10</v>
      </c>
      <c r="P113">
        <v>404</v>
      </c>
      <c r="Q113">
        <v>78</v>
      </c>
      <c r="R113">
        <v>33</v>
      </c>
      <c r="S113">
        <v>35</v>
      </c>
      <c r="T113">
        <v>25</v>
      </c>
      <c r="U113">
        <v>40</v>
      </c>
      <c r="V113">
        <v>61</v>
      </c>
      <c r="W113">
        <v>23</v>
      </c>
      <c r="X113">
        <v>49</v>
      </c>
      <c r="Y113">
        <v>16</v>
      </c>
      <c r="Z113">
        <v>2</v>
      </c>
      <c r="AA113">
        <v>17</v>
      </c>
      <c r="AB113">
        <v>20</v>
      </c>
      <c r="AW113">
        <v>0</v>
      </c>
      <c r="AX113">
        <v>5</v>
      </c>
      <c r="AY113">
        <v>404</v>
      </c>
      <c r="AZ113">
        <v>404</v>
      </c>
      <c r="BA113">
        <v>588</v>
      </c>
      <c r="BB113">
        <v>44</v>
      </c>
      <c r="BD113">
        <v>1</v>
      </c>
      <c r="BF113" t="s">
        <v>207</v>
      </c>
      <c r="BG113" s="1">
        <v>44353.992384259262</v>
      </c>
      <c r="BH113" s="1">
        <v>44353.996319444443</v>
      </c>
      <c r="BI113" s="1">
        <v>44353.996759259258</v>
      </c>
      <c r="BJ113" t="s">
        <v>197</v>
      </c>
      <c r="BK113" t="s">
        <v>198</v>
      </c>
      <c r="BL113" t="s">
        <v>87</v>
      </c>
    </row>
    <row r="114" spans="1:64" x14ac:dyDescent="0.3">
      <c r="A114" t="str">
        <f>"200059S0100"</f>
        <v>200059S0100</v>
      </c>
      <c r="B114" t="str">
        <f>"200059S01003E"</f>
        <v>200059S01003E</v>
      </c>
      <c r="C114" t="str">
        <f t="shared" si="3"/>
        <v>20</v>
      </c>
      <c r="D114" t="s">
        <v>81</v>
      </c>
      <c r="E114" t="str">
        <f t="shared" si="5"/>
        <v>007</v>
      </c>
      <c r="F114" t="s">
        <v>191</v>
      </c>
      <c r="G114" t="str">
        <f>"0059"</f>
        <v>0059</v>
      </c>
      <c r="H114" t="str">
        <f>"0001"</f>
        <v>0001</v>
      </c>
      <c r="I114" t="s">
        <v>99</v>
      </c>
      <c r="J114">
        <v>0</v>
      </c>
      <c r="K114">
        <v>1</v>
      </c>
      <c r="L114" t="s">
        <v>100</v>
      </c>
      <c r="M114">
        <v>927</v>
      </c>
      <c r="N114">
        <v>73</v>
      </c>
      <c r="O114">
        <v>0</v>
      </c>
      <c r="P114">
        <v>73</v>
      </c>
      <c r="Q114">
        <v>11</v>
      </c>
      <c r="R114">
        <v>2</v>
      </c>
      <c r="S114">
        <v>2</v>
      </c>
      <c r="T114">
        <v>5</v>
      </c>
      <c r="U114">
        <v>10</v>
      </c>
      <c r="V114">
        <v>6</v>
      </c>
      <c r="W114">
        <v>8</v>
      </c>
      <c r="X114">
        <v>19</v>
      </c>
      <c r="Y114">
        <v>2</v>
      </c>
      <c r="Z114">
        <v>0</v>
      </c>
      <c r="AA114">
        <v>7</v>
      </c>
      <c r="AB114">
        <v>0</v>
      </c>
      <c r="AW114">
        <v>0</v>
      </c>
      <c r="AX114">
        <v>1</v>
      </c>
      <c r="AY114">
        <v>73</v>
      </c>
      <c r="AZ114">
        <v>73</v>
      </c>
      <c r="BA114">
        <v>0</v>
      </c>
      <c r="BB114">
        <v>44</v>
      </c>
      <c r="BD114">
        <v>1</v>
      </c>
      <c r="BF114" t="s">
        <v>208</v>
      </c>
      <c r="BG114" s="1">
        <v>44354.004131944443</v>
      </c>
      <c r="BH114" s="1">
        <v>44354.009097222224</v>
      </c>
      <c r="BI114" s="1">
        <v>44354.010231481479</v>
      </c>
      <c r="BJ114" t="s">
        <v>197</v>
      </c>
      <c r="BK114" t="s">
        <v>198</v>
      </c>
      <c r="BL114" t="s">
        <v>87</v>
      </c>
    </row>
    <row r="115" spans="1:64" x14ac:dyDescent="0.3">
      <c r="A115" t="str">
        <f>"200060B0000"</f>
        <v>200060B0000</v>
      </c>
      <c r="B115" t="str">
        <f>"200060B00003"</f>
        <v>200060B00003</v>
      </c>
      <c r="C115" t="str">
        <f t="shared" si="3"/>
        <v>20</v>
      </c>
      <c r="D115" t="s">
        <v>81</v>
      </c>
      <c r="E115" t="str">
        <f t="shared" si="5"/>
        <v>007</v>
      </c>
      <c r="F115" t="s">
        <v>191</v>
      </c>
      <c r="G115" t="str">
        <f>"0060"</f>
        <v>0060</v>
      </c>
      <c r="H115" t="str">
        <f>"0000"</f>
        <v>0000</v>
      </c>
      <c r="I115" t="s">
        <v>83</v>
      </c>
      <c r="J115">
        <v>0</v>
      </c>
      <c r="K115">
        <v>1</v>
      </c>
      <c r="L115">
        <v>3</v>
      </c>
      <c r="M115">
        <v>273</v>
      </c>
      <c r="N115">
        <v>409</v>
      </c>
      <c r="O115">
        <v>4</v>
      </c>
      <c r="P115" t="s">
        <v>92</v>
      </c>
      <c r="Q115">
        <v>61</v>
      </c>
      <c r="R115">
        <v>20</v>
      </c>
      <c r="S115">
        <v>24</v>
      </c>
      <c r="T115">
        <v>20</v>
      </c>
      <c r="U115">
        <v>45</v>
      </c>
      <c r="V115">
        <v>48</v>
      </c>
      <c r="W115">
        <v>49</v>
      </c>
      <c r="X115">
        <v>84</v>
      </c>
      <c r="Y115">
        <v>20</v>
      </c>
      <c r="Z115">
        <v>3</v>
      </c>
      <c r="AA115">
        <v>27</v>
      </c>
      <c r="AB115">
        <v>3</v>
      </c>
      <c r="AW115">
        <v>0</v>
      </c>
      <c r="AX115">
        <v>5</v>
      </c>
      <c r="AY115">
        <v>409</v>
      </c>
      <c r="AZ115">
        <v>409</v>
      </c>
      <c r="BA115">
        <v>638</v>
      </c>
      <c r="BB115">
        <v>44</v>
      </c>
      <c r="BD115">
        <v>1</v>
      </c>
      <c r="BF115" t="s">
        <v>209</v>
      </c>
      <c r="BG115" s="1">
        <v>44353.910196759258</v>
      </c>
      <c r="BH115" s="1">
        <v>44353.912372685183</v>
      </c>
      <c r="BI115" s="1">
        <v>44353.912800925929</v>
      </c>
      <c r="BJ115" t="s">
        <v>197</v>
      </c>
      <c r="BK115" t="s">
        <v>198</v>
      </c>
      <c r="BL115" t="s">
        <v>87</v>
      </c>
    </row>
    <row r="116" spans="1:64" x14ac:dyDescent="0.3">
      <c r="A116" t="str">
        <f>"200060C0100"</f>
        <v>200060C0100</v>
      </c>
      <c r="B116" t="str">
        <f>"200060C01003"</f>
        <v>200060C01003</v>
      </c>
      <c r="C116" t="str">
        <f t="shared" si="3"/>
        <v>20</v>
      </c>
      <c r="D116" t="s">
        <v>81</v>
      </c>
      <c r="E116" t="str">
        <f t="shared" si="5"/>
        <v>007</v>
      </c>
      <c r="F116" t="s">
        <v>191</v>
      </c>
      <c r="G116" t="str">
        <f>"0060"</f>
        <v>0060</v>
      </c>
      <c r="H116" t="str">
        <f>"0001"</f>
        <v>0001</v>
      </c>
      <c r="I116" t="s">
        <v>89</v>
      </c>
      <c r="J116">
        <v>0</v>
      </c>
      <c r="K116">
        <v>1</v>
      </c>
      <c r="L116">
        <v>3</v>
      </c>
      <c r="M116">
        <v>294</v>
      </c>
      <c r="N116">
        <v>388</v>
      </c>
      <c r="O116">
        <v>4</v>
      </c>
      <c r="P116">
        <v>388</v>
      </c>
      <c r="Q116">
        <v>65</v>
      </c>
      <c r="R116">
        <v>17</v>
      </c>
      <c r="S116">
        <v>16</v>
      </c>
      <c r="T116">
        <v>24</v>
      </c>
      <c r="U116">
        <v>50</v>
      </c>
      <c r="V116">
        <v>51</v>
      </c>
      <c r="W116">
        <v>38</v>
      </c>
      <c r="X116">
        <v>52</v>
      </c>
      <c r="Y116">
        <v>16</v>
      </c>
      <c r="Z116">
        <v>4</v>
      </c>
      <c r="AA116">
        <v>27</v>
      </c>
      <c r="AB116">
        <v>19</v>
      </c>
      <c r="AW116">
        <v>0</v>
      </c>
      <c r="AX116">
        <v>9</v>
      </c>
      <c r="AY116">
        <v>388</v>
      </c>
      <c r="AZ116">
        <v>388</v>
      </c>
      <c r="BA116">
        <v>638</v>
      </c>
      <c r="BB116">
        <v>44</v>
      </c>
      <c r="BD116">
        <v>1</v>
      </c>
      <c r="BF116" t="s">
        <v>210</v>
      </c>
      <c r="BG116" s="1">
        <v>44354.053472222222</v>
      </c>
      <c r="BH116" s="1">
        <v>44354.06145833333</v>
      </c>
      <c r="BI116" s="1">
        <v>44354.062175925923</v>
      </c>
      <c r="BJ116" t="s">
        <v>85</v>
      </c>
      <c r="BK116" t="s">
        <v>86</v>
      </c>
      <c r="BL116" t="s">
        <v>87</v>
      </c>
    </row>
    <row r="117" spans="1:64" x14ac:dyDescent="0.3">
      <c r="A117" t="str">
        <f>"200060C0200"</f>
        <v>200060C0200</v>
      </c>
      <c r="B117" t="str">
        <f>"200060C02003"</f>
        <v>200060C02003</v>
      </c>
      <c r="C117" t="str">
        <f t="shared" si="3"/>
        <v>20</v>
      </c>
      <c r="D117" t="s">
        <v>81</v>
      </c>
      <c r="E117" t="str">
        <f t="shared" si="5"/>
        <v>007</v>
      </c>
      <c r="F117" t="s">
        <v>191</v>
      </c>
      <c r="G117" t="str">
        <f>"0060"</f>
        <v>0060</v>
      </c>
      <c r="H117" t="str">
        <f>"0002"</f>
        <v>0002</v>
      </c>
      <c r="I117" t="s">
        <v>89</v>
      </c>
      <c r="J117">
        <v>0</v>
      </c>
      <c r="K117">
        <v>1</v>
      </c>
      <c r="L117">
        <v>3</v>
      </c>
      <c r="M117">
        <v>288</v>
      </c>
      <c r="N117">
        <v>392</v>
      </c>
      <c r="O117">
        <v>2</v>
      </c>
      <c r="P117">
        <v>392</v>
      </c>
      <c r="Q117">
        <v>44</v>
      </c>
      <c r="R117">
        <v>40</v>
      </c>
      <c r="S117">
        <v>16</v>
      </c>
      <c r="T117">
        <v>29</v>
      </c>
      <c r="U117">
        <v>51</v>
      </c>
      <c r="V117">
        <v>45</v>
      </c>
      <c r="W117">
        <v>32</v>
      </c>
      <c r="X117">
        <v>68</v>
      </c>
      <c r="Y117">
        <v>14</v>
      </c>
      <c r="Z117">
        <v>2</v>
      </c>
      <c r="AA117">
        <v>28</v>
      </c>
      <c r="AB117">
        <v>13</v>
      </c>
      <c r="AW117">
        <v>0</v>
      </c>
      <c r="AX117">
        <v>10</v>
      </c>
      <c r="AY117">
        <v>392</v>
      </c>
      <c r="AZ117">
        <v>392</v>
      </c>
      <c r="BA117">
        <v>637</v>
      </c>
      <c r="BB117">
        <v>44</v>
      </c>
      <c r="BD117">
        <v>1</v>
      </c>
      <c r="BF117" t="s">
        <v>211</v>
      </c>
      <c r="BG117" s="1">
        <v>44353.912789351853</v>
      </c>
      <c r="BH117" s="1">
        <v>44353.914363425924</v>
      </c>
      <c r="BI117" s="1">
        <v>44353.91547453704</v>
      </c>
      <c r="BJ117" t="s">
        <v>197</v>
      </c>
      <c r="BK117" t="s">
        <v>198</v>
      </c>
      <c r="BL117" t="s">
        <v>87</v>
      </c>
    </row>
    <row r="118" spans="1:64" x14ac:dyDescent="0.3">
      <c r="A118" t="str">
        <f>"200060C0300"</f>
        <v>200060C0300</v>
      </c>
      <c r="B118" t="str">
        <f>"200060C03003"</f>
        <v>200060C03003</v>
      </c>
      <c r="C118" t="str">
        <f t="shared" si="3"/>
        <v>20</v>
      </c>
      <c r="D118" t="s">
        <v>81</v>
      </c>
      <c r="E118" t="str">
        <f t="shared" si="5"/>
        <v>007</v>
      </c>
      <c r="F118" t="s">
        <v>191</v>
      </c>
      <c r="G118" t="str">
        <f>"0060"</f>
        <v>0060</v>
      </c>
      <c r="H118" t="str">
        <f>"0003"</f>
        <v>0003</v>
      </c>
      <c r="I118" t="s">
        <v>89</v>
      </c>
      <c r="J118">
        <v>0</v>
      </c>
      <c r="K118">
        <v>1</v>
      </c>
      <c r="L118">
        <v>3</v>
      </c>
      <c r="M118">
        <v>268</v>
      </c>
      <c r="N118">
        <v>413</v>
      </c>
      <c r="O118">
        <v>5</v>
      </c>
      <c r="P118">
        <v>413</v>
      </c>
      <c r="Q118">
        <v>64</v>
      </c>
      <c r="R118">
        <v>27</v>
      </c>
      <c r="S118">
        <v>31</v>
      </c>
      <c r="T118">
        <v>16</v>
      </c>
      <c r="U118">
        <v>47</v>
      </c>
      <c r="V118">
        <v>44</v>
      </c>
      <c r="W118">
        <v>57</v>
      </c>
      <c r="X118">
        <v>56</v>
      </c>
      <c r="Y118">
        <v>14</v>
      </c>
      <c r="Z118">
        <v>4</v>
      </c>
      <c r="AA118">
        <v>37</v>
      </c>
      <c r="AB118">
        <v>8</v>
      </c>
      <c r="AW118">
        <v>0</v>
      </c>
      <c r="AX118">
        <v>8</v>
      </c>
      <c r="AY118">
        <v>413</v>
      </c>
      <c r="AZ118">
        <v>413</v>
      </c>
      <c r="BA118">
        <v>637</v>
      </c>
      <c r="BB118">
        <v>44</v>
      </c>
      <c r="BD118">
        <v>1</v>
      </c>
      <c r="BF118" t="s">
        <v>212</v>
      </c>
      <c r="BG118" s="1">
        <v>44353.949907407405</v>
      </c>
      <c r="BH118" s="1">
        <v>44353.951793981483</v>
      </c>
      <c r="BI118" s="1">
        <v>44353.952268518522</v>
      </c>
      <c r="BJ118" t="s">
        <v>197</v>
      </c>
      <c r="BK118" t="s">
        <v>198</v>
      </c>
      <c r="BL118" t="s">
        <v>87</v>
      </c>
    </row>
    <row r="119" spans="1:64" x14ac:dyDescent="0.3">
      <c r="A119" t="str">
        <f>"200060C0400"</f>
        <v>200060C0400</v>
      </c>
      <c r="B119" t="str">
        <f>"200060C04003"</f>
        <v>200060C04003</v>
      </c>
      <c r="C119" t="str">
        <f t="shared" si="3"/>
        <v>20</v>
      </c>
      <c r="D119" t="s">
        <v>81</v>
      </c>
      <c r="E119" t="str">
        <f t="shared" si="5"/>
        <v>007</v>
      </c>
      <c r="F119" t="s">
        <v>191</v>
      </c>
      <c r="G119" t="str">
        <f>"0060"</f>
        <v>0060</v>
      </c>
      <c r="H119" t="str">
        <f>"0004"</f>
        <v>0004</v>
      </c>
      <c r="I119" t="s">
        <v>89</v>
      </c>
      <c r="J119">
        <v>0</v>
      </c>
      <c r="K119">
        <v>1</v>
      </c>
      <c r="L119">
        <v>3</v>
      </c>
      <c r="M119">
        <v>291</v>
      </c>
      <c r="N119">
        <v>290</v>
      </c>
      <c r="O119">
        <v>2</v>
      </c>
      <c r="P119">
        <v>390</v>
      </c>
      <c r="Q119">
        <v>59</v>
      </c>
      <c r="R119">
        <v>22</v>
      </c>
      <c r="S119">
        <v>21</v>
      </c>
      <c r="T119">
        <v>22</v>
      </c>
      <c r="U119">
        <v>60</v>
      </c>
      <c r="V119">
        <v>45</v>
      </c>
      <c r="W119">
        <v>42</v>
      </c>
      <c r="X119">
        <v>72</v>
      </c>
      <c r="Y119">
        <v>19</v>
      </c>
      <c r="Z119">
        <v>1</v>
      </c>
      <c r="AA119">
        <v>12</v>
      </c>
      <c r="AB119">
        <v>14</v>
      </c>
      <c r="AW119">
        <v>0</v>
      </c>
      <c r="AX119">
        <v>1</v>
      </c>
      <c r="AY119">
        <v>390</v>
      </c>
      <c r="AZ119">
        <v>390</v>
      </c>
      <c r="BA119">
        <v>637</v>
      </c>
      <c r="BB119">
        <v>44</v>
      </c>
      <c r="BD119">
        <v>1</v>
      </c>
      <c r="BF119" t="s">
        <v>213</v>
      </c>
      <c r="BG119" s="1">
        <v>44353.898148148146</v>
      </c>
      <c r="BH119" s="1">
        <v>44353.900219907409</v>
      </c>
      <c r="BI119" s="1">
        <v>44353.901041666664</v>
      </c>
      <c r="BJ119" t="s">
        <v>197</v>
      </c>
      <c r="BK119" t="s">
        <v>198</v>
      </c>
      <c r="BL119" t="s">
        <v>87</v>
      </c>
    </row>
    <row r="120" spans="1:64" x14ac:dyDescent="0.3">
      <c r="A120" t="str">
        <f>"200061B0000"</f>
        <v>200061B0000</v>
      </c>
      <c r="B120" t="str">
        <f>"200061B00003"</f>
        <v>200061B00003</v>
      </c>
      <c r="C120" t="str">
        <f t="shared" si="3"/>
        <v>20</v>
      </c>
      <c r="D120" t="s">
        <v>81</v>
      </c>
      <c r="E120" t="str">
        <f t="shared" si="5"/>
        <v>007</v>
      </c>
      <c r="F120" t="s">
        <v>191</v>
      </c>
      <c r="G120" t="str">
        <f>"0061"</f>
        <v>0061</v>
      </c>
      <c r="H120" t="str">
        <f>"0000"</f>
        <v>0000</v>
      </c>
      <c r="I120" t="s">
        <v>83</v>
      </c>
      <c r="J120">
        <v>0</v>
      </c>
      <c r="K120">
        <v>1</v>
      </c>
      <c r="L120">
        <v>3</v>
      </c>
      <c r="M120">
        <v>98</v>
      </c>
      <c r="N120">
        <v>100</v>
      </c>
      <c r="O120">
        <v>7</v>
      </c>
      <c r="P120">
        <v>100</v>
      </c>
      <c r="Q120">
        <v>9</v>
      </c>
      <c r="R120">
        <v>15</v>
      </c>
      <c r="S120">
        <v>11</v>
      </c>
      <c r="T120">
        <v>8</v>
      </c>
      <c r="U120">
        <v>15</v>
      </c>
      <c r="V120">
        <v>1</v>
      </c>
      <c r="W120">
        <v>6</v>
      </c>
      <c r="X120">
        <v>23</v>
      </c>
      <c r="Y120">
        <v>1</v>
      </c>
      <c r="Z120">
        <v>1</v>
      </c>
      <c r="AA120">
        <v>0</v>
      </c>
      <c r="AB120">
        <v>6</v>
      </c>
      <c r="AW120">
        <v>0</v>
      </c>
      <c r="AX120">
        <v>4</v>
      </c>
      <c r="AY120">
        <v>100</v>
      </c>
      <c r="AZ120">
        <v>100</v>
      </c>
      <c r="BA120">
        <v>154</v>
      </c>
      <c r="BB120">
        <v>44</v>
      </c>
      <c r="BD120">
        <v>1</v>
      </c>
      <c r="BF120" s="2" t="s">
        <v>214</v>
      </c>
      <c r="BG120" s="1">
        <v>44354.203472222223</v>
      </c>
      <c r="BH120" s="1">
        <v>44354.206226851849</v>
      </c>
      <c r="BI120" s="1">
        <v>44354.206909722219</v>
      </c>
      <c r="BJ120" t="s">
        <v>85</v>
      </c>
      <c r="BK120" t="s">
        <v>86</v>
      </c>
      <c r="BL120" t="s">
        <v>87</v>
      </c>
    </row>
    <row r="121" spans="1:64" x14ac:dyDescent="0.3">
      <c r="A121" t="str">
        <f>"200061E0100"</f>
        <v>200061E0100</v>
      </c>
      <c r="B121" t="str">
        <f>"200061E01003"</f>
        <v>200061E01003</v>
      </c>
      <c r="C121" t="str">
        <f t="shared" si="3"/>
        <v>20</v>
      </c>
      <c r="D121" t="s">
        <v>81</v>
      </c>
      <c r="E121" t="str">
        <f t="shared" si="5"/>
        <v>007</v>
      </c>
      <c r="F121" t="s">
        <v>191</v>
      </c>
      <c r="G121" t="str">
        <f>"0061"</f>
        <v>0061</v>
      </c>
      <c r="H121" t="str">
        <f>"0001"</f>
        <v>0001</v>
      </c>
      <c r="I121" t="s">
        <v>122</v>
      </c>
      <c r="J121">
        <v>0</v>
      </c>
      <c r="K121">
        <v>1</v>
      </c>
      <c r="L121">
        <v>3</v>
      </c>
      <c r="M121">
        <v>173</v>
      </c>
      <c r="N121">
        <v>179</v>
      </c>
      <c r="O121">
        <v>6</v>
      </c>
      <c r="P121">
        <v>179</v>
      </c>
      <c r="Q121">
        <v>10</v>
      </c>
      <c r="R121">
        <v>16</v>
      </c>
      <c r="S121">
        <v>4</v>
      </c>
      <c r="T121">
        <v>10</v>
      </c>
      <c r="U121">
        <v>16</v>
      </c>
      <c r="V121">
        <v>17</v>
      </c>
      <c r="W121">
        <v>49</v>
      </c>
      <c r="X121">
        <v>44</v>
      </c>
      <c r="Y121">
        <v>4</v>
      </c>
      <c r="Z121">
        <v>2</v>
      </c>
      <c r="AA121">
        <v>5</v>
      </c>
      <c r="AB121">
        <v>0</v>
      </c>
      <c r="AW121">
        <v>0</v>
      </c>
      <c r="AX121">
        <v>2</v>
      </c>
      <c r="AY121">
        <v>179</v>
      </c>
      <c r="AZ121">
        <v>179</v>
      </c>
      <c r="BA121">
        <v>308</v>
      </c>
      <c r="BB121">
        <v>44</v>
      </c>
      <c r="BD121">
        <v>1</v>
      </c>
      <c r="BF121" t="s">
        <v>215</v>
      </c>
      <c r="BG121" s="1">
        <v>44353.882303240738</v>
      </c>
      <c r="BH121" s="1">
        <v>44353.915381944447</v>
      </c>
      <c r="BI121" s="1">
        <v>44353.915682870371</v>
      </c>
      <c r="BJ121" t="s">
        <v>197</v>
      </c>
      <c r="BK121" t="s">
        <v>198</v>
      </c>
      <c r="BL121" t="s">
        <v>87</v>
      </c>
    </row>
    <row r="122" spans="1:64" x14ac:dyDescent="0.3">
      <c r="A122" t="str">
        <f>"200061E0200"</f>
        <v>200061E0200</v>
      </c>
      <c r="B122" t="str">
        <f>"200061E02003"</f>
        <v>200061E02003</v>
      </c>
      <c r="C122" t="str">
        <f t="shared" si="3"/>
        <v>20</v>
      </c>
      <c r="D122" t="s">
        <v>81</v>
      </c>
      <c r="E122" t="str">
        <f t="shared" si="5"/>
        <v>007</v>
      </c>
      <c r="F122" t="s">
        <v>191</v>
      </c>
      <c r="G122" t="str">
        <f>"0061"</f>
        <v>0061</v>
      </c>
      <c r="H122" t="str">
        <f>"0002"</f>
        <v>0002</v>
      </c>
      <c r="I122" t="s">
        <v>122</v>
      </c>
      <c r="J122">
        <v>0</v>
      </c>
      <c r="K122">
        <v>1</v>
      </c>
      <c r="L122">
        <v>3</v>
      </c>
      <c r="M122">
        <v>141</v>
      </c>
      <c r="N122">
        <v>167</v>
      </c>
      <c r="O122">
        <v>5</v>
      </c>
      <c r="P122">
        <v>169</v>
      </c>
      <c r="Q122">
        <v>16</v>
      </c>
      <c r="R122">
        <v>12</v>
      </c>
      <c r="S122">
        <v>20</v>
      </c>
      <c r="T122">
        <v>13</v>
      </c>
      <c r="U122">
        <v>18</v>
      </c>
      <c r="V122">
        <v>4</v>
      </c>
      <c r="W122">
        <v>28</v>
      </c>
      <c r="X122">
        <v>27</v>
      </c>
      <c r="Y122">
        <v>0</v>
      </c>
      <c r="Z122">
        <v>4</v>
      </c>
      <c r="AA122">
        <v>11</v>
      </c>
      <c r="AB122">
        <v>7</v>
      </c>
      <c r="AW122">
        <v>0</v>
      </c>
      <c r="AX122">
        <v>9</v>
      </c>
      <c r="AY122">
        <v>169</v>
      </c>
      <c r="AZ122">
        <v>169</v>
      </c>
      <c r="BA122">
        <v>266</v>
      </c>
      <c r="BB122">
        <v>44</v>
      </c>
      <c r="BD122">
        <v>1</v>
      </c>
      <c r="BF122" t="s">
        <v>216</v>
      </c>
      <c r="BG122" s="1">
        <v>44354.20416666667</v>
      </c>
      <c r="BH122" s="1">
        <v>44354.20721064815</v>
      </c>
      <c r="BI122" s="1">
        <v>44354.207951388889</v>
      </c>
      <c r="BJ122" t="s">
        <v>85</v>
      </c>
      <c r="BK122" t="s">
        <v>86</v>
      </c>
      <c r="BL122" t="s">
        <v>87</v>
      </c>
    </row>
    <row r="123" spans="1:64" x14ac:dyDescent="0.3">
      <c r="A123" t="str">
        <f>"200062B0000"</f>
        <v>200062B0000</v>
      </c>
      <c r="B123" t="str">
        <f>"200062B00003"</f>
        <v>200062B00003</v>
      </c>
      <c r="C123" t="str">
        <f t="shared" si="3"/>
        <v>20</v>
      </c>
      <c r="D123" t="s">
        <v>81</v>
      </c>
      <c r="E123" t="str">
        <f t="shared" si="5"/>
        <v>007</v>
      </c>
      <c r="F123" t="s">
        <v>191</v>
      </c>
      <c r="G123" t="str">
        <f>"0062"</f>
        <v>0062</v>
      </c>
      <c r="H123" t="str">
        <f>"0000"</f>
        <v>0000</v>
      </c>
      <c r="I123" t="s">
        <v>83</v>
      </c>
      <c r="J123">
        <v>0</v>
      </c>
      <c r="K123">
        <v>1</v>
      </c>
      <c r="L123">
        <v>3</v>
      </c>
      <c r="M123">
        <v>109</v>
      </c>
      <c r="N123">
        <v>122</v>
      </c>
      <c r="O123">
        <v>4</v>
      </c>
      <c r="P123">
        <v>122</v>
      </c>
      <c r="Q123">
        <v>12</v>
      </c>
      <c r="R123">
        <v>1</v>
      </c>
      <c r="S123">
        <v>5</v>
      </c>
      <c r="T123">
        <v>6</v>
      </c>
      <c r="U123">
        <v>21</v>
      </c>
      <c r="V123">
        <v>21</v>
      </c>
      <c r="W123">
        <v>22</v>
      </c>
      <c r="X123">
        <v>22</v>
      </c>
      <c r="Y123">
        <v>0</v>
      </c>
      <c r="Z123">
        <v>0</v>
      </c>
      <c r="AA123">
        <v>2</v>
      </c>
      <c r="AB123">
        <v>6</v>
      </c>
      <c r="AW123">
        <v>1</v>
      </c>
      <c r="AX123">
        <v>3</v>
      </c>
      <c r="AY123">
        <v>122</v>
      </c>
      <c r="AZ123">
        <v>122</v>
      </c>
      <c r="BA123">
        <v>187</v>
      </c>
      <c r="BB123">
        <v>44</v>
      </c>
      <c r="BD123">
        <v>1</v>
      </c>
      <c r="BF123" t="s">
        <v>217</v>
      </c>
      <c r="BG123" s="1">
        <v>44354.109722222223</v>
      </c>
      <c r="BH123" s="1">
        <v>44354.114722222221</v>
      </c>
      <c r="BI123" s="1">
        <v>44354.115324074075</v>
      </c>
      <c r="BJ123" t="s">
        <v>85</v>
      </c>
      <c r="BK123" t="s">
        <v>86</v>
      </c>
      <c r="BL123" t="s">
        <v>87</v>
      </c>
    </row>
    <row r="124" spans="1:64" x14ac:dyDescent="0.3">
      <c r="A124" t="str">
        <f>"200062E0100"</f>
        <v>200062E0100</v>
      </c>
      <c r="B124" t="str">
        <f>"200062E01003"</f>
        <v>200062E01003</v>
      </c>
      <c r="C124" t="str">
        <f t="shared" si="3"/>
        <v>20</v>
      </c>
      <c r="D124" t="s">
        <v>81</v>
      </c>
      <c r="E124" t="str">
        <f t="shared" si="5"/>
        <v>007</v>
      </c>
      <c r="F124" t="s">
        <v>191</v>
      </c>
      <c r="G124" t="str">
        <f>"0062"</f>
        <v>0062</v>
      </c>
      <c r="H124" t="str">
        <f>"0001"</f>
        <v>0001</v>
      </c>
      <c r="I124" t="s">
        <v>122</v>
      </c>
      <c r="J124">
        <v>0</v>
      </c>
      <c r="K124">
        <v>1</v>
      </c>
      <c r="L124">
        <v>3</v>
      </c>
      <c r="M124">
        <v>123</v>
      </c>
      <c r="N124">
        <v>271</v>
      </c>
      <c r="O124">
        <v>3</v>
      </c>
      <c r="P124">
        <v>271</v>
      </c>
      <c r="Q124">
        <v>22</v>
      </c>
      <c r="R124">
        <v>18</v>
      </c>
      <c r="S124">
        <v>4</v>
      </c>
      <c r="T124">
        <v>10</v>
      </c>
      <c r="U124">
        <v>117</v>
      </c>
      <c r="V124">
        <v>7</v>
      </c>
      <c r="W124">
        <v>16</v>
      </c>
      <c r="X124">
        <v>10</v>
      </c>
      <c r="Y124">
        <v>16</v>
      </c>
      <c r="Z124">
        <v>0</v>
      </c>
      <c r="AA124">
        <v>8</v>
      </c>
      <c r="AB124">
        <v>34</v>
      </c>
      <c r="AW124">
        <v>0</v>
      </c>
      <c r="AX124">
        <v>9</v>
      </c>
      <c r="AY124">
        <v>271</v>
      </c>
      <c r="AZ124">
        <v>271</v>
      </c>
      <c r="BA124">
        <v>350</v>
      </c>
      <c r="BB124">
        <v>44</v>
      </c>
      <c r="BD124">
        <v>1</v>
      </c>
      <c r="BF124" t="s">
        <v>218</v>
      </c>
      <c r="BG124" s="1">
        <v>44353.990694444445</v>
      </c>
      <c r="BH124" s="1">
        <v>44353.993854166663</v>
      </c>
      <c r="BI124" s="1">
        <v>44353.994560185187</v>
      </c>
      <c r="BJ124" t="s">
        <v>197</v>
      </c>
      <c r="BK124" t="s">
        <v>198</v>
      </c>
      <c r="BL124" t="s">
        <v>87</v>
      </c>
    </row>
    <row r="125" spans="1:64" x14ac:dyDescent="0.3">
      <c r="A125" t="str">
        <f>"200063B0000"</f>
        <v>200063B0000</v>
      </c>
      <c r="B125" t="str">
        <f>"200063B00003"</f>
        <v>200063B00003</v>
      </c>
      <c r="C125" t="str">
        <f t="shared" si="3"/>
        <v>20</v>
      </c>
      <c r="D125" t="s">
        <v>81</v>
      </c>
      <c r="E125" t="str">
        <f t="shared" si="5"/>
        <v>007</v>
      </c>
      <c r="F125" t="s">
        <v>191</v>
      </c>
      <c r="G125" t="str">
        <f>"0063"</f>
        <v>0063</v>
      </c>
      <c r="H125" t="str">
        <f>"0000"</f>
        <v>0000</v>
      </c>
      <c r="I125" t="s">
        <v>83</v>
      </c>
      <c r="J125">
        <v>0</v>
      </c>
      <c r="K125">
        <v>1</v>
      </c>
      <c r="L125">
        <v>3</v>
      </c>
      <c r="M125">
        <v>230</v>
      </c>
      <c r="N125">
        <v>300</v>
      </c>
      <c r="O125">
        <v>8</v>
      </c>
      <c r="P125">
        <v>300</v>
      </c>
      <c r="Q125">
        <v>40</v>
      </c>
      <c r="R125">
        <v>24</v>
      </c>
      <c r="S125">
        <v>9</v>
      </c>
      <c r="T125">
        <v>30</v>
      </c>
      <c r="U125">
        <v>19</v>
      </c>
      <c r="V125">
        <v>11</v>
      </c>
      <c r="W125">
        <v>54</v>
      </c>
      <c r="X125">
        <v>55</v>
      </c>
      <c r="Y125">
        <v>9</v>
      </c>
      <c r="Z125">
        <v>3</v>
      </c>
      <c r="AA125">
        <v>21</v>
      </c>
      <c r="AB125">
        <v>15</v>
      </c>
      <c r="AW125">
        <v>0</v>
      </c>
      <c r="AX125">
        <v>10</v>
      </c>
      <c r="AY125">
        <v>300</v>
      </c>
      <c r="AZ125">
        <v>300</v>
      </c>
      <c r="BA125">
        <v>486</v>
      </c>
      <c r="BB125">
        <v>44</v>
      </c>
      <c r="BD125">
        <v>1</v>
      </c>
      <c r="BF125" t="s">
        <v>219</v>
      </c>
      <c r="BG125" s="1">
        <v>44353.895219907405</v>
      </c>
      <c r="BH125" s="1">
        <v>44354.024965277778</v>
      </c>
      <c r="BI125" s="1">
        <v>44354.02547453704</v>
      </c>
      <c r="BJ125" t="s">
        <v>197</v>
      </c>
      <c r="BK125" t="s">
        <v>198</v>
      </c>
      <c r="BL125" t="s">
        <v>87</v>
      </c>
    </row>
    <row r="126" spans="1:64" x14ac:dyDescent="0.3">
      <c r="A126" t="str">
        <f>"200064B0000"</f>
        <v>200064B0000</v>
      </c>
      <c r="B126" t="str">
        <f>"200064B00003"</f>
        <v>200064B00003</v>
      </c>
      <c r="C126" t="str">
        <f t="shared" si="3"/>
        <v>20</v>
      </c>
      <c r="D126" t="s">
        <v>81</v>
      </c>
      <c r="E126" t="str">
        <f t="shared" si="5"/>
        <v>007</v>
      </c>
      <c r="F126" t="s">
        <v>191</v>
      </c>
      <c r="G126" t="str">
        <f>"0064"</f>
        <v>0064</v>
      </c>
      <c r="H126" t="str">
        <f>"0000"</f>
        <v>0000</v>
      </c>
      <c r="I126" t="s">
        <v>83</v>
      </c>
      <c r="J126">
        <v>0</v>
      </c>
      <c r="K126">
        <v>1</v>
      </c>
      <c r="L126">
        <v>3</v>
      </c>
      <c r="M126">
        <v>190</v>
      </c>
      <c r="N126">
        <v>292</v>
      </c>
      <c r="O126">
        <v>1</v>
      </c>
      <c r="P126">
        <v>292</v>
      </c>
      <c r="Q126">
        <v>11</v>
      </c>
      <c r="R126">
        <v>29</v>
      </c>
      <c r="S126">
        <v>6</v>
      </c>
      <c r="T126">
        <v>73</v>
      </c>
      <c r="U126">
        <v>14</v>
      </c>
      <c r="V126">
        <v>9</v>
      </c>
      <c r="W126">
        <v>94</v>
      </c>
      <c r="X126">
        <v>25</v>
      </c>
      <c r="Y126">
        <v>8</v>
      </c>
      <c r="Z126">
        <v>0</v>
      </c>
      <c r="AA126">
        <v>6</v>
      </c>
      <c r="AB126">
        <v>13</v>
      </c>
      <c r="AW126">
        <v>0</v>
      </c>
      <c r="AX126">
        <v>9</v>
      </c>
      <c r="AY126">
        <v>292</v>
      </c>
      <c r="AZ126">
        <v>297</v>
      </c>
      <c r="BA126">
        <v>438</v>
      </c>
      <c r="BB126">
        <v>44</v>
      </c>
      <c r="BD126">
        <v>1</v>
      </c>
      <c r="BF126" t="s">
        <v>220</v>
      </c>
      <c r="BG126" s="1">
        <v>44354.145138888889</v>
      </c>
      <c r="BH126" s="1">
        <v>44354.148842592593</v>
      </c>
      <c r="BI126" s="1">
        <v>44354.149606481478</v>
      </c>
      <c r="BJ126" t="s">
        <v>85</v>
      </c>
      <c r="BK126" t="s">
        <v>86</v>
      </c>
      <c r="BL126" t="s">
        <v>87</v>
      </c>
    </row>
    <row r="127" spans="1:64" x14ac:dyDescent="0.3">
      <c r="A127" t="str">
        <f>"200065B0000"</f>
        <v>200065B0000</v>
      </c>
      <c r="B127" t="str">
        <f>"200065B00003"</f>
        <v>200065B00003</v>
      </c>
      <c r="C127" t="str">
        <f t="shared" si="3"/>
        <v>20</v>
      </c>
      <c r="D127" t="s">
        <v>81</v>
      </c>
      <c r="E127" t="str">
        <f>"008"</f>
        <v>008</v>
      </c>
      <c r="F127" t="s">
        <v>221</v>
      </c>
      <c r="G127" t="str">
        <f>"0065"</f>
        <v>0065</v>
      </c>
      <c r="H127" t="str">
        <f>"0000"</f>
        <v>0000</v>
      </c>
      <c r="I127" t="s">
        <v>83</v>
      </c>
      <c r="J127">
        <v>0</v>
      </c>
      <c r="K127">
        <v>1</v>
      </c>
      <c r="L127">
        <v>3</v>
      </c>
      <c r="M127">
        <v>216</v>
      </c>
      <c r="N127">
        <v>358</v>
      </c>
      <c r="O127">
        <v>0</v>
      </c>
      <c r="P127">
        <v>359</v>
      </c>
      <c r="Q127">
        <v>8</v>
      </c>
      <c r="R127">
        <v>3</v>
      </c>
      <c r="S127">
        <v>1</v>
      </c>
      <c r="T127">
        <v>71</v>
      </c>
      <c r="U127">
        <v>27</v>
      </c>
      <c r="X127">
        <v>37</v>
      </c>
      <c r="Y127">
        <v>52</v>
      </c>
      <c r="Z127">
        <v>0</v>
      </c>
      <c r="AB127">
        <v>137</v>
      </c>
      <c r="AK127">
        <v>0</v>
      </c>
      <c r="AO127">
        <v>0</v>
      </c>
      <c r="AP127">
        <v>0</v>
      </c>
      <c r="AR127">
        <v>0</v>
      </c>
      <c r="AW127">
        <v>0</v>
      </c>
      <c r="AX127">
        <v>23</v>
      </c>
      <c r="AY127">
        <v>359</v>
      </c>
      <c r="AZ127">
        <v>359</v>
      </c>
      <c r="BA127">
        <v>530</v>
      </c>
      <c r="BB127">
        <v>44</v>
      </c>
      <c r="BD127">
        <v>1</v>
      </c>
      <c r="BF127" t="s">
        <v>222</v>
      </c>
      <c r="BG127" s="1">
        <v>44353.946226851855</v>
      </c>
      <c r="BH127" s="1">
        <v>44353.948564814818</v>
      </c>
      <c r="BI127" s="1">
        <v>44353.949131944442</v>
      </c>
      <c r="BJ127" t="s">
        <v>197</v>
      </c>
      <c r="BK127" t="s">
        <v>198</v>
      </c>
      <c r="BL127" t="s">
        <v>87</v>
      </c>
    </row>
    <row r="128" spans="1:64" x14ac:dyDescent="0.3">
      <c r="A128" t="str">
        <f>"200065C0100"</f>
        <v>200065C0100</v>
      </c>
      <c r="B128" t="str">
        <f>"200065C01003"</f>
        <v>200065C01003</v>
      </c>
      <c r="C128" t="str">
        <f t="shared" si="3"/>
        <v>20</v>
      </c>
      <c r="D128" t="s">
        <v>81</v>
      </c>
      <c r="E128" t="str">
        <f>"008"</f>
        <v>008</v>
      </c>
      <c r="F128" t="s">
        <v>221</v>
      </c>
      <c r="G128" t="str">
        <f>"0065"</f>
        <v>0065</v>
      </c>
      <c r="H128" t="str">
        <f>"0001"</f>
        <v>0001</v>
      </c>
      <c r="I128" t="s">
        <v>89</v>
      </c>
      <c r="J128">
        <v>0</v>
      </c>
      <c r="K128">
        <v>1</v>
      </c>
      <c r="L128">
        <v>3</v>
      </c>
      <c r="M128">
        <v>248</v>
      </c>
      <c r="N128">
        <v>574</v>
      </c>
      <c r="O128">
        <v>0</v>
      </c>
      <c r="P128">
        <v>326</v>
      </c>
      <c r="Q128">
        <v>9</v>
      </c>
      <c r="R128">
        <v>5</v>
      </c>
      <c r="S128">
        <v>2</v>
      </c>
      <c r="T128">
        <v>77</v>
      </c>
      <c r="U128">
        <v>22</v>
      </c>
      <c r="X128">
        <v>26</v>
      </c>
      <c r="Y128">
        <v>53</v>
      </c>
      <c r="Z128">
        <v>1</v>
      </c>
      <c r="AB128">
        <v>114</v>
      </c>
      <c r="AK128">
        <v>0</v>
      </c>
      <c r="AO128">
        <v>0</v>
      </c>
      <c r="AP128">
        <v>0</v>
      </c>
      <c r="AR128">
        <v>0</v>
      </c>
      <c r="AW128">
        <v>0</v>
      </c>
      <c r="AX128">
        <v>17</v>
      </c>
      <c r="AY128">
        <v>326</v>
      </c>
      <c r="AZ128">
        <v>326</v>
      </c>
      <c r="BA128">
        <v>530</v>
      </c>
      <c r="BB128">
        <v>44</v>
      </c>
      <c r="BD128">
        <v>1</v>
      </c>
      <c r="BF128" t="s">
        <v>223</v>
      </c>
      <c r="BG128" s="1">
        <v>44354.034583333334</v>
      </c>
      <c r="BH128" s="1">
        <v>44354.041192129633</v>
      </c>
      <c r="BI128" s="1">
        <v>44354.041967592595</v>
      </c>
      <c r="BJ128" t="s">
        <v>197</v>
      </c>
      <c r="BK128" t="s">
        <v>198</v>
      </c>
      <c r="BL128" t="s">
        <v>87</v>
      </c>
    </row>
    <row r="129" spans="1:64" x14ac:dyDescent="0.3">
      <c r="A129" t="str">
        <f>"200066B0000"</f>
        <v>200066B0000</v>
      </c>
      <c r="B129" t="str">
        <f>"200066B00003"</f>
        <v>200066B00003</v>
      </c>
      <c r="C129" t="str">
        <f t="shared" si="3"/>
        <v>20</v>
      </c>
      <c r="D129" t="s">
        <v>81</v>
      </c>
      <c r="E129" t="str">
        <f>"008"</f>
        <v>008</v>
      </c>
      <c r="F129" t="s">
        <v>221</v>
      </c>
      <c r="G129" t="str">
        <f>"0066"</f>
        <v>0066</v>
      </c>
      <c r="H129" t="str">
        <f>"0000"</f>
        <v>0000</v>
      </c>
      <c r="I129" t="s">
        <v>83</v>
      </c>
      <c r="J129">
        <v>0</v>
      </c>
      <c r="K129">
        <v>1</v>
      </c>
      <c r="L129">
        <v>3</v>
      </c>
      <c r="M129">
        <v>209</v>
      </c>
      <c r="N129">
        <v>258</v>
      </c>
      <c r="O129">
        <v>0</v>
      </c>
      <c r="P129">
        <v>258</v>
      </c>
      <c r="Q129">
        <v>8</v>
      </c>
      <c r="R129">
        <v>1</v>
      </c>
      <c r="S129">
        <v>0</v>
      </c>
      <c r="T129">
        <v>62</v>
      </c>
      <c r="U129">
        <v>16</v>
      </c>
      <c r="X129">
        <v>17</v>
      </c>
      <c r="Y129">
        <v>53</v>
      </c>
      <c r="Z129">
        <v>1</v>
      </c>
      <c r="AB129">
        <v>87</v>
      </c>
      <c r="AK129">
        <v>0</v>
      </c>
      <c r="AO129">
        <v>0</v>
      </c>
      <c r="AP129">
        <v>0</v>
      </c>
      <c r="AR129">
        <v>0</v>
      </c>
      <c r="AW129">
        <v>0</v>
      </c>
      <c r="AX129">
        <v>13</v>
      </c>
      <c r="AY129">
        <v>258</v>
      </c>
      <c r="AZ129">
        <v>258</v>
      </c>
      <c r="BA129">
        <v>423</v>
      </c>
      <c r="BB129">
        <v>44</v>
      </c>
      <c r="BD129">
        <v>1</v>
      </c>
      <c r="BF129" t="s">
        <v>224</v>
      </c>
      <c r="BG129" s="1">
        <v>44353.957002314812</v>
      </c>
      <c r="BH129" s="1">
        <v>44353.958738425928</v>
      </c>
      <c r="BI129" s="1">
        <v>44353.959444444445</v>
      </c>
      <c r="BJ129" t="s">
        <v>197</v>
      </c>
      <c r="BK129" t="s">
        <v>198</v>
      </c>
      <c r="BL129" t="s">
        <v>87</v>
      </c>
    </row>
    <row r="130" spans="1:64" x14ac:dyDescent="0.3">
      <c r="A130" t="str">
        <f>"200066C0100"</f>
        <v>200066C0100</v>
      </c>
      <c r="B130" t="str">
        <f>"200066C01003"</f>
        <v>200066C01003</v>
      </c>
      <c r="C130" t="str">
        <f t="shared" si="3"/>
        <v>20</v>
      </c>
      <c r="D130" t="s">
        <v>81</v>
      </c>
      <c r="E130" t="str">
        <f>"008"</f>
        <v>008</v>
      </c>
      <c r="F130" t="s">
        <v>221</v>
      </c>
      <c r="G130" t="str">
        <f>"0066"</f>
        <v>0066</v>
      </c>
      <c r="H130" t="str">
        <f>"0001"</f>
        <v>0001</v>
      </c>
      <c r="I130" t="s">
        <v>89</v>
      </c>
      <c r="J130">
        <v>0</v>
      </c>
      <c r="K130">
        <v>1</v>
      </c>
      <c r="L130">
        <v>3</v>
      </c>
      <c r="M130">
        <v>217</v>
      </c>
      <c r="N130">
        <v>249</v>
      </c>
      <c r="O130">
        <v>0</v>
      </c>
      <c r="P130">
        <v>249</v>
      </c>
      <c r="Q130">
        <v>11</v>
      </c>
      <c r="R130">
        <v>0</v>
      </c>
      <c r="S130">
        <v>0</v>
      </c>
      <c r="T130">
        <v>55</v>
      </c>
      <c r="U130">
        <v>25</v>
      </c>
      <c r="X130">
        <v>14</v>
      </c>
      <c r="Y130">
        <v>54</v>
      </c>
      <c r="Z130">
        <v>1</v>
      </c>
      <c r="AB130">
        <v>78</v>
      </c>
      <c r="AK130">
        <v>0</v>
      </c>
      <c r="AO130">
        <v>0</v>
      </c>
      <c r="AP130">
        <v>0</v>
      </c>
      <c r="AR130">
        <v>0</v>
      </c>
      <c r="AW130">
        <v>0</v>
      </c>
      <c r="AX130">
        <v>11</v>
      </c>
      <c r="AY130">
        <v>249</v>
      </c>
      <c r="AZ130">
        <v>249</v>
      </c>
      <c r="BA130">
        <v>422</v>
      </c>
      <c r="BB130">
        <v>44</v>
      </c>
      <c r="BD130">
        <v>1</v>
      </c>
      <c r="BF130" t="s">
        <v>225</v>
      </c>
      <c r="BG130" s="1">
        <v>44353.959861111114</v>
      </c>
      <c r="BH130" s="1">
        <v>44353.961180555554</v>
      </c>
      <c r="BI130" s="1">
        <v>44353.962094907409</v>
      </c>
      <c r="BJ130" t="s">
        <v>197</v>
      </c>
      <c r="BK130" t="s">
        <v>198</v>
      </c>
      <c r="BL130" t="s">
        <v>87</v>
      </c>
    </row>
    <row r="131" spans="1:64" x14ac:dyDescent="0.3">
      <c r="A131" t="str">
        <f>"200067B0000"</f>
        <v>200067B0000</v>
      </c>
      <c r="B131" t="str">
        <f>"200067B00003"</f>
        <v>200067B00003</v>
      </c>
      <c r="C131" t="str">
        <f t="shared" si="3"/>
        <v>20</v>
      </c>
      <c r="D131" t="s">
        <v>81</v>
      </c>
      <c r="E131" t="str">
        <f>"008"</f>
        <v>008</v>
      </c>
      <c r="F131" t="s">
        <v>221</v>
      </c>
      <c r="G131" t="str">
        <f>"0067"</f>
        <v>0067</v>
      </c>
      <c r="H131" t="str">
        <f>"0000"</f>
        <v>0000</v>
      </c>
      <c r="I131" t="s">
        <v>83</v>
      </c>
      <c r="J131">
        <v>0</v>
      </c>
      <c r="K131">
        <v>1</v>
      </c>
      <c r="L131">
        <v>3</v>
      </c>
      <c r="M131">
        <v>301</v>
      </c>
      <c r="N131">
        <v>358</v>
      </c>
      <c r="O131">
        <v>7</v>
      </c>
      <c r="P131">
        <v>358</v>
      </c>
      <c r="Q131">
        <v>21</v>
      </c>
      <c r="R131">
        <v>5</v>
      </c>
      <c r="S131">
        <v>1</v>
      </c>
      <c r="T131">
        <v>81</v>
      </c>
      <c r="U131">
        <v>37</v>
      </c>
      <c r="X131">
        <v>45</v>
      </c>
      <c r="Y131">
        <v>42</v>
      </c>
      <c r="Z131">
        <v>7</v>
      </c>
      <c r="AB131">
        <v>104</v>
      </c>
      <c r="AK131">
        <v>0</v>
      </c>
      <c r="AO131">
        <v>0</v>
      </c>
      <c r="AP131">
        <v>0</v>
      </c>
      <c r="AR131">
        <v>0</v>
      </c>
      <c r="AW131">
        <v>0</v>
      </c>
      <c r="AX131">
        <v>18</v>
      </c>
      <c r="AY131">
        <v>358</v>
      </c>
      <c r="AZ131">
        <v>361</v>
      </c>
      <c r="BA131">
        <v>615</v>
      </c>
      <c r="BB131">
        <v>44</v>
      </c>
      <c r="BD131">
        <v>1</v>
      </c>
      <c r="BF131" t="s">
        <v>226</v>
      </c>
      <c r="BG131" s="1">
        <v>44353.953703703701</v>
      </c>
      <c r="BH131" s="1">
        <v>44353.95484953704</v>
      </c>
      <c r="BI131" s="1">
        <v>44353.955625000002</v>
      </c>
      <c r="BJ131" t="s">
        <v>197</v>
      </c>
      <c r="BK131" t="s">
        <v>198</v>
      </c>
      <c r="BL131" t="s">
        <v>87</v>
      </c>
    </row>
    <row r="132" spans="1:64" x14ac:dyDescent="0.3">
      <c r="A132" t="str">
        <f>"200074B0000"</f>
        <v>200074B0000</v>
      </c>
      <c r="B132" t="str">
        <f>"200074B00003"</f>
        <v>200074B00003</v>
      </c>
      <c r="C132" t="str">
        <f t="shared" si="3"/>
        <v>20</v>
      </c>
      <c r="D132" t="s">
        <v>81</v>
      </c>
      <c r="E132" t="str">
        <f t="shared" ref="E132:E139" si="6">"011"</f>
        <v>011</v>
      </c>
      <c r="F132" t="s">
        <v>227</v>
      </c>
      <c r="G132" t="str">
        <f>"0074"</f>
        <v>0074</v>
      </c>
      <c r="H132" t="str">
        <f>"0000"</f>
        <v>0000</v>
      </c>
      <c r="I132" t="s">
        <v>83</v>
      </c>
      <c r="J132">
        <v>0</v>
      </c>
      <c r="K132">
        <v>1</v>
      </c>
      <c r="L132">
        <v>3</v>
      </c>
      <c r="M132">
        <v>237</v>
      </c>
      <c r="N132">
        <v>380</v>
      </c>
      <c r="O132">
        <v>0</v>
      </c>
      <c r="P132">
        <v>382</v>
      </c>
      <c r="Q132">
        <v>3</v>
      </c>
      <c r="R132">
        <v>63</v>
      </c>
      <c r="S132">
        <v>10</v>
      </c>
      <c r="T132">
        <v>3</v>
      </c>
      <c r="U132">
        <v>29</v>
      </c>
      <c r="W132">
        <v>0</v>
      </c>
      <c r="X132">
        <v>129</v>
      </c>
      <c r="Y132">
        <v>11</v>
      </c>
      <c r="Z132">
        <v>108</v>
      </c>
      <c r="AA132">
        <v>2</v>
      </c>
      <c r="AB132">
        <v>0</v>
      </c>
      <c r="AF132">
        <v>11</v>
      </c>
      <c r="AG132">
        <v>2</v>
      </c>
      <c r="AH132">
        <v>1</v>
      </c>
      <c r="AI132">
        <v>0</v>
      </c>
      <c r="AU132">
        <v>0</v>
      </c>
      <c r="AW132">
        <v>0</v>
      </c>
      <c r="AX132">
        <v>10</v>
      </c>
      <c r="AY132">
        <v>382</v>
      </c>
      <c r="AZ132">
        <v>382</v>
      </c>
      <c r="BA132">
        <v>573</v>
      </c>
      <c r="BB132">
        <v>44</v>
      </c>
      <c r="BD132">
        <v>1</v>
      </c>
      <c r="BF132" t="s">
        <v>228</v>
      </c>
      <c r="BG132" s="1">
        <v>44354.101388888892</v>
      </c>
      <c r="BH132" s="1">
        <v>44354.114236111112</v>
      </c>
      <c r="BI132" s="1">
        <v>44354.114837962959</v>
      </c>
      <c r="BJ132" t="s">
        <v>85</v>
      </c>
      <c r="BK132" t="s">
        <v>86</v>
      </c>
      <c r="BL132" t="s">
        <v>87</v>
      </c>
    </row>
    <row r="133" spans="1:64" x14ac:dyDescent="0.3">
      <c r="A133" t="str">
        <f>"200074C0100"</f>
        <v>200074C0100</v>
      </c>
      <c r="B133" t="str">
        <f>"200074C01003"</f>
        <v>200074C01003</v>
      </c>
      <c r="C133" t="str">
        <f t="shared" si="3"/>
        <v>20</v>
      </c>
      <c r="D133" t="s">
        <v>81</v>
      </c>
      <c r="E133" t="str">
        <f t="shared" si="6"/>
        <v>011</v>
      </c>
      <c r="F133" t="s">
        <v>227</v>
      </c>
      <c r="G133" t="str">
        <f>"0074"</f>
        <v>0074</v>
      </c>
      <c r="H133" t="str">
        <f>"0001"</f>
        <v>0001</v>
      </c>
      <c r="I133" t="s">
        <v>89</v>
      </c>
      <c r="J133">
        <v>0</v>
      </c>
      <c r="K133">
        <v>1</v>
      </c>
      <c r="L133">
        <v>3</v>
      </c>
      <c r="M133">
        <v>189</v>
      </c>
      <c r="N133">
        <v>428</v>
      </c>
      <c r="O133">
        <v>7</v>
      </c>
      <c r="P133">
        <v>425</v>
      </c>
      <c r="Q133">
        <v>3</v>
      </c>
      <c r="R133">
        <v>100</v>
      </c>
      <c r="S133">
        <v>6</v>
      </c>
      <c r="T133">
        <v>0</v>
      </c>
      <c r="U133">
        <v>22</v>
      </c>
      <c r="W133">
        <v>0</v>
      </c>
      <c r="X133">
        <v>187</v>
      </c>
      <c r="Y133">
        <v>9</v>
      </c>
      <c r="Z133">
        <v>74</v>
      </c>
      <c r="AA133">
        <v>2</v>
      </c>
      <c r="AB133">
        <v>1</v>
      </c>
      <c r="AF133">
        <v>7</v>
      </c>
      <c r="AG133">
        <v>0</v>
      </c>
      <c r="AH133">
        <v>0</v>
      </c>
      <c r="AI133">
        <v>1</v>
      </c>
      <c r="AU133">
        <v>0</v>
      </c>
      <c r="AW133">
        <v>0</v>
      </c>
      <c r="AX133">
        <v>13</v>
      </c>
      <c r="AY133">
        <v>425</v>
      </c>
      <c r="AZ133">
        <v>425</v>
      </c>
      <c r="BA133">
        <v>572</v>
      </c>
      <c r="BB133">
        <v>44</v>
      </c>
      <c r="BD133">
        <v>1</v>
      </c>
      <c r="BF133" t="s">
        <v>229</v>
      </c>
      <c r="BG133" s="1">
        <v>44354.097222222219</v>
      </c>
      <c r="BH133" s="1">
        <v>44354.102094907408</v>
      </c>
      <c r="BI133" s="1">
        <v>44354.102476851855</v>
      </c>
      <c r="BJ133" t="s">
        <v>85</v>
      </c>
      <c r="BK133" t="s">
        <v>86</v>
      </c>
      <c r="BL133" t="s">
        <v>87</v>
      </c>
    </row>
    <row r="134" spans="1:64" x14ac:dyDescent="0.3">
      <c r="A134" t="str">
        <f>"200074C0200"</f>
        <v>200074C0200</v>
      </c>
      <c r="B134" t="str">
        <f>"200074C02003"</f>
        <v>200074C02003</v>
      </c>
      <c r="C134" t="str">
        <f t="shared" si="3"/>
        <v>20</v>
      </c>
      <c r="D134" t="s">
        <v>81</v>
      </c>
      <c r="E134" t="str">
        <f t="shared" si="6"/>
        <v>011</v>
      </c>
      <c r="F134" t="s">
        <v>227</v>
      </c>
      <c r="G134" t="str">
        <f>"0074"</f>
        <v>0074</v>
      </c>
      <c r="H134" t="str">
        <f>"0002"</f>
        <v>0002</v>
      </c>
      <c r="I134" t="s">
        <v>89</v>
      </c>
      <c r="J134">
        <v>0</v>
      </c>
      <c r="K134">
        <v>1</v>
      </c>
      <c r="L134">
        <v>3</v>
      </c>
      <c r="M134">
        <v>225</v>
      </c>
      <c r="N134">
        <v>391</v>
      </c>
      <c r="O134">
        <v>0</v>
      </c>
      <c r="P134">
        <v>391</v>
      </c>
      <c r="Q134">
        <v>7</v>
      </c>
      <c r="R134">
        <v>85</v>
      </c>
      <c r="S134">
        <v>11</v>
      </c>
      <c r="T134">
        <v>3</v>
      </c>
      <c r="U134">
        <v>27</v>
      </c>
      <c r="W134">
        <v>0</v>
      </c>
      <c r="X134">
        <v>132</v>
      </c>
      <c r="Y134">
        <v>27</v>
      </c>
      <c r="Z134">
        <v>69</v>
      </c>
      <c r="AA134">
        <v>0</v>
      </c>
      <c r="AB134">
        <v>2</v>
      </c>
      <c r="AF134">
        <v>11</v>
      </c>
      <c r="AG134">
        <v>1</v>
      </c>
      <c r="AH134">
        <v>0</v>
      </c>
      <c r="AI134">
        <v>1</v>
      </c>
      <c r="AU134">
        <v>2</v>
      </c>
      <c r="AW134">
        <v>0</v>
      </c>
      <c r="AX134">
        <v>12</v>
      </c>
      <c r="AY134">
        <v>391</v>
      </c>
      <c r="AZ134">
        <v>390</v>
      </c>
      <c r="BA134">
        <v>572</v>
      </c>
      <c r="BB134">
        <v>44</v>
      </c>
      <c r="BD134">
        <v>1</v>
      </c>
      <c r="BF134" t="s">
        <v>230</v>
      </c>
      <c r="BG134" s="1">
        <v>44354.099305555559</v>
      </c>
      <c r="BH134" s="1">
        <v>44354.103715277779</v>
      </c>
      <c r="BI134" s="1">
        <v>44354.104710648149</v>
      </c>
      <c r="BJ134" t="s">
        <v>85</v>
      </c>
      <c r="BK134" t="s">
        <v>86</v>
      </c>
      <c r="BL134" t="s">
        <v>87</v>
      </c>
    </row>
    <row r="135" spans="1:64" x14ac:dyDescent="0.3">
      <c r="A135" t="str">
        <f>"200075B0000"</f>
        <v>200075B0000</v>
      </c>
      <c r="B135" t="str">
        <f>"200075B00003"</f>
        <v>200075B00003</v>
      </c>
      <c r="C135" t="str">
        <f t="shared" ref="C135:C198" si="7">"20"</f>
        <v>20</v>
      </c>
      <c r="D135" t="s">
        <v>81</v>
      </c>
      <c r="E135" t="str">
        <f t="shared" si="6"/>
        <v>011</v>
      </c>
      <c r="F135" t="s">
        <v>227</v>
      </c>
      <c r="G135" t="str">
        <f>"0075"</f>
        <v>0075</v>
      </c>
      <c r="H135" t="str">
        <f>"0000"</f>
        <v>0000</v>
      </c>
      <c r="I135" t="s">
        <v>83</v>
      </c>
      <c r="J135">
        <v>0</v>
      </c>
      <c r="K135">
        <v>1</v>
      </c>
      <c r="L135">
        <v>3</v>
      </c>
      <c r="M135">
        <v>269</v>
      </c>
      <c r="N135">
        <v>505</v>
      </c>
      <c r="O135">
        <v>7</v>
      </c>
      <c r="P135">
        <v>505</v>
      </c>
      <c r="Q135">
        <v>3</v>
      </c>
      <c r="R135">
        <v>104</v>
      </c>
      <c r="S135">
        <v>15</v>
      </c>
      <c r="T135">
        <v>3</v>
      </c>
      <c r="U135">
        <v>67</v>
      </c>
      <c r="W135">
        <v>1</v>
      </c>
      <c r="X135">
        <v>183</v>
      </c>
      <c r="Y135">
        <v>10</v>
      </c>
      <c r="Z135">
        <v>86</v>
      </c>
      <c r="AA135">
        <v>2</v>
      </c>
      <c r="AB135">
        <v>4</v>
      </c>
      <c r="AF135">
        <v>7</v>
      </c>
      <c r="AG135">
        <v>2</v>
      </c>
      <c r="AH135">
        <v>0</v>
      </c>
      <c r="AI135">
        <v>4</v>
      </c>
      <c r="AU135">
        <v>3</v>
      </c>
      <c r="AW135">
        <v>0</v>
      </c>
      <c r="AX135">
        <v>11</v>
      </c>
      <c r="AY135">
        <v>505</v>
      </c>
      <c r="AZ135">
        <v>505</v>
      </c>
      <c r="BA135">
        <v>730</v>
      </c>
      <c r="BB135">
        <v>44</v>
      </c>
      <c r="BD135">
        <v>1</v>
      </c>
      <c r="BF135" t="s">
        <v>231</v>
      </c>
      <c r="BG135" s="1">
        <v>44354.047222222223</v>
      </c>
      <c r="BH135" s="1">
        <v>44354.060312499998</v>
      </c>
      <c r="BI135" s="1">
        <v>44354.060798611114</v>
      </c>
      <c r="BJ135" t="s">
        <v>85</v>
      </c>
      <c r="BK135" t="s">
        <v>86</v>
      </c>
      <c r="BL135" t="s">
        <v>87</v>
      </c>
    </row>
    <row r="136" spans="1:64" x14ac:dyDescent="0.3">
      <c r="A136" t="str">
        <f>"200075C0100"</f>
        <v>200075C0100</v>
      </c>
      <c r="B136" t="str">
        <f>"200075C01003"</f>
        <v>200075C01003</v>
      </c>
      <c r="C136" t="str">
        <f t="shared" si="7"/>
        <v>20</v>
      </c>
      <c r="D136" t="s">
        <v>81</v>
      </c>
      <c r="E136" t="str">
        <f t="shared" si="6"/>
        <v>011</v>
      </c>
      <c r="F136" t="s">
        <v>227</v>
      </c>
      <c r="G136" t="str">
        <f>"0075"</f>
        <v>0075</v>
      </c>
      <c r="H136" t="str">
        <f>"0001"</f>
        <v>0001</v>
      </c>
      <c r="I136" t="s">
        <v>89</v>
      </c>
      <c r="J136">
        <v>0</v>
      </c>
      <c r="K136">
        <v>1</v>
      </c>
      <c r="L136">
        <v>3</v>
      </c>
      <c r="M136">
        <v>273</v>
      </c>
      <c r="N136">
        <v>500</v>
      </c>
      <c r="O136">
        <v>5</v>
      </c>
      <c r="P136">
        <v>500</v>
      </c>
      <c r="Q136">
        <v>3</v>
      </c>
      <c r="R136">
        <v>84</v>
      </c>
      <c r="S136">
        <v>13</v>
      </c>
      <c r="T136">
        <v>2</v>
      </c>
      <c r="U136">
        <v>82</v>
      </c>
      <c r="W136">
        <v>2</v>
      </c>
      <c r="X136">
        <v>176</v>
      </c>
      <c r="Y136">
        <v>11</v>
      </c>
      <c r="Z136">
        <v>99</v>
      </c>
      <c r="AA136">
        <v>1</v>
      </c>
      <c r="AB136">
        <v>0</v>
      </c>
      <c r="AF136">
        <v>6</v>
      </c>
      <c r="AG136">
        <v>0</v>
      </c>
      <c r="AH136">
        <v>1</v>
      </c>
      <c r="AI136">
        <v>0</v>
      </c>
      <c r="AU136">
        <v>3</v>
      </c>
      <c r="AW136">
        <v>0</v>
      </c>
      <c r="AX136">
        <v>17</v>
      </c>
      <c r="AY136">
        <v>500</v>
      </c>
      <c r="AZ136">
        <v>500</v>
      </c>
      <c r="BA136">
        <v>729</v>
      </c>
      <c r="BB136">
        <v>44</v>
      </c>
      <c r="BD136">
        <v>1</v>
      </c>
      <c r="BF136" t="s">
        <v>232</v>
      </c>
      <c r="BG136" s="1">
        <v>44354.047222222223</v>
      </c>
      <c r="BH136" s="1">
        <v>44354.061215277776</v>
      </c>
      <c r="BI136" s="1">
        <v>44354.061909722222</v>
      </c>
      <c r="BJ136" t="s">
        <v>85</v>
      </c>
      <c r="BK136" t="s">
        <v>86</v>
      </c>
      <c r="BL136" t="s">
        <v>87</v>
      </c>
    </row>
    <row r="137" spans="1:64" x14ac:dyDescent="0.3">
      <c r="A137" t="str">
        <f>"200075E0100"</f>
        <v>200075E0100</v>
      </c>
      <c r="B137" t="str">
        <f>"200075E01003"</f>
        <v>200075E01003</v>
      </c>
      <c r="C137" t="str">
        <f t="shared" si="7"/>
        <v>20</v>
      </c>
      <c r="D137" t="s">
        <v>81</v>
      </c>
      <c r="E137" t="str">
        <f t="shared" si="6"/>
        <v>011</v>
      </c>
      <c r="F137" t="s">
        <v>227</v>
      </c>
      <c r="G137" t="str">
        <f>"0075"</f>
        <v>0075</v>
      </c>
      <c r="H137" t="str">
        <f>"0001"</f>
        <v>0001</v>
      </c>
      <c r="I137" t="s">
        <v>122</v>
      </c>
      <c r="J137">
        <v>0</v>
      </c>
      <c r="K137">
        <v>1</v>
      </c>
      <c r="L137">
        <v>3</v>
      </c>
      <c r="M137">
        <v>193</v>
      </c>
      <c r="N137">
        <v>215</v>
      </c>
      <c r="O137">
        <v>3</v>
      </c>
      <c r="P137">
        <v>215</v>
      </c>
      <c r="Q137">
        <v>0</v>
      </c>
      <c r="R137">
        <v>46</v>
      </c>
      <c r="S137">
        <v>1</v>
      </c>
      <c r="T137">
        <v>0</v>
      </c>
      <c r="U137">
        <v>22</v>
      </c>
      <c r="W137">
        <v>0</v>
      </c>
      <c r="X137">
        <v>20</v>
      </c>
      <c r="Y137">
        <v>3</v>
      </c>
      <c r="Z137">
        <v>107</v>
      </c>
      <c r="AA137">
        <v>3</v>
      </c>
      <c r="AB137">
        <v>0</v>
      </c>
      <c r="AF137">
        <v>4</v>
      </c>
      <c r="AG137">
        <v>0</v>
      </c>
      <c r="AH137">
        <v>0</v>
      </c>
      <c r="AI137">
        <v>0</v>
      </c>
      <c r="AU137">
        <v>1</v>
      </c>
      <c r="AW137">
        <v>0</v>
      </c>
      <c r="AX137">
        <v>8</v>
      </c>
      <c r="AY137">
        <v>215</v>
      </c>
      <c r="AZ137">
        <v>215</v>
      </c>
      <c r="BA137">
        <v>364</v>
      </c>
      <c r="BB137">
        <v>44</v>
      </c>
      <c r="BD137">
        <v>1</v>
      </c>
      <c r="BF137" t="s">
        <v>233</v>
      </c>
      <c r="BG137" s="1">
        <v>44354.054166666669</v>
      </c>
      <c r="BH137" s="1">
        <v>44354.070833333331</v>
      </c>
      <c r="BI137" s="1">
        <v>44354.071377314816</v>
      </c>
      <c r="BJ137" t="s">
        <v>85</v>
      </c>
      <c r="BK137" t="s">
        <v>86</v>
      </c>
      <c r="BL137" t="s">
        <v>87</v>
      </c>
    </row>
    <row r="138" spans="1:64" x14ac:dyDescent="0.3">
      <c r="A138" t="str">
        <f>"200075E0200"</f>
        <v>200075E0200</v>
      </c>
      <c r="B138" t="str">
        <f>"200075E02003"</f>
        <v>200075E02003</v>
      </c>
      <c r="C138" t="str">
        <f t="shared" si="7"/>
        <v>20</v>
      </c>
      <c r="D138" t="s">
        <v>81</v>
      </c>
      <c r="E138" t="str">
        <f t="shared" si="6"/>
        <v>011</v>
      </c>
      <c r="F138" t="s">
        <v>227</v>
      </c>
      <c r="G138" t="str">
        <f>"0075"</f>
        <v>0075</v>
      </c>
      <c r="H138" t="str">
        <f>"0002"</f>
        <v>0002</v>
      </c>
      <c r="I138" t="s">
        <v>122</v>
      </c>
      <c r="J138">
        <v>0</v>
      </c>
      <c r="K138">
        <v>1</v>
      </c>
      <c r="L138">
        <v>3</v>
      </c>
      <c r="M138">
        <v>126</v>
      </c>
      <c r="N138">
        <v>193</v>
      </c>
      <c r="O138">
        <v>11</v>
      </c>
      <c r="P138">
        <v>193</v>
      </c>
      <c r="Q138">
        <v>0</v>
      </c>
      <c r="R138">
        <v>30</v>
      </c>
      <c r="S138">
        <v>14</v>
      </c>
      <c r="T138">
        <v>1</v>
      </c>
      <c r="U138">
        <v>32</v>
      </c>
      <c r="W138">
        <v>0</v>
      </c>
      <c r="X138">
        <v>27</v>
      </c>
      <c r="Y138">
        <v>6</v>
      </c>
      <c r="Z138">
        <v>68</v>
      </c>
      <c r="AA138">
        <v>3</v>
      </c>
      <c r="AB138">
        <v>0</v>
      </c>
      <c r="AF138">
        <v>2</v>
      </c>
      <c r="AG138">
        <v>0</v>
      </c>
      <c r="AH138">
        <v>0</v>
      </c>
      <c r="AI138">
        <v>2</v>
      </c>
      <c r="AU138">
        <v>0</v>
      </c>
      <c r="AW138">
        <v>0</v>
      </c>
      <c r="AX138">
        <v>8</v>
      </c>
      <c r="AY138">
        <v>193</v>
      </c>
      <c r="AZ138">
        <v>193</v>
      </c>
      <c r="BA138">
        <v>275</v>
      </c>
      <c r="BB138">
        <v>44</v>
      </c>
      <c r="BD138">
        <v>1</v>
      </c>
      <c r="BF138" t="s">
        <v>234</v>
      </c>
      <c r="BG138" s="1">
        <v>44354.056944444441</v>
      </c>
      <c r="BH138" s="1">
        <v>44354.094652777778</v>
      </c>
      <c r="BI138" s="1">
        <v>44354.095057870371</v>
      </c>
      <c r="BJ138" t="s">
        <v>85</v>
      </c>
      <c r="BK138" t="s">
        <v>86</v>
      </c>
      <c r="BL138" t="s">
        <v>87</v>
      </c>
    </row>
    <row r="139" spans="1:64" x14ac:dyDescent="0.3">
      <c r="A139" t="str">
        <f>"200075E0300"</f>
        <v>200075E0300</v>
      </c>
      <c r="B139" t="str">
        <f>"200075E03003"</f>
        <v>200075E03003</v>
      </c>
      <c r="C139" t="str">
        <f t="shared" si="7"/>
        <v>20</v>
      </c>
      <c r="D139" t="s">
        <v>81</v>
      </c>
      <c r="E139" t="str">
        <f t="shared" si="6"/>
        <v>011</v>
      </c>
      <c r="F139" t="s">
        <v>227</v>
      </c>
      <c r="G139" t="str">
        <f>"0075"</f>
        <v>0075</v>
      </c>
      <c r="H139" t="str">
        <f>"0003"</f>
        <v>0003</v>
      </c>
      <c r="I139" t="s">
        <v>122</v>
      </c>
      <c r="J139">
        <v>0</v>
      </c>
      <c r="K139">
        <v>1</v>
      </c>
      <c r="L139">
        <v>3</v>
      </c>
      <c r="M139">
        <v>98</v>
      </c>
      <c r="N139">
        <v>225</v>
      </c>
      <c r="O139">
        <v>11</v>
      </c>
      <c r="P139">
        <v>225</v>
      </c>
      <c r="Q139">
        <v>2</v>
      </c>
      <c r="R139">
        <v>49</v>
      </c>
      <c r="S139">
        <v>0</v>
      </c>
      <c r="T139">
        <v>2</v>
      </c>
      <c r="U139">
        <v>45</v>
      </c>
      <c r="W139">
        <v>0</v>
      </c>
      <c r="X139">
        <v>17</v>
      </c>
      <c r="Y139">
        <v>6</v>
      </c>
      <c r="Z139">
        <v>72</v>
      </c>
      <c r="AA139">
        <v>0</v>
      </c>
      <c r="AB139">
        <v>15</v>
      </c>
      <c r="AF139">
        <v>3</v>
      </c>
      <c r="AG139">
        <v>1</v>
      </c>
      <c r="AH139">
        <v>0</v>
      </c>
      <c r="AI139">
        <v>0</v>
      </c>
      <c r="AU139">
        <v>0</v>
      </c>
      <c r="AW139">
        <v>0</v>
      </c>
      <c r="AX139">
        <v>13</v>
      </c>
      <c r="AY139">
        <v>225</v>
      </c>
      <c r="AZ139">
        <v>225</v>
      </c>
      <c r="BA139">
        <v>279</v>
      </c>
      <c r="BB139">
        <v>44</v>
      </c>
      <c r="BD139">
        <v>1</v>
      </c>
      <c r="BF139" t="s">
        <v>235</v>
      </c>
      <c r="BG139" s="1">
        <v>44354.059027777781</v>
      </c>
      <c r="BH139" s="1">
        <v>44354.095011574071</v>
      </c>
      <c r="BI139" s="1">
        <v>44354.095416666663</v>
      </c>
      <c r="BJ139" t="s">
        <v>85</v>
      </c>
      <c r="BK139" t="s">
        <v>86</v>
      </c>
      <c r="BL139" t="s">
        <v>87</v>
      </c>
    </row>
    <row r="140" spans="1:64" x14ac:dyDescent="0.3">
      <c r="A140" t="str">
        <f>"200077B0000"</f>
        <v>200077B0000</v>
      </c>
      <c r="B140" t="str">
        <f>"200077B00003"</f>
        <v>200077B00003</v>
      </c>
      <c r="C140" t="str">
        <f t="shared" si="7"/>
        <v>20</v>
      </c>
      <c r="D140" t="s">
        <v>81</v>
      </c>
      <c r="E140" t="str">
        <f t="shared" ref="E140:E161" si="8">"012"</f>
        <v>012</v>
      </c>
      <c r="F140" t="s">
        <v>236</v>
      </c>
      <c r="G140" t="str">
        <f>"0077"</f>
        <v>0077</v>
      </c>
      <c r="H140" t="str">
        <f>"0000"</f>
        <v>0000</v>
      </c>
      <c r="I140" t="s">
        <v>83</v>
      </c>
      <c r="J140">
        <v>0</v>
      </c>
      <c r="K140">
        <v>1</v>
      </c>
      <c r="L140">
        <v>3</v>
      </c>
      <c r="M140">
        <v>240</v>
      </c>
      <c r="N140">
        <v>526</v>
      </c>
      <c r="O140">
        <v>2</v>
      </c>
      <c r="P140">
        <v>526</v>
      </c>
      <c r="Q140">
        <v>12</v>
      </c>
      <c r="R140">
        <v>177</v>
      </c>
      <c r="S140">
        <v>0</v>
      </c>
      <c r="T140">
        <v>1</v>
      </c>
      <c r="U140">
        <v>0</v>
      </c>
      <c r="X140">
        <v>306</v>
      </c>
      <c r="Y140">
        <v>1</v>
      </c>
      <c r="Z140">
        <v>0</v>
      </c>
      <c r="AB140">
        <v>14</v>
      </c>
      <c r="AF140">
        <v>4</v>
      </c>
      <c r="AG140">
        <v>2</v>
      </c>
      <c r="AH140">
        <v>0</v>
      </c>
      <c r="AI140">
        <v>1</v>
      </c>
      <c r="AU140">
        <v>0</v>
      </c>
      <c r="AW140">
        <v>0</v>
      </c>
      <c r="AX140">
        <v>8</v>
      </c>
      <c r="AY140">
        <v>526</v>
      </c>
      <c r="AZ140">
        <v>526</v>
      </c>
      <c r="BA140">
        <v>722</v>
      </c>
      <c r="BB140">
        <v>44</v>
      </c>
      <c r="BD140">
        <v>1</v>
      </c>
      <c r="BF140" t="s">
        <v>237</v>
      </c>
      <c r="BG140" s="1">
        <v>44353.980555555558</v>
      </c>
      <c r="BH140" s="1">
        <v>44354</v>
      </c>
      <c r="BI140" s="1">
        <v>44354.000474537039</v>
      </c>
      <c r="BJ140" t="s">
        <v>85</v>
      </c>
      <c r="BK140" t="s">
        <v>86</v>
      </c>
      <c r="BL140" t="s">
        <v>87</v>
      </c>
    </row>
    <row r="141" spans="1:64" x14ac:dyDescent="0.3">
      <c r="A141" t="str">
        <f>"200077C0100"</f>
        <v>200077C0100</v>
      </c>
      <c r="B141" t="str">
        <f>"200077C01003"</f>
        <v>200077C01003</v>
      </c>
      <c r="C141" t="str">
        <f t="shared" si="7"/>
        <v>20</v>
      </c>
      <c r="D141" t="s">
        <v>81</v>
      </c>
      <c r="E141" t="str">
        <f t="shared" si="8"/>
        <v>012</v>
      </c>
      <c r="F141" t="s">
        <v>236</v>
      </c>
      <c r="G141" t="str">
        <f>"0077"</f>
        <v>0077</v>
      </c>
      <c r="H141" t="str">
        <f>"0001"</f>
        <v>0001</v>
      </c>
      <c r="I141" t="s">
        <v>89</v>
      </c>
      <c r="J141">
        <v>0</v>
      </c>
      <c r="K141">
        <v>1</v>
      </c>
      <c r="L141">
        <v>3</v>
      </c>
      <c r="M141">
        <v>252</v>
      </c>
      <c r="N141">
        <v>513</v>
      </c>
      <c r="O141">
        <v>1</v>
      </c>
      <c r="P141">
        <v>513</v>
      </c>
      <c r="Q141">
        <v>11</v>
      </c>
      <c r="R141">
        <v>189</v>
      </c>
      <c r="S141">
        <v>1</v>
      </c>
      <c r="T141">
        <v>0</v>
      </c>
      <c r="U141">
        <v>2</v>
      </c>
      <c r="X141">
        <v>285</v>
      </c>
      <c r="Y141">
        <v>1</v>
      </c>
      <c r="Z141">
        <v>2</v>
      </c>
      <c r="AB141">
        <v>10</v>
      </c>
      <c r="AF141">
        <v>5</v>
      </c>
      <c r="AG141">
        <v>3</v>
      </c>
      <c r="AH141">
        <v>0</v>
      </c>
      <c r="AI141">
        <v>0</v>
      </c>
      <c r="AU141">
        <v>0</v>
      </c>
      <c r="AW141">
        <v>0</v>
      </c>
      <c r="AX141">
        <v>4</v>
      </c>
      <c r="AY141">
        <v>513</v>
      </c>
      <c r="AZ141">
        <v>513</v>
      </c>
      <c r="BA141">
        <v>721</v>
      </c>
      <c r="BB141">
        <v>44</v>
      </c>
      <c r="BD141">
        <v>1</v>
      </c>
      <c r="BF141" s="2" t="s">
        <v>238</v>
      </c>
      <c r="BG141" s="1">
        <v>44353.979166666664</v>
      </c>
      <c r="BH141" s="1">
        <v>44353.998692129629</v>
      </c>
      <c r="BI141" s="1">
        <v>44353.999351851853</v>
      </c>
      <c r="BJ141" t="s">
        <v>85</v>
      </c>
      <c r="BK141" t="s">
        <v>86</v>
      </c>
      <c r="BL141" t="s">
        <v>87</v>
      </c>
    </row>
    <row r="142" spans="1:64" x14ac:dyDescent="0.3">
      <c r="A142" t="str">
        <f>"200077C0200"</f>
        <v>200077C0200</v>
      </c>
      <c r="B142" t="str">
        <f>"200077C02003"</f>
        <v>200077C02003</v>
      </c>
      <c r="C142" t="str">
        <f t="shared" si="7"/>
        <v>20</v>
      </c>
      <c r="D142" t="s">
        <v>81</v>
      </c>
      <c r="E142" t="str">
        <f t="shared" si="8"/>
        <v>012</v>
      </c>
      <c r="F142" t="s">
        <v>236</v>
      </c>
      <c r="G142" t="str">
        <f>"0077"</f>
        <v>0077</v>
      </c>
      <c r="H142" t="str">
        <f>"0002"</f>
        <v>0002</v>
      </c>
      <c r="I142" t="s">
        <v>89</v>
      </c>
      <c r="J142">
        <v>0</v>
      </c>
      <c r="K142">
        <v>1</v>
      </c>
      <c r="L142">
        <v>3</v>
      </c>
      <c r="M142">
        <v>258</v>
      </c>
      <c r="N142">
        <v>507</v>
      </c>
      <c r="O142">
        <v>0</v>
      </c>
      <c r="P142">
        <v>506</v>
      </c>
      <c r="Q142">
        <v>5</v>
      </c>
      <c r="R142">
        <v>148</v>
      </c>
      <c r="S142">
        <v>1</v>
      </c>
      <c r="T142">
        <v>2</v>
      </c>
      <c r="U142">
        <v>2</v>
      </c>
      <c r="X142">
        <v>328</v>
      </c>
      <c r="Y142">
        <v>0</v>
      </c>
      <c r="Z142">
        <v>1</v>
      </c>
      <c r="AB142">
        <v>9</v>
      </c>
      <c r="AF142">
        <v>3</v>
      </c>
      <c r="AG142">
        <v>2</v>
      </c>
      <c r="AH142">
        <v>0</v>
      </c>
      <c r="AI142">
        <v>0</v>
      </c>
      <c r="AU142">
        <v>0</v>
      </c>
      <c r="AW142">
        <v>0</v>
      </c>
      <c r="AX142">
        <v>5</v>
      </c>
      <c r="AY142">
        <v>506</v>
      </c>
      <c r="AZ142">
        <v>506</v>
      </c>
      <c r="BA142">
        <v>721</v>
      </c>
      <c r="BB142">
        <v>44</v>
      </c>
      <c r="BD142">
        <v>1</v>
      </c>
      <c r="BF142" s="2" t="s">
        <v>239</v>
      </c>
      <c r="BG142" s="1">
        <v>44353.979166666664</v>
      </c>
      <c r="BH142" s="1">
        <v>44354.000833333332</v>
      </c>
      <c r="BI142" s="1">
        <v>44354.001944444448</v>
      </c>
      <c r="BJ142" t="s">
        <v>85</v>
      </c>
      <c r="BK142" t="s">
        <v>86</v>
      </c>
      <c r="BL142" t="s">
        <v>87</v>
      </c>
    </row>
    <row r="143" spans="1:64" x14ac:dyDescent="0.3">
      <c r="A143" t="str">
        <f>"200078B0000"</f>
        <v>200078B0000</v>
      </c>
      <c r="B143" t="str">
        <f>"200078B00003"</f>
        <v>200078B00003</v>
      </c>
      <c r="C143" t="str">
        <f t="shared" si="7"/>
        <v>20</v>
      </c>
      <c r="D143" t="s">
        <v>81</v>
      </c>
      <c r="E143" t="str">
        <f t="shared" si="8"/>
        <v>012</v>
      </c>
      <c r="F143" t="s">
        <v>236</v>
      </c>
      <c r="G143" t="str">
        <f>"0078"</f>
        <v>0078</v>
      </c>
      <c r="H143" t="str">
        <f>"0000"</f>
        <v>0000</v>
      </c>
      <c r="I143" t="s">
        <v>83</v>
      </c>
      <c r="J143">
        <v>0</v>
      </c>
      <c r="K143">
        <v>1</v>
      </c>
      <c r="L143">
        <v>3</v>
      </c>
      <c r="M143">
        <v>137</v>
      </c>
      <c r="N143">
        <v>373</v>
      </c>
      <c r="O143">
        <v>1</v>
      </c>
      <c r="P143">
        <v>373</v>
      </c>
      <c r="Q143">
        <v>15</v>
      </c>
      <c r="R143">
        <v>148</v>
      </c>
      <c r="S143">
        <v>0</v>
      </c>
      <c r="T143">
        <v>0</v>
      </c>
      <c r="U143">
        <v>0</v>
      </c>
      <c r="X143">
        <v>199</v>
      </c>
      <c r="Y143">
        <v>0</v>
      </c>
      <c r="Z143">
        <v>1</v>
      </c>
      <c r="AB143">
        <v>1</v>
      </c>
      <c r="AF143">
        <v>3</v>
      </c>
      <c r="AG143">
        <v>2</v>
      </c>
      <c r="AH143">
        <v>0</v>
      </c>
      <c r="AI143">
        <v>0</v>
      </c>
      <c r="AU143">
        <v>0</v>
      </c>
      <c r="AW143">
        <v>0</v>
      </c>
      <c r="AX143">
        <v>4</v>
      </c>
      <c r="AY143">
        <v>373</v>
      </c>
      <c r="AZ143">
        <v>373</v>
      </c>
      <c r="BA143">
        <v>466</v>
      </c>
      <c r="BB143">
        <v>44</v>
      </c>
      <c r="BD143">
        <v>1</v>
      </c>
      <c r="BF143" t="s">
        <v>240</v>
      </c>
      <c r="BG143" s="1">
        <v>44353.959722222222</v>
      </c>
      <c r="BH143" s="1">
        <v>44353.974062499998</v>
      </c>
      <c r="BI143" s="1">
        <v>44353.97457175926</v>
      </c>
      <c r="BJ143" t="s">
        <v>85</v>
      </c>
      <c r="BK143" t="s">
        <v>86</v>
      </c>
      <c r="BL143" t="s">
        <v>87</v>
      </c>
    </row>
    <row r="144" spans="1:64" x14ac:dyDescent="0.3">
      <c r="A144" t="str">
        <f>"200078C0100"</f>
        <v>200078C0100</v>
      </c>
      <c r="B144" t="str">
        <f>"200078C01003"</f>
        <v>200078C01003</v>
      </c>
      <c r="C144" t="str">
        <f t="shared" si="7"/>
        <v>20</v>
      </c>
      <c r="D144" t="s">
        <v>81</v>
      </c>
      <c r="E144" t="str">
        <f t="shared" si="8"/>
        <v>012</v>
      </c>
      <c r="F144" t="s">
        <v>236</v>
      </c>
      <c r="G144" t="str">
        <f>"0078"</f>
        <v>0078</v>
      </c>
      <c r="H144" t="str">
        <f>"0001"</f>
        <v>0001</v>
      </c>
      <c r="I144" t="s">
        <v>89</v>
      </c>
      <c r="J144">
        <v>0</v>
      </c>
      <c r="K144">
        <v>1</v>
      </c>
      <c r="L144">
        <v>3</v>
      </c>
      <c r="M144">
        <v>141</v>
      </c>
      <c r="N144">
        <v>369</v>
      </c>
      <c r="O144">
        <v>4</v>
      </c>
      <c r="P144">
        <v>369</v>
      </c>
      <c r="Q144">
        <v>10</v>
      </c>
      <c r="R144">
        <v>147</v>
      </c>
      <c r="S144">
        <v>3</v>
      </c>
      <c r="T144">
        <v>0</v>
      </c>
      <c r="U144">
        <v>2</v>
      </c>
      <c r="X144">
        <v>185</v>
      </c>
      <c r="Y144">
        <v>1</v>
      </c>
      <c r="Z144">
        <v>2</v>
      </c>
      <c r="AB144">
        <v>7</v>
      </c>
      <c r="AF144">
        <v>3</v>
      </c>
      <c r="AG144">
        <v>3</v>
      </c>
      <c r="AH144">
        <v>0</v>
      </c>
      <c r="AI144">
        <v>0</v>
      </c>
      <c r="AU144">
        <v>0</v>
      </c>
      <c r="AW144">
        <v>0</v>
      </c>
      <c r="AX144">
        <v>6</v>
      </c>
      <c r="AY144">
        <v>366</v>
      </c>
      <c r="AZ144">
        <v>369</v>
      </c>
      <c r="BA144">
        <v>466</v>
      </c>
      <c r="BB144">
        <v>44</v>
      </c>
      <c r="BD144">
        <v>1</v>
      </c>
      <c r="BF144" t="s">
        <v>241</v>
      </c>
      <c r="BG144" s="1">
        <v>44353.959722222222</v>
      </c>
      <c r="BH144" s="1">
        <v>44353.97384259259</v>
      </c>
      <c r="BI144" s="1">
        <v>44353.974641203706</v>
      </c>
      <c r="BJ144" t="s">
        <v>85</v>
      </c>
      <c r="BK144" t="s">
        <v>86</v>
      </c>
      <c r="BL144" t="s">
        <v>87</v>
      </c>
    </row>
    <row r="145" spans="1:64" x14ac:dyDescent="0.3">
      <c r="A145" t="str">
        <f>"200079B0000"</f>
        <v>200079B0000</v>
      </c>
      <c r="B145" t="str">
        <f>"200079B00003"</f>
        <v>200079B00003</v>
      </c>
      <c r="C145" t="str">
        <f t="shared" si="7"/>
        <v>20</v>
      </c>
      <c r="D145" t="s">
        <v>81</v>
      </c>
      <c r="E145" t="str">
        <f t="shared" si="8"/>
        <v>012</v>
      </c>
      <c r="F145" t="s">
        <v>236</v>
      </c>
      <c r="G145" t="str">
        <f>"0079"</f>
        <v>0079</v>
      </c>
      <c r="H145" t="str">
        <f>"0000"</f>
        <v>0000</v>
      </c>
      <c r="I145" t="s">
        <v>83</v>
      </c>
      <c r="J145">
        <v>0</v>
      </c>
      <c r="K145">
        <v>1</v>
      </c>
      <c r="L145">
        <v>3</v>
      </c>
      <c r="BA145">
        <v>603</v>
      </c>
      <c r="BB145">
        <v>44</v>
      </c>
      <c r="BC145" t="s">
        <v>161</v>
      </c>
      <c r="BD145">
        <v>0</v>
      </c>
      <c r="BF145" t="s">
        <v>242</v>
      </c>
      <c r="BG145" s="1">
        <v>44354.070138888892</v>
      </c>
      <c r="BH145" s="1">
        <v>44354.114050925928</v>
      </c>
      <c r="BI145" s="1">
        <v>44354.114050925928</v>
      </c>
      <c r="BJ145" t="s">
        <v>85</v>
      </c>
      <c r="BK145" t="s">
        <v>86</v>
      </c>
      <c r="BL145" t="s">
        <v>87</v>
      </c>
    </row>
    <row r="146" spans="1:64" x14ac:dyDescent="0.3">
      <c r="A146" t="str">
        <f>"200079C0100"</f>
        <v>200079C0100</v>
      </c>
      <c r="B146" t="str">
        <f>"200079C01003"</f>
        <v>200079C01003</v>
      </c>
      <c r="C146" t="str">
        <f t="shared" si="7"/>
        <v>20</v>
      </c>
      <c r="D146" t="s">
        <v>81</v>
      </c>
      <c r="E146" t="str">
        <f t="shared" si="8"/>
        <v>012</v>
      </c>
      <c r="F146" t="s">
        <v>236</v>
      </c>
      <c r="G146" t="str">
        <f>"0079"</f>
        <v>0079</v>
      </c>
      <c r="H146" t="str">
        <f>"0001"</f>
        <v>0001</v>
      </c>
      <c r="I146" t="s">
        <v>89</v>
      </c>
      <c r="J146">
        <v>0</v>
      </c>
      <c r="K146">
        <v>1</v>
      </c>
      <c r="L146">
        <v>3</v>
      </c>
      <c r="BA146">
        <v>602</v>
      </c>
      <c r="BB146">
        <v>44</v>
      </c>
      <c r="BC146" t="s">
        <v>161</v>
      </c>
      <c r="BD146">
        <v>0</v>
      </c>
      <c r="BF146" t="s">
        <v>243</v>
      </c>
      <c r="BG146" s="1">
        <v>44354.070138888892</v>
      </c>
      <c r="BH146" s="1">
        <v>44354.114293981482</v>
      </c>
      <c r="BI146" s="1">
        <v>44354.114293981482</v>
      </c>
      <c r="BJ146" t="s">
        <v>85</v>
      </c>
      <c r="BK146" t="s">
        <v>86</v>
      </c>
      <c r="BL146" t="s">
        <v>87</v>
      </c>
    </row>
    <row r="147" spans="1:64" x14ac:dyDescent="0.3">
      <c r="A147" t="str">
        <f>"200079C0200"</f>
        <v>200079C0200</v>
      </c>
      <c r="B147" t="str">
        <f>"200079C02003"</f>
        <v>200079C02003</v>
      </c>
      <c r="C147" t="str">
        <f t="shared" si="7"/>
        <v>20</v>
      </c>
      <c r="D147" t="s">
        <v>81</v>
      </c>
      <c r="E147" t="str">
        <f t="shared" si="8"/>
        <v>012</v>
      </c>
      <c r="F147" t="s">
        <v>236</v>
      </c>
      <c r="G147" t="str">
        <f>"0079"</f>
        <v>0079</v>
      </c>
      <c r="H147" t="str">
        <f>"0002"</f>
        <v>0002</v>
      </c>
      <c r="I147" t="s">
        <v>89</v>
      </c>
      <c r="J147">
        <v>0</v>
      </c>
      <c r="K147">
        <v>1</v>
      </c>
      <c r="L147">
        <v>3</v>
      </c>
      <c r="BA147">
        <v>602</v>
      </c>
      <c r="BB147">
        <v>44</v>
      </c>
      <c r="BC147" t="s">
        <v>161</v>
      </c>
      <c r="BD147">
        <v>0</v>
      </c>
      <c r="BF147" t="s">
        <v>244</v>
      </c>
      <c r="BG147" s="1">
        <v>44354.071527777778</v>
      </c>
      <c r="BH147" s="1">
        <v>44354.114502314813</v>
      </c>
      <c r="BI147" s="1">
        <v>44354.114502314813</v>
      </c>
      <c r="BJ147" t="s">
        <v>85</v>
      </c>
      <c r="BK147" t="s">
        <v>86</v>
      </c>
      <c r="BL147" t="s">
        <v>87</v>
      </c>
    </row>
    <row r="148" spans="1:64" x14ac:dyDescent="0.3">
      <c r="A148" t="str">
        <f>"200080B0000"</f>
        <v>200080B0000</v>
      </c>
      <c r="B148" t="str">
        <f>"200080B00003"</f>
        <v>200080B00003</v>
      </c>
      <c r="C148" t="str">
        <f t="shared" si="7"/>
        <v>20</v>
      </c>
      <c r="D148" t="s">
        <v>81</v>
      </c>
      <c r="E148" t="str">
        <f t="shared" si="8"/>
        <v>012</v>
      </c>
      <c r="F148" t="s">
        <v>236</v>
      </c>
      <c r="G148" t="str">
        <f>"0080"</f>
        <v>0080</v>
      </c>
      <c r="H148" t="str">
        <f>"0000"</f>
        <v>0000</v>
      </c>
      <c r="I148" t="s">
        <v>83</v>
      </c>
      <c r="J148">
        <v>0</v>
      </c>
      <c r="K148">
        <v>1</v>
      </c>
      <c r="L148">
        <v>3</v>
      </c>
      <c r="M148">
        <v>234</v>
      </c>
      <c r="N148">
        <v>378</v>
      </c>
      <c r="O148">
        <v>2</v>
      </c>
      <c r="P148">
        <v>378</v>
      </c>
      <c r="Q148">
        <v>9</v>
      </c>
      <c r="R148">
        <v>129</v>
      </c>
      <c r="S148">
        <v>1</v>
      </c>
      <c r="T148">
        <v>2</v>
      </c>
      <c r="U148">
        <v>3</v>
      </c>
      <c r="X148">
        <v>201</v>
      </c>
      <c r="Y148">
        <v>0</v>
      </c>
      <c r="Z148">
        <v>0</v>
      </c>
      <c r="AB148">
        <v>21</v>
      </c>
      <c r="AF148">
        <v>4</v>
      </c>
      <c r="AG148">
        <v>0</v>
      </c>
      <c r="AH148">
        <v>0</v>
      </c>
      <c r="AI148">
        <v>0</v>
      </c>
      <c r="AU148">
        <v>0</v>
      </c>
      <c r="AW148">
        <v>0</v>
      </c>
      <c r="AX148">
        <v>8</v>
      </c>
      <c r="AY148">
        <v>378</v>
      </c>
      <c r="AZ148">
        <v>378</v>
      </c>
      <c r="BA148">
        <v>568</v>
      </c>
      <c r="BB148">
        <v>44</v>
      </c>
      <c r="BD148">
        <v>1</v>
      </c>
      <c r="BF148" t="s">
        <v>245</v>
      </c>
      <c r="BG148" s="1">
        <v>44353.952777777777</v>
      </c>
      <c r="BH148" s="1">
        <v>44353.966192129628</v>
      </c>
      <c r="BI148" s="1">
        <v>44353.966666666667</v>
      </c>
      <c r="BJ148" t="s">
        <v>85</v>
      </c>
      <c r="BK148" t="s">
        <v>86</v>
      </c>
      <c r="BL148" t="s">
        <v>87</v>
      </c>
    </row>
    <row r="149" spans="1:64" x14ac:dyDescent="0.3">
      <c r="A149" t="str">
        <f>"200080C0100"</f>
        <v>200080C0100</v>
      </c>
      <c r="B149" t="str">
        <f>"200080C01003"</f>
        <v>200080C01003</v>
      </c>
      <c r="C149" t="str">
        <f t="shared" si="7"/>
        <v>20</v>
      </c>
      <c r="D149" t="s">
        <v>81</v>
      </c>
      <c r="E149" t="str">
        <f t="shared" si="8"/>
        <v>012</v>
      </c>
      <c r="F149" t="s">
        <v>236</v>
      </c>
      <c r="G149" t="str">
        <f>"0080"</f>
        <v>0080</v>
      </c>
      <c r="H149" t="str">
        <f>"0001"</f>
        <v>0001</v>
      </c>
      <c r="I149" t="s">
        <v>89</v>
      </c>
      <c r="J149">
        <v>0</v>
      </c>
      <c r="K149">
        <v>1</v>
      </c>
      <c r="L149">
        <v>3</v>
      </c>
      <c r="M149">
        <v>230</v>
      </c>
      <c r="N149">
        <v>382</v>
      </c>
      <c r="O149">
        <v>4</v>
      </c>
      <c r="P149">
        <v>382</v>
      </c>
      <c r="Q149">
        <v>6</v>
      </c>
      <c r="R149">
        <v>152</v>
      </c>
      <c r="S149">
        <v>3</v>
      </c>
      <c r="T149">
        <v>2</v>
      </c>
      <c r="U149">
        <v>2</v>
      </c>
      <c r="X149">
        <v>177</v>
      </c>
      <c r="Y149">
        <v>0</v>
      </c>
      <c r="Z149">
        <v>3</v>
      </c>
      <c r="AB149">
        <v>18</v>
      </c>
      <c r="AF149">
        <v>10</v>
      </c>
      <c r="AG149">
        <v>0</v>
      </c>
      <c r="AH149">
        <v>0</v>
      </c>
      <c r="AI149">
        <v>0</v>
      </c>
      <c r="AU149">
        <v>0</v>
      </c>
      <c r="AW149">
        <v>0</v>
      </c>
      <c r="AX149">
        <v>9</v>
      </c>
      <c r="AY149">
        <v>382</v>
      </c>
      <c r="AZ149">
        <v>382</v>
      </c>
      <c r="BA149">
        <v>568</v>
      </c>
      <c r="BB149">
        <v>44</v>
      </c>
      <c r="BD149">
        <v>1</v>
      </c>
      <c r="BF149" t="s">
        <v>246</v>
      </c>
      <c r="BG149" s="1">
        <v>44353.952777777777</v>
      </c>
      <c r="BH149" s="1">
        <v>44353.963460648149</v>
      </c>
      <c r="BI149" s="1">
        <v>44353.964062500003</v>
      </c>
      <c r="BJ149" t="s">
        <v>85</v>
      </c>
      <c r="BK149" t="s">
        <v>86</v>
      </c>
      <c r="BL149" t="s">
        <v>87</v>
      </c>
    </row>
    <row r="150" spans="1:64" x14ac:dyDescent="0.3">
      <c r="A150" t="str">
        <f>"200081B0000"</f>
        <v>200081B0000</v>
      </c>
      <c r="B150" t="str">
        <f>"200081B00003"</f>
        <v>200081B00003</v>
      </c>
      <c r="C150" t="str">
        <f t="shared" si="7"/>
        <v>20</v>
      </c>
      <c r="D150" t="s">
        <v>81</v>
      </c>
      <c r="E150" t="str">
        <f t="shared" si="8"/>
        <v>012</v>
      </c>
      <c r="F150" t="s">
        <v>236</v>
      </c>
      <c r="G150" t="str">
        <f>"0081"</f>
        <v>0081</v>
      </c>
      <c r="H150" t="str">
        <f>"0000"</f>
        <v>0000</v>
      </c>
      <c r="I150" t="s">
        <v>83</v>
      </c>
      <c r="J150">
        <v>0</v>
      </c>
      <c r="K150">
        <v>1</v>
      </c>
      <c r="L150">
        <v>3</v>
      </c>
      <c r="M150">
        <v>84</v>
      </c>
      <c r="N150">
        <v>109</v>
      </c>
      <c r="O150">
        <v>3</v>
      </c>
      <c r="P150" t="s">
        <v>131</v>
      </c>
      <c r="Q150">
        <v>1</v>
      </c>
      <c r="R150">
        <v>48</v>
      </c>
      <c r="S150">
        <v>0</v>
      </c>
      <c r="T150">
        <v>0</v>
      </c>
      <c r="U150">
        <v>1</v>
      </c>
      <c r="X150">
        <v>41</v>
      </c>
      <c r="Y150">
        <v>0</v>
      </c>
      <c r="Z150">
        <v>5</v>
      </c>
      <c r="AB150">
        <v>1</v>
      </c>
      <c r="AF150">
        <v>3</v>
      </c>
      <c r="AG150">
        <v>2</v>
      </c>
      <c r="AH150">
        <v>0</v>
      </c>
      <c r="AI150">
        <v>0</v>
      </c>
      <c r="AU150">
        <v>0</v>
      </c>
      <c r="AW150">
        <v>0</v>
      </c>
      <c r="AX150">
        <v>7</v>
      </c>
      <c r="AY150">
        <v>109</v>
      </c>
      <c r="AZ150">
        <v>109</v>
      </c>
      <c r="BA150">
        <v>149</v>
      </c>
      <c r="BB150">
        <v>44</v>
      </c>
      <c r="BD150">
        <v>1</v>
      </c>
      <c r="BF150" t="s">
        <v>247</v>
      </c>
      <c r="BG150" s="1">
        <v>44354.029166666667</v>
      </c>
      <c r="BH150" s="1">
        <v>44354.040555555555</v>
      </c>
      <c r="BI150" s="1">
        <v>44354.054178240738</v>
      </c>
      <c r="BJ150" t="s">
        <v>85</v>
      </c>
      <c r="BK150" t="s">
        <v>86</v>
      </c>
      <c r="BL150" t="s">
        <v>87</v>
      </c>
    </row>
    <row r="151" spans="1:64" x14ac:dyDescent="0.3">
      <c r="A151" t="str">
        <f>"200082B0000"</f>
        <v>200082B0000</v>
      </c>
      <c r="B151" t="str">
        <f>"200082B00003"</f>
        <v>200082B00003</v>
      </c>
      <c r="C151" t="str">
        <f t="shared" si="7"/>
        <v>20</v>
      </c>
      <c r="D151" t="s">
        <v>81</v>
      </c>
      <c r="E151" t="str">
        <f t="shared" si="8"/>
        <v>012</v>
      </c>
      <c r="F151" t="s">
        <v>236</v>
      </c>
      <c r="G151" t="str">
        <f>"0082"</f>
        <v>0082</v>
      </c>
      <c r="H151" t="str">
        <f>"0000"</f>
        <v>0000</v>
      </c>
      <c r="I151" t="s">
        <v>83</v>
      </c>
      <c r="J151">
        <v>0</v>
      </c>
      <c r="K151">
        <v>1</v>
      </c>
      <c r="L151">
        <v>3</v>
      </c>
      <c r="M151">
        <v>219</v>
      </c>
      <c r="N151">
        <v>335</v>
      </c>
      <c r="O151">
        <v>0</v>
      </c>
      <c r="P151">
        <v>336</v>
      </c>
      <c r="Q151">
        <v>6</v>
      </c>
      <c r="R151">
        <v>103</v>
      </c>
      <c r="S151">
        <v>1</v>
      </c>
      <c r="T151">
        <v>2</v>
      </c>
      <c r="U151">
        <v>3</v>
      </c>
      <c r="X151">
        <v>182</v>
      </c>
      <c r="Y151">
        <v>0</v>
      </c>
      <c r="Z151">
        <v>9</v>
      </c>
      <c r="AB151">
        <v>11</v>
      </c>
      <c r="AF151">
        <v>8</v>
      </c>
      <c r="AG151">
        <v>0</v>
      </c>
      <c r="AH151">
        <v>0</v>
      </c>
      <c r="AI151">
        <v>0</v>
      </c>
      <c r="AU151">
        <v>0</v>
      </c>
      <c r="AW151" t="s">
        <v>95</v>
      </c>
      <c r="AX151">
        <v>11</v>
      </c>
      <c r="AY151">
        <v>336</v>
      </c>
      <c r="AZ151">
        <v>336</v>
      </c>
      <c r="BA151">
        <v>505</v>
      </c>
      <c r="BB151">
        <v>44</v>
      </c>
      <c r="BC151" t="s">
        <v>96</v>
      </c>
      <c r="BD151">
        <v>1</v>
      </c>
      <c r="BF151" t="s">
        <v>248</v>
      </c>
      <c r="BG151" s="1">
        <v>44353.996527777781</v>
      </c>
      <c r="BH151" s="1">
        <v>44354.00880787037</v>
      </c>
      <c r="BI151" s="1">
        <v>44354.009131944447</v>
      </c>
      <c r="BJ151" t="s">
        <v>85</v>
      </c>
      <c r="BK151" t="s">
        <v>86</v>
      </c>
      <c r="BL151" t="s">
        <v>87</v>
      </c>
    </row>
    <row r="152" spans="1:64" x14ac:dyDescent="0.3">
      <c r="A152" t="str">
        <f>"200082C0100"</f>
        <v>200082C0100</v>
      </c>
      <c r="B152" t="str">
        <f>"200082C01003"</f>
        <v>200082C01003</v>
      </c>
      <c r="C152" t="str">
        <f t="shared" si="7"/>
        <v>20</v>
      </c>
      <c r="D152" t="s">
        <v>81</v>
      </c>
      <c r="E152" t="str">
        <f t="shared" si="8"/>
        <v>012</v>
      </c>
      <c r="F152" t="s">
        <v>236</v>
      </c>
      <c r="G152" t="str">
        <f>"0082"</f>
        <v>0082</v>
      </c>
      <c r="H152" t="str">
        <f>"0001"</f>
        <v>0001</v>
      </c>
      <c r="I152" t="s">
        <v>89</v>
      </c>
      <c r="J152">
        <v>0</v>
      </c>
      <c r="K152">
        <v>1</v>
      </c>
      <c r="L152">
        <v>3</v>
      </c>
      <c r="M152">
        <v>317</v>
      </c>
      <c r="N152">
        <v>322</v>
      </c>
      <c r="O152">
        <v>0</v>
      </c>
      <c r="P152">
        <v>322</v>
      </c>
      <c r="Q152">
        <v>0</v>
      </c>
      <c r="R152">
        <v>116</v>
      </c>
      <c r="S152">
        <v>3</v>
      </c>
      <c r="T152">
        <v>1</v>
      </c>
      <c r="U152">
        <v>0</v>
      </c>
      <c r="X152">
        <v>177</v>
      </c>
      <c r="Y152">
        <v>1</v>
      </c>
      <c r="Z152">
        <v>1</v>
      </c>
      <c r="AB152">
        <v>15</v>
      </c>
      <c r="AF152">
        <v>0</v>
      </c>
      <c r="AG152">
        <v>0</v>
      </c>
      <c r="AH152">
        <v>0</v>
      </c>
      <c r="AI152">
        <v>0</v>
      </c>
      <c r="AU152">
        <v>0</v>
      </c>
      <c r="AW152">
        <v>0</v>
      </c>
      <c r="AX152">
        <v>8</v>
      </c>
      <c r="AY152" t="s">
        <v>95</v>
      </c>
      <c r="AZ152">
        <v>322</v>
      </c>
      <c r="BA152">
        <v>504</v>
      </c>
      <c r="BB152">
        <v>44</v>
      </c>
      <c r="BD152">
        <v>1</v>
      </c>
      <c r="BF152" t="s">
        <v>249</v>
      </c>
      <c r="BG152" s="1">
        <v>44353.996527777781</v>
      </c>
      <c r="BH152" s="1">
        <v>44354.029456018521</v>
      </c>
      <c r="BI152" s="1">
        <v>44354.02988425926</v>
      </c>
      <c r="BJ152" t="s">
        <v>85</v>
      </c>
      <c r="BK152" t="s">
        <v>86</v>
      </c>
      <c r="BL152" t="s">
        <v>87</v>
      </c>
    </row>
    <row r="153" spans="1:64" x14ac:dyDescent="0.3">
      <c r="A153" t="str">
        <f>"200083B0000"</f>
        <v>200083B0000</v>
      </c>
      <c r="B153" t="str">
        <f>"200083B00003"</f>
        <v>200083B00003</v>
      </c>
      <c r="C153" t="str">
        <f t="shared" si="7"/>
        <v>20</v>
      </c>
      <c r="D153" t="s">
        <v>81</v>
      </c>
      <c r="E153" t="str">
        <f t="shared" si="8"/>
        <v>012</v>
      </c>
      <c r="F153" t="s">
        <v>236</v>
      </c>
      <c r="G153" t="str">
        <f>"0083"</f>
        <v>0083</v>
      </c>
      <c r="H153" t="str">
        <f>"0000"</f>
        <v>0000</v>
      </c>
      <c r="I153" t="s">
        <v>83</v>
      </c>
      <c r="J153">
        <v>0</v>
      </c>
      <c r="K153">
        <v>1</v>
      </c>
      <c r="L153">
        <v>3</v>
      </c>
      <c r="M153">
        <v>163</v>
      </c>
      <c r="N153">
        <v>326</v>
      </c>
      <c r="O153">
        <v>1</v>
      </c>
      <c r="P153">
        <v>326</v>
      </c>
      <c r="Q153">
        <v>3</v>
      </c>
      <c r="R153">
        <v>101</v>
      </c>
      <c r="S153">
        <v>0</v>
      </c>
      <c r="T153">
        <v>3</v>
      </c>
      <c r="U153">
        <v>2</v>
      </c>
      <c r="X153">
        <v>199</v>
      </c>
      <c r="Y153">
        <v>2</v>
      </c>
      <c r="Z153">
        <v>4</v>
      </c>
      <c r="AB153">
        <v>9</v>
      </c>
      <c r="AF153">
        <v>2</v>
      </c>
      <c r="AG153">
        <v>0</v>
      </c>
      <c r="AH153">
        <v>0</v>
      </c>
      <c r="AI153">
        <v>0</v>
      </c>
      <c r="AU153">
        <v>0</v>
      </c>
      <c r="AW153">
        <v>0</v>
      </c>
      <c r="AX153">
        <v>1</v>
      </c>
      <c r="AY153">
        <v>326</v>
      </c>
      <c r="AZ153">
        <v>326</v>
      </c>
      <c r="BA153">
        <v>445</v>
      </c>
      <c r="BB153">
        <v>44</v>
      </c>
      <c r="BD153">
        <v>1</v>
      </c>
      <c r="BF153" t="s">
        <v>250</v>
      </c>
      <c r="BG153" s="1">
        <v>44353.952777777777</v>
      </c>
      <c r="BH153" s="1">
        <v>44353.96266203704</v>
      </c>
      <c r="BI153" s="1">
        <v>44353.963101851848</v>
      </c>
      <c r="BJ153" t="s">
        <v>85</v>
      </c>
      <c r="BK153" t="s">
        <v>86</v>
      </c>
      <c r="BL153" t="s">
        <v>87</v>
      </c>
    </row>
    <row r="154" spans="1:64" x14ac:dyDescent="0.3">
      <c r="A154" t="str">
        <f>"200083E0100"</f>
        <v>200083E0100</v>
      </c>
      <c r="B154" t="str">
        <f>"200083E01003"</f>
        <v>200083E01003</v>
      </c>
      <c r="C154" t="str">
        <f t="shared" si="7"/>
        <v>20</v>
      </c>
      <c r="D154" t="s">
        <v>81</v>
      </c>
      <c r="E154" t="str">
        <f t="shared" si="8"/>
        <v>012</v>
      </c>
      <c r="F154" t="s">
        <v>236</v>
      </c>
      <c r="G154" t="str">
        <f>"0083"</f>
        <v>0083</v>
      </c>
      <c r="H154" t="str">
        <f>"0001"</f>
        <v>0001</v>
      </c>
      <c r="I154" t="s">
        <v>122</v>
      </c>
      <c r="J154">
        <v>0</v>
      </c>
      <c r="K154">
        <v>1</v>
      </c>
      <c r="L154">
        <v>3</v>
      </c>
      <c r="M154">
        <v>86</v>
      </c>
      <c r="N154">
        <v>123</v>
      </c>
      <c r="O154">
        <v>2</v>
      </c>
      <c r="P154">
        <v>123</v>
      </c>
      <c r="Q154">
        <v>4</v>
      </c>
      <c r="R154">
        <v>38</v>
      </c>
      <c r="S154">
        <v>0</v>
      </c>
      <c r="T154">
        <v>0</v>
      </c>
      <c r="U154">
        <v>0</v>
      </c>
      <c r="X154">
        <v>74</v>
      </c>
      <c r="Y154">
        <v>1</v>
      </c>
      <c r="Z154">
        <v>0</v>
      </c>
      <c r="AB154">
        <v>3</v>
      </c>
      <c r="AF154">
        <v>2</v>
      </c>
      <c r="AG154">
        <v>0</v>
      </c>
      <c r="AH154">
        <v>0</v>
      </c>
      <c r="AI154">
        <v>0</v>
      </c>
      <c r="AU154">
        <v>0</v>
      </c>
      <c r="AW154">
        <v>0</v>
      </c>
      <c r="AX154">
        <v>1</v>
      </c>
      <c r="AY154">
        <v>123</v>
      </c>
      <c r="AZ154">
        <v>123</v>
      </c>
      <c r="BA154">
        <v>165</v>
      </c>
      <c r="BB154">
        <v>44</v>
      </c>
      <c r="BD154">
        <v>1</v>
      </c>
      <c r="BF154" t="s">
        <v>251</v>
      </c>
      <c r="BG154" s="1">
        <v>44353.954861111109</v>
      </c>
      <c r="BH154" s="1">
        <v>44353.966597222221</v>
      </c>
      <c r="BI154" s="1">
        <v>44353.96707175926</v>
      </c>
      <c r="BJ154" t="s">
        <v>85</v>
      </c>
      <c r="BK154" t="s">
        <v>86</v>
      </c>
      <c r="BL154" t="s">
        <v>87</v>
      </c>
    </row>
    <row r="155" spans="1:64" x14ac:dyDescent="0.3">
      <c r="A155" t="str">
        <f>"200084B0000"</f>
        <v>200084B0000</v>
      </c>
      <c r="B155" t="str">
        <f>"200084B00003"</f>
        <v>200084B00003</v>
      </c>
      <c r="C155" t="str">
        <f t="shared" si="7"/>
        <v>20</v>
      </c>
      <c r="D155" t="s">
        <v>81</v>
      </c>
      <c r="E155" t="str">
        <f t="shared" si="8"/>
        <v>012</v>
      </c>
      <c r="F155" t="s">
        <v>236</v>
      </c>
      <c r="G155" t="str">
        <f>"0084"</f>
        <v>0084</v>
      </c>
      <c r="H155" t="str">
        <f>"0000"</f>
        <v>0000</v>
      </c>
      <c r="I155" t="s">
        <v>83</v>
      </c>
      <c r="J155">
        <v>0</v>
      </c>
      <c r="K155">
        <v>1</v>
      </c>
      <c r="L155">
        <v>3</v>
      </c>
      <c r="M155">
        <v>109</v>
      </c>
      <c r="N155">
        <v>144</v>
      </c>
      <c r="O155">
        <v>1</v>
      </c>
      <c r="P155">
        <v>144</v>
      </c>
      <c r="Q155">
        <v>9</v>
      </c>
      <c r="R155">
        <v>19</v>
      </c>
      <c r="S155">
        <v>0</v>
      </c>
      <c r="T155">
        <v>0</v>
      </c>
      <c r="U155">
        <v>0</v>
      </c>
      <c r="X155">
        <v>106</v>
      </c>
      <c r="Y155">
        <v>0</v>
      </c>
      <c r="Z155">
        <v>0</v>
      </c>
      <c r="AB155">
        <v>2</v>
      </c>
      <c r="AF155">
        <v>2</v>
      </c>
      <c r="AG155">
        <v>0</v>
      </c>
      <c r="AH155">
        <v>0</v>
      </c>
      <c r="AI155">
        <v>0</v>
      </c>
      <c r="AU155">
        <v>0</v>
      </c>
      <c r="AW155">
        <v>0</v>
      </c>
      <c r="AX155">
        <v>6</v>
      </c>
      <c r="AY155">
        <v>144</v>
      </c>
      <c r="AZ155">
        <v>144</v>
      </c>
      <c r="BA155">
        <v>209</v>
      </c>
      <c r="BB155">
        <v>44</v>
      </c>
      <c r="BD155">
        <v>1</v>
      </c>
      <c r="BF155" t="s">
        <v>252</v>
      </c>
      <c r="BG155" s="1">
        <v>44353.944444444445</v>
      </c>
      <c r="BH155" s="1">
        <v>44353.952349537038</v>
      </c>
      <c r="BI155" s="1">
        <v>44353.952685185184</v>
      </c>
      <c r="BJ155" t="s">
        <v>85</v>
      </c>
      <c r="BK155" t="s">
        <v>86</v>
      </c>
      <c r="BL155" t="s">
        <v>87</v>
      </c>
    </row>
    <row r="156" spans="1:64" x14ac:dyDescent="0.3">
      <c r="A156" t="str">
        <f>"200084E0100"</f>
        <v>200084E0100</v>
      </c>
      <c r="B156" t="str">
        <f>"200084E01003"</f>
        <v>200084E01003</v>
      </c>
      <c r="C156" t="str">
        <f t="shared" si="7"/>
        <v>20</v>
      </c>
      <c r="D156" t="s">
        <v>81</v>
      </c>
      <c r="E156" t="str">
        <f t="shared" si="8"/>
        <v>012</v>
      </c>
      <c r="F156" t="s">
        <v>236</v>
      </c>
      <c r="G156" t="str">
        <f>"0084"</f>
        <v>0084</v>
      </c>
      <c r="H156" t="str">
        <f>"0001"</f>
        <v>0001</v>
      </c>
      <c r="I156" t="s">
        <v>122</v>
      </c>
      <c r="J156">
        <v>0</v>
      </c>
      <c r="K156">
        <v>1</v>
      </c>
      <c r="L156">
        <v>3</v>
      </c>
      <c r="M156">
        <v>168</v>
      </c>
      <c r="N156">
        <v>337</v>
      </c>
      <c r="O156">
        <v>2</v>
      </c>
      <c r="P156">
        <v>7</v>
      </c>
      <c r="Q156">
        <v>4</v>
      </c>
      <c r="R156">
        <v>135</v>
      </c>
      <c r="S156">
        <v>4</v>
      </c>
      <c r="T156">
        <v>3</v>
      </c>
      <c r="U156">
        <v>2</v>
      </c>
      <c r="X156">
        <v>173</v>
      </c>
      <c r="Y156">
        <v>0</v>
      </c>
      <c r="Z156">
        <v>2</v>
      </c>
      <c r="AB156">
        <v>6</v>
      </c>
      <c r="AF156">
        <v>3</v>
      </c>
      <c r="AG156">
        <v>1</v>
      </c>
      <c r="AH156">
        <v>0</v>
      </c>
      <c r="AI156">
        <v>0</v>
      </c>
      <c r="AU156">
        <v>0</v>
      </c>
      <c r="AW156">
        <v>0</v>
      </c>
      <c r="AX156">
        <v>4</v>
      </c>
      <c r="AY156">
        <v>337</v>
      </c>
      <c r="AZ156">
        <v>337</v>
      </c>
      <c r="BA156">
        <v>461</v>
      </c>
      <c r="BB156">
        <v>44</v>
      </c>
      <c r="BD156">
        <v>1</v>
      </c>
      <c r="BF156" t="s">
        <v>253</v>
      </c>
      <c r="BG156" s="1">
        <v>44353.875</v>
      </c>
      <c r="BH156" s="1">
        <v>44354.024409722224</v>
      </c>
      <c r="BI156" s="1">
        <v>44354.024861111109</v>
      </c>
      <c r="BJ156" t="s">
        <v>85</v>
      </c>
      <c r="BK156" t="s">
        <v>86</v>
      </c>
      <c r="BL156" t="s">
        <v>87</v>
      </c>
    </row>
    <row r="157" spans="1:64" x14ac:dyDescent="0.3">
      <c r="A157" t="str">
        <f>"200084E0101"</f>
        <v>200084E0101</v>
      </c>
      <c r="B157" t="str">
        <f>"200084E01013"</f>
        <v>200084E01013</v>
      </c>
      <c r="C157" t="str">
        <f t="shared" si="7"/>
        <v>20</v>
      </c>
      <c r="D157" t="s">
        <v>81</v>
      </c>
      <c r="E157" t="str">
        <f t="shared" si="8"/>
        <v>012</v>
      </c>
      <c r="F157" t="s">
        <v>236</v>
      </c>
      <c r="G157" t="str">
        <f>"0084"</f>
        <v>0084</v>
      </c>
      <c r="H157" t="str">
        <f>"0001"</f>
        <v>0001</v>
      </c>
      <c r="I157" t="s">
        <v>122</v>
      </c>
      <c r="J157">
        <v>1</v>
      </c>
      <c r="K157">
        <v>1</v>
      </c>
      <c r="L157">
        <v>3</v>
      </c>
      <c r="M157">
        <v>187</v>
      </c>
      <c r="N157">
        <v>317</v>
      </c>
      <c r="O157">
        <v>1</v>
      </c>
      <c r="P157">
        <v>317</v>
      </c>
      <c r="Q157">
        <v>3</v>
      </c>
      <c r="R157">
        <v>129</v>
      </c>
      <c r="S157">
        <v>3</v>
      </c>
      <c r="T157">
        <v>0</v>
      </c>
      <c r="U157">
        <v>2</v>
      </c>
      <c r="X157">
        <v>163</v>
      </c>
      <c r="Y157">
        <v>1</v>
      </c>
      <c r="Z157">
        <v>2</v>
      </c>
      <c r="AB157">
        <v>4</v>
      </c>
      <c r="AF157">
        <v>1</v>
      </c>
      <c r="AG157">
        <v>0</v>
      </c>
      <c r="AH157">
        <v>0</v>
      </c>
      <c r="AI157">
        <v>0</v>
      </c>
      <c r="AU157">
        <v>0</v>
      </c>
      <c r="AW157">
        <v>0</v>
      </c>
      <c r="AX157">
        <v>9</v>
      </c>
      <c r="AY157">
        <v>317</v>
      </c>
      <c r="AZ157">
        <v>317</v>
      </c>
      <c r="BA157">
        <v>460</v>
      </c>
      <c r="BB157">
        <v>44</v>
      </c>
      <c r="BD157">
        <v>1</v>
      </c>
      <c r="BF157" t="s">
        <v>254</v>
      </c>
      <c r="BG157" s="1">
        <v>44353.993055555555</v>
      </c>
      <c r="BH157" s="1">
        <v>44354.001909722225</v>
      </c>
      <c r="BI157" s="1">
        <v>44354.002569444441</v>
      </c>
      <c r="BJ157" t="s">
        <v>85</v>
      </c>
      <c r="BK157" t="s">
        <v>86</v>
      </c>
      <c r="BL157" t="s">
        <v>87</v>
      </c>
    </row>
    <row r="158" spans="1:64" x14ac:dyDescent="0.3">
      <c r="A158" t="str">
        <f>"200085B0000"</f>
        <v>200085B0000</v>
      </c>
      <c r="B158" t="str">
        <f>"200085B00003"</f>
        <v>200085B00003</v>
      </c>
      <c r="C158" t="str">
        <f t="shared" si="7"/>
        <v>20</v>
      </c>
      <c r="D158" t="s">
        <v>81</v>
      </c>
      <c r="E158" t="str">
        <f t="shared" si="8"/>
        <v>012</v>
      </c>
      <c r="F158" t="s">
        <v>236</v>
      </c>
      <c r="G158" t="str">
        <f>"0085"</f>
        <v>0085</v>
      </c>
      <c r="H158" t="str">
        <f>"0000"</f>
        <v>0000</v>
      </c>
      <c r="I158" t="s">
        <v>83</v>
      </c>
      <c r="J158">
        <v>0</v>
      </c>
      <c r="K158">
        <v>1</v>
      </c>
      <c r="L158">
        <v>3</v>
      </c>
      <c r="M158">
        <v>73</v>
      </c>
      <c r="N158">
        <v>118</v>
      </c>
      <c r="O158">
        <v>6</v>
      </c>
      <c r="P158">
        <v>118</v>
      </c>
      <c r="Q158">
        <v>0</v>
      </c>
      <c r="R158">
        <v>21</v>
      </c>
      <c r="S158">
        <v>1</v>
      </c>
      <c r="T158">
        <v>1</v>
      </c>
      <c r="U158">
        <v>2</v>
      </c>
      <c r="X158">
        <v>83</v>
      </c>
      <c r="Y158">
        <v>1</v>
      </c>
      <c r="Z158">
        <v>5</v>
      </c>
      <c r="AB158">
        <v>1</v>
      </c>
      <c r="AF158">
        <v>0</v>
      </c>
      <c r="AG158">
        <v>0</v>
      </c>
      <c r="AH158">
        <v>0</v>
      </c>
      <c r="AI158">
        <v>0</v>
      </c>
      <c r="AU158">
        <v>0</v>
      </c>
      <c r="AW158">
        <v>0</v>
      </c>
      <c r="AX158">
        <v>3</v>
      </c>
      <c r="AY158">
        <v>118</v>
      </c>
      <c r="AZ158">
        <v>118</v>
      </c>
      <c r="BA158">
        <v>147</v>
      </c>
      <c r="BB158">
        <v>44</v>
      </c>
      <c r="BD158">
        <v>1</v>
      </c>
      <c r="BF158" t="s">
        <v>255</v>
      </c>
      <c r="BG158" s="1">
        <v>44354.002083333333</v>
      </c>
      <c r="BH158" s="1">
        <v>44354.007962962962</v>
      </c>
      <c r="BI158" s="1">
        <v>44354.008414351854</v>
      </c>
      <c r="BJ158" t="s">
        <v>85</v>
      </c>
      <c r="BK158" t="s">
        <v>86</v>
      </c>
      <c r="BL158" t="s">
        <v>87</v>
      </c>
    </row>
    <row r="159" spans="1:64" x14ac:dyDescent="0.3">
      <c r="A159" t="str">
        <f>"200085E0100"</f>
        <v>200085E0100</v>
      </c>
      <c r="B159" t="str">
        <f>"200085E01003"</f>
        <v>200085E01003</v>
      </c>
      <c r="C159" t="str">
        <f t="shared" si="7"/>
        <v>20</v>
      </c>
      <c r="D159" t="s">
        <v>81</v>
      </c>
      <c r="E159" t="str">
        <f t="shared" si="8"/>
        <v>012</v>
      </c>
      <c r="F159" t="s">
        <v>236</v>
      </c>
      <c r="G159" t="str">
        <f>"0085"</f>
        <v>0085</v>
      </c>
      <c r="H159" t="str">
        <f>"0001"</f>
        <v>0001</v>
      </c>
      <c r="I159" t="s">
        <v>122</v>
      </c>
      <c r="J159">
        <v>0</v>
      </c>
      <c r="K159">
        <v>1</v>
      </c>
      <c r="L159">
        <v>3</v>
      </c>
      <c r="M159">
        <v>97</v>
      </c>
      <c r="N159">
        <v>237</v>
      </c>
      <c r="O159">
        <v>2</v>
      </c>
      <c r="P159">
        <v>237</v>
      </c>
      <c r="Q159">
        <v>5</v>
      </c>
      <c r="R159">
        <v>73</v>
      </c>
      <c r="S159">
        <v>0</v>
      </c>
      <c r="T159">
        <v>0</v>
      </c>
      <c r="U159">
        <v>2</v>
      </c>
      <c r="X159">
        <v>148</v>
      </c>
      <c r="Y159">
        <v>0</v>
      </c>
      <c r="Z159">
        <v>4</v>
      </c>
      <c r="AB159">
        <v>4</v>
      </c>
      <c r="AF159">
        <v>0</v>
      </c>
      <c r="AG159">
        <v>1</v>
      </c>
      <c r="AH159">
        <v>0</v>
      </c>
      <c r="AI159">
        <v>0</v>
      </c>
      <c r="AU159">
        <v>0</v>
      </c>
      <c r="AW159">
        <v>0</v>
      </c>
      <c r="AX159">
        <v>0</v>
      </c>
      <c r="AY159">
        <v>237</v>
      </c>
      <c r="AZ159">
        <v>237</v>
      </c>
      <c r="BA159">
        <v>290</v>
      </c>
      <c r="BB159">
        <v>44</v>
      </c>
      <c r="BD159">
        <v>1</v>
      </c>
      <c r="BF159" t="s">
        <v>256</v>
      </c>
      <c r="BG159" s="1">
        <v>44353.997916666667</v>
      </c>
      <c r="BH159" s="1">
        <v>44354.004201388889</v>
      </c>
      <c r="BI159" s="1">
        <v>44354.004675925928</v>
      </c>
      <c r="BJ159" t="s">
        <v>85</v>
      </c>
      <c r="BK159" t="s">
        <v>86</v>
      </c>
      <c r="BL159" t="s">
        <v>87</v>
      </c>
    </row>
    <row r="160" spans="1:64" x14ac:dyDescent="0.3">
      <c r="A160" t="str">
        <f>"200086B0000"</f>
        <v>200086B0000</v>
      </c>
      <c r="B160" t="str">
        <f>"200086B00003"</f>
        <v>200086B00003</v>
      </c>
      <c r="C160" t="str">
        <f t="shared" si="7"/>
        <v>20</v>
      </c>
      <c r="D160" t="s">
        <v>81</v>
      </c>
      <c r="E160" t="str">
        <f t="shared" si="8"/>
        <v>012</v>
      </c>
      <c r="F160" t="s">
        <v>236</v>
      </c>
      <c r="G160" t="str">
        <f>"0086"</f>
        <v>0086</v>
      </c>
      <c r="H160" t="str">
        <f>"0000"</f>
        <v>0000</v>
      </c>
      <c r="I160" t="s">
        <v>83</v>
      </c>
      <c r="J160">
        <v>0</v>
      </c>
      <c r="K160">
        <v>1</v>
      </c>
      <c r="L160">
        <v>3</v>
      </c>
      <c r="M160">
        <v>155</v>
      </c>
      <c r="N160">
        <v>405</v>
      </c>
      <c r="O160">
        <v>0</v>
      </c>
      <c r="P160">
        <v>405</v>
      </c>
      <c r="Q160">
        <v>3</v>
      </c>
      <c r="R160">
        <v>171</v>
      </c>
      <c r="S160">
        <v>4</v>
      </c>
      <c r="T160">
        <v>3</v>
      </c>
      <c r="U160">
        <v>4</v>
      </c>
      <c r="X160">
        <v>189</v>
      </c>
      <c r="Y160">
        <v>2</v>
      </c>
      <c r="Z160">
        <v>6</v>
      </c>
      <c r="AB160">
        <v>8</v>
      </c>
      <c r="AF160">
        <v>2</v>
      </c>
      <c r="AG160">
        <v>2</v>
      </c>
      <c r="AH160">
        <v>0</v>
      </c>
      <c r="AI160">
        <v>0</v>
      </c>
      <c r="AU160">
        <v>0</v>
      </c>
      <c r="AW160">
        <v>0</v>
      </c>
      <c r="AX160">
        <v>11</v>
      </c>
      <c r="AY160">
        <v>405</v>
      </c>
      <c r="AZ160">
        <v>405</v>
      </c>
      <c r="BA160">
        <v>517</v>
      </c>
      <c r="BB160">
        <v>44</v>
      </c>
      <c r="BD160">
        <v>1</v>
      </c>
      <c r="BF160" t="s">
        <v>257</v>
      </c>
      <c r="BG160" s="1">
        <v>44354.003472222219</v>
      </c>
      <c r="BH160" s="1">
        <v>44354.026597222219</v>
      </c>
      <c r="BI160" s="1">
        <v>44354.027094907404</v>
      </c>
      <c r="BJ160" t="s">
        <v>85</v>
      </c>
      <c r="BK160" t="s">
        <v>86</v>
      </c>
      <c r="BL160" t="s">
        <v>87</v>
      </c>
    </row>
    <row r="161" spans="1:64" x14ac:dyDescent="0.3">
      <c r="A161" t="str">
        <f>"200086C0100"</f>
        <v>200086C0100</v>
      </c>
      <c r="B161" t="str">
        <f>"200086C01003"</f>
        <v>200086C01003</v>
      </c>
      <c r="C161" t="str">
        <f t="shared" si="7"/>
        <v>20</v>
      </c>
      <c r="D161" t="s">
        <v>81</v>
      </c>
      <c r="E161" t="str">
        <f t="shared" si="8"/>
        <v>012</v>
      </c>
      <c r="F161" t="s">
        <v>236</v>
      </c>
      <c r="G161" t="str">
        <f>"0086"</f>
        <v>0086</v>
      </c>
      <c r="H161" t="str">
        <f>"0001"</f>
        <v>0001</v>
      </c>
      <c r="I161" t="s">
        <v>89</v>
      </c>
      <c r="J161">
        <v>0</v>
      </c>
      <c r="K161">
        <v>1</v>
      </c>
      <c r="L161">
        <v>3</v>
      </c>
      <c r="M161">
        <v>149</v>
      </c>
      <c r="N161">
        <v>412</v>
      </c>
      <c r="O161">
        <v>2</v>
      </c>
      <c r="P161" t="s">
        <v>92</v>
      </c>
      <c r="Q161">
        <v>0</v>
      </c>
      <c r="R161">
        <v>199</v>
      </c>
      <c r="S161">
        <v>1</v>
      </c>
      <c r="T161">
        <v>0</v>
      </c>
      <c r="U161">
        <v>5</v>
      </c>
      <c r="X161">
        <v>177</v>
      </c>
      <c r="Y161">
        <v>0</v>
      </c>
      <c r="Z161">
        <v>1</v>
      </c>
      <c r="AB161">
        <v>10</v>
      </c>
      <c r="AF161">
        <v>3</v>
      </c>
      <c r="AG161">
        <v>3</v>
      </c>
      <c r="AH161">
        <v>1</v>
      </c>
      <c r="AI161">
        <v>0</v>
      </c>
      <c r="AU161">
        <v>0</v>
      </c>
      <c r="AW161">
        <v>0</v>
      </c>
      <c r="AX161">
        <v>12</v>
      </c>
      <c r="AY161">
        <v>412</v>
      </c>
      <c r="AZ161">
        <v>412</v>
      </c>
      <c r="BA161">
        <v>517</v>
      </c>
      <c r="BB161">
        <v>44</v>
      </c>
      <c r="BD161">
        <v>1</v>
      </c>
      <c r="BF161" t="s">
        <v>258</v>
      </c>
      <c r="BG161" s="1">
        <v>44354.002083333333</v>
      </c>
      <c r="BH161" s="1">
        <v>44354.012083333335</v>
      </c>
      <c r="BI161" s="1">
        <v>44354.013171296298</v>
      </c>
      <c r="BJ161" t="s">
        <v>85</v>
      </c>
      <c r="BK161" t="s">
        <v>86</v>
      </c>
      <c r="BL161" t="s">
        <v>87</v>
      </c>
    </row>
    <row r="162" spans="1:64" x14ac:dyDescent="0.3">
      <c r="A162" t="str">
        <f>"200097B0000"</f>
        <v>200097B0000</v>
      </c>
      <c r="B162" t="str">
        <f>"200097B00003"</f>
        <v>200097B00003</v>
      </c>
      <c r="C162" t="str">
        <f t="shared" si="7"/>
        <v>20</v>
      </c>
      <c r="D162" t="s">
        <v>81</v>
      </c>
      <c r="E162" t="str">
        <f t="shared" ref="E162:E176" si="9">"015"</f>
        <v>015</v>
      </c>
      <c r="F162" t="s">
        <v>259</v>
      </c>
      <c r="G162" t="str">
        <f>"0097"</f>
        <v>0097</v>
      </c>
      <c r="H162" t="str">
        <f>"0000"</f>
        <v>0000</v>
      </c>
      <c r="I162" t="s">
        <v>83</v>
      </c>
      <c r="J162">
        <v>0</v>
      </c>
      <c r="K162">
        <v>1</v>
      </c>
      <c r="L162">
        <v>3</v>
      </c>
      <c r="M162">
        <v>262</v>
      </c>
      <c r="N162">
        <v>284</v>
      </c>
      <c r="O162">
        <v>0</v>
      </c>
      <c r="P162" t="s">
        <v>92</v>
      </c>
      <c r="Q162">
        <v>2</v>
      </c>
      <c r="R162">
        <v>0</v>
      </c>
      <c r="S162">
        <v>1</v>
      </c>
      <c r="T162">
        <v>92</v>
      </c>
      <c r="U162">
        <v>73</v>
      </c>
      <c r="X162">
        <v>106</v>
      </c>
      <c r="Z162">
        <v>1</v>
      </c>
      <c r="AB162">
        <v>1</v>
      </c>
      <c r="AF162">
        <v>0</v>
      </c>
      <c r="AG162">
        <v>0</v>
      </c>
      <c r="AH162">
        <v>0</v>
      </c>
      <c r="AI162">
        <v>0</v>
      </c>
      <c r="AW162">
        <v>3</v>
      </c>
      <c r="AX162">
        <v>8</v>
      </c>
      <c r="AY162">
        <v>284</v>
      </c>
      <c r="AZ162">
        <v>287</v>
      </c>
      <c r="BA162">
        <v>502</v>
      </c>
      <c r="BB162">
        <v>44</v>
      </c>
      <c r="BD162">
        <v>1</v>
      </c>
      <c r="BF162" t="s">
        <v>260</v>
      </c>
      <c r="BG162" s="1">
        <v>44354.092361111114</v>
      </c>
      <c r="BH162" s="1">
        <v>44354.097500000003</v>
      </c>
      <c r="BI162" s="1">
        <v>44354.09784722222</v>
      </c>
      <c r="BJ162" t="s">
        <v>85</v>
      </c>
      <c r="BK162" t="s">
        <v>86</v>
      </c>
      <c r="BL162" t="s">
        <v>87</v>
      </c>
    </row>
    <row r="163" spans="1:64" x14ac:dyDescent="0.3">
      <c r="A163" t="str">
        <f>"200097C0100"</f>
        <v>200097C0100</v>
      </c>
      <c r="B163" t="str">
        <f>"200097C01003"</f>
        <v>200097C01003</v>
      </c>
      <c r="C163" t="str">
        <f t="shared" si="7"/>
        <v>20</v>
      </c>
      <c r="D163" t="s">
        <v>81</v>
      </c>
      <c r="E163" t="str">
        <f t="shared" si="9"/>
        <v>015</v>
      </c>
      <c r="F163" t="s">
        <v>259</v>
      </c>
      <c r="G163" t="str">
        <f>"0097"</f>
        <v>0097</v>
      </c>
      <c r="H163" t="str">
        <f>"0001"</f>
        <v>0001</v>
      </c>
      <c r="I163" t="s">
        <v>89</v>
      </c>
      <c r="J163">
        <v>0</v>
      </c>
      <c r="K163">
        <v>1</v>
      </c>
      <c r="L163">
        <v>3</v>
      </c>
      <c r="M163">
        <v>267</v>
      </c>
      <c r="N163">
        <v>278</v>
      </c>
      <c r="O163">
        <v>2</v>
      </c>
      <c r="P163">
        <v>278</v>
      </c>
      <c r="Q163">
        <v>0</v>
      </c>
      <c r="R163">
        <v>0</v>
      </c>
      <c r="S163">
        <v>0</v>
      </c>
      <c r="T163">
        <v>83</v>
      </c>
      <c r="U163">
        <v>85</v>
      </c>
      <c r="X163">
        <v>98</v>
      </c>
      <c r="Z163">
        <v>0</v>
      </c>
      <c r="AB163">
        <v>0</v>
      </c>
      <c r="AF163">
        <v>0</v>
      </c>
      <c r="AG163">
        <v>0</v>
      </c>
      <c r="AH163">
        <v>0</v>
      </c>
      <c r="AI163">
        <v>0</v>
      </c>
      <c r="AW163">
        <v>4</v>
      </c>
      <c r="AX163">
        <v>8</v>
      </c>
      <c r="AY163">
        <v>278</v>
      </c>
      <c r="AZ163">
        <v>278</v>
      </c>
      <c r="BA163">
        <v>501</v>
      </c>
      <c r="BB163">
        <v>44</v>
      </c>
      <c r="BD163">
        <v>1</v>
      </c>
      <c r="BF163" t="s">
        <v>261</v>
      </c>
      <c r="BG163" s="1">
        <v>44354.095138888886</v>
      </c>
      <c r="BH163" s="1">
        <v>44354.098935185182</v>
      </c>
      <c r="BI163" s="1">
        <v>44354.099363425928</v>
      </c>
      <c r="BJ163" t="s">
        <v>85</v>
      </c>
      <c r="BK163" t="s">
        <v>86</v>
      </c>
      <c r="BL163" t="s">
        <v>87</v>
      </c>
    </row>
    <row r="164" spans="1:64" x14ac:dyDescent="0.3">
      <c r="A164" t="str">
        <f>"200098B0000"</f>
        <v>200098B0000</v>
      </c>
      <c r="B164" t="str">
        <f>"200098B00003"</f>
        <v>200098B00003</v>
      </c>
      <c r="C164" t="str">
        <f t="shared" si="7"/>
        <v>20</v>
      </c>
      <c r="D164" t="s">
        <v>81</v>
      </c>
      <c r="E164" t="str">
        <f t="shared" si="9"/>
        <v>015</v>
      </c>
      <c r="F164" t="s">
        <v>259</v>
      </c>
      <c r="G164" t="str">
        <f>"0098"</f>
        <v>0098</v>
      </c>
      <c r="H164" t="str">
        <f>"0000"</f>
        <v>0000</v>
      </c>
      <c r="I164" t="s">
        <v>83</v>
      </c>
      <c r="J164">
        <v>0</v>
      </c>
      <c r="K164">
        <v>1</v>
      </c>
      <c r="L164">
        <v>3</v>
      </c>
      <c r="M164">
        <v>265</v>
      </c>
      <c r="N164">
        <v>295</v>
      </c>
      <c r="O164">
        <v>0</v>
      </c>
      <c r="P164">
        <v>286</v>
      </c>
      <c r="Q164">
        <v>2</v>
      </c>
      <c r="R164">
        <v>0</v>
      </c>
      <c r="S164">
        <v>6</v>
      </c>
      <c r="T164">
        <v>105</v>
      </c>
      <c r="U164">
        <v>65</v>
      </c>
      <c r="X164">
        <v>107</v>
      </c>
      <c r="Z164">
        <v>2</v>
      </c>
      <c r="AB164">
        <v>1</v>
      </c>
      <c r="AF164">
        <v>0</v>
      </c>
      <c r="AG164">
        <v>0</v>
      </c>
      <c r="AH164">
        <v>0</v>
      </c>
      <c r="AI164">
        <v>0</v>
      </c>
      <c r="AW164">
        <v>0</v>
      </c>
      <c r="AX164">
        <v>9</v>
      </c>
      <c r="AY164">
        <v>286</v>
      </c>
      <c r="AZ164">
        <v>297</v>
      </c>
      <c r="BA164">
        <v>516</v>
      </c>
      <c r="BB164">
        <v>44</v>
      </c>
      <c r="BD164">
        <v>1</v>
      </c>
      <c r="BF164" t="s">
        <v>262</v>
      </c>
      <c r="BG164" s="1">
        <v>44354.069212962961</v>
      </c>
      <c r="BH164" s="1">
        <v>44354.075127314813</v>
      </c>
      <c r="BI164" s="1">
        <v>44354.075995370367</v>
      </c>
      <c r="BJ164" t="s">
        <v>197</v>
      </c>
      <c r="BK164" t="s">
        <v>198</v>
      </c>
      <c r="BL164" t="s">
        <v>87</v>
      </c>
    </row>
    <row r="165" spans="1:64" x14ac:dyDescent="0.3">
      <c r="A165" t="str">
        <f>"200098C0100"</f>
        <v>200098C0100</v>
      </c>
      <c r="B165" t="str">
        <f>"200098C01003"</f>
        <v>200098C01003</v>
      </c>
      <c r="C165" t="str">
        <f t="shared" si="7"/>
        <v>20</v>
      </c>
      <c r="D165" t="s">
        <v>81</v>
      </c>
      <c r="E165" t="str">
        <f t="shared" si="9"/>
        <v>015</v>
      </c>
      <c r="F165" t="s">
        <v>259</v>
      </c>
      <c r="G165" t="str">
        <f>"0098"</f>
        <v>0098</v>
      </c>
      <c r="H165" t="str">
        <f>"0001"</f>
        <v>0001</v>
      </c>
      <c r="I165" t="s">
        <v>89</v>
      </c>
      <c r="J165">
        <v>0</v>
      </c>
      <c r="K165">
        <v>1</v>
      </c>
      <c r="L165">
        <v>3</v>
      </c>
      <c r="M165">
        <v>251</v>
      </c>
      <c r="N165">
        <v>310</v>
      </c>
      <c r="O165">
        <v>6</v>
      </c>
      <c r="P165" t="s">
        <v>92</v>
      </c>
      <c r="Q165">
        <v>0</v>
      </c>
      <c r="R165">
        <v>2</v>
      </c>
      <c r="S165">
        <v>1</v>
      </c>
      <c r="T165">
        <v>134</v>
      </c>
      <c r="U165">
        <v>67</v>
      </c>
      <c r="X165">
        <v>96</v>
      </c>
      <c r="Z165">
        <v>1</v>
      </c>
      <c r="AB165">
        <v>3</v>
      </c>
      <c r="AF165">
        <v>0</v>
      </c>
      <c r="AG165">
        <v>0</v>
      </c>
      <c r="AH165">
        <v>0</v>
      </c>
      <c r="AI165">
        <v>0</v>
      </c>
      <c r="AW165">
        <v>0</v>
      </c>
      <c r="AX165">
        <v>5</v>
      </c>
      <c r="AY165">
        <v>309</v>
      </c>
      <c r="AZ165">
        <v>309</v>
      </c>
      <c r="BA165">
        <v>516</v>
      </c>
      <c r="BB165">
        <v>44</v>
      </c>
      <c r="BD165">
        <v>1</v>
      </c>
      <c r="BF165" t="s">
        <v>263</v>
      </c>
      <c r="BG165" s="1">
        <v>44354.079861111109</v>
      </c>
      <c r="BH165" s="1">
        <v>44354.140810185185</v>
      </c>
      <c r="BI165" s="1">
        <v>44354.141458333332</v>
      </c>
      <c r="BJ165" t="s">
        <v>85</v>
      </c>
      <c r="BK165" t="s">
        <v>86</v>
      </c>
      <c r="BL165" t="s">
        <v>87</v>
      </c>
    </row>
    <row r="166" spans="1:64" x14ac:dyDescent="0.3">
      <c r="A166" t="str">
        <f>"200098C0200"</f>
        <v>200098C0200</v>
      </c>
      <c r="B166" t="str">
        <f>"200098C02003"</f>
        <v>200098C02003</v>
      </c>
      <c r="C166" t="str">
        <f t="shared" si="7"/>
        <v>20</v>
      </c>
      <c r="D166" t="s">
        <v>81</v>
      </c>
      <c r="E166" t="str">
        <f t="shared" si="9"/>
        <v>015</v>
      </c>
      <c r="F166" t="s">
        <v>259</v>
      </c>
      <c r="G166" t="str">
        <f>"0098"</f>
        <v>0098</v>
      </c>
      <c r="H166" t="str">
        <f>"0002"</f>
        <v>0002</v>
      </c>
      <c r="I166" t="s">
        <v>89</v>
      </c>
      <c r="J166">
        <v>0</v>
      </c>
      <c r="K166">
        <v>1</v>
      </c>
      <c r="L166">
        <v>3</v>
      </c>
      <c r="M166">
        <v>248</v>
      </c>
      <c r="N166">
        <v>311</v>
      </c>
      <c r="O166">
        <v>0</v>
      </c>
      <c r="P166">
        <v>311</v>
      </c>
      <c r="Q166">
        <v>0</v>
      </c>
      <c r="R166">
        <v>0</v>
      </c>
      <c r="S166">
        <v>3</v>
      </c>
      <c r="T166">
        <v>114</v>
      </c>
      <c r="U166">
        <v>93</v>
      </c>
      <c r="X166">
        <v>90</v>
      </c>
      <c r="Z166">
        <v>2</v>
      </c>
      <c r="AB166">
        <v>3</v>
      </c>
      <c r="AF166">
        <v>0</v>
      </c>
      <c r="AG166">
        <v>0</v>
      </c>
      <c r="AH166">
        <v>0</v>
      </c>
      <c r="AI166">
        <v>0</v>
      </c>
      <c r="AW166">
        <v>0</v>
      </c>
      <c r="AX166">
        <v>5</v>
      </c>
      <c r="AY166">
        <v>311</v>
      </c>
      <c r="AZ166">
        <v>310</v>
      </c>
      <c r="BA166">
        <v>516</v>
      </c>
      <c r="BB166">
        <v>44</v>
      </c>
      <c r="BD166">
        <v>1</v>
      </c>
      <c r="BF166" t="s">
        <v>264</v>
      </c>
      <c r="BG166" s="1">
        <v>44354.084027777775</v>
      </c>
      <c r="BH166" s="1">
        <v>44354.089826388888</v>
      </c>
      <c r="BI166" s="1">
        <v>44354.090277777781</v>
      </c>
      <c r="BJ166" t="s">
        <v>85</v>
      </c>
      <c r="BK166" t="s">
        <v>86</v>
      </c>
      <c r="BL166" t="s">
        <v>87</v>
      </c>
    </row>
    <row r="167" spans="1:64" x14ac:dyDescent="0.3">
      <c r="A167" t="str">
        <f>"200099B0000"</f>
        <v>200099B0000</v>
      </c>
      <c r="B167" t="str">
        <f>"200099B00003"</f>
        <v>200099B00003</v>
      </c>
      <c r="C167" t="str">
        <f t="shared" si="7"/>
        <v>20</v>
      </c>
      <c r="D167" t="s">
        <v>81</v>
      </c>
      <c r="E167" t="str">
        <f t="shared" si="9"/>
        <v>015</v>
      </c>
      <c r="F167" t="s">
        <v>259</v>
      </c>
      <c r="G167" t="str">
        <f>"0099"</f>
        <v>0099</v>
      </c>
      <c r="H167" t="str">
        <f>"0000"</f>
        <v>0000</v>
      </c>
      <c r="I167" t="s">
        <v>83</v>
      </c>
      <c r="J167">
        <v>0</v>
      </c>
      <c r="K167">
        <v>1</v>
      </c>
      <c r="L167">
        <v>3</v>
      </c>
      <c r="M167">
        <v>211</v>
      </c>
      <c r="N167">
        <v>315</v>
      </c>
      <c r="O167">
        <v>2</v>
      </c>
      <c r="P167">
        <v>315</v>
      </c>
      <c r="Q167">
        <v>0</v>
      </c>
      <c r="R167">
        <v>2</v>
      </c>
      <c r="S167">
        <v>0</v>
      </c>
      <c r="T167">
        <v>143</v>
      </c>
      <c r="U167">
        <v>52</v>
      </c>
      <c r="X167">
        <v>110</v>
      </c>
      <c r="Z167">
        <v>2</v>
      </c>
      <c r="AB167">
        <v>0</v>
      </c>
      <c r="AF167">
        <v>0</v>
      </c>
      <c r="AG167">
        <v>0</v>
      </c>
      <c r="AH167">
        <v>0</v>
      </c>
      <c r="AI167">
        <v>0</v>
      </c>
      <c r="AW167">
        <v>0</v>
      </c>
      <c r="AX167">
        <v>6</v>
      </c>
      <c r="AY167">
        <v>315</v>
      </c>
      <c r="AZ167">
        <v>315</v>
      </c>
      <c r="BA167">
        <v>482</v>
      </c>
      <c r="BB167">
        <v>44</v>
      </c>
      <c r="BD167">
        <v>1</v>
      </c>
      <c r="BF167" t="s">
        <v>265</v>
      </c>
      <c r="BG167" s="1">
        <v>44353.954861111109</v>
      </c>
      <c r="BH167" s="1">
        <v>44353.967361111114</v>
      </c>
      <c r="BI167" s="1">
        <v>44353.967893518522</v>
      </c>
      <c r="BJ167" t="s">
        <v>85</v>
      </c>
      <c r="BK167" t="s">
        <v>86</v>
      </c>
      <c r="BL167" t="s">
        <v>87</v>
      </c>
    </row>
    <row r="168" spans="1:64" x14ac:dyDescent="0.3">
      <c r="A168" t="str">
        <f>"200099C0100"</f>
        <v>200099C0100</v>
      </c>
      <c r="B168" t="str">
        <f>"200099C01003"</f>
        <v>200099C01003</v>
      </c>
      <c r="C168" t="str">
        <f t="shared" si="7"/>
        <v>20</v>
      </c>
      <c r="D168" t="s">
        <v>81</v>
      </c>
      <c r="E168" t="str">
        <f t="shared" si="9"/>
        <v>015</v>
      </c>
      <c r="F168" t="s">
        <v>259</v>
      </c>
      <c r="G168" t="str">
        <f>"0099"</f>
        <v>0099</v>
      </c>
      <c r="H168" t="str">
        <f>"0001"</f>
        <v>0001</v>
      </c>
      <c r="I168" t="s">
        <v>89</v>
      </c>
      <c r="J168">
        <v>0</v>
      </c>
      <c r="K168">
        <v>1</v>
      </c>
      <c r="L168">
        <v>3</v>
      </c>
      <c r="M168">
        <v>197</v>
      </c>
      <c r="N168">
        <v>328</v>
      </c>
      <c r="O168">
        <v>3</v>
      </c>
      <c r="P168">
        <v>328</v>
      </c>
      <c r="Q168">
        <v>0</v>
      </c>
      <c r="R168">
        <v>1</v>
      </c>
      <c r="S168">
        <v>0</v>
      </c>
      <c r="T168">
        <v>149</v>
      </c>
      <c r="U168">
        <v>52</v>
      </c>
      <c r="X168">
        <v>115</v>
      </c>
      <c r="Z168">
        <v>0</v>
      </c>
      <c r="AB168">
        <v>2</v>
      </c>
      <c r="AF168">
        <v>0</v>
      </c>
      <c r="AG168">
        <v>0</v>
      </c>
      <c r="AH168">
        <v>0</v>
      </c>
      <c r="AI168">
        <v>0</v>
      </c>
      <c r="AW168">
        <v>0</v>
      </c>
      <c r="AX168">
        <v>9</v>
      </c>
      <c r="AY168">
        <v>328</v>
      </c>
      <c r="AZ168">
        <v>328</v>
      </c>
      <c r="BA168">
        <v>481</v>
      </c>
      <c r="BB168">
        <v>44</v>
      </c>
      <c r="BD168">
        <v>1</v>
      </c>
      <c r="BF168" t="s">
        <v>266</v>
      </c>
      <c r="BG168" s="1">
        <v>44354.056944444441</v>
      </c>
      <c r="BH168" s="1">
        <v>44354.061851851853</v>
      </c>
      <c r="BI168" s="1">
        <v>44354.062407407408</v>
      </c>
      <c r="BJ168" t="s">
        <v>85</v>
      </c>
      <c r="BK168" t="s">
        <v>86</v>
      </c>
      <c r="BL168" t="s">
        <v>87</v>
      </c>
    </row>
    <row r="169" spans="1:64" x14ac:dyDescent="0.3">
      <c r="A169" t="str">
        <f>"200100B0000"</f>
        <v>200100B0000</v>
      </c>
      <c r="B169" t="str">
        <f>"200100B00003"</f>
        <v>200100B00003</v>
      </c>
      <c r="C169" t="str">
        <f t="shared" si="7"/>
        <v>20</v>
      </c>
      <c r="D169" t="s">
        <v>81</v>
      </c>
      <c r="E169" t="str">
        <f t="shared" si="9"/>
        <v>015</v>
      </c>
      <c r="F169" t="s">
        <v>259</v>
      </c>
      <c r="G169" t="str">
        <f>"0100"</f>
        <v>0100</v>
      </c>
      <c r="H169" t="str">
        <f>"0000"</f>
        <v>0000</v>
      </c>
      <c r="I169" t="s">
        <v>83</v>
      </c>
      <c r="J169">
        <v>0</v>
      </c>
      <c r="K169">
        <v>1</v>
      </c>
      <c r="L169">
        <v>3</v>
      </c>
      <c r="M169">
        <v>258</v>
      </c>
      <c r="N169">
        <v>393</v>
      </c>
      <c r="O169">
        <v>1</v>
      </c>
      <c r="P169">
        <v>394</v>
      </c>
      <c r="Q169">
        <v>0</v>
      </c>
      <c r="R169">
        <v>4</v>
      </c>
      <c r="S169">
        <v>2</v>
      </c>
      <c r="T169">
        <v>146</v>
      </c>
      <c r="U169">
        <v>73</v>
      </c>
      <c r="X169">
        <v>157</v>
      </c>
      <c r="Z169">
        <v>0</v>
      </c>
      <c r="AB169">
        <v>0</v>
      </c>
      <c r="AF169">
        <v>0</v>
      </c>
      <c r="AG169">
        <v>0</v>
      </c>
      <c r="AH169">
        <v>0</v>
      </c>
      <c r="AI169">
        <v>0</v>
      </c>
      <c r="AW169">
        <v>0</v>
      </c>
      <c r="AX169">
        <v>12</v>
      </c>
      <c r="AY169">
        <v>394</v>
      </c>
      <c r="AZ169">
        <v>394</v>
      </c>
      <c r="BA169">
        <v>607</v>
      </c>
      <c r="BB169">
        <v>44</v>
      </c>
      <c r="BD169">
        <v>1</v>
      </c>
      <c r="BF169" t="s">
        <v>267</v>
      </c>
      <c r="BG169" s="1">
        <v>44354.036527777775</v>
      </c>
      <c r="BH169" s="1">
        <v>44354.043958333335</v>
      </c>
      <c r="BI169" s="1">
        <v>44354.044432870367</v>
      </c>
      <c r="BJ169" t="s">
        <v>197</v>
      </c>
      <c r="BK169" t="s">
        <v>198</v>
      </c>
      <c r="BL169" t="s">
        <v>87</v>
      </c>
    </row>
    <row r="170" spans="1:64" x14ac:dyDescent="0.3">
      <c r="A170" t="str">
        <f>"200100C0100"</f>
        <v>200100C0100</v>
      </c>
      <c r="B170" t="str">
        <f>"200100C01003"</f>
        <v>200100C01003</v>
      </c>
      <c r="C170" t="str">
        <f t="shared" si="7"/>
        <v>20</v>
      </c>
      <c r="D170" t="s">
        <v>81</v>
      </c>
      <c r="E170" t="str">
        <f t="shared" si="9"/>
        <v>015</v>
      </c>
      <c r="F170" t="s">
        <v>259</v>
      </c>
      <c r="G170" t="str">
        <f>"0100"</f>
        <v>0100</v>
      </c>
      <c r="H170" t="str">
        <f>"0001"</f>
        <v>0001</v>
      </c>
      <c r="I170" t="s">
        <v>89</v>
      </c>
      <c r="J170">
        <v>0</v>
      </c>
      <c r="K170">
        <v>1</v>
      </c>
      <c r="L170">
        <v>3</v>
      </c>
      <c r="M170">
        <v>264</v>
      </c>
      <c r="N170">
        <v>384</v>
      </c>
      <c r="O170">
        <v>0</v>
      </c>
      <c r="P170">
        <v>374</v>
      </c>
      <c r="Q170">
        <v>1</v>
      </c>
      <c r="R170">
        <v>3</v>
      </c>
      <c r="S170">
        <v>1</v>
      </c>
      <c r="T170">
        <v>184</v>
      </c>
      <c r="U170">
        <v>61</v>
      </c>
      <c r="X170">
        <v>121</v>
      </c>
      <c r="Z170">
        <v>3</v>
      </c>
      <c r="AB170">
        <v>0</v>
      </c>
      <c r="AF170">
        <v>0</v>
      </c>
      <c r="AG170">
        <v>0</v>
      </c>
      <c r="AH170">
        <v>0</v>
      </c>
      <c r="AI170">
        <v>0</v>
      </c>
      <c r="AW170">
        <v>0</v>
      </c>
      <c r="AX170">
        <v>12</v>
      </c>
      <c r="AY170">
        <v>386</v>
      </c>
      <c r="AZ170">
        <v>386</v>
      </c>
      <c r="BA170">
        <v>607</v>
      </c>
      <c r="BB170">
        <v>44</v>
      </c>
      <c r="BD170">
        <v>1</v>
      </c>
      <c r="BF170" t="s">
        <v>268</v>
      </c>
      <c r="BG170" s="1">
        <v>44354.073611111111</v>
      </c>
      <c r="BH170" s="1">
        <v>44354.081620370373</v>
      </c>
      <c r="BI170" s="1">
        <v>44354.082141203704</v>
      </c>
      <c r="BJ170" t="s">
        <v>85</v>
      </c>
      <c r="BK170" t="s">
        <v>86</v>
      </c>
      <c r="BL170" t="s">
        <v>87</v>
      </c>
    </row>
    <row r="171" spans="1:64" x14ac:dyDescent="0.3">
      <c r="A171" t="str">
        <f>"200101B0000"</f>
        <v>200101B0000</v>
      </c>
      <c r="B171" t="str">
        <f>"200101B00003"</f>
        <v>200101B00003</v>
      </c>
      <c r="C171" t="str">
        <f t="shared" si="7"/>
        <v>20</v>
      </c>
      <c r="D171" t="s">
        <v>81</v>
      </c>
      <c r="E171" t="str">
        <f t="shared" si="9"/>
        <v>015</v>
      </c>
      <c r="F171" t="s">
        <v>259</v>
      </c>
      <c r="G171" t="str">
        <f>"0101"</f>
        <v>0101</v>
      </c>
      <c r="H171" t="str">
        <f>"0000"</f>
        <v>0000</v>
      </c>
      <c r="I171" t="s">
        <v>83</v>
      </c>
      <c r="J171">
        <v>0</v>
      </c>
      <c r="K171">
        <v>1</v>
      </c>
      <c r="L171">
        <v>3</v>
      </c>
      <c r="M171">
        <v>229</v>
      </c>
      <c r="N171" t="s">
        <v>92</v>
      </c>
      <c r="O171" t="s">
        <v>92</v>
      </c>
      <c r="P171">
        <v>380</v>
      </c>
      <c r="Q171">
        <v>3</v>
      </c>
      <c r="R171">
        <v>0</v>
      </c>
      <c r="S171">
        <v>1</v>
      </c>
      <c r="T171">
        <v>127</v>
      </c>
      <c r="U171">
        <v>94</v>
      </c>
      <c r="X171">
        <v>144</v>
      </c>
      <c r="Z171">
        <v>1</v>
      </c>
      <c r="AB171">
        <v>4</v>
      </c>
      <c r="AF171">
        <v>0</v>
      </c>
      <c r="AG171">
        <v>0</v>
      </c>
      <c r="AH171">
        <v>0</v>
      </c>
      <c r="AI171">
        <v>0</v>
      </c>
      <c r="AW171">
        <v>0</v>
      </c>
      <c r="AX171">
        <v>6</v>
      </c>
      <c r="AY171">
        <v>380</v>
      </c>
      <c r="AZ171">
        <v>380</v>
      </c>
      <c r="BA171">
        <v>566</v>
      </c>
      <c r="BB171">
        <v>44</v>
      </c>
      <c r="BD171">
        <v>1</v>
      </c>
      <c r="BF171" t="s">
        <v>269</v>
      </c>
      <c r="BG171" s="1">
        <v>44354.019444444442</v>
      </c>
      <c r="BH171" s="1">
        <v>44354.131273148145</v>
      </c>
      <c r="BI171" s="1">
        <v>44354.131504629629</v>
      </c>
      <c r="BJ171" t="s">
        <v>85</v>
      </c>
      <c r="BK171" t="s">
        <v>86</v>
      </c>
      <c r="BL171" t="s">
        <v>87</v>
      </c>
    </row>
    <row r="172" spans="1:64" x14ac:dyDescent="0.3">
      <c r="A172" t="str">
        <f>"200101C0100"</f>
        <v>200101C0100</v>
      </c>
      <c r="B172" t="str">
        <f>"200101C01003"</f>
        <v>200101C01003</v>
      </c>
      <c r="C172" t="str">
        <f t="shared" si="7"/>
        <v>20</v>
      </c>
      <c r="D172" t="s">
        <v>81</v>
      </c>
      <c r="E172" t="str">
        <f t="shared" si="9"/>
        <v>015</v>
      </c>
      <c r="F172" t="s">
        <v>259</v>
      </c>
      <c r="G172" t="str">
        <f>"0101"</f>
        <v>0101</v>
      </c>
      <c r="H172" t="str">
        <f>"0001"</f>
        <v>0001</v>
      </c>
      <c r="I172" t="s">
        <v>89</v>
      </c>
      <c r="J172">
        <v>0</v>
      </c>
      <c r="K172">
        <v>1</v>
      </c>
      <c r="L172">
        <v>3</v>
      </c>
      <c r="M172">
        <v>252</v>
      </c>
      <c r="N172">
        <v>357</v>
      </c>
      <c r="O172">
        <v>0</v>
      </c>
      <c r="P172">
        <v>357</v>
      </c>
      <c r="Q172">
        <v>0</v>
      </c>
      <c r="R172">
        <v>1</v>
      </c>
      <c r="S172">
        <v>0</v>
      </c>
      <c r="T172">
        <v>120</v>
      </c>
      <c r="U172">
        <v>102</v>
      </c>
      <c r="X172">
        <v>120</v>
      </c>
      <c r="Z172">
        <v>0</v>
      </c>
      <c r="AB172">
        <v>4</v>
      </c>
      <c r="AF172" t="s">
        <v>95</v>
      </c>
      <c r="AG172" t="s">
        <v>95</v>
      </c>
      <c r="AH172" t="s">
        <v>95</v>
      </c>
      <c r="AI172" t="s">
        <v>95</v>
      </c>
      <c r="AW172" t="s">
        <v>95</v>
      </c>
      <c r="AX172">
        <v>10</v>
      </c>
      <c r="AY172">
        <v>357</v>
      </c>
      <c r="AZ172">
        <v>357</v>
      </c>
      <c r="BA172">
        <v>565</v>
      </c>
      <c r="BB172">
        <v>44</v>
      </c>
      <c r="BC172" t="s">
        <v>96</v>
      </c>
      <c r="BD172">
        <v>1</v>
      </c>
      <c r="BF172" t="s">
        <v>270</v>
      </c>
      <c r="BG172" s="1">
        <v>44354.027951388889</v>
      </c>
      <c r="BH172" s="1">
        <v>44354.041944444441</v>
      </c>
      <c r="BI172" s="1">
        <v>44354.054398148146</v>
      </c>
      <c r="BJ172" t="s">
        <v>85</v>
      </c>
      <c r="BK172" t="s">
        <v>86</v>
      </c>
      <c r="BL172" t="s">
        <v>87</v>
      </c>
    </row>
    <row r="173" spans="1:64" x14ac:dyDescent="0.3">
      <c r="A173" t="str">
        <f>"200102B0000"</f>
        <v>200102B0000</v>
      </c>
      <c r="B173" t="str">
        <f>"200102B00003"</f>
        <v>200102B00003</v>
      </c>
      <c r="C173" t="str">
        <f t="shared" si="7"/>
        <v>20</v>
      </c>
      <c r="D173" t="s">
        <v>81</v>
      </c>
      <c r="E173" t="str">
        <f t="shared" si="9"/>
        <v>015</v>
      </c>
      <c r="F173" t="s">
        <v>259</v>
      </c>
      <c r="G173" t="str">
        <f>"0102"</f>
        <v>0102</v>
      </c>
      <c r="H173" t="str">
        <f>"0000"</f>
        <v>0000</v>
      </c>
      <c r="I173" t="s">
        <v>83</v>
      </c>
      <c r="J173">
        <v>0</v>
      </c>
      <c r="K173">
        <v>1</v>
      </c>
      <c r="L173">
        <v>3</v>
      </c>
      <c r="M173">
        <v>270</v>
      </c>
      <c r="N173">
        <v>431</v>
      </c>
      <c r="O173">
        <v>2</v>
      </c>
      <c r="P173">
        <v>431</v>
      </c>
      <c r="Q173">
        <v>1</v>
      </c>
      <c r="R173">
        <v>5</v>
      </c>
      <c r="S173">
        <v>2</v>
      </c>
      <c r="T173">
        <v>154</v>
      </c>
      <c r="U173">
        <v>73</v>
      </c>
      <c r="X173">
        <v>184</v>
      </c>
      <c r="Z173">
        <v>2</v>
      </c>
      <c r="AB173">
        <v>3</v>
      </c>
      <c r="AF173">
        <v>0</v>
      </c>
      <c r="AG173">
        <v>0</v>
      </c>
      <c r="AH173">
        <v>0</v>
      </c>
      <c r="AI173">
        <v>0</v>
      </c>
      <c r="AW173">
        <v>0</v>
      </c>
      <c r="AX173">
        <v>7</v>
      </c>
      <c r="AY173">
        <v>431</v>
      </c>
      <c r="AZ173">
        <v>431</v>
      </c>
      <c r="BA173">
        <v>657</v>
      </c>
      <c r="BB173">
        <v>44</v>
      </c>
      <c r="BD173">
        <v>1</v>
      </c>
      <c r="BF173" t="s">
        <v>271</v>
      </c>
      <c r="BG173" s="1">
        <v>44354.052777777775</v>
      </c>
      <c r="BH173" s="1">
        <v>44354.063854166663</v>
      </c>
      <c r="BI173" s="1">
        <v>44354.064270833333</v>
      </c>
      <c r="BJ173" t="s">
        <v>85</v>
      </c>
      <c r="BK173" t="s">
        <v>86</v>
      </c>
      <c r="BL173" t="s">
        <v>87</v>
      </c>
    </row>
    <row r="174" spans="1:64" x14ac:dyDescent="0.3">
      <c r="A174" t="str">
        <f>"200102C0100"</f>
        <v>200102C0100</v>
      </c>
      <c r="B174" t="str">
        <f>"200102C01003"</f>
        <v>200102C01003</v>
      </c>
      <c r="C174" t="str">
        <f t="shared" si="7"/>
        <v>20</v>
      </c>
      <c r="D174" t="s">
        <v>81</v>
      </c>
      <c r="E174" t="str">
        <f t="shared" si="9"/>
        <v>015</v>
      </c>
      <c r="F174" t="s">
        <v>259</v>
      </c>
      <c r="G174" t="str">
        <f>"0102"</f>
        <v>0102</v>
      </c>
      <c r="H174" t="str">
        <f>"0001"</f>
        <v>0001</v>
      </c>
      <c r="I174" t="s">
        <v>89</v>
      </c>
      <c r="J174">
        <v>0</v>
      </c>
      <c r="K174">
        <v>1</v>
      </c>
      <c r="L174">
        <v>3</v>
      </c>
      <c r="M174">
        <v>266</v>
      </c>
      <c r="N174">
        <v>3</v>
      </c>
      <c r="O174">
        <v>3</v>
      </c>
      <c r="P174">
        <v>434</v>
      </c>
      <c r="Q174">
        <v>3</v>
      </c>
      <c r="R174">
        <v>2</v>
      </c>
      <c r="S174">
        <v>1</v>
      </c>
      <c r="T174">
        <v>170</v>
      </c>
      <c r="U174">
        <v>89</v>
      </c>
      <c r="X174">
        <v>156</v>
      </c>
      <c r="Z174">
        <v>3</v>
      </c>
      <c r="AB174">
        <v>2</v>
      </c>
      <c r="AF174" t="s">
        <v>95</v>
      </c>
      <c r="AG174" t="s">
        <v>95</v>
      </c>
      <c r="AH174" t="s">
        <v>95</v>
      </c>
      <c r="AI174" t="s">
        <v>95</v>
      </c>
      <c r="AW174" t="s">
        <v>95</v>
      </c>
      <c r="AX174">
        <v>9</v>
      </c>
      <c r="AY174">
        <v>434</v>
      </c>
      <c r="AZ174">
        <v>435</v>
      </c>
      <c r="BA174">
        <v>657</v>
      </c>
      <c r="BB174">
        <v>44</v>
      </c>
      <c r="BC174" t="s">
        <v>96</v>
      </c>
      <c r="BD174">
        <v>1</v>
      </c>
      <c r="BF174" t="s">
        <v>272</v>
      </c>
      <c r="BG174" s="1">
        <v>44354.04583333333</v>
      </c>
      <c r="BH174" s="1">
        <v>44354.058032407411</v>
      </c>
      <c r="BI174" s="1">
        <v>44354.058287037034</v>
      </c>
      <c r="BJ174" t="s">
        <v>85</v>
      </c>
      <c r="BK174" t="s">
        <v>86</v>
      </c>
      <c r="BL174" t="s">
        <v>87</v>
      </c>
    </row>
    <row r="175" spans="1:64" x14ac:dyDescent="0.3">
      <c r="A175" t="str">
        <f>"200103B0000"</f>
        <v>200103B0000</v>
      </c>
      <c r="B175" t="str">
        <f>"200103B00003"</f>
        <v>200103B00003</v>
      </c>
      <c r="C175" t="str">
        <f t="shared" si="7"/>
        <v>20</v>
      </c>
      <c r="D175" t="s">
        <v>81</v>
      </c>
      <c r="E175" t="str">
        <f t="shared" si="9"/>
        <v>015</v>
      </c>
      <c r="F175" t="s">
        <v>259</v>
      </c>
      <c r="G175" t="str">
        <f>"0103"</f>
        <v>0103</v>
      </c>
      <c r="H175" t="str">
        <f>"0000"</f>
        <v>0000</v>
      </c>
      <c r="I175" t="s">
        <v>83</v>
      </c>
      <c r="J175">
        <v>0</v>
      </c>
      <c r="K175">
        <v>1</v>
      </c>
      <c r="L175">
        <v>3</v>
      </c>
      <c r="M175">
        <v>257</v>
      </c>
      <c r="N175">
        <v>375</v>
      </c>
      <c r="O175">
        <v>4</v>
      </c>
      <c r="P175" t="s">
        <v>92</v>
      </c>
      <c r="Q175">
        <v>0</v>
      </c>
      <c r="R175">
        <v>2</v>
      </c>
      <c r="S175">
        <v>1</v>
      </c>
      <c r="T175">
        <v>111</v>
      </c>
      <c r="U175">
        <v>72</v>
      </c>
      <c r="X175">
        <v>177</v>
      </c>
      <c r="Z175">
        <v>2</v>
      </c>
      <c r="AB175">
        <v>4</v>
      </c>
      <c r="AF175">
        <v>0</v>
      </c>
      <c r="AG175">
        <v>0</v>
      </c>
      <c r="AH175">
        <v>0</v>
      </c>
      <c r="AI175">
        <v>0</v>
      </c>
      <c r="AW175">
        <v>0</v>
      </c>
      <c r="AX175">
        <v>8</v>
      </c>
      <c r="AY175">
        <v>376</v>
      </c>
      <c r="AZ175">
        <v>377</v>
      </c>
      <c r="BA175">
        <v>592</v>
      </c>
      <c r="BB175">
        <v>44</v>
      </c>
      <c r="BD175">
        <v>1</v>
      </c>
      <c r="BF175" t="s">
        <v>273</v>
      </c>
      <c r="BG175" s="1">
        <v>44353.999837962961</v>
      </c>
      <c r="BH175" s="1">
        <v>44354.00409722222</v>
      </c>
      <c r="BI175" s="1">
        <v>44354.004594907405</v>
      </c>
      <c r="BJ175" t="s">
        <v>197</v>
      </c>
      <c r="BK175" t="s">
        <v>198</v>
      </c>
      <c r="BL175" t="s">
        <v>87</v>
      </c>
    </row>
    <row r="176" spans="1:64" x14ac:dyDescent="0.3">
      <c r="A176" t="str">
        <f>"200103C0100"</f>
        <v>200103C0100</v>
      </c>
      <c r="B176" t="str">
        <f>"200103C01003"</f>
        <v>200103C01003</v>
      </c>
      <c r="C176" t="str">
        <f t="shared" si="7"/>
        <v>20</v>
      </c>
      <c r="D176" t="s">
        <v>81</v>
      </c>
      <c r="E176" t="str">
        <f t="shared" si="9"/>
        <v>015</v>
      </c>
      <c r="F176" t="s">
        <v>259</v>
      </c>
      <c r="G176" t="str">
        <f>"0103"</f>
        <v>0103</v>
      </c>
      <c r="H176" t="str">
        <f>"0001"</f>
        <v>0001</v>
      </c>
      <c r="I176" t="s">
        <v>89</v>
      </c>
      <c r="J176">
        <v>0</v>
      </c>
      <c r="K176">
        <v>1</v>
      </c>
      <c r="L176">
        <v>3</v>
      </c>
      <c r="M176">
        <v>387</v>
      </c>
      <c r="N176">
        <v>350</v>
      </c>
      <c r="O176">
        <v>1</v>
      </c>
      <c r="P176">
        <v>350</v>
      </c>
      <c r="Q176">
        <v>0</v>
      </c>
      <c r="R176">
        <v>2</v>
      </c>
      <c r="S176">
        <v>3</v>
      </c>
      <c r="T176">
        <v>96</v>
      </c>
      <c r="U176">
        <v>88</v>
      </c>
      <c r="X176">
        <v>144</v>
      </c>
      <c r="Z176">
        <v>3</v>
      </c>
      <c r="AB176">
        <v>0</v>
      </c>
      <c r="AF176">
        <v>0</v>
      </c>
      <c r="AG176">
        <v>0</v>
      </c>
      <c r="AH176">
        <v>0</v>
      </c>
      <c r="AI176">
        <v>0</v>
      </c>
      <c r="AW176">
        <v>0</v>
      </c>
      <c r="AX176">
        <v>8</v>
      </c>
      <c r="AY176">
        <v>350</v>
      </c>
      <c r="AZ176">
        <v>344</v>
      </c>
      <c r="BA176">
        <v>592</v>
      </c>
      <c r="BB176">
        <v>44</v>
      </c>
      <c r="BD176">
        <v>1</v>
      </c>
      <c r="BF176" t="s">
        <v>274</v>
      </c>
      <c r="BG176" s="1">
        <v>44353.975694444445</v>
      </c>
      <c r="BH176" s="1">
        <v>44353.97792824074</v>
      </c>
      <c r="BI176" s="1">
        <v>44353.978865740741</v>
      </c>
      <c r="BJ176" t="s">
        <v>197</v>
      </c>
      <c r="BK176" t="s">
        <v>198</v>
      </c>
      <c r="BL176" t="s">
        <v>87</v>
      </c>
    </row>
    <row r="177" spans="1:64" x14ac:dyDescent="0.3">
      <c r="A177" t="str">
        <f>"200104B0000"</f>
        <v>200104B0000</v>
      </c>
      <c r="B177" t="str">
        <f>"200104B00003"</f>
        <v>200104B00003</v>
      </c>
      <c r="C177" t="str">
        <f t="shared" si="7"/>
        <v>20</v>
      </c>
      <c r="D177" t="s">
        <v>81</v>
      </c>
      <c r="E177" t="str">
        <f t="shared" ref="E177:E190" si="10">"016"</f>
        <v>016</v>
      </c>
      <c r="F177" t="s">
        <v>275</v>
      </c>
      <c r="G177" t="str">
        <f>"0104"</f>
        <v>0104</v>
      </c>
      <c r="H177" t="str">
        <f>"0000"</f>
        <v>0000</v>
      </c>
      <c r="I177" t="s">
        <v>83</v>
      </c>
      <c r="J177">
        <v>0</v>
      </c>
      <c r="K177">
        <v>1</v>
      </c>
      <c r="L177">
        <v>3</v>
      </c>
      <c r="M177">
        <v>243</v>
      </c>
      <c r="N177">
        <v>342</v>
      </c>
      <c r="O177">
        <v>0</v>
      </c>
      <c r="P177">
        <v>342</v>
      </c>
      <c r="Q177">
        <v>0</v>
      </c>
      <c r="R177">
        <v>4</v>
      </c>
      <c r="S177">
        <v>35</v>
      </c>
      <c r="T177">
        <v>0</v>
      </c>
      <c r="U177">
        <v>87</v>
      </c>
      <c r="W177">
        <v>39</v>
      </c>
      <c r="X177">
        <v>96</v>
      </c>
      <c r="Y177">
        <v>71</v>
      </c>
      <c r="Z177">
        <v>0</v>
      </c>
      <c r="AB177">
        <v>1</v>
      </c>
      <c r="AF177">
        <v>1</v>
      </c>
      <c r="AG177">
        <v>0</v>
      </c>
      <c r="AH177">
        <v>0</v>
      </c>
      <c r="AI177">
        <v>0</v>
      </c>
      <c r="AW177">
        <v>0</v>
      </c>
      <c r="AX177">
        <v>0</v>
      </c>
      <c r="AY177">
        <v>342</v>
      </c>
      <c r="AZ177">
        <v>334</v>
      </c>
      <c r="BA177">
        <v>541</v>
      </c>
      <c r="BB177">
        <v>44</v>
      </c>
      <c r="BD177">
        <v>1</v>
      </c>
      <c r="BF177" t="s">
        <v>276</v>
      </c>
      <c r="BG177" s="1">
        <v>44353.970833333333</v>
      </c>
      <c r="BH177" s="1">
        <v>44353.978020833332</v>
      </c>
      <c r="BI177" s="1">
        <v>44353.978784722225</v>
      </c>
      <c r="BJ177" t="s">
        <v>85</v>
      </c>
      <c r="BK177" t="s">
        <v>86</v>
      </c>
      <c r="BL177" t="s">
        <v>87</v>
      </c>
    </row>
    <row r="178" spans="1:64" x14ac:dyDescent="0.3">
      <c r="A178" t="str">
        <f>"200104C0100"</f>
        <v>200104C0100</v>
      </c>
      <c r="B178" t="str">
        <f>"200104C01003"</f>
        <v>200104C01003</v>
      </c>
      <c r="C178" t="str">
        <f t="shared" si="7"/>
        <v>20</v>
      </c>
      <c r="D178" t="s">
        <v>81</v>
      </c>
      <c r="E178" t="str">
        <f t="shared" si="10"/>
        <v>016</v>
      </c>
      <c r="F178" t="s">
        <v>275</v>
      </c>
      <c r="G178" t="str">
        <f>"0104"</f>
        <v>0104</v>
      </c>
      <c r="H178" t="str">
        <f>"0001"</f>
        <v>0001</v>
      </c>
      <c r="I178" t="s">
        <v>89</v>
      </c>
      <c r="J178">
        <v>0</v>
      </c>
      <c r="K178">
        <v>1</v>
      </c>
      <c r="L178">
        <v>3</v>
      </c>
      <c r="M178">
        <v>230</v>
      </c>
      <c r="N178">
        <v>355</v>
      </c>
      <c r="O178">
        <v>3</v>
      </c>
      <c r="P178">
        <v>354</v>
      </c>
      <c r="Q178">
        <v>0</v>
      </c>
      <c r="R178">
        <v>7</v>
      </c>
      <c r="S178">
        <v>48</v>
      </c>
      <c r="T178">
        <v>2</v>
      </c>
      <c r="U178">
        <v>64</v>
      </c>
      <c r="W178">
        <v>47</v>
      </c>
      <c r="X178">
        <v>108</v>
      </c>
      <c r="Y178">
        <v>51</v>
      </c>
      <c r="Z178">
        <v>4</v>
      </c>
      <c r="AB178">
        <v>3</v>
      </c>
      <c r="AF178">
        <v>1</v>
      </c>
      <c r="AG178">
        <v>0</v>
      </c>
      <c r="AH178">
        <v>1</v>
      </c>
      <c r="AI178">
        <v>2</v>
      </c>
      <c r="AW178">
        <v>0</v>
      </c>
      <c r="AX178">
        <v>16</v>
      </c>
      <c r="AY178">
        <v>354</v>
      </c>
      <c r="AZ178">
        <v>354</v>
      </c>
      <c r="BA178">
        <v>541</v>
      </c>
      <c r="BB178">
        <v>44</v>
      </c>
      <c r="BD178">
        <v>1</v>
      </c>
      <c r="BF178" t="s">
        <v>277</v>
      </c>
      <c r="BG178" s="1">
        <v>44353.988888888889</v>
      </c>
      <c r="BH178" s="1">
        <v>44353.994513888887</v>
      </c>
      <c r="BI178" s="1">
        <v>44353.995104166665</v>
      </c>
      <c r="BJ178" t="s">
        <v>85</v>
      </c>
      <c r="BK178" t="s">
        <v>86</v>
      </c>
      <c r="BL178" t="s">
        <v>87</v>
      </c>
    </row>
    <row r="179" spans="1:64" x14ac:dyDescent="0.3">
      <c r="A179" t="str">
        <f>"200105B0000"</f>
        <v>200105B0000</v>
      </c>
      <c r="B179" t="str">
        <f>"200105B00003"</f>
        <v>200105B00003</v>
      </c>
      <c r="C179" t="str">
        <f t="shared" si="7"/>
        <v>20</v>
      </c>
      <c r="D179" t="s">
        <v>81</v>
      </c>
      <c r="E179" t="str">
        <f t="shared" si="10"/>
        <v>016</v>
      </c>
      <c r="F179" t="s">
        <v>275</v>
      </c>
      <c r="G179" t="str">
        <f>"0105"</f>
        <v>0105</v>
      </c>
      <c r="H179" t="str">
        <f>"0000"</f>
        <v>0000</v>
      </c>
      <c r="I179" t="s">
        <v>83</v>
      </c>
      <c r="J179">
        <v>0</v>
      </c>
      <c r="K179">
        <v>1</v>
      </c>
      <c r="L179">
        <v>3</v>
      </c>
      <c r="M179">
        <v>270</v>
      </c>
      <c r="N179">
        <v>393</v>
      </c>
      <c r="O179">
        <v>0</v>
      </c>
      <c r="P179">
        <v>393</v>
      </c>
      <c r="Q179">
        <v>1</v>
      </c>
      <c r="R179">
        <v>7</v>
      </c>
      <c r="S179">
        <v>63</v>
      </c>
      <c r="T179">
        <v>1</v>
      </c>
      <c r="U179">
        <v>60</v>
      </c>
      <c r="W179">
        <v>51</v>
      </c>
      <c r="X179">
        <v>142</v>
      </c>
      <c r="Y179">
        <v>46</v>
      </c>
      <c r="Z179">
        <v>2</v>
      </c>
      <c r="AB179">
        <v>1</v>
      </c>
      <c r="AF179">
        <v>3</v>
      </c>
      <c r="AG179">
        <v>0</v>
      </c>
      <c r="AH179">
        <v>1</v>
      </c>
      <c r="AI179">
        <v>0</v>
      </c>
      <c r="AW179">
        <v>0</v>
      </c>
      <c r="AX179">
        <v>15</v>
      </c>
      <c r="AY179">
        <v>393</v>
      </c>
      <c r="AZ179">
        <v>393</v>
      </c>
      <c r="BA179">
        <v>619</v>
      </c>
      <c r="BB179">
        <v>44</v>
      </c>
      <c r="BD179">
        <v>1</v>
      </c>
      <c r="BF179" t="s">
        <v>278</v>
      </c>
      <c r="BG179" s="1">
        <v>44353.931944444441</v>
      </c>
      <c r="BH179" s="1">
        <v>44353.941932870373</v>
      </c>
      <c r="BI179" s="1">
        <v>44353.942835648151</v>
      </c>
      <c r="BJ179" t="s">
        <v>85</v>
      </c>
      <c r="BK179" t="s">
        <v>86</v>
      </c>
      <c r="BL179" t="s">
        <v>87</v>
      </c>
    </row>
    <row r="180" spans="1:64" x14ac:dyDescent="0.3">
      <c r="A180" t="str">
        <f>"200105C0100"</f>
        <v>200105C0100</v>
      </c>
      <c r="B180" t="str">
        <f>"200105C01003"</f>
        <v>200105C01003</v>
      </c>
      <c r="C180" t="str">
        <f t="shared" si="7"/>
        <v>20</v>
      </c>
      <c r="D180" t="s">
        <v>81</v>
      </c>
      <c r="E180" t="str">
        <f t="shared" si="10"/>
        <v>016</v>
      </c>
      <c r="F180" t="s">
        <v>275</v>
      </c>
      <c r="G180" t="str">
        <f>"0105"</f>
        <v>0105</v>
      </c>
      <c r="H180" t="str">
        <f>"0001"</f>
        <v>0001</v>
      </c>
      <c r="I180" t="s">
        <v>89</v>
      </c>
      <c r="J180">
        <v>0</v>
      </c>
      <c r="K180">
        <v>1</v>
      </c>
      <c r="L180">
        <v>3</v>
      </c>
      <c r="M180">
        <v>282</v>
      </c>
      <c r="N180">
        <v>380</v>
      </c>
      <c r="O180">
        <v>1</v>
      </c>
      <c r="P180">
        <v>380</v>
      </c>
      <c r="Q180">
        <v>3</v>
      </c>
      <c r="R180">
        <v>17</v>
      </c>
      <c r="S180">
        <v>35</v>
      </c>
      <c r="T180">
        <v>3</v>
      </c>
      <c r="U180">
        <v>100</v>
      </c>
      <c r="W180">
        <v>42</v>
      </c>
      <c r="X180">
        <v>132</v>
      </c>
      <c r="Y180">
        <v>30</v>
      </c>
      <c r="Z180">
        <v>0</v>
      </c>
      <c r="AB180">
        <v>2</v>
      </c>
      <c r="AF180">
        <v>0</v>
      </c>
      <c r="AG180">
        <v>0</v>
      </c>
      <c r="AH180">
        <v>0</v>
      </c>
      <c r="AI180">
        <v>0</v>
      </c>
      <c r="AW180">
        <v>1</v>
      </c>
      <c r="AX180">
        <v>15</v>
      </c>
      <c r="AY180">
        <v>380</v>
      </c>
      <c r="AZ180">
        <v>380</v>
      </c>
      <c r="BA180">
        <v>618</v>
      </c>
      <c r="BB180">
        <v>44</v>
      </c>
      <c r="BD180">
        <v>1</v>
      </c>
      <c r="BF180" t="s">
        <v>279</v>
      </c>
      <c r="BG180" s="1">
        <v>44353.927083333336</v>
      </c>
      <c r="BH180" s="1">
        <v>44353.93414351852</v>
      </c>
      <c r="BI180" s="1">
        <v>44353.935208333336</v>
      </c>
      <c r="BJ180" t="s">
        <v>85</v>
      </c>
      <c r="BK180" t="s">
        <v>86</v>
      </c>
      <c r="BL180" t="s">
        <v>87</v>
      </c>
    </row>
    <row r="181" spans="1:64" x14ac:dyDescent="0.3">
      <c r="A181" t="str">
        <f>"200106B0000"</f>
        <v>200106B0000</v>
      </c>
      <c r="B181" t="str">
        <f>"200106B00003"</f>
        <v>200106B00003</v>
      </c>
      <c r="C181" t="str">
        <f t="shared" si="7"/>
        <v>20</v>
      </c>
      <c r="D181" t="s">
        <v>81</v>
      </c>
      <c r="E181" t="str">
        <f t="shared" si="10"/>
        <v>016</v>
      </c>
      <c r="F181" t="s">
        <v>275</v>
      </c>
      <c r="G181" t="str">
        <f>"0106"</f>
        <v>0106</v>
      </c>
      <c r="H181" t="str">
        <f>"0000"</f>
        <v>0000</v>
      </c>
      <c r="I181" t="s">
        <v>83</v>
      </c>
      <c r="J181">
        <v>0</v>
      </c>
      <c r="K181">
        <v>1</v>
      </c>
      <c r="L181">
        <v>3</v>
      </c>
      <c r="M181">
        <v>230</v>
      </c>
      <c r="N181">
        <v>328</v>
      </c>
      <c r="O181">
        <v>0</v>
      </c>
      <c r="P181">
        <v>328</v>
      </c>
      <c r="Q181">
        <v>1</v>
      </c>
      <c r="R181">
        <v>3</v>
      </c>
      <c r="S181">
        <v>60</v>
      </c>
      <c r="T181">
        <v>2</v>
      </c>
      <c r="U181">
        <v>78</v>
      </c>
      <c r="W181">
        <v>51</v>
      </c>
      <c r="X181">
        <v>74</v>
      </c>
      <c r="Y181">
        <v>35</v>
      </c>
      <c r="Z181">
        <v>4</v>
      </c>
      <c r="AB181">
        <v>1</v>
      </c>
      <c r="AF181">
        <v>0</v>
      </c>
      <c r="AG181">
        <v>0</v>
      </c>
      <c r="AH181">
        <v>0</v>
      </c>
      <c r="AI181">
        <v>0</v>
      </c>
      <c r="AW181">
        <v>0</v>
      </c>
      <c r="AX181">
        <v>19</v>
      </c>
      <c r="AY181">
        <v>328</v>
      </c>
      <c r="AZ181">
        <v>328</v>
      </c>
      <c r="BA181">
        <v>514</v>
      </c>
      <c r="BB181">
        <v>44</v>
      </c>
      <c r="BD181">
        <v>1</v>
      </c>
      <c r="BF181" t="s">
        <v>280</v>
      </c>
      <c r="BG181" s="1">
        <v>44353.967361111114</v>
      </c>
      <c r="BH181" s="1">
        <v>44353.981365740743</v>
      </c>
      <c r="BI181" s="1">
        <v>44353.981956018521</v>
      </c>
      <c r="BJ181" t="s">
        <v>85</v>
      </c>
      <c r="BK181" t="s">
        <v>86</v>
      </c>
      <c r="BL181" t="s">
        <v>87</v>
      </c>
    </row>
    <row r="182" spans="1:64" x14ac:dyDescent="0.3">
      <c r="A182" t="str">
        <f>"200106C0100"</f>
        <v>200106C0100</v>
      </c>
      <c r="B182" t="str">
        <f>"200106C01003"</f>
        <v>200106C01003</v>
      </c>
      <c r="C182" t="str">
        <f t="shared" si="7"/>
        <v>20</v>
      </c>
      <c r="D182" t="s">
        <v>81</v>
      </c>
      <c r="E182" t="str">
        <f t="shared" si="10"/>
        <v>016</v>
      </c>
      <c r="F182" t="s">
        <v>275</v>
      </c>
      <c r="G182" t="str">
        <f>"0106"</f>
        <v>0106</v>
      </c>
      <c r="H182" t="str">
        <f>"0001"</f>
        <v>0001</v>
      </c>
      <c r="I182" t="s">
        <v>89</v>
      </c>
      <c r="J182">
        <v>0</v>
      </c>
      <c r="K182">
        <v>1</v>
      </c>
      <c r="L182">
        <v>3</v>
      </c>
      <c r="M182">
        <v>235</v>
      </c>
      <c r="N182">
        <v>323</v>
      </c>
      <c r="O182">
        <v>0</v>
      </c>
      <c r="P182">
        <v>323</v>
      </c>
      <c r="Q182">
        <v>0</v>
      </c>
      <c r="R182">
        <v>3</v>
      </c>
      <c r="S182">
        <v>50</v>
      </c>
      <c r="T182">
        <v>0</v>
      </c>
      <c r="U182">
        <v>87</v>
      </c>
      <c r="W182">
        <v>48</v>
      </c>
      <c r="X182">
        <v>74</v>
      </c>
      <c r="Y182">
        <v>41</v>
      </c>
      <c r="Z182">
        <v>1</v>
      </c>
      <c r="AB182">
        <v>1</v>
      </c>
      <c r="AF182">
        <v>0</v>
      </c>
      <c r="AG182">
        <v>0</v>
      </c>
      <c r="AH182">
        <v>0</v>
      </c>
      <c r="AI182">
        <v>1</v>
      </c>
      <c r="AW182">
        <v>1</v>
      </c>
      <c r="AX182">
        <v>16</v>
      </c>
      <c r="AY182">
        <v>323</v>
      </c>
      <c r="AZ182">
        <v>323</v>
      </c>
      <c r="BA182">
        <v>514</v>
      </c>
      <c r="BB182">
        <v>44</v>
      </c>
      <c r="BD182">
        <v>1</v>
      </c>
      <c r="BF182" t="s">
        <v>281</v>
      </c>
      <c r="BG182" s="1">
        <v>44353.941666666666</v>
      </c>
      <c r="BH182" s="1">
        <v>44353.948842592596</v>
      </c>
      <c r="BI182" s="1">
        <v>44353.949745370373</v>
      </c>
      <c r="BJ182" t="s">
        <v>85</v>
      </c>
      <c r="BK182" t="s">
        <v>86</v>
      </c>
      <c r="BL182" t="s">
        <v>87</v>
      </c>
    </row>
    <row r="183" spans="1:64" x14ac:dyDescent="0.3">
      <c r="A183" t="str">
        <f>"200106S0100"</f>
        <v>200106S0100</v>
      </c>
      <c r="B183" t="str">
        <f>"200106S01003E"</f>
        <v>200106S01003E</v>
      </c>
      <c r="C183" t="str">
        <f t="shared" si="7"/>
        <v>20</v>
      </c>
      <c r="D183" t="s">
        <v>81</v>
      </c>
      <c r="E183" t="str">
        <f t="shared" si="10"/>
        <v>016</v>
      </c>
      <c r="F183" t="s">
        <v>275</v>
      </c>
      <c r="G183" t="str">
        <f>"0106"</f>
        <v>0106</v>
      </c>
      <c r="H183" t="str">
        <f>"0001"</f>
        <v>0001</v>
      </c>
      <c r="I183" t="s">
        <v>99</v>
      </c>
      <c r="J183">
        <v>0</v>
      </c>
      <c r="K183">
        <v>1</v>
      </c>
      <c r="L183" t="s">
        <v>100</v>
      </c>
      <c r="M183">
        <v>935</v>
      </c>
      <c r="N183">
        <v>65</v>
      </c>
      <c r="O183">
        <v>0</v>
      </c>
      <c r="P183">
        <v>65</v>
      </c>
      <c r="Q183">
        <v>0</v>
      </c>
      <c r="R183">
        <v>1</v>
      </c>
      <c r="S183">
        <v>5</v>
      </c>
      <c r="T183">
        <v>1</v>
      </c>
      <c r="U183">
        <v>8</v>
      </c>
      <c r="W183">
        <v>2</v>
      </c>
      <c r="X183">
        <v>24</v>
      </c>
      <c r="Y183">
        <v>18</v>
      </c>
      <c r="Z183">
        <v>3</v>
      </c>
      <c r="AB183">
        <v>0</v>
      </c>
      <c r="AF183">
        <v>0</v>
      </c>
      <c r="AG183">
        <v>0</v>
      </c>
      <c r="AH183">
        <v>0</v>
      </c>
      <c r="AI183">
        <v>0</v>
      </c>
      <c r="AW183">
        <v>0</v>
      </c>
      <c r="AX183">
        <v>3</v>
      </c>
      <c r="AY183">
        <v>65</v>
      </c>
      <c r="AZ183">
        <v>65</v>
      </c>
      <c r="BA183">
        <v>0</v>
      </c>
      <c r="BB183">
        <v>44</v>
      </c>
      <c r="BD183">
        <v>1</v>
      </c>
      <c r="BF183" t="s">
        <v>282</v>
      </c>
      <c r="BG183" s="1">
        <v>44354.01458333333</v>
      </c>
      <c r="BH183" s="1">
        <v>44354.027870370373</v>
      </c>
      <c r="BI183" s="1">
        <v>44354.028564814813</v>
      </c>
      <c r="BJ183" t="s">
        <v>85</v>
      </c>
      <c r="BK183" t="s">
        <v>86</v>
      </c>
      <c r="BL183" t="s">
        <v>87</v>
      </c>
    </row>
    <row r="184" spans="1:64" x14ac:dyDescent="0.3">
      <c r="A184" t="str">
        <f>"200107B0000"</f>
        <v>200107B0000</v>
      </c>
      <c r="B184" t="str">
        <f>"200107B00003"</f>
        <v>200107B00003</v>
      </c>
      <c r="C184" t="str">
        <f t="shared" si="7"/>
        <v>20</v>
      </c>
      <c r="D184" t="s">
        <v>81</v>
      </c>
      <c r="E184" t="str">
        <f t="shared" si="10"/>
        <v>016</v>
      </c>
      <c r="F184" t="s">
        <v>275</v>
      </c>
      <c r="G184" t="str">
        <f>"0107"</f>
        <v>0107</v>
      </c>
      <c r="H184" t="str">
        <f>"0000"</f>
        <v>0000</v>
      </c>
      <c r="I184" t="s">
        <v>83</v>
      </c>
      <c r="J184">
        <v>0</v>
      </c>
      <c r="K184">
        <v>1</v>
      </c>
      <c r="L184">
        <v>3</v>
      </c>
      <c r="M184">
        <v>306</v>
      </c>
      <c r="N184">
        <v>401</v>
      </c>
      <c r="O184">
        <v>0</v>
      </c>
      <c r="P184">
        <v>401</v>
      </c>
      <c r="Q184">
        <v>1</v>
      </c>
      <c r="R184">
        <v>5</v>
      </c>
      <c r="S184">
        <v>60</v>
      </c>
      <c r="T184">
        <v>3</v>
      </c>
      <c r="U184">
        <v>67</v>
      </c>
      <c r="W184">
        <v>36</v>
      </c>
      <c r="X184">
        <v>131</v>
      </c>
      <c r="Y184">
        <v>68</v>
      </c>
      <c r="Z184">
        <v>3</v>
      </c>
      <c r="AB184">
        <v>6</v>
      </c>
      <c r="AF184">
        <v>1</v>
      </c>
      <c r="AG184">
        <v>0</v>
      </c>
      <c r="AH184">
        <v>0</v>
      </c>
      <c r="AI184">
        <v>0</v>
      </c>
      <c r="AW184">
        <v>3</v>
      </c>
      <c r="AX184">
        <v>17</v>
      </c>
      <c r="AY184">
        <v>401</v>
      </c>
      <c r="AZ184">
        <v>401</v>
      </c>
      <c r="BA184">
        <v>663</v>
      </c>
      <c r="BB184">
        <v>44</v>
      </c>
      <c r="BD184">
        <v>1</v>
      </c>
      <c r="BF184" t="s">
        <v>283</v>
      </c>
      <c r="BG184" s="1">
        <v>44353.959027777775</v>
      </c>
      <c r="BH184" s="1">
        <v>44353.963020833333</v>
      </c>
      <c r="BI184" s="1">
        <v>44353.963506944441</v>
      </c>
      <c r="BJ184" t="s">
        <v>85</v>
      </c>
      <c r="BK184" t="s">
        <v>86</v>
      </c>
      <c r="BL184" t="s">
        <v>87</v>
      </c>
    </row>
    <row r="185" spans="1:64" x14ac:dyDescent="0.3">
      <c r="A185" t="str">
        <f>"200107E0100"</f>
        <v>200107E0100</v>
      </c>
      <c r="B185" t="str">
        <f>"200107E01003"</f>
        <v>200107E01003</v>
      </c>
      <c r="C185" t="str">
        <f t="shared" si="7"/>
        <v>20</v>
      </c>
      <c r="D185" t="s">
        <v>81</v>
      </c>
      <c r="E185" t="str">
        <f t="shared" si="10"/>
        <v>016</v>
      </c>
      <c r="F185" t="s">
        <v>275</v>
      </c>
      <c r="G185" t="str">
        <f>"0107"</f>
        <v>0107</v>
      </c>
      <c r="H185" t="str">
        <f>"0001"</f>
        <v>0001</v>
      </c>
      <c r="I185" t="s">
        <v>122</v>
      </c>
      <c r="J185">
        <v>0</v>
      </c>
      <c r="K185">
        <v>1</v>
      </c>
      <c r="L185">
        <v>3</v>
      </c>
      <c r="M185">
        <v>221</v>
      </c>
      <c r="N185">
        <v>536</v>
      </c>
      <c r="O185">
        <v>2</v>
      </c>
      <c r="P185">
        <v>315</v>
      </c>
      <c r="Q185">
        <v>0</v>
      </c>
      <c r="R185">
        <v>2</v>
      </c>
      <c r="S185">
        <v>21</v>
      </c>
      <c r="T185">
        <v>1</v>
      </c>
      <c r="U185">
        <v>68</v>
      </c>
      <c r="W185">
        <v>75</v>
      </c>
      <c r="X185">
        <v>88</v>
      </c>
      <c r="Y185">
        <v>41</v>
      </c>
      <c r="Z185">
        <v>2</v>
      </c>
      <c r="AB185">
        <v>1</v>
      </c>
      <c r="AF185">
        <v>1</v>
      </c>
      <c r="AG185">
        <v>0</v>
      </c>
      <c r="AH185">
        <v>0</v>
      </c>
      <c r="AI185">
        <v>0</v>
      </c>
      <c r="AW185">
        <v>0</v>
      </c>
      <c r="AX185">
        <v>15</v>
      </c>
      <c r="AY185">
        <v>315</v>
      </c>
      <c r="AZ185">
        <v>315</v>
      </c>
      <c r="BA185">
        <v>492</v>
      </c>
      <c r="BB185">
        <v>44</v>
      </c>
      <c r="BD185">
        <v>1</v>
      </c>
      <c r="BF185" t="s">
        <v>284</v>
      </c>
      <c r="BG185" s="1">
        <v>44353.963888888888</v>
      </c>
      <c r="BH185" s="1">
        <v>44353.97351851852</v>
      </c>
      <c r="BI185" s="1">
        <v>44353.973900462966</v>
      </c>
      <c r="BJ185" t="s">
        <v>85</v>
      </c>
      <c r="BK185" t="s">
        <v>86</v>
      </c>
      <c r="BL185" t="s">
        <v>87</v>
      </c>
    </row>
    <row r="186" spans="1:64" x14ac:dyDescent="0.3">
      <c r="A186" t="str">
        <f>"200108B0000"</f>
        <v>200108B0000</v>
      </c>
      <c r="B186" t="str">
        <f>"200108B00003"</f>
        <v>200108B00003</v>
      </c>
      <c r="C186" t="str">
        <f t="shared" si="7"/>
        <v>20</v>
      </c>
      <c r="D186" t="s">
        <v>81</v>
      </c>
      <c r="E186" t="str">
        <f t="shared" si="10"/>
        <v>016</v>
      </c>
      <c r="F186" t="s">
        <v>275</v>
      </c>
      <c r="G186" t="str">
        <f>"0108"</f>
        <v>0108</v>
      </c>
      <c r="H186" t="str">
        <f>"0000"</f>
        <v>0000</v>
      </c>
      <c r="I186" t="s">
        <v>83</v>
      </c>
      <c r="J186">
        <v>0</v>
      </c>
      <c r="K186">
        <v>1</v>
      </c>
      <c r="L186">
        <v>3</v>
      </c>
      <c r="M186">
        <v>231</v>
      </c>
      <c r="N186">
        <v>340</v>
      </c>
      <c r="O186">
        <v>1</v>
      </c>
      <c r="P186">
        <v>340</v>
      </c>
      <c r="Q186">
        <v>3</v>
      </c>
      <c r="R186">
        <v>0</v>
      </c>
      <c r="S186">
        <v>47</v>
      </c>
      <c r="T186">
        <v>7</v>
      </c>
      <c r="U186">
        <v>123</v>
      </c>
      <c r="W186">
        <v>12</v>
      </c>
      <c r="X186">
        <v>77</v>
      </c>
      <c r="Y186">
        <v>33</v>
      </c>
      <c r="Z186">
        <v>5</v>
      </c>
      <c r="AB186">
        <v>3</v>
      </c>
      <c r="AF186">
        <v>1</v>
      </c>
      <c r="AG186">
        <v>0</v>
      </c>
      <c r="AH186">
        <v>0</v>
      </c>
      <c r="AI186">
        <v>0</v>
      </c>
      <c r="AW186">
        <v>0</v>
      </c>
      <c r="AX186">
        <v>29</v>
      </c>
      <c r="AY186">
        <v>340</v>
      </c>
      <c r="AZ186">
        <v>340</v>
      </c>
      <c r="BA186">
        <v>527</v>
      </c>
      <c r="BB186">
        <v>44</v>
      </c>
      <c r="BD186">
        <v>1</v>
      </c>
      <c r="BF186" t="s">
        <v>285</v>
      </c>
      <c r="BG186" s="1">
        <v>44354.090277777781</v>
      </c>
      <c r="BH186" s="1">
        <v>44354.097650462965</v>
      </c>
      <c r="BI186" s="1">
        <v>44354.098229166666</v>
      </c>
      <c r="BJ186" t="s">
        <v>85</v>
      </c>
      <c r="BK186" t="s">
        <v>86</v>
      </c>
      <c r="BL186" t="s">
        <v>87</v>
      </c>
    </row>
    <row r="187" spans="1:64" x14ac:dyDescent="0.3">
      <c r="A187" t="str">
        <f>"200109B0000"</f>
        <v>200109B0000</v>
      </c>
      <c r="B187" t="str">
        <f>"200109B00003"</f>
        <v>200109B00003</v>
      </c>
      <c r="C187" t="str">
        <f t="shared" si="7"/>
        <v>20</v>
      </c>
      <c r="D187" t="s">
        <v>81</v>
      </c>
      <c r="E187" t="str">
        <f t="shared" si="10"/>
        <v>016</v>
      </c>
      <c r="F187" t="s">
        <v>275</v>
      </c>
      <c r="G187" t="str">
        <f>"0109"</f>
        <v>0109</v>
      </c>
      <c r="H187" t="str">
        <f>"0000"</f>
        <v>0000</v>
      </c>
      <c r="I187" t="s">
        <v>83</v>
      </c>
      <c r="J187">
        <v>0</v>
      </c>
      <c r="K187">
        <v>1</v>
      </c>
      <c r="L187">
        <v>3</v>
      </c>
      <c r="M187">
        <v>178</v>
      </c>
      <c r="N187">
        <v>303</v>
      </c>
      <c r="O187">
        <v>5</v>
      </c>
      <c r="P187">
        <v>303</v>
      </c>
      <c r="Q187">
        <v>1</v>
      </c>
      <c r="R187">
        <v>5</v>
      </c>
      <c r="S187">
        <v>51</v>
      </c>
      <c r="T187">
        <v>1</v>
      </c>
      <c r="U187">
        <v>24</v>
      </c>
      <c r="W187">
        <v>14</v>
      </c>
      <c r="X187">
        <v>84</v>
      </c>
      <c r="Y187">
        <v>100</v>
      </c>
      <c r="Z187">
        <v>1</v>
      </c>
      <c r="AB187">
        <v>4</v>
      </c>
      <c r="AF187">
        <v>6</v>
      </c>
      <c r="AG187">
        <v>1</v>
      </c>
      <c r="AH187">
        <v>0</v>
      </c>
      <c r="AI187">
        <v>1</v>
      </c>
      <c r="AW187">
        <v>0</v>
      </c>
      <c r="AX187">
        <v>16</v>
      </c>
      <c r="AY187">
        <v>303</v>
      </c>
      <c r="AZ187">
        <v>309</v>
      </c>
      <c r="BA187">
        <v>437</v>
      </c>
      <c r="BB187">
        <v>44</v>
      </c>
      <c r="BD187">
        <v>1</v>
      </c>
      <c r="BF187" t="s">
        <v>286</v>
      </c>
      <c r="BG187" s="1">
        <v>44354.120833333334</v>
      </c>
      <c r="BH187" s="1">
        <v>44354.128194444442</v>
      </c>
      <c r="BI187" s="1">
        <v>44354.128692129627</v>
      </c>
      <c r="BJ187" t="s">
        <v>85</v>
      </c>
      <c r="BK187" t="s">
        <v>86</v>
      </c>
      <c r="BL187" t="s">
        <v>87</v>
      </c>
    </row>
    <row r="188" spans="1:64" x14ac:dyDescent="0.3">
      <c r="A188" t="str">
        <f>"200109E0100"</f>
        <v>200109E0100</v>
      </c>
      <c r="B188" t="str">
        <f>"200109E01003"</f>
        <v>200109E01003</v>
      </c>
      <c r="C188" t="str">
        <f t="shared" si="7"/>
        <v>20</v>
      </c>
      <c r="D188" t="s">
        <v>81</v>
      </c>
      <c r="E188" t="str">
        <f t="shared" si="10"/>
        <v>016</v>
      </c>
      <c r="F188" t="s">
        <v>275</v>
      </c>
      <c r="G188" t="str">
        <f>"0109"</f>
        <v>0109</v>
      </c>
      <c r="H188" t="str">
        <f>"0001"</f>
        <v>0001</v>
      </c>
      <c r="I188" t="s">
        <v>122</v>
      </c>
      <c r="J188">
        <v>0</v>
      </c>
      <c r="K188">
        <v>1</v>
      </c>
      <c r="L188">
        <v>3</v>
      </c>
      <c r="M188">
        <v>144</v>
      </c>
      <c r="N188">
        <v>247</v>
      </c>
      <c r="O188">
        <v>3</v>
      </c>
      <c r="P188">
        <v>247</v>
      </c>
      <c r="Q188">
        <v>0</v>
      </c>
      <c r="R188">
        <v>4</v>
      </c>
      <c r="S188">
        <v>44</v>
      </c>
      <c r="T188">
        <v>0</v>
      </c>
      <c r="U188">
        <v>9</v>
      </c>
      <c r="W188">
        <v>10</v>
      </c>
      <c r="X188">
        <v>60</v>
      </c>
      <c r="Y188">
        <v>101</v>
      </c>
      <c r="Z188">
        <v>1</v>
      </c>
      <c r="AB188">
        <v>0</v>
      </c>
      <c r="AF188">
        <v>0</v>
      </c>
      <c r="AG188">
        <v>0</v>
      </c>
      <c r="AH188">
        <v>0</v>
      </c>
      <c r="AI188">
        <v>0</v>
      </c>
      <c r="AW188">
        <v>0</v>
      </c>
      <c r="AX188">
        <v>18</v>
      </c>
      <c r="AY188">
        <v>247</v>
      </c>
      <c r="AZ188">
        <v>247</v>
      </c>
      <c r="BA188">
        <v>347</v>
      </c>
      <c r="BB188">
        <v>44</v>
      </c>
      <c r="BD188">
        <v>1</v>
      </c>
      <c r="BF188" t="s">
        <v>287</v>
      </c>
      <c r="BG188" s="1">
        <v>44354.12222222222</v>
      </c>
      <c r="BH188" s="1">
        <v>44354.129351851851</v>
      </c>
      <c r="BI188" s="1">
        <v>44354.129965277774</v>
      </c>
      <c r="BJ188" t="s">
        <v>85</v>
      </c>
      <c r="BK188" t="s">
        <v>86</v>
      </c>
      <c r="BL188" t="s">
        <v>87</v>
      </c>
    </row>
    <row r="189" spans="1:64" x14ac:dyDescent="0.3">
      <c r="A189" t="str">
        <f>"200110B0000"</f>
        <v>200110B0000</v>
      </c>
      <c r="B189" t="str">
        <f>"200110B00003"</f>
        <v>200110B00003</v>
      </c>
      <c r="C189" t="str">
        <f t="shared" si="7"/>
        <v>20</v>
      </c>
      <c r="D189" t="s">
        <v>81</v>
      </c>
      <c r="E189" t="str">
        <f t="shared" si="10"/>
        <v>016</v>
      </c>
      <c r="F189" t="s">
        <v>275</v>
      </c>
      <c r="G189" t="str">
        <f>"0110"</f>
        <v>0110</v>
      </c>
      <c r="H189" t="str">
        <f>"0000"</f>
        <v>0000</v>
      </c>
      <c r="I189" t="s">
        <v>83</v>
      </c>
      <c r="J189">
        <v>0</v>
      </c>
      <c r="K189">
        <v>1</v>
      </c>
      <c r="L189">
        <v>3</v>
      </c>
      <c r="M189">
        <v>263</v>
      </c>
      <c r="N189">
        <v>279</v>
      </c>
      <c r="O189">
        <v>4</v>
      </c>
      <c r="P189">
        <v>279</v>
      </c>
      <c r="Q189">
        <v>0</v>
      </c>
      <c r="R189">
        <v>8</v>
      </c>
      <c r="S189">
        <v>39</v>
      </c>
      <c r="T189">
        <v>3</v>
      </c>
      <c r="U189">
        <v>94</v>
      </c>
      <c r="W189">
        <v>23</v>
      </c>
      <c r="X189">
        <v>52</v>
      </c>
      <c r="Y189">
        <v>28</v>
      </c>
      <c r="Z189">
        <v>3</v>
      </c>
      <c r="AB189">
        <v>4</v>
      </c>
      <c r="AF189">
        <v>1</v>
      </c>
      <c r="AG189">
        <v>0</v>
      </c>
      <c r="AH189">
        <v>0</v>
      </c>
      <c r="AI189">
        <v>0</v>
      </c>
      <c r="AW189">
        <v>0</v>
      </c>
      <c r="AX189">
        <v>24</v>
      </c>
      <c r="AY189">
        <v>279</v>
      </c>
      <c r="AZ189">
        <v>279</v>
      </c>
      <c r="BA189">
        <v>498</v>
      </c>
      <c r="BB189">
        <v>44</v>
      </c>
      <c r="BD189">
        <v>1</v>
      </c>
      <c r="BF189" t="s">
        <v>288</v>
      </c>
      <c r="BG189" s="1">
        <v>44354.07708333333</v>
      </c>
      <c r="BH189" s="1">
        <v>44354.088078703702</v>
      </c>
      <c r="BI189" s="1">
        <v>44354.088425925926</v>
      </c>
      <c r="BJ189" t="s">
        <v>85</v>
      </c>
      <c r="BK189" t="s">
        <v>86</v>
      </c>
      <c r="BL189" t="s">
        <v>87</v>
      </c>
    </row>
    <row r="190" spans="1:64" x14ac:dyDescent="0.3">
      <c r="A190" t="str">
        <f>"200110E0100"</f>
        <v>200110E0100</v>
      </c>
      <c r="B190" t="str">
        <f>"200110E01003"</f>
        <v>200110E01003</v>
      </c>
      <c r="C190" t="str">
        <f t="shared" si="7"/>
        <v>20</v>
      </c>
      <c r="D190" t="s">
        <v>81</v>
      </c>
      <c r="E190" t="str">
        <f t="shared" si="10"/>
        <v>016</v>
      </c>
      <c r="F190" t="s">
        <v>275</v>
      </c>
      <c r="G190" t="str">
        <f>"0110"</f>
        <v>0110</v>
      </c>
      <c r="H190" t="str">
        <f>"0001"</f>
        <v>0001</v>
      </c>
      <c r="I190" t="s">
        <v>122</v>
      </c>
      <c r="J190">
        <v>0</v>
      </c>
      <c r="K190">
        <v>1</v>
      </c>
      <c r="L190">
        <v>3</v>
      </c>
      <c r="M190">
        <v>163</v>
      </c>
      <c r="N190">
        <v>175</v>
      </c>
      <c r="O190">
        <v>0</v>
      </c>
      <c r="P190">
        <v>175</v>
      </c>
      <c r="Q190">
        <v>1</v>
      </c>
      <c r="R190">
        <v>0</v>
      </c>
      <c r="S190">
        <v>29</v>
      </c>
      <c r="T190">
        <v>2</v>
      </c>
      <c r="U190">
        <v>81</v>
      </c>
      <c r="W190">
        <v>14</v>
      </c>
      <c r="X190">
        <v>24</v>
      </c>
      <c r="Y190">
        <v>8</v>
      </c>
      <c r="Z190">
        <v>1</v>
      </c>
      <c r="AB190">
        <v>5</v>
      </c>
      <c r="AF190">
        <v>0</v>
      </c>
      <c r="AG190">
        <v>0</v>
      </c>
      <c r="AH190">
        <v>0</v>
      </c>
      <c r="AI190">
        <v>0</v>
      </c>
      <c r="AW190">
        <v>0</v>
      </c>
      <c r="AX190">
        <v>10</v>
      </c>
      <c r="AY190">
        <v>175</v>
      </c>
      <c r="AZ190">
        <v>175</v>
      </c>
      <c r="BA190">
        <v>294</v>
      </c>
      <c r="BB190">
        <v>44</v>
      </c>
      <c r="BD190">
        <v>1</v>
      </c>
      <c r="BF190" t="s">
        <v>289</v>
      </c>
      <c r="BG190" s="1">
        <v>44354.024305555555</v>
      </c>
      <c r="BH190" s="1">
        <v>44354.032905092594</v>
      </c>
      <c r="BI190" s="1">
        <v>44354.033518518518</v>
      </c>
      <c r="BJ190" t="s">
        <v>85</v>
      </c>
      <c r="BK190" t="s">
        <v>86</v>
      </c>
      <c r="BL190" t="s">
        <v>87</v>
      </c>
    </row>
    <row r="191" spans="1:64" x14ac:dyDescent="0.3">
      <c r="A191" t="str">
        <f>"200111B0000"</f>
        <v>200111B0000</v>
      </c>
      <c r="B191" t="str">
        <f>"200111B00003"</f>
        <v>200111B00003</v>
      </c>
      <c r="C191" t="str">
        <f t="shared" si="7"/>
        <v>20</v>
      </c>
      <c r="D191" t="s">
        <v>81</v>
      </c>
      <c r="E191" t="str">
        <f>"017"</f>
        <v>017</v>
      </c>
      <c r="F191" t="s">
        <v>290</v>
      </c>
      <c r="G191" t="str">
        <f>"0111"</f>
        <v>0111</v>
      </c>
      <c r="H191" t="str">
        <f>"0000"</f>
        <v>0000</v>
      </c>
      <c r="I191" t="s">
        <v>83</v>
      </c>
      <c r="J191">
        <v>0</v>
      </c>
      <c r="K191">
        <v>1</v>
      </c>
      <c r="L191">
        <v>3</v>
      </c>
      <c r="M191">
        <v>208</v>
      </c>
      <c r="N191">
        <v>465</v>
      </c>
      <c r="O191">
        <v>3</v>
      </c>
      <c r="P191">
        <v>465</v>
      </c>
      <c r="Q191">
        <v>5</v>
      </c>
      <c r="R191">
        <v>195</v>
      </c>
      <c r="S191">
        <v>18</v>
      </c>
      <c r="T191">
        <v>3</v>
      </c>
      <c r="U191">
        <v>127</v>
      </c>
      <c r="X191">
        <v>91</v>
      </c>
      <c r="Z191">
        <v>0</v>
      </c>
      <c r="AA191">
        <v>4</v>
      </c>
      <c r="AF191">
        <v>6</v>
      </c>
      <c r="AG191">
        <v>1</v>
      </c>
      <c r="AH191">
        <v>0</v>
      </c>
      <c r="AI191">
        <v>4</v>
      </c>
      <c r="AW191">
        <v>1</v>
      </c>
      <c r="AX191">
        <v>10</v>
      </c>
      <c r="AY191">
        <v>465</v>
      </c>
      <c r="AZ191">
        <v>465</v>
      </c>
      <c r="BA191">
        <v>629</v>
      </c>
      <c r="BB191">
        <v>44</v>
      </c>
      <c r="BD191">
        <v>1</v>
      </c>
      <c r="BF191" t="s">
        <v>291</v>
      </c>
      <c r="BG191" s="1">
        <v>44354.443749999999</v>
      </c>
      <c r="BH191" s="1">
        <v>44354.447175925925</v>
      </c>
      <c r="BI191" s="1">
        <v>44354.447997685187</v>
      </c>
      <c r="BJ191" t="s">
        <v>85</v>
      </c>
      <c r="BK191" t="s">
        <v>86</v>
      </c>
      <c r="BL191" t="s">
        <v>87</v>
      </c>
    </row>
    <row r="192" spans="1:64" x14ac:dyDescent="0.3">
      <c r="A192" t="str">
        <f>"200111C0100"</f>
        <v>200111C0100</v>
      </c>
      <c r="B192" t="str">
        <f>"200111C01003"</f>
        <v>200111C01003</v>
      </c>
      <c r="C192" t="str">
        <f t="shared" si="7"/>
        <v>20</v>
      </c>
      <c r="D192" t="s">
        <v>81</v>
      </c>
      <c r="E192" t="str">
        <f>"017"</f>
        <v>017</v>
      </c>
      <c r="F192" t="s">
        <v>290</v>
      </c>
      <c r="G192" t="str">
        <f>"0111"</f>
        <v>0111</v>
      </c>
      <c r="H192" t="str">
        <f>"0001"</f>
        <v>0001</v>
      </c>
      <c r="I192" t="s">
        <v>89</v>
      </c>
      <c r="J192">
        <v>0</v>
      </c>
      <c r="K192">
        <v>1</v>
      </c>
      <c r="L192">
        <v>3</v>
      </c>
      <c r="M192">
        <v>230</v>
      </c>
      <c r="N192">
        <v>443</v>
      </c>
      <c r="O192">
        <v>4</v>
      </c>
      <c r="P192">
        <v>443</v>
      </c>
      <c r="Q192">
        <v>6</v>
      </c>
      <c r="R192">
        <v>166</v>
      </c>
      <c r="S192">
        <v>15</v>
      </c>
      <c r="T192">
        <v>5</v>
      </c>
      <c r="U192">
        <v>134</v>
      </c>
      <c r="X192">
        <v>102</v>
      </c>
      <c r="Z192">
        <v>1</v>
      </c>
      <c r="AA192">
        <v>3</v>
      </c>
      <c r="AF192">
        <v>2</v>
      </c>
      <c r="AG192">
        <v>0</v>
      </c>
      <c r="AH192">
        <v>0</v>
      </c>
      <c r="AI192">
        <v>0</v>
      </c>
      <c r="AW192">
        <v>0</v>
      </c>
      <c r="AX192">
        <v>9</v>
      </c>
      <c r="AY192">
        <v>443</v>
      </c>
      <c r="AZ192">
        <v>443</v>
      </c>
      <c r="BA192">
        <v>629</v>
      </c>
      <c r="BB192">
        <v>44</v>
      </c>
      <c r="BD192">
        <v>1</v>
      </c>
      <c r="BF192" t="s">
        <v>292</v>
      </c>
      <c r="BG192" s="1">
        <v>44354.443749999999</v>
      </c>
      <c r="BH192" s="1">
        <v>44354.447453703702</v>
      </c>
      <c r="BI192" s="1">
        <v>44354.447997685187</v>
      </c>
      <c r="BJ192" t="s">
        <v>85</v>
      </c>
      <c r="BK192" t="s">
        <v>86</v>
      </c>
      <c r="BL192" t="s">
        <v>87</v>
      </c>
    </row>
    <row r="193" spans="1:64" x14ac:dyDescent="0.3">
      <c r="A193" t="str">
        <f>"200112B0000"</f>
        <v>200112B0000</v>
      </c>
      <c r="B193" t="str">
        <f>"200112B00003"</f>
        <v>200112B00003</v>
      </c>
      <c r="C193" t="str">
        <f t="shared" si="7"/>
        <v>20</v>
      </c>
      <c r="D193" t="s">
        <v>81</v>
      </c>
      <c r="E193" t="str">
        <f>"017"</f>
        <v>017</v>
      </c>
      <c r="F193" t="s">
        <v>290</v>
      </c>
      <c r="G193" t="str">
        <f>"0112"</f>
        <v>0112</v>
      </c>
      <c r="H193" t="str">
        <f>"0000"</f>
        <v>0000</v>
      </c>
      <c r="I193" t="s">
        <v>83</v>
      </c>
      <c r="J193">
        <v>0</v>
      </c>
      <c r="K193">
        <v>1</v>
      </c>
      <c r="L193">
        <v>3</v>
      </c>
      <c r="M193">
        <v>221</v>
      </c>
      <c r="N193">
        <v>447</v>
      </c>
      <c r="O193">
        <v>7</v>
      </c>
      <c r="P193">
        <v>447</v>
      </c>
      <c r="Q193">
        <v>6</v>
      </c>
      <c r="R193">
        <v>141</v>
      </c>
      <c r="S193">
        <v>28</v>
      </c>
      <c r="T193">
        <v>2</v>
      </c>
      <c r="U193">
        <v>143</v>
      </c>
      <c r="X193">
        <v>102</v>
      </c>
      <c r="Z193">
        <v>2</v>
      </c>
      <c r="AA193">
        <v>4</v>
      </c>
      <c r="AF193">
        <v>2</v>
      </c>
      <c r="AG193">
        <v>2</v>
      </c>
      <c r="AH193">
        <v>0</v>
      </c>
      <c r="AI193">
        <v>0</v>
      </c>
      <c r="AW193">
        <v>0</v>
      </c>
      <c r="AX193">
        <v>15</v>
      </c>
      <c r="AY193">
        <v>447</v>
      </c>
      <c r="AZ193">
        <v>447</v>
      </c>
      <c r="BA193">
        <v>624</v>
      </c>
      <c r="BB193">
        <v>44</v>
      </c>
      <c r="BD193">
        <v>1</v>
      </c>
      <c r="BF193" t="s">
        <v>293</v>
      </c>
      <c r="BG193" s="1">
        <v>44353.945451388892</v>
      </c>
      <c r="BH193" s="1">
        <v>44353.948900462965</v>
      </c>
      <c r="BI193" s="1">
        <v>44353.949328703704</v>
      </c>
      <c r="BJ193" t="s">
        <v>197</v>
      </c>
      <c r="BK193" t="s">
        <v>198</v>
      </c>
      <c r="BL193" t="s">
        <v>87</v>
      </c>
    </row>
    <row r="194" spans="1:64" x14ac:dyDescent="0.3">
      <c r="A194" t="str">
        <f>"200112C0100"</f>
        <v>200112C0100</v>
      </c>
      <c r="B194" t="str">
        <f>"200112C01003"</f>
        <v>200112C01003</v>
      </c>
      <c r="C194" t="str">
        <f t="shared" si="7"/>
        <v>20</v>
      </c>
      <c r="D194" t="s">
        <v>81</v>
      </c>
      <c r="E194" t="str">
        <f>"017"</f>
        <v>017</v>
      </c>
      <c r="F194" t="s">
        <v>290</v>
      </c>
      <c r="G194" t="str">
        <f>"0112"</f>
        <v>0112</v>
      </c>
      <c r="H194" t="str">
        <f>"0001"</f>
        <v>0001</v>
      </c>
      <c r="I194" t="s">
        <v>89</v>
      </c>
      <c r="J194">
        <v>0</v>
      </c>
      <c r="K194">
        <v>1</v>
      </c>
      <c r="L194">
        <v>3</v>
      </c>
      <c r="M194">
        <v>238</v>
      </c>
      <c r="N194">
        <v>429</v>
      </c>
      <c r="O194">
        <v>10</v>
      </c>
      <c r="P194">
        <v>429</v>
      </c>
      <c r="Q194">
        <v>6</v>
      </c>
      <c r="R194">
        <v>169</v>
      </c>
      <c r="S194">
        <v>16</v>
      </c>
      <c r="T194">
        <v>1</v>
      </c>
      <c r="U194">
        <v>130</v>
      </c>
      <c r="X194">
        <v>80</v>
      </c>
      <c r="Z194">
        <v>1</v>
      </c>
      <c r="AA194">
        <v>5</v>
      </c>
      <c r="AF194">
        <v>4</v>
      </c>
      <c r="AG194">
        <v>1</v>
      </c>
      <c r="AH194">
        <v>0</v>
      </c>
      <c r="AI194">
        <v>2</v>
      </c>
      <c r="AW194" t="s">
        <v>95</v>
      </c>
      <c r="AX194">
        <v>14</v>
      </c>
      <c r="AY194">
        <v>429</v>
      </c>
      <c r="AZ194">
        <v>429</v>
      </c>
      <c r="BA194">
        <v>623</v>
      </c>
      <c r="BB194">
        <v>44</v>
      </c>
      <c r="BC194" t="s">
        <v>96</v>
      </c>
      <c r="BD194">
        <v>1</v>
      </c>
      <c r="BF194" t="s">
        <v>294</v>
      </c>
      <c r="BG194" s="1">
        <v>44353.75</v>
      </c>
      <c r="BH194" s="1">
        <v>44354.443761574075</v>
      </c>
      <c r="BI194" s="1">
        <v>44354.444120370368</v>
      </c>
      <c r="BJ194" t="s">
        <v>85</v>
      </c>
      <c r="BK194" t="s">
        <v>86</v>
      </c>
      <c r="BL194" t="s">
        <v>87</v>
      </c>
    </row>
    <row r="195" spans="1:64" x14ac:dyDescent="0.3">
      <c r="A195" t="str">
        <f>"200134B0000"</f>
        <v>200134B0000</v>
      </c>
      <c r="B195" t="str">
        <f>"200134B00003"</f>
        <v>200134B00003</v>
      </c>
      <c r="C195" t="str">
        <f t="shared" si="7"/>
        <v>20</v>
      </c>
      <c r="D195" t="s">
        <v>81</v>
      </c>
      <c r="E195" t="str">
        <f t="shared" ref="E195:E211" si="11">"024"</f>
        <v>024</v>
      </c>
      <c r="F195" t="s">
        <v>295</v>
      </c>
      <c r="G195" t="str">
        <f>"0134"</f>
        <v>0134</v>
      </c>
      <c r="H195" t="str">
        <f>"0000"</f>
        <v>0000</v>
      </c>
      <c r="I195" t="s">
        <v>83</v>
      </c>
      <c r="J195">
        <v>0</v>
      </c>
      <c r="K195">
        <v>1</v>
      </c>
      <c r="L195">
        <v>3</v>
      </c>
      <c r="M195">
        <v>154</v>
      </c>
      <c r="N195">
        <v>298</v>
      </c>
      <c r="O195">
        <v>1</v>
      </c>
      <c r="P195">
        <v>298</v>
      </c>
      <c r="Q195">
        <v>14</v>
      </c>
      <c r="R195">
        <v>205</v>
      </c>
      <c r="S195">
        <v>3</v>
      </c>
      <c r="T195">
        <v>4</v>
      </c>
      <c r="U195">
        <v>0</v>
      </c>
      <c r="V195">
        <v>3</v>
      </c>
      <c r="W195">
        <v>1</v>
      </c>
      <c r="X195">
        <v>50</v>
      </c>
      <c r="Y195">
        <v>0</v>
      </c>
      <c r="Z195">
        <v>0</v>
      </c>
      <c r="AA195">
        <v>2</v>
      </c>
      <c r="AB195">
        <v>0</v>
      </c>
      <c r="AF195">
        <v>4</v>
      </c>
      <c r="AG195">
        <v>1</v>
      </c>
      <c r="AH195">
        <v>0</v>
      </c>
      <c r="AI195">
        <v>0</v>
      </c>
      <c r="AW195" t="s">
        <v>95</v>
      </c>
      <c r="AX195" t="s">
        <v>95</v>
      </c>
      <c r="AY195">
        <v>298</v>
      </c>
      <c r="AZ195">
        <v>287</v>
      </c>
      <c r="BA195">
        <v>408</v>
      </c>
      <c r="BB195">
        <v>44</v>
      </c>
      <c r="BC195" t="s">
        <v>96</v>
      </c>
      <c r="BD195">
        <v>1</v>
      </c>
      <c r="BF195" t="s">
        <v>296</v>
      </c>
      <c r="BG195" s="1">
        <v>44354.009722222225</v>
      </c>
      <c r="BH195" s="1">
        <v>44354.022638888891</v>
      </c>
      <c r="BI195" s="1">
        <v>44354.023252314815</v>
      </c>
      <c r="BJ195" t="s">
        <v>85</v>
      </c>
      <c r="BK195" t="s">
        <v>86</v>
      </c>
      <c r="BL195" t="s">
        <v>87</v>
      </c>
    </row>
    <row r="196" spans="1:64" x14ac:dyDescent="0.3">
      <c r="A196" t="str">
        <f>"200134C0100"</f>
        <v>200134C0100</v>
      </c>
      <c r="B196" t="str">
        <f>"200134C01003"</f>
        <v>200134C01003</v>
      </c>
      <c r="C196" t="str">
        <f t="shared" si="7"/>
        <v>20</v>
      </c>
      <c r="D196" t="s">
        <v>81</v>
      </c>
      <c r="E196" t="str">
        <f t="shared" si="11"/>
        <v>024</v>
      </c>
      <c r="F196" t="s">
        <v>295</v>
      </c>
      <c r="G196" t="str">
        <f>"0134"</f>
        <v>0134</v>
      </c>
      <c r="H196" t="str">
        <f>"0001"</f>
        <v>0001</v>
      </c>
      <c r="I196" t="s">
        <v>89</v>
      </c>
      <c r="J196">
        <v>0</v>
      </c>
      <c r="K196">
        <v>1</v>
      </c>
      <c r="L196">
        <v>3</v>
      </c>
      <c r="M196">
        <v>132</v>
      </c>
      <c r="N196">
        <v>320</v>
      </c>
      <c r="O196">
        <v>0</v>
      </c>
      <c r="P196">
        <v>320</v>
      </c>
      <c r="Q196">
        <v>12</v>
      </c>
      <c r="R196">
        <v>214</v>
      </c>
      <c r="S196">
        <v>11</v>
      </c>
      <c r="T196">
        <v>1</v>
      </c>
      <c r="U196">
        <v>2</v>
      </c>
      <c r="V196">
        <v>3</v>
      </c>
      <c r="W196">
        <v>1</v>
      </c>
      <c r="X196">
        <v>45</v>
      </c>
      <c r="Y196">
        <v>1</v>
      </c>
      <c r="Z196">
        <v>0</v>
      </c>
      <c r="AA196">
        <v>5</v>
      </c>
      <c r="AB196">
        <v>1</v>
      </c>
      <c r="AF196">
        <v>13</v>
      </c>
      <c r="AG196">
        <v>0</v>
      </c>
      <c r="AH196">
        <v>0</v>
      </c>
      <c r="AI196">
        <v>3</v>
      </c>
      <c r="AW196">
        <v>0</v>
      </c>
      <c r="AX196">
        <v>8</v>
      </c>
      <c r="AY196">
        <v>320</v>
      </c>
      <c r="AZ196">
        <v>320</v>
      </c>
      <c r="BA196">
        <v>408</v>
      </c>
      <c r="BB196">
        <v>44</v>
      </c>
      <c r="BD196">
        <v>1</v>
      </c>
      <c r="BF196" t="s">
        <v>297</v>
      </c>
      <c r="BG196" s="1">
        <v>44354.015277777777</v>
      </c>
      <c r="BH196" s="1">
        <v>44354.029062499998</v>
      </c>
      <c r="BI196" s="1">
        <v>44354.029722222222</v>
      </c>
      <c r="BJ196" t="s">
        <v>85</v>
      </c>
      <c r="BK196" t="s">
        <v>86</v>
      </c>
      <c r="BL196" t="s">
        <v>87</v>
      </c>
    </row>
    <row r="197" spans="1:64" x14ac:dyDescent="0.3">
      <c r="A197" t="str">
        <f>"200135B0000"</f>
        <v>200135B0000</v>
      </c>
      <c r="B197" t="str">
        <f>"200135B00003"</f>
        <v>200135B00003</v>
      </c>
      <c r="C197" t="str">
        <f t="shared" si="7"/>
        <v>20</v>
      </c>
      <c r="D197" t="s">
        <v>81</v>
      </c>
      <c r="E197" t="str">
        <f t="shared" si="11"/>
        <v>024</v>
      </c>
      <c r="F197" t="s">
        <v>295</v>
      </c>
      <c r="G197" t="str">
        <f>"0135"</f>
        <v>0135</v>
      </c>
      <c r="H197" t="str">
        <f>"0000"</f>
        <v>0000</v>
      </c>
      <c r="I197" t="s">
        <v>83</v>
      </c>
      <c r="J197">
        <v>0</v>
      </c>
      <c r="K197">
        <v>1</v>
      </c>
      <c r="L197">
        <v>3</v>
      </c>
      <c r="M197">
        <v>117</v>
      </c>
      <c r="N197">
        <v>558</v>
      </c>
      <c r="O197">
        <v>0</v>
      </c>
      <c r="P197">
        <v>558</v>
      </c>
      <c r="Q197">
        <v>32</v>
      </c>
      <c r="R197">
        <v>396</v>
      </c>
      <c r="S197">
        <v>11</v>
      </c>
      <c r="T197">
        <v>0</v>
      </c>
      <c r="U197">
        <v>2</v>
      </c>
      <c r="V197">
        <v>7</v>
      </c>
      <c r="W197">
        <v>1</v>
      </c>
      <c r="X197">
        <v>33</v>
      </c>
      <c r="Y197">
        <v>2</v>
      </c>
      <c r="Z197">
        <v>2</v>
      </c>
      <c r="AA197">
        <v>1</v>
      </c>
      <c r="AB197">
        <v>0</v>
      </c>
      <c r="AF197">
        <v>14</v>
      </c>
      <c r="AG197">
        <v>3</v>
      </c>
      <c r="AH197">
        <v>0</v>
      </c>
      <c r="AI197">
        <v>3</v>
      </c>
      <c r="AW197">
        <v>0</v>
      </c>
      <c r="AX197">
        <v>51</v>
      </c>
      <c r="AY197">
        <v>558</v>
      </c>
      <c r="AZ197">
        <v>558</v>
      </c>
      <c r="BA197">
        <v>631</v>
      </c>
      <c r="BB197">
        <v>44</v>
      </c>
      <c r="BD197">
        <v>1</v>
      </c>
      <c r="BF197" t="s">
        <v>298</v>
      </c>
      <c r="BG197" s="1">
        <v>44354.015972222223</v>
      </c>
      <c r="BH197" s="1">
        <v>44354.029606481483</v>
      </c>
      <c r="BI197" s="1">
        <v>44354.03</v>
      </c>
      <c r="BJ197" t="s">
        <v>85</v>
      </c>
      <c r="BK197" t="s">
        <v>86</v>
      </c>
      <c r="BL197" t="s">
        <v>87</v>
      </c>
    </row>
    <row r="198" spans="1:64" x14ac:dyDescent="0.3">
      <c r="A198" t="str">
        <f>"200135C0100"</f>
        <v>200135C0100</v>
      </c>
      <c r="B198" t="str">
        <f>"200135C01003"</f>
        <v>200135C01003</v>
      </c>
      <c r="C198" t="str">
        <f t="shared" si="7"/>
        <v>20</v>
      </c>
      <c r="D198" t="s">
        <v>81</v>
      </c>
      <c r="E198" t="str">
        <f t="shared" si="11"/>
        <v>024</v>
      </c>
      <c r="F198" t="s">
        <v>295</v>
      </c>
      <c r="G198" t="str">
        <f>"0135"</f>
        <v>0135</v>
      </c>
      <c r="H198" t="str">
        <f>"0001"</f>
        <v>0001</v>
      </c>
      <c r="I198" t="s">
        <v>89</v>
      </c>
      <c r="J198">
        <v>0</v>
      </c>
      <c r="K198">
        <v>1</v>
      </c>
      <c r="L198">
        <v>3</v>
      </c>
      <c r="M198">
        <v>133</v>
      </c>
      <c r="N198">
        <v>542</v>
      </c>
      <c r="O198">
        <v>0</v>
      </c>
      <c r="P198">
        <v>542</v>
      </c>
      <c r="Q198">
        <v>38</v>
      </c>
      <c r="R198">
        <v>371</v>
      </c>
      <c r="S198">
        <v>12</v>
      </c>
      <c r="T198">
        <v>3</v>
      </c>
      <c r="U198">
        <v>3</v>
      </c>
      <c r="V198">
        <v>5</v>
      </c>
      <c r="W198">
        <v>5</v>
      </c>
      <c r="X198">
        <v>39</v>
      </c>
      <c r="Y198">
        <v>0</v>
      </c>
      <c r="Z198">
        <v>0</v>
      </c>
      <c r="AA198">
        <v>2</v>
      </c>
      <c r="AB198">
        <v>2</v>
      </c>
      <c r="AF198">
        <v>25</v>
      </c>
      <c r="AG198">
        <v>0</v>
      </c>
      <c r="AH198">
        <v>0</v>
      </c>
      <c r="AI198">
        <v>0</v>
      </c>
      <c r="AW198">
        <v>0</v>
      </c>
      <c r="AX198">
        <v>37</v>
      </c>
      <c r="AY198">
        <v>542</v>
      </c>
      <c r="AZ198">
        <v>542</v>
      </c>
      <c r="BA198">
        <v>631</v>
      </c>
      <c r="BB198">
        <v>44</v>
      </c>
      <c r="BD198">
        <v>1</v>
      </c>
      <c r="BF198" t="s">
        <v>299</v>
      </c>
      <c r="BG198" s="1">
        <v>44354.015277777777</v>
      </c>
      <c r="BH198" s="1">
        <v>44354.028263888889</v>
      </c>
      <c r="BI198" s="1">
        <v>44354.031180555554</v>
      </c>
      <c r="BJ198" t="s">
        <v>85</v>
      </c>
      <c r="BK198" t="s">
        <v>86</v>
      </c>
      <c r="BL198" t="s">
        <v>87</v>
      </c>
    </row>
    <row r="199" spans="1:64" x14ac:dyDescent="0.3">
      <c r="A199" t="str">
        <f>"200135C0200"</f>
        <v>200135C0200</v>
      </c>
      <c r="B199" t="str">
        <f>"200135C02003"</f>
        <v>200135C02003</v>
      </c>
      <c r="C199" t="str">
        <f t="shared" ref="C199:C262" si="12">"20"</f>
        <v>20</v>
      </c>
      <c r="D199" t="s">
        <v>81</v>
      </c>
      <c r="E199" t="str">
        <f t="shared" si="11"/>
        <v>024</v>
      </c>
      <c r="F199" t="s">
        <v>295</v>
      </c>
      <c r="G199" t="str">
        <f>"0135"</f>
        <v>0135</v>
      </c>
      <c r="H199" t="str">
        <f>"0002"</f>
        <v>0002</v>
      </c>
      <c r="I199" t="s">
        <v>89</v>
      </c>
      <c r="J199">
        <v>0</v>
      </c>
      <c r="K199">
        <v>1</v>
      </c>
      <c r="L199">
        <v>3</v>
      </c>
      <c r="M199">
        <v>130</v>
      </c>
      <c r="N199">
        <v>545</v>
      </c>
      <c r="O199">
        <v>0</v>
      </c>
      <c r="P199">
        <v>545</v>
      </c>
      <c r="Q199">
        <v>69</v>
      </c>
      <c r="R199">
        <v>324</v>
      </c>
      <c r="S199">
        <v>12</v>
      </c>
      <c r="T199">
        <v>4</v>
      </c>
      <c r="U199">
        <v>0</v>
      </c>
      <c r="V199">
        <v>10</v>
      </c>
      <c r="W199">
        <v>1</v>
      </c>
      <c r="X199">
        <v>30</v>
      </c>
      <c r="Y199">
        <v>5</v>
      </c>
      <c r="Z199">
        <v>2</v>
      </c>
      <c r="AA199">
        <v>0</v>
      </c>
      <c r="AB199">
        <v>3</v>
      </c>
      <c r="AF199">
        <v>22</v>
      </c>
      <c r="AG199">
        <v>12</v>
      </c>
      <c r="AH199">
        <v>0</v>
      </c>
      <c r="AI199">
        <v>0</v>
      </c>
      <c r="AW199">
        <v>0</v>
      </c>
      <c r="AX199">
        <v>57</v>
      </c>
      <c r="AY199">
        <v>545</v>
      </c>
      <c r="AZ199">
        <v>551</v>
      </c>
      <c r="BA199">
        <v>631</v>
      </c>
      <c r="BB199">
        <v>44</v>
      </c>
      <c r="BD199">
        <v>1</v>
      </c>
      <c r="BF199" t="s">
        <v>300</v>
      </c>
      <c r="BG199" s="1">
        <v>44354.011805555558</v>
      </c>
      <c r="BH199" s="1">
        <v>44354.026099537034</v>
      </c>
      <c r="BI199" s="1">
        <v>44354.027094907404</v>
      </c>
      <c r="BJ199" t="s">
        <v>85</v>
      </c>
      <c r="BK199" t="s">
        <v>86</v>
      </c>
      <c r="BL199" t="s">
        <v>87</v>
      </c>
    </row>
    <row r="200" spans="1:64" x14ac:dyDescent="0.3">
      <c r="A200" t="str">
        <f>"200136B0000"</f>
        <v>200136B0000</v>
      </c>
      <c r="B200" t="str">
        <f>"200136B00003"</f>
        <v>200136B00003</v>
      </c>
      <c r="C200" t="str">
        <f t="shared" si="12"/>
        <v>20</v>
      </c>
      <c r="D200" t="s">
        <v>81</v>
      </c>
      <c r="E200" t="str">
        <f t="shared" si="11"/>
        <v>024</v>
      </c>
      <c r="F200" t="s">
        <v>295</v>
      </c>
      <c r="G200" t="str">
        <f>"0136"</f>
        <v>0136</v>
      </c>
      <c r="H200" t="str">
        <f>"0000"</f>
        <v>0000</v>
      </c>
      <c r="I200" t="s">
        <v>83</v>
      </c>
      <c r="J200">
        <v>0</v>
      </c>
      <c r="K200">
        <v>1</v>
      </c>
      <c r="L200">
        <v>3</v>
      </c>
      <c r="M200">
        <v>200</v>
      </c>
      <c r="N200">
        <v>494</v>
      </c>
      <c r="O200">
        <v>3</v>
      </c>
      <c r="P200">
        <v>0</v>
      </c>
      <c r="Q200">
        <v>23</v>
      </c>
      <c r="R200">
        <v>318</v>
      </c>
      <c r="S200">
        <v>16</v>
      </c>
      <c r="T200">
        <v>2</v>
      </c>
      <c r="U200">
        <v>0</v>
      </c>
      <c r="V200">
        <v>5</v>
      </c>
      <c r="W200">
        <v>0</v>
      </c>
      <c r="X200">
        <v>85</v>
      </c>
      <c r="Y200">
        <v>2</v>
      </c>
      <c r="Z200">
        <v>4</v>
      </c>
      <c r="AA200">
        <v>2</v>
      </c>
      <c r="AB200">
        <v>1</v>
      </c>
      <c r="AF200">
        <v>17</v>
      </c>
      <c r="AG200">
        <v>2</v>
      </c>
      <c r="AH200">
        <v>1</v>
      </c>
      <c r="AI200">
        <v>1</v>
      </c>
      <c r="AW200">
        <v>0</v>
      </c>
      <c r="AX200">
        <v>15</v>
      </c>
      <c r="AY200">
        <v>494</v>
      </c>
      <c r="AZ200">
        <v>494</v>
      </c>
      <c r="BA200">
        <v>650</v>
      </c>
      <c r="BB200">
        <v>44</v>
      </c>
      <c r="BD200">
        <v>1</v>
      </c>
      <c r="BF200" t="s">
        <v>301</v>
      </c>
      <c r="BG200" s="1">
        <v>44354.178472222222</v>
      </c>
      <c r="BH200" s="1">
        <v>44354.182974537034</v>
      </c>
      <c r="BI200" s="1">
        <v>44354.183495370373</v>
      </c>
      <c r="BJ200" t="s">
        <v>85</v>
      </c>
      <c r="BK200" t="s">
        <v>86</v>
      </c>
      <c r="BL200" t="s">
        <v>87</v>
      </c>
    </row>
    <row r="201" spans="1:64" x14ac:dyDescent="0.3">
      <c r="A201" t="str">
        <f>"200136C0100"</f>
        <v>200136C0100</v>
      </c>
      <c r="B201" t="str">
        <f>"200136C01003"</f>
        <v>200136C01003</v>
      </c>
      <c r="C201" t="str">
        <f t="shared" si="12"/>
        <v>20</v>
      </c>
      <c r="D201" t="s">
        <v>81</v>
      </c>
      <c r="E201" t="str">
        <f t="shared" si="11"/>
        <v>024</v>
      </c>
      <c r="F201" t="s">
        <v>295</v>
      </c>
      <c r="G201" t="str">
        <f>"0136"</f>
        <v>0136</v>
      </c>
      <c r="H201" t="str">
        <f>"0001"</f>
        <v>0001</v>
      </c>
      <c r="I201" t="s">
        <v>89</v>
      </c>
      <c r="J201">
        <v>0</v>
      </c>
      <c r="K201">
        <v>1</v>
      </c>
      <c r="L201">
        <v>3</v>
      </c>
      <c r="M201">
        <v>148</v>
      </c>
      <c r="N201">
        <v>545</v>
      </c>
      <c r="O201">
        <v>0</v>
      </c>
      <c r="P201">
        <v>545</v>
      </c>
      <c r="Q201">
        <v>37</v>
      </c>
      <c r="R201">
        <v>353</v>
      </c>
      <c r="S201">
        <v>19</v>
      </c>
      <c r="T201">
        <v>3</v>
      </c>
      <c r="U201">
        <v>3</v>
      </c>
      <c r="V201">
        <v>2</v>
      </c>
      <c r="W201">
        <v>1</v>
      </c>
      <c r="X201">
        <v>76</v>
      </c>
      <c r="Y201">
        <v>0</v>
      </c>
      <c r="Z201">
        <v>3</v>
      </c>
      <c r="AA201">
        <v>2</v>
      </c>
      <c r="AB201">
        <v>1</v>
      </c>
      <c r="AF201">
        <v>20</v>
      </c>
      <c r="AG201">
        <v>0</v>
      </c>
      <c r="AH201">
        <v>0</v>
      </c>
      <c r="AI201">
        <v>0</v>
      </c>
      <c r="AW201">
        <v>0</v>
      </c>
      <c r="AX201">
        <v>25</v>
      </c>
      <c r="AY201">
        <v>545</v>
      </c>
      <c r="AZ201">
        <v>545</v>
      </c>
      <c r="BA201">
        <v>649</v>
      </c>
      <c r="BB201">
        <v>44</v>
      </c>
      <c r="BD201">
        <v>1</v>
      </c>
      <c r="BF201" s="2" t="s">
        <v>302</v>
      </c>
      <c r="BG201" s="1">
        <v>44354.177777777775</v>
      </c>
      <c r="BH201" s="1">
        <v>44354.181631944448</v>
      </c>
      <c r="BI201" s="1">
        <v>44354.182118055556</v>
      </c>
      <c r="BJ201" t="s">
        <v>85</v>
      </c>
      <c r="BK201" t="s">
        <v>86</v>
      </c>
      <c r="BL201" t="s">
        <v>87</v>
      </c>
    </row>
    <row r="202" spans="1:64" x14ac:dyDescent="0.3">
      <c r="A202" t="str">
        <f>"200136C0200"</f>
        <v>200136C0200</v>
      </c>
      <c r="B202" t="str">
        <f>"200136C02003"</f>
        <v>200136C02003</v>
      </c>
      <c r="C202" t="str">
        <f t="shared" si="12"/>
        <v>20</v>
      </c>
      <c r="D202" t="s">
        <v>81</v>
      </c>
      <c r="E202" t="str">
        <f t="shared" si="11"/>
        <v>024</v>
      </c>
      <c r="F202" t="s">
        <v>295</v>
      </c>
      <c r="G202" t="str">
        <f>"0136"</f>
        <v>0136</v>
      </c>
      <c r="H202" t="str">
        <f>"0002"</f>
        <v>0002</v>
      </c>
      <c r="I202" t="s">
        <v>89</v>
      </c>
      <c r="J202">
        <v>0</v>
      </c>
      <c r="K202">
        <v>1</v>
      </c>
      <c r="L202">
        <v>3</v>
      </c>
      <c r="M202">
        <v>185</v>
      </c>
      <c r="N202">
        <v>508</v>
      </c>
      <c r="O202">
        <v>2</v>
      </c>
      <c r="P202" t="s">
        <v>92</v>
      </c>
      <c r="Q202">
        <v>29</v>
      </c>
      <c r="R202">
        <v>302</v>
      </c>
      <c r="S202">
        <v>41</v>
      </c>
      <c r="T202">
        <v>7</v>
      </c>
      <c r="U202">
        <v>2</v>
      </c>
      <c r="V202">
        <v>7</v>
      </c>
      <c r="W202">
        <v>1</v>
      </c>
      <c r="X202">
        <v>58</v>
      </c>
      <c r="Y202">
        <v>1</v>
      </c>
      <c r="Z202">
        <v>2</v>
      </c>
      <c r="AA202">
        <v>4</v>
      </c>
      <c r="AB202">
        <v>1</v>
      </c>
      <c r="AF202">
        <v>11</v>
      </c>
      <c r="AG202">
        <v>8</v>
      </c>
      <c r="AH202">
        <v>3</v>
      </c>
      <c r="AI202">
        <v>2</v>
      </c>
      <c r="AW202">
        <v>0</v>
      </c>
      <c r="AX202">
        <v>29</v>
      </c>
      <c r="AY202">
        <v>508</v>
      </c>
      <c r="AZ202">
        <v>508</v>
      </c>
      <c r="BA202">
        <v>649</v>
      </c>
      <c r="BB202">
        <v>44</v>
      </c>
      <c r="BD202">
        <v>1</v>
      </c>
      <c r="BF202" t="s">
        <v>303</v>
      </c>
      <c r="BG202" s="1">
        <v>44354.179166666669</v>
      </c>
      <c r="BH202" s="1">
        <v>44354.184259259258</v>
      </c>
      <c r="BI202" s="1">
        <v>44354.184837962966</v>
      </c>
      <c r="BJ202" t="s">
        <v>85</v>
      </c>
      <c r="BK202" t="s">
        <v>86</v>
      </c>
      <c r="BL202" t="s">
        <v>87</v>
      </c>
    </row>
    <row r="203" spans="1:64" x14ac:dyDescent="0.3">
      <c r="A203" t="str">
        <f>"200137B0000"</f>
        <v>200137B0000</v>
      </c>
      <c r="B203" t="str">
        <f>"200137B00003"</f>
        <v>200137B00003</v>
      </c>
      <c r="C203" t="str">
        <f t="shared" si="12"/>
        <v>20</v>
      </c>
      <c r="D203" t="s">
        <v>81</v>
      </c>
      <c r="E203" t="str">
        <f t="shared" si="11"/>
        <v>024</v>
      </c>
      <c r="F203" t="s">
        <v>295</v>
      </c>
      <c r="G203" t="str">
        <f>"0137"</f>
        <v>0137</v>
      </c>
      <c r="H203" t="str">
        <f>"0000"</f>
        <v>0000</v>
      </c>
      <c r="I203" t="s">
        <v>83</v>
      </c>
      <c r="J203">
        <v>0</v>
      </c>
      <c r="K203">
        <v>1</v>
      </c>
      <c r="L203">
        <v>3</v>
      </c>
      <c r="M203">
        <v>154</v>
      </c>
      <c r="N203">
        <v>515</v>
      </c>
      <c r="O203">
        <v>3</v>
      </c>
      <c r="P203">
        <v>515</v>
      </c>
      <c r="Q203">
        <v>13</v>
      </c>
      <c r="R203">
        <v>382</v>
      </c>
      <c r="S203">
        <v>13</v>
      </c>
      <c r="T203">
        <v>0</v>
      </c>
      <c r="U203">
        <v>13</v>
      </c>
      <c r="V203">
        <v>3</v>
      </c>
      <c r="W203">
        <v>1</v>
      </c>
      <c r="X203">
        <v>37</v>
      </c>
      <c r="Y203">
        <v>2</v>
      </c>
      <c r="Z203">
        <v>1</v>
      </c>
      <c r="AA203">
        <v>1</v>
      </c>
      <c r="AB203">
        <v>0</v>
      </c>
      <c r="AF203">
        <v>20</v>
      </c>
      <c r="AG203">
        <v>0</v>
      </c>
      <c r="AH203">
        <v>0</v>
      </c>
      <c r="AI203">
        <v>0</v>
      </c>
      <c r="AW203">
        <v>0</v>
      </c>
      <c r="AX203">
        <v>39</v>
      </c>
      <c r="AY203">
        <v>515</v>
      </c>
      <c r="AZ203">
        <v>525</v>
      </c>
      <c r="BA203">
        <v>625</v>
      </c>
      <c r="BB203">
        <v>44</v>
      </c>
      <c r="BD203">
        <v>1</v>
      </c>
      <c r="BF203" t="s">
        <v>304</v>
      </c>
      <c r="BG203" s="1">
        <v>44354.008333333331</v>
      </c>
      <c r="BH203" s="1">
        <v>44354.014756944445</v>
      </c>
      <c r="BI203" s="1">
        <v>44354.015555555554</v>
      </c>
      <c r="BJ203" t="s">
        <v>85</v>
      </c>
      <c r="BK203" t="s">
        <v>86</v>
      </c>
      <c r="BL203" t="s">
        <v>87</v>
      </c>
    </row>
    <row r="204" spans="1:64" x14ac:dyDescent="0.3">
      <c r="A204" t="str">
        <f>"200138B0000"</f>
        <v>200138B0000</v>
      </c>
      <c r="B204" t="str">
        <f>"200138B00003"</f>
        <v>200138B00003</v>
      </c>
      <c r="C204" t="str">
        <f t="shared" si="12"/>
        <v>20</v>
      </c>
      <c r="D204" t="s">
        <v>81</v>
      </c>
      <c r="E204" t="str">
        <f t="shared" si="11"/>
        <v>024</v>
      </c>
      <c r="F204" t="s">
        <v>295</v>
      </c>
      <c r="G204" t="str">
        <f>"0138"</f>
        <v>0138</v>
      </c>
      <c r="H204" t="str">
        <f>"0000"</f>
        <v>0000</v>
      </c>
      <c r="I204" t="s">
        <v>83</v>
      </c>
      <c r="J204">
        <v>0</v>
      </c>
      <c r="K204">
        <v>1</v>
      </c>
      <c r="L204">
        <v>3</v>
      </c>
      <c r="M204">
        <v>137</v>
      </c>
      <c r="N204">
        <v>572</v>
      </c>
      <c r="O204" t="s">
        <v>92</v>
      </c>
      <c r="P204" t="s">
        <v>92</v>
      </c>
      <c r="Q204">
        <v>0</v>
      </c>
      <c r="R204">
        <v>500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6</v>
      </c>
      <c r="Y204">
        <v>0</v>
      </c>
      <c r="Z204">
        <v>0</v>
      </c>
      <c r="AA204">
        <v>0</v>
      </c>
      <c r="AB204">
        <v>0</v>
      </c>
      <c r="AF204">
        <v>46</v>
      </c>
      <c r="AG204">
        <v>0</v>
      </c>
      <c r="AH204">
        <v>0</v>
      </c>
      <c r="AI204">
        <v>0</v>
      </c>
      <c r="AW204">
        <v>0</v>
      </c>
      <c r="AX204">
        <v>20</v>
      </c>
      <c r="AY204">
        <v>572</v>
      </c>
      <c r="AZ204">
        <v>572</v>
      </c>
      <c r="BA204">
        <v>665</v>
      </c>
      <c r="BB204">
        <v>44</v>
      </c>
      <c r="BD204">
        <v>1</v>
      </c>
      <c r="BF204" t="s">
        <v>305</v>
      </c>
      <c r="BG204" s="1">
        <v>44354.009027777778</v>
      </c>
      <c r="BH204" s="1">
        <v>44354.016851851855</v>
      </c>
      <c r="BI204" s="1">
        <v>44354.017199074071</v>
      </c>
      <c r="BJ204" t="s">
        <v>85</v>
      </c>
      <c r="BK204" t="s">
        <v>86</v>
      </c>
      <c r="BL204" t="s">
        <v>87</v>
      </c>
    </row>
    <row r="205" spans="1:64" x14ac:dyDescent="0.3">
      <c r="A205" t="str">
        <f>"200139B0000"</f>
        <v>200139B0000</v>
      </c>
      <c r="B205" t="str">
        <f>"200139B00003"</f>
        <v>200139B00003</v>
      </c>
      <c r="C205" t="str">
        <f t="shared" si="12"/>
        <v>20</v>
      </c>
      <c r="D205" t="s">
        <v>81</v>
      </c>
      <c r="E205" t="str">
        <f t="shared" si="11"/>
        <v>024</v>
      </c>
      <c r="F205" t="s">
        <v>295</v>
      </c>
      <c r="G205" t="str">
        <f>"0139"</f>
        <v>0139</v>
      </c>
      <c r="H205" t="str">
        <f>"0000"</f>
        <v>0000</v>
      </c>
      <c r="I205" t="s">
        <v>83</v>
      </c>
      <c r="J205">
        <v>0</v>
      </c>
      <c r="K205">
        <v>1</v>
      </c>
      <c r="L205">
        <v>3</v>
      </c>
      <c r="M205">
        <v>53</v>
      </c>
      <c r="N205">
        <v>625</v>
      </c>
      <c r="O205">
        <v>2</v>
      </c>
      <c r="P205">
        <v>625</v>
      </c>
      <c r="Q205">
        <v>20</v>
      </c>
      <c r="R205">
        <v>447</v>
      </c>
      <c r="S205">
        <v>20</v>
      </c>
      <c r="T205">
        <v>1</v>
      </c>
      <c r="U205">
        <v>2</v>
      </c>
      <c r="V205">
        <v>5</v>
      </c>
      <c r="W205">
        <v>2</v>
      </c>
      <c r="X205">
        <v>82</v>
      </c>
      <c r="Y205">
        <v>1</v>
      </c>
      <c r="Z205">
        <v>2</v>
      </c>
      <c r="AA205">
        <v>1</v>
      </c>
      <c r="AB205">
        <v>1</v>
      </c>
      <c r="AF205">
        <v>20</v>
      </c>
      <c r="AG205">
        <v>3</v>
      </c>
      <c r="AH205">
        <v>1</v>
      </c>
      <c r="AI205">
        <v>0</v>
      </c>
      <c r="AW205">
        <v>0</v>
      </c>
      <c r="AX205">
        <v>15</v>
      </c>
      <c r="AY205">
        <v>625</v>
      </c>
      <c r="AZ205">
        <v>623</v>
      </c>
      <c r="BA205">
        <v>657</v>
      </c>
      <c r="BB205">
        <v>44</v>
      </c>
      <c r="BD205">
        <v>1</v>
      </c>
      <c r="BF205" t="s">
        <v>306</v>
      </c>
      <c r="BG205" s="1">
        <v>44354.175000000003</v>
      </c>
      <c r="BH205" s="1">
        <v>44354.178715277776</v>
      </c>
      <c r="BI205" s="1">
        <v>44354.179189814815</v>
      </c>
      <c r="BJ205" t="s">
        <v>85</v>
      </c>
      <c r="BK205" t="s">
        <v>86</v>
      </c>
      <c r="BL205" t="s">
        <v>87</v>
      </c>
    </row>
    <row r="206" spans="1:64" x14ac:dyDescent="0.3">
      <c r="A206" t="str">
        <f>"200139C0100"</f>
        <v>200139C0100</v>
      </c>
      <c r="B206" t="str">
        <f>"200139C01003"</f>
        <v>200139C01003</v>
      </c>
      <c r="C206" t="str">
        <f t="shared" si="12"/>
        <v>20</v>
      </c>
      <c r="D206" t="s">
        <v>81</v>
      </c>
      <c r="E206" t="str">
        <f t="shared" si="11"/>
        <v>024</v>
      </c>
      <c r="F206" t="s">
        <v>295</v>
      </c>
      <c r="G206" t="str">
        <f>"0139"</f>
        <v>0139</v>
      </c>
      <c r="H206" t="str">
        <f>"0001"</f>
        <v>0001</v>
      </c>
      <c r="I206" t="s">
        <v>89</v>
      </c>
      <c r="J206">
        <v>0</v>
      </c>
      <c r="K206">
        <v>1</v>
      </c>
      <c r="L206">
        <v>3</v>
      </c>
      <c r="M206">
        <v>219</v>
      </c>
      <c r="N206">
        <v>482</v>
      </c>
      <c r="O206">
        <v>0</v>
      </c>
      <c r="P206">
        <v>482</v>
      </c>
      <c r="Q206">
        <v>12</v>
      </c>
      <c r="R206">
        <v>335</v>
      </c>
      <c r="S206">
        <v>7</v>
      </c>
      <c r="T206">
        <v>1</v>
      </c>
      <c r="U206">
        <v>1</v>
      </c>
      <c r="V206">
        <v>7</v>
      </c>
      <c r="W206">
        <v>0</v>
      </c>
      <c r="X206">
        <v>74</v>
      </c>
      <c r="Y206">
        <v>0</v>
      </c>
      <c r="Z206">
        <v>1</v>
      </c>
      <c r="AA206">
        <v>2</v>
      </c>
      <c r="AB206">
        <v>0</v>
      </c>
      <c r="AF206">
        <v>17</v>
      </c>
      <c r="AG206">
        <v>2</v>
      </c>
      <c r="AH206">
        <v>1</v>
      </c>
      <c r="AI206">
        <v>5</v>
      </c>
      <c r="AW206">
        <v>0</v>
      </c>
      <c r="AX206">
        <v>17</v>
      </c>
      <c r="AY206">
        <v>482</v>
      </c>
      <c r="AZ206">
        <v>482</v>
      </c>
      <c r="BA206">
        <v>657</v>
      </c>
      <c r="BB206">
        <v>44</v>
      </c>
      <c r="BD206">
        <v>1</v>
      </c>
      <c r="BF206" t="s">
        <v>307</v>
      </c>
      <c r="BG206" s="1">
        <v>44354.175694444442</v>
      </c>
      <c r="BH206" s="1">
        <v>44354.180428240739</v>
      </c>
      <c r="BI206" s="1">
        <v>44354.181180555555</v>
      </c>
      <c r="BJ206" t="s">
        <v>85</v>
      </c>
      <c r="BK206" t="s">
        <v>86</v>
      </c>
      <c r="BL206" t="s">
        <v>87</v>
      </c>
    </row>
    <row r="207" spans="1:64" x14ac:dyDescent="0.3">
      <c r="A207" t="str">
        <f>"200140B0000"</f>
        <v>200140B0000</v>
      </c>
      <c r="B207" t="str">
        <f>"200140B00003"</f>
        <v>200140B00003</v>
      </c>
      <c r="C207" t="str">
        <f t="shared" si="12"/>
        <v>20</v>
      </c>
      <c r="D207" t="s">
        <v>81</v>
      </c>
      <c r="E207" t="str">
        <f t="shared" si="11"/>
        <v>024</v>
      </c>
      <c r="F207" t="s">
        <v>295</v>
      </c>
      <c r="G207" t="str">
        <f>"0140"</f>
        <v>0140</v>
      </c>
      <c r="H207" t="str">
        <f>"0000"</f>
        <v>0000</v>
      </c>
      <c r="I207" t="s">
        <v>83</v>
      </c>
      <c r="J207">
        <v>0</v>
      </c>
      <c r="K207">
        <v>1</v>
      </c>
      <c r="L207">
        <v>3</v>
      </c>
      <c r="M207">
        <v>97</v>
      </c>
      <c r="N207">
        <v>426</v>
      </c>
      <c r="O207">
        <v>2</v>
      </c>
      <c r="P207">
        <v>426</v>
      </c>
      <c r="Q207">
        <v>14</v>
      </c>
      <c r="R207">
        <v>312</v>
      </c>
      <c r="S207">
        <v>5</v>
      </c>
      <c r="T207">
        <v>3</v>
      </c>
      <c r="U207">
        <v>2</v>
      </c>
      <c r="V207">
        <v>5</v>
      </c>
      <c r="W207">
        <v>0</v>
      </c>
      <c r="X207">
        <v>10</v>
      </c>
      <c r="Y207">
        <v>1</v>
      </c>
      <c r="Z207">
        <v>2</v>
      </c>
      <c r="AA207">
        <v>2</v>
      </c>
      <c r="AB207">
        <v>0</v>
      </c>
      <c r="AF207">
        <v>15</v>
      </c>
      <c r="AG207">
        <v>1</v>
      </c>
      <c r="AH207">
        <v>0</v>
      </c>
      <c r="AI207">
        <v>0</v>
      </c>
      <c r="AW207">
        <v>0</v>
      </c>
      <c r="AX207">
        <v>54</v>
      </c>
      <c r="AY207">
        <v>426</v>
      </c>
      <c r="AZ207">
        <v>426</v>
      </c>
      <c r="BA207">
        <v>479</v>
      </c>
      <c r="BB207">
        <v>44</v>
      </c>
      <c r="BD207">
        <v>1</v>
      </c>
      <c r="BF207" t="s">
        <v>308</v>
      </c>
      <c r="BG207" s="1">
        <v>44353.75</v>
      </c>
      <c r="BH207" s="1">
        <v>44354.061597222222</v>
      </c>
      <c r="BI207" s="1">
        <v>44354.062175925923</v>
      </c>
      <c r="BJ207" t="s">
        <v>85</v>
      </c>
      <c r="BK207" t="s">
        <v>86</v>
      </c>
      <c r="BL207" t="s">
        <v>87</v>
      </c>
    </row>
    <row r="208" spans="1:64" x14ac:dyDescent="0.3">
      <c r="A208" t="str">
        <f>"200141B0000"</f>
        <v>200141B0000</v>
      </c>
      <c r="B208" t="str">
        <f>"200141B00003"</f>
        <v>200141B00003</v>
      </c>
      <c r="C208" t="str">
        <f t="shared" si="12"/>
        <v>20</v>
      </c>
      <c r="D208" t="s">
        <v>81</v>
      </c>
      <c r="E208" t="str">
        <f t="shared" si="11"/>
        <v>024</v>
      </c>
      <c r="F208" t="s">
        <v>295</v>
      </c>
      <c r="G208" t="str">
        <f>"0141"</f>
        <v>0141</v>
      </c>
      <c r="H208" t="str">
        <f>"0000"</f>
        <v>0000</v>
      </c>
      <c r="I208" t="s">
        <v>83</v>
      </c>
      <c r="J208">
        <v>0</v>
      </c>
      <c r="K208">
        <v>1</v>
      </c>
      <c r="L208">
        <v>3</v>
      </c>
      <c r="M208">
        <v>171</v>
      </c>
      <c r="N208">
        <v>603</v>
      </c>
      <c r="O208">
        <v>0</v>
      </c>
      <c r="P208">
        <v>603</v>
      </c>
      <c r="Q208">
        <v>14</v>
      </c>
      <c r="R208">
        <v>407</v>
      </c>
      <c r="S208">
        <v>6</v>
      </c>
      <c r="T208">
        <v>3</v>
      </c>
      <c r="U208">
        <v>11</v>
      </c>
      <c r="V208">
        <v>7</v>
      </c>
      <c r="W208">
        <v>1</v>
      </c>
      <c r="X208">
        <v>89</v>
      </c>
      <c r="Y208">
        <v>1</v>
      </c>
      <c r="Z208">
        <v>2</v>
      </c>
      <c r="AA208">
        <v>3</v>
      </c>
      <c r="AB208">
        <v>5</v>
      </c>
      <c r="AF208">
        <v>13</v>
      </c>
      <c r="AG208">
        <v>4</v>
      </c>
      <c r="AH208">
        <v>0</v>
      </c>
      <c r="AI208">
        <v>1</v>
      </c>
      <c r="AW208">
        <v>0</v>
      </c>
      <c r="AX208">
        <v>36</v>
      </c>
      <c r="AY208">
        <v>603</v>
      </c>
      <c r="AZ208">
        <v>603</v>
      </c>
      <c r="BA208">
        <v>730</v>
      </c>
      <c r="BB208">
        <v>44</v>
      </c>
      <c r="BD208">
        <v>1</v>
      </c>
      <c r="BF208" t="s">
        <v>309</v>
      </c>
      <c r="BG208" s="1">
        <v>44354.010416666664</v>
      </c>
      <c r="BH208" s="1">
        <v>44354.02783564815</v>
      </c>
      <c r="BI208" s="1">
        <v>44354.028495370374</v>
      </c>
      <c r="BJ208" t="s">
        <v>85</v>
      </c>
      <c r="BK208" t="s">
        <v>86</v>
      </c>
      <c r="BL208" t="s">
        <v>87</v>
      </c>
    </row>
    <row r="209" spans="1:64" x14ac:dyDescent="0.3">
      <c r="A209" t="str">
        <f>"200142B0000"</f>
        <v>200142B0000</v>
      </c>
      <c r="B209" t="str">
        <f>"200142B00003"</f>
        <v>200142B00003</v>
      </c>
      <c r="C209" t="str">
        <f t="shared" si="12"/>
        <v>20</v>
      </c>
      <c r="D209" t="s">
        <v>81</v>
      </c>
      <c r="E209" t="str">
        <f t="shared" si="11"/>
        <v>024</v>
      </c>
      <c r="F209" t="s">
        <v>295</v>
      </c>
      <c r="G209" t="str">
        <f>"0142"</f>
        <v>0142</v>
      </c>
      <c r="H209" t="str">
        <f>"0000"</f>
        <v>0000</v>
      </c>
      <c r="I209" t="s">
        <v>83</v>
      </c>
      <c r="J209">
        <v>0</v>
      </c>
      <c r="K209">
        <v>1</v>
      </c>
      <c r="L209">
        <v>3</v>
      </c>
      <c r="M209">
        <v>181</v>
      </c>
      <c r="N209">
        <v>338</v>
      </c>
      <c r="O209">
        <v>3</v>
      </c>
      <c r="P209">
        <v>0</v>
      </c>
      <c r="Q209">
        <v>17</v>
      </c>
      <c r="R209">
        <v>243</v>
      </c>
      <c r="S209">
        <v>5</v>
      </c>
      <c r="T209">
        <v>7</v>
      </c>
      <c r="U209">
        <v>4</v>
      </c>
      <c r="V209">
        <v>2</v>
      </c>
      <c r="W209">
        <v>1</v>
      </c>
      <c r="X209">
        <v>36</v>
      </c>
      <c r="Y209">
        <v>0</v>
      </c>
      <c r="Z209">
        <v>2</v>
      </c>
      <c r="AA209">
        <v>1</v>
      </c>
      <c r="AB209">
        <v>2</v>
      </c>
      <c r="AF209">
        <v>2</v>
      </c>
      <c r="AG209">
        <v>1</v>
      </c>
      <c r="AH209">
        <v>0</v>
      </c>
      <c r="AI209">
        <v>0</v>
      </c>
      <c r="AW209">
        <v>0</v>
      </c>
      <c r="AX209">
        <v>15</v>
      </c>
      <c r="AY209">
        <v>338</v>
      </c>
      <c r="AZ209">
        <v>338</v>
      </c>
      <c r="BA209">
        <v>475</v>
      </c>
      <c r="BB209">
        <v>44</v>
      </c>
      <c r="BD209">
        <v>1</v>
      </c>
      <c r="BF209" t="s">
        <v>310</v>
      </c>
      <c r="BG209" s="1">
        <v>44354.053472222222</v>
      </c>
      <c r="BH209" s="1">
        <v>44354.060937499999</v>
      </c>
      <c r="BI209" s="1">
        <v>44354.061412037037</v>
      </c>
      <c r="BJ209" t="s">
        <v>85</v>
      </c>
      <c r="BK209" t="s">
        <v>86</v>
      </c>
      <c r="BL209" t="s">
        <v>87</v>
      </c>
    </row>
    <row r="210" spans="1:64" x14ac:dyDescent="0.3">
      <c r="A210" t="str">
        <f>"200143B0000"</f>
        <v>200143B0000</v>
      </c>
      <c r="B210" t="str">
        <f>"200143B00003"</f>
        <v>200143B00003</v>
      </c>
      <c r="C210" t="str">
        <f t="shared" si="12"/>
        <v>20</v>
      </c>
      <c r="D210" t="s">
        <v>81</v>
      </c>
      <c r="E210" t="str">
        <f t="shared" si="11"/>
        <v>024</v>
      </c>
      <c r="F210" t="s">
        <v>295</v>
      </c>
      <c r="G210" t="str">
        <f>"0143"</f>
        <v>0143</v>
      </c>
      <c r="H210" t="str">
        <f>"0000"</f>
        <v>0000</v>
      </c>
      <c r="I210" t="s">
        <v>83</v>
      </c>
      <c r="J210">
        <v>0</v>
      </c>
      <c r="K210">
        <v>1</v>
      </c>
      <c r="L210">
        <v>3</v>
      </c>
      <c r="M210">
        <v>208</v>
      </c>
      <c r="N210">
        <v>405</v>
      </c>
      <c r="O210">
        <v>1</v>
      </c>
      <c r="P210">
        <v>405</v>
      </c>
      <c r="Q210">
        <v>16</v>
      </c>
      <c r="R210">
        <v>282</v>
      </c>
      <c r="S210">
        <v>1</v>
      </c>
      <c r="T210">
        <v>1</v>
      </c>
      <c r="U210">
        <v>4</v>
      </c>
      <c r="V210">
        <v>3</v>
      </c>
      <c r="W210">
        <v>2</v>
      </c>
      <c r="X210">
        <v>60</v>
      </c>
      <c r="Y210">
        <v>0</v>
      </c>
      <c r="Z210">
        <v>2</v>
      </c>
      <c r="AA210">
        <v>1</v>
      </c>
      <c r="AB210">
        <v>2</v>
      </c>
      <c r="AF210">
        <v>12</v>
      </c>
      <c r="AG210">
        <v>1</v>
      </c>
      <c r="AH210">
        <v>0</v>
      </c>
      <c r="AI210">
        <v>1</v>
      </c>
      <c r="AW210">
        <v>0</v>
      </c>
      <c r="AX210">
        <v>17</v>
      </c>
      <c r="AY210">
        <v>405</v>
      </c>
      <c r="AZ210">
        <v>405</v>
      </c>
      <c r="BA210">
        <v>569</v>
      </c>
      <c r="BB210">
        <v>44</v>
      </c>
      <c r="BD210">
        <v>1</v>
      </c>
      <c r="BF210" t="s">
        <v>311</v>
      </c>
      <c r="BG210" s="1">
        <v>44354.022222222222</v>
      </c>
      <c r="BH210" s="1">
        <v>44354.030752314815</v>
      </c>
      <c r="BI210" s="1">
        <v>44354.032488425924</v>
      </c>
      <c r="BJ210" t="s">
        <v>85</v>
      </c>
      <c r="BK210" t="s">
        <v>86</v>
      </c>
      <c r="BL210" t="s">
        <v>87</v>
      </c>
    </row>
    <row r="211" spans="1:64" x14ac:dyDescent="0.3">
      <c r="A211" t="str">
        <f>"200143C0100"</f>
        <v>200143C0100</v>
      </c>
      <c r="B211" t="str">
        <f>"200143C01003"</f>
        <v>200143C01003</v>
      </c>
      <c r="C211" t="str">
        <f t="shared" si="12"/>
        <v>20</v>
      </c>
      <c r="D211" t="s">
        <v>81</v>
      </c>
      <c r="E211" t="str">
        <f t="shared" si="11"/>
        <v>024</v>
      </c>
      <c r="F211" t="s">
        <v>295</v>
      </c>
      <c r="G211" t="str">
        <f>"0143"</f>
        <v>0143</v>
      </c>
      <c r="H211" t="str">
        <f>"0001"</f>
        <v>0001</v>
      </c>
      <c r="I211" t="s">
        <v>89</v>
      </c>
      <c r="J211">
        <v>0</v>
      </c>
      <c r="K211">
        <v>1</v>
      </c>
      <c r="L211">
        <v>3</v>
      </c>
      <c r="M211">
        <v>199</v>
      </c>
      <c r="N211">
        <v>413</v>
      </c>
      <c r="O211">
        <v>2</v>
      </c>
      <c r="P211">
        <v>413</v>
      </c>
      <c r="Q211">
        <v>21</v>
      </c>
      <c r="R211">
        <v>288</v>
      </c>
      <c r="S211">
        <v>8</v>
      </c>
      <c r="T211">
        <v>3</v>
      </c>
      <c r="U211">
        <v>1</v>
      </c>
      <c r="V211">
        <v>8</v>
      </c>
      <c r="W211">
        <v>1</v>
      </c>
      <c r="X211">
        <v>54</v>
      </c>
      <c r="Y211">
        <v>1</v>
      </c>
      <c r="Z211">
        <v>2</v>
      </c>
      <c r="AA211">
        <v>1</v>
      </c>
      <c r="AB211">
        <v>1</v>
      </c>
      <c r="AF211">
        <v>11</v>
      </c>
      <c r="AG211">
        <v>1</v>
      </c>
      <c r="AH211">
        <v>0</v>
      </c>
      <c r="AI211">
        <v>1</v>
      </c>
      <c r="AW211">
        <v>0</v>
      </c>
      <c r="AX211">
        <v>11</v>
      </c>
      <c r="AY211">
        <v>413</v>
      </c>
      <c r="AZ211">
        <v>413</v>
      </c>
      <c r="BA211">
        <v>568</v>
      </c>
      <c r="BB211">
        <v>44</v>
      </c>
      <c r="BD211">
        <v>1</v>
      </c>
      <c r="BF211" t="s">
        <v>312</v>
      </c>
      <c r="BG211" s="1">
        <v>44354.020833333336</v>
      </c>
      <c r="BH211" s="1">
        <v>44354.030856481484</v>
      </c>
      <c r="BI211" s="1">
        <v>44354.031469907408</v>
      </c>
      <c r="BJ211" t="s">
        <v>85</v>
      </c>
      <c r="BK211" t="s">
        <v>86</v>
      </c>
      <c r="BL211" t="s">
        <v>87</v>
      </c>
    </row>
    <row r="212" spans="1:64" x14ac:dyDescent="0.3">
      <c r="A212" t="str">
        <f>"200147B0000"</f>
        <v>200147B0000</v>
      </c>
      <c r="B212" t="str">
        <f>"200147B00003"</f>
        <v>200147B00003</v>
      </c>
      <c r="C212" t="str">
        <f t="shared" si="12"/>
        <v>20</v>
      </c>
      <c r="D212" t="s">
        <v>81</v>
      </c>
      <c r="E212" t="str">
        <f t="shared" ref="E212:E240" si="13">"026"</f>
        <v>026</v>
      </c>
      <c r="F212" t="s">
        <v>313</v>
      </c>
      <c r="G212" t="str">
        <f>"0147"</f>
        <v>0147</v>
      </c>
      <c r="H212" t="str">
        <f>"0000"</f>
        <v>0000</v>
      </c>
      <c r="I212" t="s">
        <v>83</v>
      </c>
      <c r="J212">
        <v>0</v>
      </c>
      <c r="K212">
        <v>1</v>
      </c>
      <c r="L212">
        <v>3</v>
      </c>
      <c r="M212">
        <v>216</v>
      </c>
      <c r="N212">
        <v>448</v>
      </c>
      <c r="O212">
        <v>5</v>
      </c>
      <c r="P212">
        <v>448</v>
      </c>
      <c r="Q212">
        <v>31</v>
      </c>
      <c r="R212">
        <v>44</v>
      </c>
      <c r="S212">
        <v>1</v>
      </c>
      <c r="T212">
        <v>78</v>
      </c>
      <c r="U212">
        <v>15</v>
      </c>
      <c r="V212">
        <v>102</v>
      </c>
      <c r="W212">
        <v>13</v>
      </c>
      <c r="X212">
        <v>61</v>
      </c>
      <c r="Y212">
        <v>1</v>
      </c>
      <c r="Z212">
        <v>5</v>
      </c>
      <c r="AA212">
        <v>83</v>
      </c>
      <c r="AB212">
        <v>2</v>
      </c>
      <c r="AR212">
        <v>0</v>
      </c>
      <c r="AW212">
        <v>0</v>
      </c>
      <c r="AX212">
        <v>12</v>
      </c>
      <c r="AY212">
        <v>448</v>
      </c>
      <c r="AZ212">
        <v>448</v>
      </c>
      <c r="BA212">
        <v>620</v>
      </c>
      <c r="BB212">
        <v>44</v>
      </c>
      <c r="BD212">
        <v>1</v>
      </c>
      <c r="BF212" t="s">
        <v>314</v>
      </c>
      <c r="BG212" s="1">
        <v>44354.226388888892</v>
      </c>
      <c r="BH212" s="1">
        <v>44354.228981481479</v>
      </c>
      <c r="BI212" s="1">
        <v>44354.229409722226</v>
      </c>
      <c r="BJ212" t="s">
        <v>85</v>
      </c>
      <c r="BK212" t="s">
        <v>86</v>
      </c>
      <c r="BL212" t="s">
        <v>87</v>
      </c>
    </row>
    <row r="213" spans="1:64" x14ac:dyDescent="0.3">
      <c r="A213" t="str">
        <f>"200147C0100"</f>
        <v>200147C0100</v>
      </c>
      <c r="B213" t="str">
        <f>"200147C01003"</f>
        <v>200147C01003</v>
      </c>
      <c r="C213" t="str">
        <f t="shared" si="12"/>
        <v>20</v>
      </c>
      <c r="D213" t="s">
        <v>81</v>
      </c>
      <c r="E213" t="str">
        <f t="shared" si="13"/>
        <v>026</v>
      </c>
      <c r="F213" t="s">
        <v>313</v>
      </c>
      <c r="G213" t="str">
        <f>"0147"</f>
        <v>0147</v>
      </c>
      <c r="H213" t="str">
        <f>"0001"</f>
        <v>0001</v>
      </c>
      <c r="I213" t="s">
        <v>89</v>
      </c>
      <c r="J213">
        <v>0</v>
      </c>
      <c r="K213">
        <v>1</v>
      </c>
      <c r="L213">
        <v>3</v>
      </c>
      <c r="M213">
        <v>207</v>
      </c>
      <c r="N213">
        <v>455</v>
      </c>
      <c r="O213">
        <v>4</v>
      </c>
      <c r="P213">
        <v>455</v>
      </c>
      <c r="Q213">
        <v>30</v>
      </c>
      <c r="R213">
        <v>29</v>
      </c>
      <c r="S213">
        <v>1</v>
      </c>
      <c r="T213">
        <v>79</v>
      </c>
      <c r="U213">
        <v>5</v>
      </c>
      <c r="V213">
        <v>156</v>
      </c>
      <c r="W213">
        <v>11</v>
      </c>
      <c r="X213">
        <v>52</v>
      </c>
      <c r="Y213">
        <v>0</v>
      </c>
      <c r="Z213">
        <v>5</v>
      </c>
      <c r="AA213">
        <v>69</v>
      </c>
      <c r="AB213">
        <v>7</v>
      </c>
      <c r="AR213">
        <v>0</v>
      </c>
      <c r="AW213">
        <v>0</v>
      </c>
      <c r="AX213">
        <v>11</v>
      </c>
      <c r="AY213">
        <v>455</v>
      </c>
      <c r="AZ213">
        <v>455</v>
      </c>
      <c r="BA213">
        <v>619</v>
      </c>
      <c r="BB213">
        <v>44</v>
      </c>
      <c r="BD213">
        <v>1</v>
      </c>
      <c r="BF213" t="s">
        <v>315</v>
      </c>
      <c r="BG213" s="1">
        <v>44354.227777777778</v>
      </c>
      <c r="BH213" s="1">
        <v>44354.230451388888</v>
      </c>
      <c r="BI213" s="1">
        <v>44354.230775462966</v>
      </c>
      <c r="BJ213" t="s">
        <v>85</v>
      </c>
      <c r="BK213" t="s">
        <v>86</v>
      </c>
      <c r="BL213" t="s">
        <v>87</v>
      </c>
    </row>
    <row r="214" spans="1:64" x14ac:dyDescent="0.3">
      <c r="A214" t="str">
        <f>"200147C0200"</f>
        <v>200147C0200</v>
      </c>
      <c r="B214" t="str">
        <f>"200147C02003"</f>
        <v>200147C02003</v>
      </c>
      <c r="C214" t="str">
        <f t="shared" si="12"/>
        <v>20</v>
      </c>
      <c r="D214" t="s">
        <v>81</v>
      </c>
      <c r="E214" t="str">
        <f t="shared" si="13"/>
        <v>026</v>
      </c>
      <c r="F214" t="s">
        <v>313</v>
      </c>
      <c r="G214" t="str">
        <f>"0147"</f>
        <v>0147</v>
      </c>
      <c r="H214" t="str">
        <f>"0002"</f>
        <v>0002</v>
      </c>
      <c r="I214" t="s">
        <v>89</v>
      </c>
      <c r="J214">
        <v>0</v>
      </c>
      <c r="K214">
        <v>1</v>
      </c>
      <c r="L214">
        <v>3</v>
      </c>
      <c r="M214">
        <v>184</v>
      </c>
      <c r="N214">
        <v>479</v>
      </c>
      <c r="O214">
        <v>8</v>
      </c>
      <c r="P214">
        <v>479</v>
      </c>
      <c r="Q214">
        <v>57</v>
      </c>
      <c r="R214">
        <v>38</v>
      </c>
      <c r="S214">
        <v>5</v>
      </c>
      <c r="T214">
        <v>62</v>
      </c>
      <c r="U214">
        <v>14</v>
      </c>
      <c r="V214">
        <v>119</v>
      </c>
      <c r="W214">
        <v>10</v>
      </c>
      <c r="X214">
        <v>54</v>
      </c>
      <c r="Y214">
        <v>1</v>
      </c>
      <c r="Z214">
        <v>13</v>
      </c>
      <c r="AA214">
        <v>90</v>
      </c>
      <c r="AB214">
        <v>3</v>
      </c>
      <c r="AR214">
        <v>1</v>
      </c>
      <c r="AW214">
        <v>0</v>
      </c>
      <c r="AX214">
        <v>11</v>
      </c>
      <c r="AY214">
        <v>479</v>
      </c>
      <c r="AZ214">
        <v>478</v>
      </c>
      <c r="BA214">
        <v>619</v>
      </c>
      <c r="BB214">
        <v>44</v>
      </c>
      <c r="BD214">
        <v>1</v>
      </c>
      <c r="BF214" t="s">
        <v>316</v>
      </c>
      <c r="BG214" s="1">
        <v>44354.228472222225</v>
      </c>
      <c r="BH214" s="1">
        <v>44354.499328703707</v>
      </c>
      <c r="BI214" s="1">
        <v>44354.499803240738</v>
      </c>
      <c r="BJ214" t="s">
        <v>85</v>
      </c>
      <c r="BK214" t="s">
        <v>86</v>
      </c>
      <c r="BL214" t="s">
        <v>87</v>
      </c>
    </row>
    <row r="215" spans="1:64" x14ac:dyDescent="0.3">
      <c r="A215" t="str">
        <f>"200147E0100"</f>
        <v>200147E0100</v>
      </c>
      <c r="B215" t="str">
        <f>"200147E01003"</f>
        <v>200147E01003</v>
      </c>
      <c r="C215" t="str">
        <f t="shared" si="12"/>
        <v>20</v>
      </c>
      <c r="D215" t="s">
        <v>81</v>
      </c>
      <c r="E215" t="str">
        <f t="shared" si="13"/>
        <v>026</v>
      </c>
      <c r="F215" t="s">
        <v>313</v>
      </c>
      <c r="G215" t="str">
        <f>"0147"</f>
        <v>0147</v>
      </c>
      <c r="H215" t="str">
        <f>"0001"</f>
        <v>0001</v>
      </c>
      <c r="I215" t="s">
        <v>122</v>
      </c>
      <c r="J215">
        <v>0</v>
      </c>
      <c r="K215">
        <v>1</v>
      </c>
      <c r="L215">
        <v>3</v>
      </c>
      <c r="M215">
        <v>296</v>
      </c>
      <c r="N215">
        <v>413</v>
      </c>
      <c r="O215">
        <v>9</v>
      </c>
      <c r="P215">
        <v>413</v>
      </c>
      <c r="Q215">
        <v>8</v>
      </c>
      <c r="R215">
        <v>52</v>
      </c>
      <c r="S215">
        <v>8</v>
      </c>
      <c r="T215">
        <v>30</v>
      </c>
      <c r="U215">
        <v>6</v>
      </c>
      <c r="V215">
        <v>168</v>
      </c>
      <c r="W215">
        <v>17</v>
      </c>
      <c r="X215">
        <v>51</v>
      </c>
      <c r="Y215">
        <v>0</v>
      </c>
      <c r="Z215">
        <v>8</v>
      </c>
      <c r="AA215">
        <v>41</v>
      </c>
      <c r="AB215">
        <v>2</v>
      </c>
      <c r="AR215">
        <v>0</v>
      </c>
      <c r="AW215">
        <v>0</v>
      </c>
      <c r="AX215">
        <v>22</v>
      </c>
      <c r="AY215">
        <v>413</v>
      </c>
      <c r="AZ215">
        <v>413</v>
      </c>
      <c r="BA215">
        <v>665</v>
      </c>
      <c r="BB215">
        <v>44</v>
      </c>
      <c r="BD215">
        <v>1</v>
      </c>
      <c r="BF215" t="s">
        <v>317</v>
      </c>
      <c r="BG215" s="1">
        <v>44354.224999999999</v>
      </c>
      <c r="BH215" s="1">
        <v>44354.22755787037</v>
      </c>
      <c r="BI215" s="1">
        <v>44354.22824074074</v>
      </c>
      <c r="BJ215" t="s">
        <v>85</v>
      </c>
      <c r="BK215" t="s">
        <v>86</v>
      </c>
      <c r="BL215" t="s">
        <v>87</v>
      </c>
    </row>
    <row r="216" spans="1:64" x14ac:dyDescent="0.3">
      <c r="A216" t="str">
        <f>"200148B0000"</f>
        <v>200148B0000</v>
      </c>
      <c r="B216" t="str">
        <f>"200148B00003"</f>
        <v>200148B00003</v>
      </c>
      <c r="C216" t="str">
        <f t="shared" si="12"/>
        <v>20</v>
      </c>
      <c r="D216" t="s">
        <v>81</v>
      </c>
      <c r="E216" t="str">
        <f t="shared" si="13"/>
        <v>026</v>
      </c>
      <c r="F216" t="s">
        <v>313</v>
      </c>
      <c r="G216" t="str">
        <f t="shared" ref="G216:G224" si="14">"0148"</f>
        <v>0148</v>
      </c>
      <c r="H216" t="str">
        <f>"0000"</f>
        <v>0000</v>
      </c>
      <c r="I216" t="s">
        <v>83</v>
      </c>
      <c r="J216">
        <v>0</v>
      </c>
      <c r="K216">
        <v>1</v>
      </c>
      <c r="L216">
        <v>3</v>
      </c>
      <c r="M216">
        <v>256</v>
      </c>
      <c r="N216">
        <v>440</v>
      </c>
      <c r="O216">
        <v>14</v>
      </c>
      <c r="P216">
        <v>440</v>
      </c>
      <c r="Q216">
        <v>33</v>
      </c>
      <c r="R216">
        <v>35</v>
      </c>
      <c r="S216">
        <v>4</v>
      </c>
      <c r="T216">
        <v>41</v>
      </c>
      <c r="U216">
        <v>14</v>
      </c>
      <c r="V216">
        <v>150</v>
      </c>
      <c r="W216">
        <v>8</v>
      </c>
      <c r="X216">
        <v>67</v>
      </c>
      <c r="Y216">
        <v>1</v>
      </c>
      <c r="Z216">
        <v>6</v>
      </c>
      <c r="AA216">
        <v>54</v>
      </c>
      <c r="AB216">
        <v>11</v>
      </c>
      <c r="AR216">
        <v>1</v>
      </c>
      <c r="AW216" t="s">
        <v>95</v>
      </c>
      <c r="AX216">
        <v>15</v>
      </c>
      <c r="AY216">
        <v>440</v>
      </c>
      <c r="AZ216">
        <v>440</v>
      </c>
      <c r="BA216">
        <v>652</v>
      </c>
      <c r="BB216">
        <v>44</v>
      </c>
      <c r="BC216" t="s">
        <v>96</v>
      </c>
      <c r="BD216">
        <v>1</v>
      </c>
      <c r="BF216" t="s">
        <v>318</v>
      </c>
      <c r="BG216" s="1">
        <v>44354.094444444447</v>
      </c>
      <c r="BH216" s="1">
        <v>44354.10015046296</v>
      </c>
      <c r="BI216" s="1">
        <v>44354.100856481484</v>
      </c>
      <c r="BJ216" t="s">
        <v>85</v>
      </c>
      <c r="BK216" t="s">
        <v>86</v>
      </c>
      <c r="BL216" t="s">
        <v>87</v>
      </c>
    </row>
    <row r="217" spans="1:64" x14ac:dyDescent="0.3">
      <c r="A217" t="str">
        <f>"200148C0100"</f>
        <v>200148C0100</v>
      </c>
      <c r="B217" t="str">
        <f>"200148C01003"</f>
        <v>200148C01003</v>
      </c>
      <c r="C217" t="str">
        <f t="shared" si="12"/>
        <v>20</v>
      </c>
      <c r="D217" t="s">
        <v>81</v>
      </c>
      <c r="E217" t="str">
        <f t="shared" si="13"/>
        <v>026</v>
      </c>
      <c r="F217" t="s">
        <v>313</v>
      </c>
      <c r="G217" t="str">
        <f t="shared" si="14"/>
        <v>0148</v>
      </c>
      <c r="H217" t="str">
        <f>"0001"</f>
        <v>0001</v>
      </c>
      <c r="I217" t="s">
        <v>89</v>
      </c>
      <c r="J217">
        <v>0</v>
      </c>
      <c r="K217">
        <v>1</v>
      </c>
      <c r="L217">
        <v>3</v>
      </c>
      <c r="M217">
        <v>298</v>
      </c>
      <c r="N217">
        <v>398</v>
      </c>
      <c r="O217">
        <v>7</v>
      </c>
      <c r="P217">
        <v>398</v>
      </c>
      <c r="Q217">
        <v>39</v>
      </c>
      <c r="R217">
        <v>20</v>
      </c>
      <c r="S217">
        <v>2</v>
      </c>
      <c r="T217">
        <v>22</v>
      </c>
      <c r="U217">
        <v>10</v>
      </c>
      <c r="V217">
        <v>126</v>
      </c>
      <c r="W217">
        <v>10</v>
      </c>
      <c r="X217">
        <v>92</v>
      </c>
      <c r="Y217">
        <v>0</v>
      </c>
      <c r="Z217">
        <v>8</v>
      </c>
      <c r="AA217">
        <v>57</v>
      </c>
      <c r="AB217">
        <v>8</v>
      </c>
      <c r="AR217">
        <v>1</v>
      </c>
      <c r="AW217">
        <v>0</v>
      </c>
      <c r="AX217">
        <v>3</v>
      </c>
      <c r="AY217">
        <v>398</v>
      </c>
      <c r="AZ217">
        <v>398</v>
      </c>
      <c r="BA217">
        <v>652</v>
      </c>
      <c r="BB217">
        <v>44</v>
      </c>
      <c r="BD217">
        <v>1</v>
      </c>
      <c r="BF217" t="s">
        <v>319</v>
      </c>
      <c r="BG217" s="1">
        <v>44354.092361111114</v>
      </c>
      <c r="BH217" s="1">
        <v>44354.097766203704</v>
      </c>
      <c r="BI217" s="1">
        <v>44354.098124999997</v>
      </c>
      <c r="BJ217" t="s">
        <v>85</v>
      </c>
      <c r="BK217" t="s">
        <v>86</v>
      </c>
      <c r="BL217" t="s">
        <v>87</v>
      </c>
    </row>
    <row r="218" spans="1:64" x14ac:dyDescent="0.3">
      <c r="A218" t="str">
        <f>"200148C0200"</f>
        <v>200148C0200</v>
      </c>
      <c r="B218" t="str">
        <f>"200148C02003"</f>
        <v>200148C02003</v>
      </c>
      <c r="C218" t="str">
        <f t="shared" si="12"/>
        <v>20</v>
      </c>
      <c r="D218" t="s">
        <v>81</v>
      </c>
      <c r="E218" t="str">
        <f t="shared" si="13"/>
        <v>026</v>
      </c>
      <c r="F218" t="s">
        <v>313</v>
      </c>
      <c r="G218" t="str">
        <f t="shared" si="14"/>
        <v>0148</v>
      </c>
      <c r="H218" t="str">
        <f>"0002"</f>
        <v>0002</v>
      </c>
      <c r="I218" t="s">
        <v>89</v>
      </c>
      <c r="J218">
        <v>0</v>
      </c>
      <c r="K218">
        <v>1</v>
      </c>
      <c r="L218">
        <v>3</v>
      </c>
      <c r="M218">
        <v>293</v>
      </c>
      <c r="N218">
        <v>403</v>
      </c>
      <c r="O218">
        <v>10</v>
      </c>
      <c r="P218">
        <v>403</v>
      </c>
      <c r="Q218">
        <v>23</v>
      </c>
      <c r="R218">
        <v>32</v>
      </c>
      <c r="S218">
        <v>6</v>
      </c>
      <c r="T218">
        <v>31</v>
      </c>
      <c r="U218">
        <v>14</v>
      </c>
      <c r="V218">
        <v>116</v>
      </c>
      <c r="W218">
        <v>11</v>
      </c>
      <c r="X218">
        <v>85</v>
      </c>
      <c r="Y218">
        <v>0</v>
      </c>
      <c r="Z218">
        <v>7</v>
      </c>
      <c r="AA218">
        <v>67</v>
      </c>
      <c r="AB218">
        <v>7</v>
      </c>
      <c r="AR218">
        <v>0</v>
      </c>
      <c r="AW218">
        <v>0</v>
      </c>
      <c r="AX218">
        <v>4</v>
      </c>
      <c r="AY218">
        <v>403</v>
      </c>
      <c r="AZ218">
        <v>403</v>
      </c>
      <c r="BA218">
        <v>652</v>
      </c>
      <c r="BB218">
        <v>44</v>
      </c>
      <c r="BD218">
        <v>1</v>
      </c>
      <c r="BF218" t="s">
        <v>320</v>
      </c>
      <c r="BG218" s="1">
        <v>44354.09097222222</v>
      </c>
      <c r="BH218" s="1">
        <v>44354.096805555557</v>
      </c>
      <c r="BI218" s="1">
        <v>44354.097905092596</v>
      </c>
      <c r="BJ218" t="s">
        <v>85</v>
      </c>
      <c r="BK218" t="s">
        <v>86</v>
      </c>
      <c r="BL218" t="s">
        <v>87</v>
      </c>
    </row>
    <row r="219" spans="1:64" x14ac:dyDescent="0.3">
      <c r="A219" t="str">
        <f>"200148C0300"</f>
        <v>200148C0300</v>
      </c>
      <c r="B219" t="str">
        <f>"200148C03003"</f>
        <v>200148C03003</v>
      </c>
      <c r="C219" t="str">
        <f t="shared" si="12"/>
        <v>20</v>
      </c>
      <c r="D219" t="s">
        <v>81</v>
      </c>
      <c r="E219" t="str">
        <f t="shared" si="13"/>
        <v>026</v>
      </c>
      <c r="F219" t="s">
        <v>313</v>
      </c>
      <c r="G219" t="str">
        <f t="shared" si="14"/>
        <v>0148</v>
      </c>
      <c r="H219" t="str">
        <f>"0003"</f>
        <v>0003</v>
      </c>
      <c r="I219" t="s">
        <v>89</v>
      </c>
      <c r="J219">
        <v>0</v>
      </c>
      <c r="K219">
        <v>1</v>
      </c>
      <c r="L219">
        <v>3</v>
      </c>
      <c r="M219">
        <v>265</v>
      </c>
      <c r="N219">
        <v>430</v>
      </c>
      <c r="O219">
        <v>12</v>
      </c>
      <c r="P219">
        <v>430</v>
      </c>
      <c r="Q219">
        <v>28</v>
      </c>
      <c r="R219">
        <v>36</v>
      </c>
      <c r="S219">
        <v>6</v>
      </c>
      <c r="T219">
        <v>32</v>
      </c>
      <c r="U219">
        <v>15</v>
      </c>
      <c r="V219">
        <v>182</v>
      </c>
      <c r="W219">
        <v>13</v>
      </c>
      <c r="X219">
        <v>46</v>
      </c>
      <c r="Y219">
        <v>1</v>
      </c>
      <c r="Z219">
        <v>3</v>
      </c>
      <c r="AA219">
        <v>55</v>
      </c>
      <c r="AB219">
        <v>9</v>
      </c>
      <c r="AR219">
        <v>0</v>
      </c>
      <c r="AW219">
        <v>0</v>
      </c>
      <c r="AX219">
        <v>4</v>
      </c>
      <c r="AY219">
        <v>430</v>
      </c>
      <c r="AZ219">
        <v>430</v>
      </c>
      <c r="BA219">
        <v>652</v>
      </c>
      <c r="BB219">
        <v>44</v>
      </c>
      <c r="BD219">
        <v>1</v>
      </c>
      <c r="BF219" t="s">
        <v>321</v>
      </c>
      <c r="BG219" s="1">
        <v>44354.095138888886</v>
      </c>
      <c r="BH219" s="1">
        <v>44354.09946759259</v>
      </c>
      <c r="BI219" s="1">
        <v>44354.099988425929</v>
      </c>
      <c r="BJ219" t="s">
        <v>85</v>
      </c>
      <c r="BK219" t="s">
        <v>86</v>
      </c>
      <c r="BL219" t="s">
        <v>87</v>
      </c>
    </row>
    <row r="220" spans="1:64" x14ac:dyDescent="0.3">
      <c r="A220" t="str">
        <f>"200148C0400"</f>
        <v>200148C0400</v>
      </c>
      <c r="B220" t="str">
        <f>"200148C04003"</f>
        <v>200148C04003</v>
      </c>
      <c r="C220" t="str">
        <f t="shared" si="12"/>
        <v>20</v>
      </c>
      <c r="D220" t="s">
        <v>81</v>
      </c>
      <c r="E220" t="str">
        <f t="shared" si="13"/>
        <v>026</v>
      </c>
      <c r="F220" t="s">
        <v>313</v>
      </c>
      <c r="G220" t="str">
        <f t="shared" si="14"/>
        <v>0148</v>
      </c>
      <c r="H220" t="str">
        <f>"0004"</f>
        <v>0004</v>
      </c>
      <c r="I220" t="s">
        <v>89</v>
      </c>
      <c r="J220">
        <v>0</v>
      </c>
      <c r="K220">
        <v>1</v>
      </c>
      <c r="L220">
        <v>3</v>
      </c>
      <c r="M220">
        <v>207</v>
      </c>
      <c r="N220">
        <v>489</v>
      </c>
      <c r="O220">
        <v>14</v>
      </c>
      <c r="P220">
        <v>489</v>
      </c>
      <c r="Q220">
        <v>51</v>
      </c>
      <c r="R220">
        <v>45</v>
      </c>
      <c r="S220">
        <v>1</v>
      </c>
      <c r="T220">
        <v>28</v>
      </c>
      <c r="U220">
        <v>13</v>
      </c>
      <c r="V220">
        <v>173</v>
      </c>
      <c r="W220">
        <v>12</v>
      </c>
      <c r="X220">
        <v>64</v>
      </c>
      <c r="Y220">
        <v>2</v>
      </c>
      <c r="Z220">
        <v>12</v>
      </c>
      <c r="AA220">
        <v>70</v>
      </c>
      <c r="AB220">
        <v>5</v>
      </c>
      <c r="AR220">
        <v>0</v>
      </c>
      <c r="AW220">
        <v>0</v>
      </c>
      <c r="AX220">
        <v>13</v>
      </c>
      <c r="AY220">
        <v>489</v>
      </c>
      <c r="AZ220">
        <v>489</v>
      </c>
      <c r="BA220">
        <v>652</v>
      </c>
      <c r="BB220">
        <v>44</v>
      </c>
      <c r="BD220">
        <v>1</v>
      </c>
      <c r="BF220" t="s">
        <v>322</v>
      </c>
      <c r="BG220" s="1">
        <v>44354.098611111112</v>
      </c>
      <c r="BH220" s="1">
        <v>44354.100844907407</v>
      </c>
      <c r="BI220" s="1">
        <v>44354.101377314815</v>
      </c>
      <c r="BJ220" t="s">
        <v>85</v>
      </c>
      <c r="BK220" t="s">
        <v>86</v>
      </c>
      <c r="BL220" t="s">
        <v>87</v>
      </c>
    </row>
    <row r="221" spans="1:64" x14ac:dyDescent="0.3">
      <c r="A221" t="str">
        <f>"200148E0100"</f>
        <v>200148E0100</v>
      </c>
      <c r="B221" t="str">
        <f>"200148E01003"</f>
        <v>200148E01003</v>
      </c>
      <c r="C221" t="str">
        <f t="shared" si="12"/>
        <v>20</v>
      </c>
      <c r="D221" t="s">
        <v>81</v>
      </c>
      <c r="E221" t="str">
        <f t="shared" si="13"/>
        <v>026</v>
      </c>
      <c r="F221" t="s">
        <v>313</v>
      </c>
      <c r="G221" t="str">
        <f t="shared" si="14"/>
        <v>0148</v>
      </c>
      <c r="H221" t="str">
        <f>"0001"</f>
        <v>0001</v>
      </c>
      <c r="I221" t="s">
        <v>122</v>
      </c>
      <c r="J221">
        <v>0</v>
      </c>
      <c r="K221">
        <v>1</v>
      </c>
      <c r="L221">
        <v>3</v>
      </c>
      <c r="M221">
        <v>269</v>
      </c>
      <c r="N221">
        <v>309</v>
      </c>
      <c r="O221">
        <v>5</v>
      </c>
      <c r="P221" t="s">
        <v>92</v>
      </c>
      <c r="Q221">
        <v>11</v>
      </c>
      <c r="R221">
        <v>12</v>
      </c>
      <c r="S221">
        <v>3</v>
      </c>
      <c r="T221">
        <v>6</v>
      </c>
      <c r="U221">
        <v>5</v>
      </c>
      <c r="V221">
        <v>105</v>
      </c>
      <c r="W221">
        <v>4</v>
      </c>
      <c r="X221">
        <v>75</v>
      </c>
      <c r="Y221">
        <v>1</v>
      </c>
      <c r="Z221">
        <v>6</v>
      </c>
      <c r="AA221">
        <v>69</v>
      </c>
      <c r="AB221">
        <v>8</v>
      </c>
      <c r="AR221">
        <v>0</v>
      </c>
      <c r="AW221">
        <v>0</v>
      </c>
      <c r="AX221">
        <v>4</v>
      </c>
      <c r="AY221">
        <v>309</v>
      </c>
      <c r="AZ221">
        <v>309</v>
      </c>
      <c r="BA221">
        <v>535</v>
      </c>
      <c r="BB221">
        <v>44</v>
      </c>
      <c r="BD221">
        <v>1</v>
      </c>
      <c r="BF221" t="s">
        <v>323</v>
      </c>
      <c r="BG221" s="1">
        <v>44354.103472222225</v>
      </c>
      <c r="BH221" s="1">
        <v>44354.106481481482</v>
      </c>
      <c r="BI221" s="1">
        <v>44354.106909722221</v>
      </c>
      <c r="BJ221" t="s">
        <v>85</v>
      </c>
      <c r="BK221" t="s">
        <v>86</v>
      </c>
      <c r="BL221" t="s">
        <v>87</v>
      </c>
    </row>
    <row r="222" spans="1:64" x14ac:dyDescent="0.3">
      <c r="A222" t="str">
        <f>"200148E0101"</f>
        <v>200148E0101</v>
      </c>
      <c r="B222" t="str">
        <f>"200148E01013"</f>
        <v>200148E01013</v>
      </c>
      <c r="C222" t="str">
        <f t="shared" si="12"/>
        <v>20</v>
      </c>
      <c r="D222" t="s">
        <v>81</v>
      </c>
      <c r="E222" t="str">
        <f t="shared" si="13"/>
        <v>026</v>
      </c>
      <c r="F222" t="s">
        <v>313</v>
      </c>
      <c r="G222" t="str">
        <f t="shared" si="14"/>
        <v>0148</v>
      </c>
      <c r="H222" t="str">
        <f>"0001"</f>
        <v>0001</v>
      </c>
      <c r="I222" t="s">
        <v>122</v>
      </c>
      <c r="J222">
        <v>1</v>
      </c>
      <c r="K222">
        <v>1</v>
      </c>
      <c r="L222">
        <v>3</v>
      </c>
      <c r="M222">
        <v>231</v>
      </c>
      <c r="N222">
        <v>347</v>
      </c>
      <c r="O222">
        <v>11</v>
      </c>
      <c r="P222">
        <v>347</v>
      </c>
      <c r="Q222">
        <v>9</v>
      </c>
      <c r="R222">
        <v>13</v>
      </c>
      <c r="S222">
        <v>1</v>
      </c>
      <c r="T222">
        <v>7</v>
      </c>
      <c r="U222">
        <v>7</v>
      </c>
      <c r="V222">
        <v>96</v>
      </c>
      <c r="W222">
        <v>5</v>
      </c>
      <c r="X222">
        <v>105</v>
      </c>
      <c r="Y222">
        <v>2</v>
      </c>
      <c r="Z222">
        <v>2</v>
      </c>
      <c r="AA222">
        <v>71</v>
      </c>
      <c r="AB222">
        <v>19</v>
      </c>
      <c r="AR222">
        <v>1</v>
      </c>
      <c r="AW222">
        <v>0</v>
      </c>
      <c r="AX222">
        <v>9</v>
      </c>
      <c r="AY222">
        <v>347</v>
      </c>
      <c r="AZ222">
        <v>347</v>
      </c>
      <c r="BA222">
        <v>535</v>
      </c>
      <c r="BB222">
        <v>44</v>
      </c>
      <c r="BD222">
        <v>1</v>
      </c>
      <c r="BF222" t="s">
        <v>324</v>
      </c>
      <c r="BG222" s="1">
        <v>44354.105555555558</v>
      </c>
      <c r="BH222" s="1">
        <v>44354.109050925923</v>
      </c>
      <c r="BI222" s="1">
        <v>44354.111574074072</v>
      </c>
      <c r="BJ222" t="s">
        <v>85</v>
      </c>
      <c r="BK222" t="s">
        <v>86</v>
      </c>
      <c r="BL222" t="s">
        <v>87</v>
      </c>
    </row>
    <row r="223" spans="1:64" x14ac:dyDescent="0.3">
      <c r="A223" t="str">
        <f>"200148E0102"</f>
        <v>200148E0102</v>
      </c>
      <c r="B223" t="str">
        <f>"200148E01023"</f>
        <v>200148E01023</v>
      </c>
      <c r="C223" t="str">
        <f t="shared" si="12"/>
        <v>20</v>
      </c>
      <c r="D223" t="s">
        <v>81</v>
      </c>
      <c r="E223" t="str">
        <f t="shared" si="13"/>
        <v>026</v>
      </c>
      <c r="F223" t="s">
        <v>313</v>
      </c>
      <c r="G223" t="str">
        <f t="shared" si="14"/>
        <v>0148</v>
      </c>
      <c r="H223" t="str">
        <f>"0001"</f>
        <v>0001</v>
      </c>
      <c r="I223" t="s">
        <v>122</v>
      </c>
      <c r="J223">
        <v>2</v>
      </c>
      <c r="K223">
        <v>1</v>
      </c>
      <c r="L223">
        <v>3</v>
      </c>
      <c r="M223">
        <v>231</v>
      </c>
      <c r="N223">
        <v>347</v>
      </c>
      <c r="O223">
        <v>12</v>
      </c>
      <c r="P223">
        <v>347</v>
      </c>
      <c r="Q223">
        <v>9</v>
      </c>
      <c r="R223">
        <v>11</v>
      </c>
      <c r="S223">
        <v>1</v>
      </c>
      <c r="T223">
        <v>10</v>
      </c>
      <c r="U223">
        <v>14</v>
      </c>
      <c r="V223">
        <v>98</v>
      </c>
      <c r="W223">
        <v>4</v>
      </c>
      <c r="X223">
        <v>106</v>
      </c>
      <c r="Y223">
        <v>3</v>
      </c>
      <c r="Z223">
        <v>1</v>
      </c>
      <c r="AA223">
        <v>75</v>
      </c>
      <c r="AB223">
        <v>7</v>
      </c>
      <c r="AR223">
        <v>0</v>
      </c>
      <c r="AW223">
        <v>0</v>
      </c>
      <c r="AX223">
        <v>8</v>
      </c>
      <c r="AY223">
        <v>347</v>
      </c>
      <c r="AZ223">
        <v>347</v>
      </c>
      <c r="BA223">
        <v>534</v>
      </c>
      <c r="BB223">
        <v>44</v>
      </c>
      <c r="BD223">
        <v>1</v>
      </c>
      <c r="BF223" t="s">
        <v>325</v>
      </c>
      <c r="BG223" s="1">
        <v>44354.106944444444</v>
      </c>
      <c r="BH223" s="1">
        <v>44354.110023148147</v>
      </c>
      <c r="BI223" s="1">
        <v>44354.110983796294</v>
      </c>
      <c r="BJ223" t="s">
        <v>85</v>
      </c>
      <c r="BK223" t="s">
        <v>86</v>
      </c>
      <c r="BL223" t="s">
        <v>87</v>
      </c>
    </row>
    <row r="224" spans="1:64" x14ac:dyDescent="0.3">
      <c r="A224" t="str">
        <f>"200148E0200"</f>
        <v>200148E0200</v>
      </c>
      <c r="B224" t="str">
        <f>"200148E02003"</f>
        <v>200148E02003</v>
      </c>
      <c r="C224" t="str">
        <f t="shared" si="12"/>
        <v>20</v>
      </c>
      <c r="D224" t="s">
        <v>81</v>
      </c>
      <c r="E224" t="str">
        <f t="shared" si="13"/>
        <v>026</v>
      </c>
      <c r="F224" t="s">
        <v>313</v>
      </c>
      <c r="G224" t="str">
        <f t="shared" si="14"/>
        <v>0148</v>
      </c>
      <c r="H224" t="str">
        <f>"0002"</f>
        <v>0002</v>
      </c>
      <c r="I224" t="s">
        <v>122</v>
      </c>
      <c r="J224">
        <v>0</v>
      </c>
      <c r="K224">
        <v>1</v>
      </c>
      <c r="L224">
        <v>3</v>
      </c>
      <c r="M224">
        <v>430</v>
      </c>
      <c r="N224">
        <v>361</v>
      </c>
      <c r="O224">
        <v>16</v>
      </c>
      <c r="P224">
        <v>361</v>
      </c>
      <c r="Q224">
        <v>34</v>
      </c>
      <c r="R224">
        <v>21</v>
      </c>
      <c r="S224">
        <v>0</v>
      </c>
      <c r="T224">
        <v>8</v>
      </c>
      <c r="U224">
        <v>19</v>
      </c>
      <c r="V224">
        <v>60</v>
      </c>
      <c r="W224">
        <v>15</v>
      </c>
      <c r="X224">
        <v>104</v>
      </c>
      <c r="Y224">
        <v>4</v>
      </c>
      <c r="Z224">
        <v>5</v>
      </c>
      <c r="AA224">
        <v>68</v>
      </c>
      <c r="AB224">
        <v>14</v>
      </c>
      <c r="AR224">
        <v>0</v>
      </c>
      <c r="AW224">
        <v>0</v>
      </c>
      <c r="AX224">
        <v>9</v>
      </c>
      <c r="AY224">
        <v>361</v>
      </c>
      <c r="AZ224">
        <v>361</v>
      </c>
      <c r="BA224">
        <v>748</v>
      </c>
      <c r="BB224">
        <v>44</v>
      </c>
      <c r="BD224">
        <v>1</v>
      </c>
      <c r="BF224" t="s">
        <v>326</v>
      </c>
      <c r="BG224" s="1">
        <v>44354.104166666664</v>
      </c>
      <c r="BH224" s="1">
        <v>44354.107361111113</v>
      </c>
      <c r="BI224" s="1">
        <v>44354.108067129629</v>
      </c>
      <c r="BJ224" t="s">
        <v>85</v>
      </c>
      <c r="BK224" t="s">
        <v>86</v>
      </c>
      <c r="BL224" t="s">
        <v>87</v>
      </c>
    </row>
    <row r="225" spans="1:64" x14ac:dyDescent="0.3">
      <c r="A225" t="str">
        <f>"200149B0000"</f>
        <v>200149B0000</v>
      </c>
      <c r="B225" t="str">
        <f>"200149B00003"</f>
        <v>200149B00003</v>
      </c>
      <c r="C225" t="str">
        <f t="shared" si="12"/>
        <v>20</v>
      </c>
      <c r="D225" t="s">
        <v>81</v>
      </c>
      <c r="E225" t="str">
        <f t="shared" si="13"/>
        <v>026</v>
      </c>
      <c r="F225" t="s">
        <v>313</v>
      </c>
      <c r="G225" t="str">
        <f>"0149"</f>
        <v>0149</v>
      </c>
      <c r="H225" t="str">
        <f>"0000"</f>
        <v>0000</v>
      </c>
      <c r="I225" t="s">
        <v>83</v>
      </c>
      <c r="J225">
        <v>0</v>
      </c>
      <c r="K225">
        <v>1</v>
      </c>
      <c r="L225">
        <v>3</v>
      </c>
      <c r="M225">
        <v>206</v>
      </c>
      <c r="N225">
        <v>452</v>
      </c>
      <c r="O225">
        <v>8</v>
      </c>
      <c r="P225">
        <v>452</v>
      </c>
      <c r="Q225">
        <v>42</v>
      </c>
      <c r="R225">
        <v>19</v>
      </c>
      <c r="S225">
        <v>3</v>
      </c>
      <c r="T225">
        <v>20</v>
      </c>
      <c r="U225">
        <v>13</v>
      </c>
      <c r="V225">
        <v>132</v>
      </c>
      <c r="W225">
        <v>17</v>
      </c>
      <c r="X225">
        <v>96</v>
      </c>
      <c r="Y225">
        <v>0</v>
      </c>
      <c r="Z225">
        <v>9</v>
      </c>
      <c r="AA225">
        <v>64</v>
      </c>
      <c r="AB225">
        <v>27</v>
      </c>
      <c r="AR225">
        <v>0</v>
      </c>
      <c r="AW225">
        <v>0</v>
      </c>
      <c r="AX225">
        <v>10</v>
      </c>
      <c r="AY225">
        <v>452</v>
      </c>
      <c r="AZ225">
        <v>452</v>
      </c>
      <c r="BA225">
        <v>614</v>
      </c>
      <c r="BB225">
        <v>44</v>
      </c>
      <c r="BD225">
        <v>1</v>
      </c>
      <c r="BF225" t="s">
        <v>327</v>
      </c>
      <c r="BG225" s="1">
        <v>44354.113888888889</v>
      </c>
      <c r="BH225" s="1">
        <v>44354.117685185185</v>
      </c>
      <c r="BI225" s="1">
        <v>44354.118148148147</v>
      </c>
      <c r="BJ225" t="s">
        <v>85</v>
      </c>
      <c r="BK225" t="s">
        <v>86</v>
      </c>
      <c r="BL225" t="s">
        <v>87</v>
      </c>
    </row>
    <row r="226" spans="1:64" x14ac:dyDescent="0.3">
      <c r="A226" t="str">
        <f>"200149C0100"</f>
        <v>200149C0100</v>
      </c>
      <c r="B226" t="str">
        <f>"200149C01003"</f>
        <v>200149C01003</v>
      </c>
      <c r="C226" t="str">
        <f t="shared" si="12"/>
        <v>20</v>
      </c>
      <c r="D226" t="s">
        <v>81</v>
      </c>
      <c r="E226" t="str">
        <f t="shared" si="13"/>
        <v>026</v>
      </c>
      <c r="F226" t="s">
        <v>313</v>
      </c>
      <c r="G226" t="str">
        <f>"0149"</f>
        <v>0149</v>
      </c>
      <c r="H226" t="str">
        <f>"0001"</f>
        <v>0001</v>
      </c>
      <c r="I226" t="s">
        <v>89</v>
      </c>
      <c r="J226">
        <v>0</v>
      </c>
      <c r="K226">
        <v>1</v>
      </c>
      <c r="L226">
        <v>3</v>
      </c>
      <c r="M226">
        <v>253</v>
      </c>
      <c r="N226">
        <v>405</v>
      </c>
      <c r="O226">
        <v>11</v>
      </c>
      <c r="P226">
        <v>405</v>
      </c>
      <c r="Q226">
        <v>31</v>
      </c>
      <c r="R226">
        <v>22</v>
      </c>
      <c r="S226">
        <v>6</v>
      </c>
      <c r="T226">
        <v>17</v>
      </c>
      <c r="U226">
        <v>23</v>
      </c>
      <c r="V226">
        <v>125</v>
      </c>
      <c r="W226">
        <v>16</v>
      </c>
      <c r="X226">
        <v>85</v>
      </c>
      <c r="Y226">
        <v>1</v>
      </c>
      <c r="Z226">
        <v>7</v>
      </c>
      <c r="AA226">
        <v>34</v>
      </c>
      <c r="AB226">
        <v>31</v>
      </c>
      <c r="AR226">
        <v>0</v>
      </c>
      <c r="AW226">
        <v>0</v>
      </c>
      <c r="AX226">
        <v>7</v>
      </c>
      <c r="AY226">
        <v>405</v>
      </c>
      <c r="AZ226">
        <v>405</v>
      </c>
      <c r="BA226">
        <v>614</v>
      </c>
      <c r="BB226">
        <v>44</v>
      </c>
      <c r="BD226">
        <v>1</v>
      </c>
      <c r="BF226" t="s">
        <v>328</v>
      </c>
      <c r="BG226" s="1">
        <v>44353.931250000001</v>
      </c>
      <c r="BH226" s="1">
        <v>44354.117997685185</v>
      </c>
      <c r="BI226" s="1">
        <v>44354.11859953704</v>
      </c>
      <c r="BJ226" t="s">
        <v>85</v>
      </c>
      <c r="BK226" t="s">
        <v>86</v>
      </c>
      <c r="BL226" t="s">
        <v>87</v>
      </c>
    </row>
    <row r="227" spans="1:64" x14ac:dyDescent="0.3">
      <c r="A227" t="str">
        <f>"200149C0200"</f>
        <v>200149C0200</v>
      </c>
      <c r="B227" t="str">
        <f>"200149C02003"</f>
        <v>200149C02003</v>
      </c>
      <c r="C227" t="str">
        <f t="shared" si="12"/>
        <v>20</v>
      </c>
      <c r="D227" t="s">
        <v>81</v>
      </c>
      <c r="E227" t="str">
        <f t="shared" si="13"/>
        <v>026</v>
      </c>
      <c r="F227" t="s">
        <v>313</v>
      </c>
      <c r="G227" t="str">
        <f>"0149"</f>
        <v>0149</v>
      </c>
      <c r="H227" t="str">
        <f>"0002"</f>
        <v>0002</v>
      </c>
      <c r="I227" t="s">
        <v>89</v>
      </c>
      <c r="J227">
        <v>0</v>
      </c>
      <c r="K227">
        <v>1</v>
      </c>
      <c r="L227">
        <v>3</v>
      </c>
      <c r="M227">
        <v>226</v>
      </c>
      <c r="N227">
        <v>429</v>
      </c>
      <c r="O227">
        <v>11</v>
      </c>
      <c r="P227">
        <v>429</v>
      </c>
      <c r="Q227">
        <v>41</v>
      </c>
      <c r="R227">
        <v>19</v>
      </c>
      <c r="S227">
        <v>1</v>
      </c>
      <c r="T227">
        <v>16</v>
      </c>
      <c r="U227">
        <v>14</v>
      </c>
      <c r="V227">
        <v>105</v>
      </c>
      <c r="W227">
        <v>25</v>
      </c>
      <c r="X227">
        <v>109</v>
      </c>
      <c r="Y227">
        <v>1</v>
      </c>
      <c r="Z227">
        <v>9</v>
      </c>
      <c r="AA227">
        <v>57</v>
      </c>
      <c r="AB227">
        <v>19</v>
      </c>
      <c r="AR227">
        <v>0</v>
      </c>
      <c r="AW227">
        <v>0</v>
      </c>
      <c r="AX227">
        <v>13</v>
      </c>
      <c r="AY227">
        <v>429</v>
      </c>
      <c r="AZ227">
        <v>429</v>
      </c>
      <c r="BA227">
        <v>613</v>
      </c>
      <c r="BB227">
        <v>44</v>
      </c>
      <c r="BD227">
        <v>1</v>
      </c>
      <c r="BF227" t="s">
        <v>329</v>
      </c>
      <c r="BG227" s="1">
        <v>44354.118055555555</v>
      </c>
      <c r="BH227" s="1">
        <v>44354.121817129628</v>
      </c>
      <c r="BI227" s="1">
        <v>44354.122048611112</v>
      </c>
      <c r="BJ227" t="s">
        <v>85</v>
      </c>
      <c r="BK227" t="s">
        <v>86</v>
      </c>
      <c r="BL227" t="s">
        <v>87</v>
      </c>
    </row>
    <row r="228" spans="1:64" x14ac:dyDescent="0.3">
      <c r="A228" t="str">
        <f>"200149C0300"</f>
        <v>200149C0300</v>
      </c>
      <c r="B228" t="str">
        <f>"200149C03003"</f>
        <v>200149C03003</v>
      </c>
      <c r="C228" t="str">
        <f t="shared" si="12"/>
        <v>20</v>
      </c>
      <c r="D228" t="s">
        <v>81</v>
      </c>
      <c r="E228" t="str">
        <f t="shared" si="13"/>
        <v>026</v>
      </c>
      <c r="F228" t="s">
        <v>313</v>
      </c>
      <c r="G228" t="str">
        <f>"0149"</f>
        <v>0149</v>
      </c>
      <c r="H228" t="str">
        <f>"0003"</f>
        <v>0003</v>
      </c>
      <c r="I228" t="s">
        <v>89</v>
      </c>
      <c r="J228">
        <v>0</v>
      </c>
      <c r="K228">
        <v>1</v>
      </c>
      <c r="L228">
        <v>3</v>
      </c>
      <c r="M228">
        <v>212</v>
      </c>
      <c r="N228">
        <v>445</v>
      </c>
      <c r="O228">
        <v>11</v>
      </c>
      <c r="P228">
        <v>445</v>
      </c>
      <c r="Q228">
        <v>36</v>
      </c>
      <c r="R228">
        <v>22</v>
      </c>
      <c r="S228">
        <v>0</v>
      </c>
      <c r="T228">
        <v>20</v>
      </c>
      <c r="U228">
        <v>17</v>
      </c>
      <c r="V228">
        <v>139</v>
      </c>
      <c r="W228">
        <v>11</v>
      </c>
      <c r="X228">
        <v>109</v>
      </c>
      <c r="Y228">
        <v>1</v>
      </c>
      <c r="Z228">
        <v>13</v>
      </c>
      <c r="AA228">
        <v>46</v>
      </c>
      <c r="AB228">
        <v>21</v>
      </c>
      <c r="AR228">
        <v>0</v>
      </c>
      <c r="AW228">
        <v>0</v>
      </c>
      <c r="AX228">
        <v>10</v>
      </c>
      <c r="AY228">
        <v>445</v>
      </c>
      <c r="AZ228">
        <v>445</v>
      </c>
      <c r="BA228">
        <v>613</v>
      </c>
      <c r="BB228">
        <v>44</v>
      </c>
      <c r="BD228">
        <v>1</v>
      </c>
      <c r="BF228" t="s">
        <v>330</v>
      </c>
      <c r="BG228" s="1">
        <v>44354.116666666669</v>
      </c>
      <c r="BH228" s="1">
        <v>44354.119351851848</v>
      </c>
      <c r="BI228" s="1">
        <v>44354.12090277778</v>
      </c>
      <c r="BJ228" t="s">
        <v>85</v>
      </c>
      <c r="BK228" t="s">
        <v>86</v>
      </c>
      <c r="BL228" t="s">
        <v>87</v>
      </c>
    </row>
    <row r="229" spans="1:64" x14ac:dyDescent="0.3">
      <c r="A229" t="str">
        <f>"200150B0000"</f>
        <v>200150B0000</v>
      </c>
      <c r="B229" t="str">
        <f>"200150B00003"</f>
        <v>200150B00003</v>
      </c>
      <c r="C229" t="str">
        <f t="shared" si="12"/>
        <v>20</v>
      </c>
      <c r="D229" t="s">
        <v>81</v>
      </c>
      <c r="E229" t="str">
        <f t="shared" si="13"/>
        <v>026</v>
      </c>
      <c r="F229" t="s">
        <v>313</v>
      </c>
      <c r="G229" t="str">
        <f>"0150"</f>
        <v>0150</v>
      </c>
      <c r="H229" t="str">
        <f>"0000"</f>
        <v>0000</v>
      </c>
      <c r="I229" t="s">
        <v>83</v>
      </c>
      <c r="J229">
        <v>0</v>
      </c>
      <c r="K229">
        <v>1</v>
      </c>
      <c r="L229">
        <v>3</v>
      </c>
      <c r="M229">
        <v>199</v>
      </c>
      <c r="N229">
        <v>449</v>
      </c>
      <c r="O229">
        <v>4</v>
      </c>
      <c r="P229">
        <v>449</v>
      </c>
      <c r="Q229">
        <v>28</v>
      </c>
      <c r="R229">
        <v>38</v>
      </c>
      <c r="S229">
        <v>2</v>
      </c>
      <c r="T229">
        <v>33</v>
      </c>
      <c r="U229">
        <v>6</v>
      </c>
      <c r="V229">
        <v>200</v>
      </c>
      <c r="W229">
        <v>3</v>
      </c>
      <c r="X229">
        <v>69</v>
      </c>
      <c r="Y229">
        <v>1</v>
      </c>
      <c r="Z229">
        <v>4</v>
      </c>
      <c r="AA229">
        <v>50</v>
      </c>
      <c r="AB229">
        <v>8</v>
      </c>
      <c r="AR229">
        <v>0</v>
      </c>
      <c r="AW229">
        <v>0</v>
      </c>
      <c r="AX229">
        <v>7</v>
      </c>
      <c r="AY229">
        <v>449</v>
      </c>
      <c r="AZ229">
        <v>449</v>
      </c>
      <c r="BA229">
        <v>604</v>
      </c>
      <c r="BB229">
        <v>44</v>
      </c>
      <c r="BD229">
        <v>1</v>
      </c>
      <c r="BF229" t="s">
        <v>331</v>
      </c>
      <c r="BG229" s="1">
        <v>44354.027777777781</v>
      </c>
      <c r="BH229" s="1">
        <v>44354.040462962963</v>
      </c>
      <c r="BI229" s="1">
        <v>44354.041168981479</v>
      </c>
      <c r="BJ229" t="s">
        <v>85</v>
      </c>
      <c r="BK229" t="s">
        <v>86</v>
      </c>
      <c r="BL229" t="s">
        <v>87</v>
      </c>
    </row>
    <row r="230" spans="1:64" x14ac:dyDescent="0.3">
      <c r="A230" t="str">
        <f>"200150C0100"</f>
        <v>200150C0100</v>
      </c>
      <c r="B230" t="str">
        <f>"200150C01003"</f>
        <v>200150C01003</v>
      </c>
      <c r="C230" t="str">
        <f t="shared" si="12"/>
        <v>20</v>
      </c>
      <c r="D230" t="s">
        <v>81</v>
      </c>
      <c r="E230" t="str">
        <f t="shared" si="13"/>
        <v>026</v>
      </c>
      <c r="F230" t="s">
        <v>313</v>
      </c>
      <c r="G230" t="str">
        <f>"0150"</f>
        <v>0150</v>
      </c>
      <c r="H230" t="str">
        <f>"0001"</f>
        <v>0001</v>
      </c>
      <c r="I230" t="s">
        <v>89</v>
      </c>
      <c r="J230">
        <v>0</v>
      </c>
      <c r="K230">
        <v>1</v>
      </c>
      <c r="L230">
        <v>3</v>
      </c>
      <c r="M230">
        <v>222</v>
      </c>
      <c r="N230">
        <v>426</v>
      </c>
      <c r="O230">
        <v>10</v>
      </c>
      <c r="P230">
        <v>425</v>
      </c>
      <c r="Q230">
        <v>37</v>
      </c>
      <c r="R230">
        <v>29</v>
      </c>
      <c r="S230">
        <v>6</v>
      </c>
      <c r="T230">
        <v>39</v>
      </c>
      <c r="U230">
        <v>7</v>
      </c>
      <c r="V230">
        <v>160</v>
      </c>
      <c r="W230">
        <v>6</v>
      </c>
      <c r="X230">
        <v>70</v>
      </c>
      <c r="Y230">
        <v>2</v>
      </c>
      <c r="Z230">
        <v>2</v>
      </c>
      <c r="AA230">
        <v>53</v>
      </c>
      <c r="AB230">
        <v>7</v>
      </c>
      <c r="AR230">
        <v>0</v>
      </c>
      <c r="AW230">
        <v>0</v>
      </c>
      <c r="AX230">
        <v>7</v>
      </c>
      <c r="AY230">
        <v>425</v>
      </c>
      <c r="AZ230">
        <v>425</v>
      </c>
      <c r="BA230">
        <v>603</v>
      </c>
      <c r="BB230">
        <v>44</v>
      </c>
      <c r="BD230">
        <v>1</v>
      </c>
      <c r="BF230" t="s">
        <v>332</v>
      </c>
      <c r="BG230" s="1">
        <v>44354.034722222219</v>
      </c>
      <c r="BH230" s="1">
        <v>44354.043449074074</v>
      </c>
      <c r="BI230" s="1">
        <v>44354.04414351852</v>
      </c>
      <c r="BJ230" t="s">
        <v>85</v>
      </c>
      <c r="BK230" t="s">
        <v>86</v>
      </c>
      <c r="BL230" t="s">
        <v>87</v>
      </c>
    </row>
    <row r="231" spans="1:64" x14ac:dyDescent="0.3">
      <c r="A231" t="str">
        <f>"200150C0200"</f>
        <v>200150C0200</v>
      </c>
      <c r="B231" t="str">
        <f>"200150C02003"</f>
        <v>200150C02003</v>
      </c>
      <c r="C231" t="str">
        <f t="shared" si="12"/>
        <v>20</v>
      </c>
      <c r="D231" t="s">
        <v>81</v>
      </c>
      <c r="E231" t="str">
        <f t="shared" si="13"/>
        <v>026</v>
      </c>
      <c r="F231" t="s">
        <v>313</v>
      </c>
      <c r="G231" t="str">
        <f>"0150"</f>
        <v>0150</v>
      </c>
      <c r="H231" t="str">
        <f>"0002"</f>
        <v>0002</v>
      </c>
      <c r="I231" t="s">
        <v>89</v>
      </c>
      <c r="J231">
        <v>0</v>
      </c>
      <c r="K231">
        <v>1</v>
      </c>
      <c r="L231">
        <v>3</v>
      </c>
      <c r="M231">
        <v>184</v>
      </c>
      <c r="N231">
        <v>463</v>
      </c>
      <c r="O231">
        <v>7</v>
      </c>
      <c r="P231">
        <v>463</v>
      </c>
      <c r="Q231">
        <v>37</v>
      </c>
      <c r="R231">
        <v>30</v>
      </c>
      <c r="S231">
        <v>2</v>
      </c>
      <c r="T231">
        <v>30</v>
      </c>
      <c r="U231">
        <v>7</v>
      </c>
      <c r="V231">
        <v>210</v>
      </c>
      <c r="W231">
        <v>4</v>
      </c>
      <c r="X231">
        <v>61</v>
      </c>
      <c r="Y231">
        <v>0</v>
      </c>
      <c r="Z231">
        <v>4</v>
      </c>
      <c r="AA231">
        <v>59</v>
      </c>
      <c r="AB231">
        <v>7</v>
      </c>
      <c r="AR231">
        <v>0</v>
      </c>
      <c r="AW231">
        <v>0</v>
      </c>
      <c r="AX231">
        <v>12</v>
      </c>
      <c r="AY231">
        <v>463</v>
      </c>
      <c r="AZ231">
        <v>463</v>
      </c>
      <c r="BA231">
        <v>603</v>
      </c>
      <c r="BB231">
        <v>44</v>
      </c>
      <c r="BD231">
        <v>1</v>
      </c>
      <c r="BF231" t="s">
        <v>333</v>
      </c>
      <c r="BG231" s="1">
        <v>44354.029166666667</v>
      </c>
      <c r="BH231" s="1">
        <v>44354.044965277775</v>
      </c>
      <c r="BI231" s="1">
        <v>44354.045601851853</v>
      </c>
      <c r="BJ231" t="s">
        <v>85</v>
      </c>
      <c r="BK231" t="s">
        <v>86</v>
      </c>
      <c r="BL231" t="s">
        <v>87</v>
      </c>
    </row>
    <row r="232" spans="1:64" x14ac:dyDescent="0.3">
      <c r="A232" t="str">
        <f>"200151B0000"</f>
        <v>200151B0000</v>
      </c>
      <c r="B232" t="str">
        <f>"200151B00003"</f>
        <v>200151B00003</v>
      </c>
      <c r="C232" t="str">
        <f t="shared" si="12"/>
        <v>20</v>
      </c>
      <c r="D232" t="s">
        <v>81</v>
      </c>
      <c r="E232" t="str">
        <f t="shared" si="13"/>
        <v>026</v>
      </c>
      <c r="F232" t="s">
        <v>313</v>
      </c>
      <c r="G232" t="str">
        <f>"0151"</f>
        <v>0151</v>
      </c>
      <c r="H232" t="str">
        <f>"0000"</f>
        <v>0000</v>
      </c>
      <c r="I232" t="s">
        <v>83</v>
      </c>
      <c r="J232">
        <v>0</v>
      </c>
      <c r="K232">
        <v>1</v>
      </c>
      <c r="L232">
        <v>3</v>
      </c>
      <c r="M232">
        <v>229</v>
      </c>
      <c r="N232">
        <v>0</v>
      </c>
      <c r="O232">
        <v>0</v>
      </c>
      <c r="P232">
        <v>489</v>
      </c>
      <c r="Q232">
        <v>61</v>
      </c>
      <c r="R232">
        <v>45</v>
      </c>
      <c r="S232">
        <v>4</v>
      </c>
      <c r="T232">
        <v>64</v>
      </c>
      <c r="U232">
        <v>6</v>
      </c>
      <c r="V232">
        <v>132</v>
      </c>
      <c r="W232">
        <v>33</v>
      </c>
      <c r="X232">
        <v>63</v>
      </c>
      <c r="Y232">
        <v>1</v>
      </c>
      <c r="Z232">
        <v>2</v>
      </c>
      <c r="AA232">
        <v>70</v>
      </c>
      <c r="AB232">
        <v>30</v>
      </c>
      <c r="AR232" t="s">
        <v>95</v>
      </c>
      <c r="AW232" t="s">
        <v>95</v>
      </c>
      <c r="AX232">
        <v>7</v>
      </c>
      <c r="AY232" t="s">
        <v>95</v>
      </c>
      <c r="AZ232">
        <v>518</v>
      </c>
      <c r="BA232">
        <v>674</v>
      </c>
      <c r="BB232">
        <v>44</v>
      </c>
      <c r="BC232" t="s">
        <v>96</v>
      </c>
      <c r="BD232">
        <v>1</v>
      </c>
      <c r="BF232" t="s">
        <v>334</v>
      </c>
      <c r="BG232" s="1">
        <v>44354.054166666669</v>
      </c>
      <c r="BH232" s="1">
        <v>44354.060960648145</v>
      </c>
      <c r="BI232" s="1">
        <v>44354.061678240738</v>
      </c>
      <c r="BJ232" t="s">
        <v>85</v>
      </c>
      <c r="BK232" t="s">
        <v>86</v>
      </c>
      <c r="BL232" t="s">
        <v>87</v>
      </c>
    </row>
    <row r="233" spans="1:64" x14ac:dyDescent="0.3">
      <c r="A233" t="str">
        <f>"200151C0100"</f>
        <v>200151C0100</v>
      </c>
      <c r="B233" t="str">
        <f>"200151C01003"</f>
        <v>200151C01003</v>
      </c>
      <c r="C233" t="str">
        <f t="shared" si="12"/>
        <v>20</v>
      </c>
      <c r="D233" t="s">
        <v>81</v>
      </c>
      <c r="E233" t="str">
        <f t="shared" si="13"/>
        <v>026</v>
      </c>
      <c r="F233" t="s">
        <v>313</v>
      </c>
      <c r="G233" t="str">
        <f>"0151"</f>
        <v>0151</v>
      </c>
      <c r="H233" t="str">
        <f>"0001"</f>
        <v>0001</v>
      </c>
      <c r="I233" t="s">
        <v>89</v>
      </c>
      <c r="J233">
        <v>0</v>
      </c>
      <c r="K233">
        <v>1</v>
      </c>
      <c r="L233">
        <v>3</v>
      </c>
      <c r="M233">
        <v>264</v>
      </c>
      <c r="N233">
        <v>454</v>
      </c>
      <c r="O233">
        <v>3</v>
      </c>
      <c r="P233">
        <v>454</v>
      </c>
      <c r="Q233">
        <v>36</v>
      </c>
      <c r="R233">
        <v>28</v>
      </c>
      <c r="S233">
        <v>1</v>
      </c>
      <c r="T233">
        <v>27</v>
      </c>
      <c r="U233">
        <v>12</v>
      </c>
      <c r="V233">
        <v>116</v>
      </c>
      <c r="W233">
        <v>33</v>
      </c>
      <c r="X233">
        <v>103</v>
      </c>
      <c r="Y233">
        <v>0</v>
      </c>
      <c r="Z233">
        <v>7</v>
      </c>
      <c r="AA233">
        <v>49</v>
      </c>
      <c r="AB233">
        <v>36</v>
      </c>
      <c r="AR233">
        <v>0</v>
      </c>
      <c r="AW233">
        <v>0</v>
      </c>
      <c r="AX233">
        <v>5</v>
      </c>
      <c r="AY233">
        <v>454</v>
      </c>
      <c r="AZ233">
        <v>453</v>
      </c>
      <c r="BA233">
        <v>674</v>
      </c>
      <c r="BB233">
        <v>44</v>
      </c>
      <c r="BD233">
        <v>1</v>
      </c>
      <c r="BF233" t="s">
        <v>335</v>
      </c>
      <c r="BG233" s="1">
        <v>44354.052777777775</v>
      </c>
      <c r="BH233" s="1">
        <v>44354.059317129628</v>
      </c>
      <c r="BI233" s="1">
        <v>44354.060046296298</v>
      </c>
      <c r="BJ233" t="s">
        <v>85</v>
      </c>
      <c r="BK233" t="s">
        <v>86</v>
      </c>
      <c r="BL233" t="s">
        <v>87</v>
      </c>
    </row>
    <row r="234" spans="1:64" x14ac:dyDescent="0.3">
      <c r="A234" t="str">
        <f>"200151C0200"</f>
        <v>200151C0200</v>
      </c>
      <c r="B234" t="str">
        <f>"200151C02003"</f>
        <v>200151C02003</v>
      </c>
      <c r="C234" t="str">
        <f t="shared" si="12"/>
        <v>20</v>
      </c>
      <c r="D234" t="s">
        <v>81</v>
      </c>
      <c r="E234" t="str">
        <f t="shared" si="13"/>
        <v>026</v>
      </c>
      <c r="F234" t="s">
        <v>313</v>
      </c>
      <c r="G234" t="str">
        <f>"0151"</f>
        <v>0151</v>
      </c>
      <c r="H234" t="str">
        <f>"0002"</f>
        <v>0002</v>
      </c>
      <c r="I234" t="s">
        <v>89</v>
      </c>
      <c r="J234">
        <v>0</v>
      </c>
      <c r="K234">
        <v>1</v>
      </c>
      <c r="L234">
        <v>3</v>
      </c>
      <c r="M234">
        <v>265</v>
      </c>
      <c r="N234">
        <v>452</v>
      </c>
      <c r="O234">
        <v>0</v>
      </c>
      <c r="P234" t="s">
        <v>92</v>
      </c>
      <c r="Q234">
        <v>59</v>
      </c>
      <c r="R234">
        <v>53</v>
      </c>
      <c r="S234">
        <v>3</v>
      </c>
      <c r="T234">
        <v>17</v>
      </c>
      <c r="U234">
        <v>1</v>
      </c>
      <c r="V234">
        <v>113</v>
      </c>
      <c r="W234">
        <v>31</v>
      </c>
      <c r="X234">
        <v>83</v>
      </c>
      <c r="Y234">
        <v>1</v>
      </c>
      <c r="Z234">
        <v>3</v>
      </c>
      <c r="AA234">
        <v>42</v>
      </c>
      <c r="AB234">
        <v>35</v>
      </c>
      <c r="AR234" t="s">
        <v>95</v>
      </c>
      <c r="AW234" t="s">
        <v>95</v>
      </c>
      <c r="AX234">
        <v>11</v>
      </c>
      <c r="AY234">
        <v>452</v>
      </c>
      <c r="AZ234">
        <v>452</v>
      </c>
      <c r="BA234">
        <v>673</v>
      </c>
      <c r="BB234">
        <v>44</v>
      </c>
      <c r="BC234" t="s">
        <v>96</v>
      </c>
      <c r="BD234">
        <v>1</v>
      </c>
      <c r="BF234" t="s">
        <v>336</v>
      </c>
      <c r="BG234" s="1">
        <v>44354.056250000001</v>
      </c>
      <c r="BH234" s="1">
        <v>44354.063287037039</v>
      </c>
      <c r="BI234" s="1">
        <v>44354.06386574074</v>
      </c>
      <c r="BJ234" t="s">
        <v>85</v>
      </c>
      <c r="BK234" t="s">
        <v>86</v>
      </c>
      <c r="BL234" t="s">
        <v>87</v>
      </c>
    </row>
    <row r="235" spans="1:64" x14ac:dyDescent="0.3">
      <c r="A235" t="str">
        <f>"200151C0300"</f>
        <v>200151C0300</v>
      </c>
      <c r="B235" t="str">
        <f>"200151C03003"</f>
        <v>200151C03003</v>
      </c>
      <c r="C235" t="str">
        <f t="shared" si="12"/>
        <v>20</v>
      </c>
      <c r="D235" t="s">
        <v>81</v>
      </c>
      <c r="E235" t="str">
        <f t="shared" si="13"/>
        <v>026</v>
      </c>
      <c r="F235" t="s">
        <v>313</v>
      </c>
      <c r="G235" t="str">
        <f>"0151"</f>
        <v>0151</v>
      </c>
      <c r="H235" t="str">
        <f>"0003"</f>
        <v>0003</v>
      </c>
      <c r="I235" t="s">
        <v>89</v>
      </c>
      <c r="J235">
        <v>0</v>
      </c>
      <c r="K235">
        <v>1</v>
      </c>
      <c r="L235">
        <v>3</v>
      </c>
      <c r="M235">
        <v>215</v>
      </c>
      <c r="N235">
        <v>502</v>
      </c>
      <c r="O235">
        <v>8</v>
      </c>
      <c r="P235" t="s">
        <v>92</v>
      </c>
      <c r="Q235">
        <v>57</v>
      </c>
      <c r="R235">
        <v>50</v>
      </c>
      <c r="S235">
        <v>0</v>
      </c>
      <c r="T235">
        <v>22</v>
      </c>
      <c r="U235">
        <v>12</v>
      </c>
      <c r="V235">
        <v>142</v>
      </c>
      <c r="W235">
        <v>43</v>
      </c>
      <c r="X235">
        <v>73</v>
      </c>
      <c r="Y235">
        <v>1</v>
      </c>
      <c r="Z235">
        <v>9</v>
      </c>
      <c r="AA235">
        <v>66</v>
      </c>
      <c r="AB235">
        <v>17</v>
      </c>
      <c r="AR235" t="s">
        <v>95</v>
      </c>
      <c r="AW235" t="s">
        <v>95</v>
      </c>
      <c r="AX235">
        <v>11</v>
      </c>
      <c r="AY235">
        <v>502</v>
      </c>
      <c r="AZ235">
        <v>503</v>
      </c>
      <c r="BA235">
        <v>673</v>
      </c>
      <c r="BB235">
        <v>44</v>
      </c>
      <c r="BC235" t="s">
        <v>96</v>
      </c>
      <c r="BD235">
        <v>1</v>
      </c>
      <c r="BF235" t="s">
        <v>337</v>
      </c>
      <c r="BG235" s="1">
        <v>44354.050694444442</v>
      </c>
      <c r="BH235" s="1">
        <v>44354.057905092595</v>
      </c>
      <c r="BI235" s="1">
        <v>44354.058356481481</v>
      </c>
      <c r="BJ235" t="s">
        <v>85</v>
      </c>
      <c r="BK235" t="s">
        <v>86</v>
      </c>
      <c r="BL235" t="s">
        <v>87</v>
      </c>
    </row>
    <row r="236" spans="1:64" x14ac:dyDescent="0.3">
      <c r="A236" t="str">
        <f>"200151C0400"</f>
        <v>200151C0400</v>
      </c>
      <c r="B236" t="str">
        <f>"200151C04003"</f>
        <v>200151C04003</v>
      </c>
      <c r="C236" t="str">
        <f t="shared" si="12"/>
        <v>20</v>
      </c>
      <c r="D236" t="s">
        <v>81</v>
      </c>
      <c r="E236" t="str">
        <f t="shared" si="13"/>
        <v>026</v>
      </c>
      <c r="F236" t="s">
        <v>313</v>
      </c>
      <c r="G236" t="str">
        <f>"0151"</f>
        <v>0151</v>
      </c>
      <c r="H236" t="str">
        <f>"0004"</f>
        <v>0004</v>
      </c>
      <c r="I236" t="s">
        <v>89</v>
      </c>
      <c r="J236">
        <v>0</v>
      </c>
      <c r="K236">
        <v>1</v>
      </c>
      <c r="L236">
        <v>3</v>
      </c>
      <c r="M236">
        <v>205</v>
      </c>
      <c r="N236">
        <v>512</v>
      </c>
      <c r="O236">
        <v>6</v>
      </c>
      <c r="P236">
        <v>512</v>
      </c>
      <c r="Q236">
        <v>49</v>
      </c>
      <c r="R236">
        <v>56</v>
      </c>
      <c r="S236">
        <v>3</v>
      </c>
      <c r="T236">
        <v>47</v>
      </c>
      <c r="U236">
        <v>17</v>
      </c>
      <c r="V236">
        <v>136</v>
      </c>
      <c r="W236">
        <v>29</v>
      </c>
      <c r="X236">
        <v>79</v>
      </c>
      <c r="Y236">
        <v>0</v>
      </c>
      <c r="Z236">
        <v>6</v>
      </c>
      <c r="AA236">
        <v>49</v>
      </c>
      <c r="AB236">
        <v>23</v>
      </c>
      <c r="AR236">
        <v>0</v>
      </c>
      <c r="AW236">
        <v>1</v>
      </c>
      <c r="AX236">
        <v>17</v>
      </c>
      <c r="AY236">
        <v>512</v>
      </c>
      <c r="AZ236">
        <v>512</v>
      </c>
      <c r="BA236">
        <v>673</v>
      </c>
      <c r="BB236">
        <v>44</v>
      </c>
      <c r="BD236">
        <v>1</v>
      </c>
      <c r="BF236" t="s">
        <v>338</v>
      </c>
      <c r="BG236" s="1">
        <v>44354.054861111108</v>
      </c>
      <c r="BH236" s="1">
        <v>44354.062002314815</v>
      </c>
      <c r="BI236" s="1">
        <v>44354.062222222223</v>
      </c>
      <c r="BJ236" t="s">
        <v>85</v>
      </c>
      <c r="BK236" t="s">
        <v>86</v>
      </c>
      <c r="BL236" t="s">
        <v>87</v>
      </c>
    </row>
    <row r="237" spans="1:64" x14ac:dyDescent="0.3">
      <c r="A237" t="str">
        <f>"200152B0000"</f>
        <v>200152B0000</v>
      </c>
      <c r="B237" t="str">
        <f>"200152B00003"</f>
        <v>200152B00003</v>
      </c>
      <c r="C237" t="str">
        <f t="shared" si="12"/>
        <v>20</v>
      </c>
      <c r="D237" t="s">
        <v>81</v>
      </c>
      <c r="E237" t="str">
        <f t="shared" si="13"/>
        <v>026</v>
      </c>
      <c r="F237" t="s">
        <v>313</v>
      </c>
      <c r="G237" t="str">
        <f>"0152"</f>
        <v>0152</v>
      </c>
      <c r="H237" t="str">
        <f>"0000"</f>
        <v>0000</v>
      </c>
      <c r="I237" t="s">
        <v>83</v>
      </c>
      <c r="J237">
        <v>0</v>
      </c>
      <c r="K237">
        <v>1</v>
      </c>
      <c r="L237">
        <v>3</v>
      </c>
      <c r="M237">
        <v>194</v>
      </c>
      <c r="N237">
        <v>486</v>
      </c>
      <c r="O237">
        <v>13</v>
      </c>
      <c r="P237">
        <v>486</v>
      </c>
      <c r="Q237">
        <v>75</v>
      </c>
      <c r="R237">
        <v>45</v>
      </c>
      <c r="S237">
        <v>0</v>
      </c>
      <c r="T237">
        <v>24</v>
      </c>
      <c r="U237">
        <v>12</v>
      </c>
      <c r="V237">
        <v>99</v>
      </c>
      <c r="W237">
        <v>18</v>
      </c>
      <c r="X237">
        <v>77</v>
      </c>
      <c r="Y237">
        <v>1</v>
      </c>
      <c r="Z237">
        <v>2</v>
      </c>
      <c r="AA237">
        <v>87</v>
      </c>
      <c r="AB237">
        <v>33</v>
      </c>
      <c r="AR237">
        <v>2</v>
      </c>
      <c r="AW237">
        <v>0</v>
      </c>
      <c r="AX237">
        <v>11</v>
      </c>
      <c r="AY237">
        <v>486</v>
      </c>
      <c r="AZ237">
        <v>486</v>
      </c>
      <c r="BA237">
        <v>636</v>
      </c>
      <c r="BB237">
        <v>44</v>
      </c>
      <c r="BD237">
        <v>1</v>
      </c>
      <c r="BF237" t="s">
        <v>339</v>
      </c>
      <c r="BG237" s="1">
        <v>44354.038888888892</v>
      </c>
      <c r="BH237" s="1">
        <v>44354.049062500002</v>
      </c>
      <c r="BI237" s="1">
        <v>44354.049895833334</v>
      </c>
      <c r="BJ237" t="s">
        <v>85</v>
      </c>
      <c r="BK237" t="s">
        <v>86</v>
      </c>
      <c r="BL237" t="s">
        <v>87</v>
      </c>
    </row>
    <row r="238" spans="1:64" x14ac:dyDescent="0.3">
      <c r="A238" t="str">
        <f>"200152C0100"</f>
        <v>200152C0100</v>
      </c>
      <c r="B238" t="str">
        <f>"200152C01003"</f>
        <v>200152C01003</v>
      </c>
      <c r="C238" t="str">
        <f t="shared" si="12"/>
        <v>20</v>
      </c>
      <c r="D238" t="s">
        <v>81</v>
      </c>
      <c r="E238" t="str">
        <f t="shared" si="13"/>
        <v>026</v>
      </c>
      <c r="F238" t="s">
        <v>313</v>
      </c>
      <c r="G238" t="str">
        <f>"0152"</f>
        <v>0152</v>
      </c>
      <c r="H238" t="str">
        <f>"0001"</f>
        <v>0001</v>
      </c>
      <c r="I238" t="s">
        <v>89</v>
      </c>
      <c r="J238">
        <v>0</v>
      </c>
      <c r="K238">
        <v>1</v>
      </c>
      <c r="L238">
        <v>3</v>
      </c>
      <c r="M238">
        <v>218</v>
      </c>
      <c r="N238">
        <v>462</v>
      </c>
      <c r="O238">
        <v>10</v>
      </c>
      <c r="P238">
        <v>460</v>
      </c>
      <c r="Q238">
        <v>88</v>
      </c>
      <c r="R238">
        <v>34</v>
      </c>
      <c r="S238">
        <v>13</v>
      </c>
      <c r="T238">
        <v>13</v>
      </c>
      <c r="U238">
        <v>14</v>
      </c>
      <c r="V238">
        <v>130</v>
      </c>
      <c r="W238">
        <v>6</v>
      </c>
      <c r="X238">
        <v>72</v>
      </c>
      <c r="Y238">
        <v>0</v>
      </c>
      <c r="Z238">
        <v>1</v>
      </c>
      <c r="AA238">
        <v>61</v>
      </c>
      <c r="AB238">
        <v>28</v>
      </c>
      <c r="AR238">
        <v>1</v>
      </c>
      <c r="AW238">
        <v>0</v>
      </c>
      <c r="AX238">
        <v>9</v>
      </c>
      <c r="AY238">
        <v>460</v>
      </c>
      <c r="AZ238">
        <v>470</v>
      </c>
      <c r="BA238">
        <v>636</v>
      </c>
      <c r="BB238">
        <v>44</v>
      </c>
      <c r="BD238">
        <v>1</v>
      </c>
      <c r="BF238" t="s">
        <v>340</v>
      </c>
      <c r="BG238" s="1">
        <v>44354.032638888886</v>
      </c>
      <c r="BH238" s="1">
        <v>44354.042349537034</v>
      </c>
      <c r="BI238" s="1">
        <v>44354.042974537035</v>
      </c>
      <c r="BJ238" t="s">
        <v>85</v>
      </c>
      <c r="BK238" t="s">
        <v>86</v>
      </c>
      <c r="BL238" t="s">
        <v>87</v>
      </c>
    </row>
    <row r="239" spans="1:64" x14ac:dyDescent="0.3">
      <c r="A239" t="str">
        <f>"200152C0200"</f>
        <v>200152C0200</v>
      </c>
      <c r="B239" t="str">
        <f>"200152C02003"</f>
        <v>200152C02003</v>
      </c>
      <c r="C239" t="str">
        <f t="shared" si="12"/>
        <v>20</v>
      </c>
      <c r="D239" t="s">
        <v>81</v>
      </c>
      <c r="E239" t="str">
        <f t="shared" si="13"/>
        <v>026</v>
      </c>
      <c r="F239" t="s">
        <v>313</v>
      </c>
      <c r="G239" t="str">
        <f>"0152"</f>
        <v>0152</v>
      </c>
      <c r="H239" t="str">
        <f>"0002"</f>
        <v>0002</v>
      </c>
      <c r="I239" t="s">
        <v>89</v>
      </c>
      <c r="J239">
        <v>0</v>
      </c>
      <c r="K239">
        <v>1</v>
      </c>
      <c r="L239">
        <v>3</v>
      </c>
      <c r="M239">
        <v>194</v>
      </c>
      <c r="N239">
        <v>486</v>
      </c>
      <c r="O239">
        <v>8</v>
      </c>
      <c r="P239">
        <v>488</v>
      </c>
      <c r="Q239">
        <v>69</v>
      </c>
      <c r="R239">
        <v>53</v>
      </c>
      <c r="S239">
        <v>3</v>
      </c>
      <c r="T239">
        <v>30</v>
      </c>
      <c r="U239">
        <v>5</v>
      </c>
      <c r="V239">
        <v>145</v>
      </c>
      <c r="W239">
        <v>9</v>
      </c>
      <c r="X239">
        <v>67</v>
      </c>
      <c r="Y239">
        <v>0</v>
      </c>
      <c r="Z239">
        <v>7</v>
      </c>
      <c r="AA239">
        <v>46</v>
      </c>
      <c r="AB239">
        <v>49</v>
      </c>
      <c r="AR239">
        <v>0</v>
      </c>
      <c r="AW239">
        <v>0</v>
      </c>
      <c r="AX239">
        <v>5</v>
      </c>
      <c r="AY239">
        <v>488</v>
      </c>
      <c r="AZ239">
        <v>488</v>
      </c>
      <c r="BA239">
        <v>636</v>
      </c>
      <c r="BB239">
        <v>44</v>
      </c>
      <c r="BD239">
        <v>1</v>
      </c>
      <c r="BF239" t="s">
        <v>341</v>
      </c>
      <c r="BG239" s="1">
        <v>44354.036805555559</v>
      </c>
      <c r="BH239" s="1">
        <v>44354.046585648146</v>
      </c>
      <c r="BI239" s="1">
        <v>44354.047372685185</v>
      </c>
      <c r="BJ239" t="s">
        <v>85</v>
      </c>
      <c r="BK239" t="s">
        <v>86</v>
      </c>
      <c r="BL239" t="s">
        <v>87</v>
      </c>
    </row>
    <row r="240" spans="1:64" x14ac:dyDescent="0.3">
      <c r="A240" t="str">
        <f>"202455B0000"</f>
        <v>202455B0000</v>
      </c>
      <c r="B240" t="str">
        <f>"202455B00003"</f>
        <v>202455B00003</v>
      </c>
      <c r="C240" t="str">
        <f t="shared" si="12"/>
        <v>20</v>
      </c>
      <c r="D240" t="s">
        <v>81</v>
      </c>
      <c r="E240" t="str">
        <f t="shared" si="13"/>
        <v>026</v>
      </c>
      <c r="F240" t="s">
        <v>313</v>
      </c>
      <c r="G240" t="str">
        <f>"2455"</f>
        <v>2455</v>
      </c>
      <c r="H240" t="str">
        <f>"0000"</f>
        <v>0000</v>
      </c>
      <c r="I240" t="s">
        <v>83</v>
      </c>
      <c r="J240">
        <v>0</v>
      </c>
      <c r="K240">
        <v>1</v>
      </c>
      <c r="L240">
        <v>3</v>
      </c>
      <c r="M240">
        <v>164</v>
      </c>
      <c r="N240">
        <v>136</v>
      </c>
      <c r="O240">
        <v>14</v>
      </c>
      <c r="P240">
        <v>136</v>
      </c>
      <c r="Q240">
        <v>1</v>
      </c>
      <c r="R240">
        <v>8</v>
      </c>
      <c r="S240">
        <v>0</v>
      </c>
      <c r="T240">
        <v>3</v>
      </c>
      <c r="U240">
        <v>7</v>
      </c>
      <c r="V240">
        <v>55</v>
      </c>
      <c r="W240">
        <v>2</v>
      </c>
      <c r="X240">
        <v>33</v>
      </c>
      <c r="Y240">
        <v>1</v>
      </c>
      <c r="Z240">
        <v>1</v>
      </c>
      <c r="AA240">
        <v>19</v>
      </c>
      <c r="AB240">
        <v>3</v>
      </c>
      <c r="AR240">
        <v>0</v>
      </c>
      <c r="AW240">
        <v>0</v>
      </c>
      <c r="AX240">
        <v>3</v>
      </c>
      <c r="AY240">
        <v>136</v>
      </c>
      <c r="AZ240">
        <v>136</v>
      </c>
      <c r="BA240">
        <v>256</v>
      </c>
      <c r="BB240">
        <v>44</v>
      </c>
      <c r="BD240">
        <v>1</v>
      </c>
      <c r="BF240" t="s">
        <v>342</v>
      </c>
      <c r="BG240" s="1">
        <v>44354.102083333331</v>
      </c>
      <c r="BH240" s="1">
        <v>44354.104872685188</v>
      </c>
      <c r="BI240" s="1">
        <v>44354.105381944442</v>
      </c>
      <c r="BJ240" t="s">
        <v>85</v>
      </c>
      <c r="BK240" t="s">
        <v>86</v>
      </c>
      <c r="BL240" t="s">
        <v>87</v>
      </c>
    </row>
    <row r="241" spans="1:64" x14ac:dyDescent="0.3">
      <c r="A241" t="str">
        <f>"200157B0000"</f>
        <v>200157B0000</v>
      </c>
      <c r="B241" t="str">
        <f>"200157B00003"</f>
        <v>200157B00003</v>
      </c>
      <c r="C241" t="str">
        <f t="shared" si="12"/>
        <v>20</v>
      </c>
      <c r="D241" t="s">
        <v>81</v>
      </c>
      <c r="E241" t="str">
        <f t="shared" ref="E241:E272" si="15">"028"</f>
        <v>028</v>
      </c>
      <c r="F241" t="s">
        <v>343</v>
      </c>
      <c r="G241" t="str">
        <f>"0157"</f>
        <v>0157</v>
      </c>
      <c r="H241" t="str">
        <f>"0000"</f>
        <v>0000</v>
      </c>
      <c r="I241" t="s">
        <v>83</v>
      </c>
      <c r="J241">
        <v>0</v>
      </c>
      <c r="K241">
        <v>1</v>
      </c>
      <c r="L241">
        <v>3</v>
      </c>
      <c r="M241">
        <v>258</v>
      </c>
      <c r="N241">
        <v>517</v>
      </c>
      <c r="O241">
        <v>0</v>
      </c>
      <c r="P241" t="s">
        <v>92</v>
      </c>
      <c r="Q241">
        <v>167</v>
      </c>
      <c r="R241">
        <v>11</v>
      </c>
      <c r="S241">
        <v>1</v>
      </c>
      <c r="T241">
        <v>259</v>
      </c>
      <c r="U241">
        <v>2</v>
      </c>
      <c r="X241">
        <v>49</v>
      </c>
      <c r="Y241">
        <v>0</v>
      </c>
      <c r="Z241">
        <v>2</v>
      </c>
      <c r="AA241">
        <v>5</v>
      </c>
      <c r="AF241">
        <v>2</v>
      </c>
      <c r="AG241">
        <v>1</v>
      </c>
      <c r="AH241">
        <v>0</v>
      </c>
      <c r="AI241">
        <v>0</v>
      </c>
      <c r="AW241">
        <v>0</v>
      </c>
      <c r="AX241">
        <v>18</v>
      </c>
      <c r="AY241">
        <v>517</v>
      </c>
      <c r="AZ241">
        <v>517</v>
      </c>
      <c r="BA241">
        <v>731</v>
      </c>
      <c r="BB241">
        <v>44</v>
      </c>
      <c r="BD241">
        <v>1</v>
      </c>
      <c r="BF241" t="s">
        <v>344</v>
      </c>
      <c r="BG241" s="1">
        <v>44354.180555555555</v>
      </c>
      <c r="BH241" s="1">
        <v>44354.29347222222</v>
      </c>
      <c r="BI241" s="1">
        <v>44354.294074074074</v>
      </c>
      <c r="BJ241" t="s">
        <v>85</v>
      </c>
      <c r="BK241" t="s">
        <v>86</v>
      </c>
      <c r="BL241" t="s">
        <v>87</v>
      </c>
    </row>
    <row r="242" spans="1:64" x14ac:dyDescent="0.3">
      <c r="A242" t="str">
        <f>"200157C0100"</f>
        <v>200157C0100</v>
      </c>
      <c r="B242" t="str">
        <f>"200157C01003"</f>
        <v>200157C01003</v>
      </c>
      <c r="C242" t="str">
        <f t="shared" si="12"/>
        <v>20</v>
      </c>
      <c r="D242" t="s">
        <v>81</v>
      </c>
      <c r="E242" t="str">
        <f t="shared" si="15"/>
        <v>028</v>
      </c>
      <c r="F242" t="s">
        <v>343</v>
      </c>
      <c r="G242" t="str">
        <f>"0157"</f>
        <v>0157</v>
      </c>
      <c r="H242" t="str">
        <f>"0001"</f>
        <v>0001</v>
      </c>
      <c r="I242" t="s">
        <v>89</v>
      </c>
      <c r="J242">
        <v>0</v>
      </c>
      <c r="K242">
        <v>1</v>
      </c>
      <c r="L242">
        <v>3</v>
      </c>
      <c r="M242">
        <v>297</v>
      </c>
      <c r="N242">
        <v>477</v>
      </c>
      <c r="O242">
        <v>0</v>
      </c>
      <c r="P242">
        <v>477</v>
      </c>
      <c r="Q242">
        <v>140</v>
      </c>
      <c r="R242">
        <v>9</v>
      </c>
      <c r="S242">
        <v>0</v>
      </c>
      <c r="T242">
        <v>253</v>
      </c>
      <c r="U242">
        <v>1</v>
      </c>
      <c r="X242">
        <v>44</v>
      </c>
      <c r="Y242">
        <v>1</v>
      </c>
      <c r="Z242">
        <v>0</v>
      </c>
      <c r="AA242">
        <v>9</v>
      </c>
      <c r="AF242">
        <v>1</v>
      </c>
      <c r="AG242">
        <v>4</v>
      </c>
      <c r="AH242">
        <v>0</v>
      </c>
      <c r="AI242">
        <v>0</v>
      </c>
      <c r="AW242">
        <v>0</v>
      </c>
      <c r="AX242">
        <v>15</v>
      </c>
      <c r="AY242">
        <v>477</v>
      </c>
      <c r="AZ242">
        <v>477</v>
      </c>
      <c r="BA242">
        <v>730</v>
      </c>
      <c r="BB242">
        <v>44</v>
      </c>
      <c r="BD242">
        <v>1</v>
      </c>
      <c r="BF242" t="s">
        <v>345</v>
      </c>
      <c r="BG242" s="1">
        <v>44354.039583333331</v>
      </c>
      <c r="BH242" s="1">
        <v>44354.04996527778</v>
      </c>
      <c r="BI242" s="1">
        <v>44354.050300925926</v>
      </c>
      <c r="BJ242" t="s">
        <v>85</v>
      </c>
      <c r="BK242" t="s">
        <v>86</v>
      </c>
      <c r="BL242" t="s">
        <v>87</v>
      </c>
    </row>
    <row r="243" spans="1:64" x14ac:dyDescent="0.3">
      <c r="A243" t="str">
        <f>"200157C0200"</f>
        <v>200157C0200</v>
      </c>
      <c r="B243" t="str">
        <f>"200157C02003"</f>
        <v>200157C02003</v>
      </c>
      <c r="C243" t="str">
        <f t="shared" si="12"/>
        <v>20</v>
      </c>
      <c r="D243" t="s">
        <v>81</v>
      </c>
      <c r="E243" t="str">
        <f t="shared" si="15"/>
        <v>028</v>
      </c>
      <c r="F243" t="s">
        <v>343</v>
      </c>
      <c r="G243" t="str">
        <f>"0157"</f>
        <v>0157</v>
      </c>
      <c r="H243" t="str">
        <f>"0002"</f>
        <v>0002</v>
      </c>
      <c r="I243" t="s">
        <v>89</v>
      </c>
      <c r="J243">
        <v>0</v>
      </c>
      <c r="K243">
        <v>1</v>
      </c>
      <c r="L243">
        <v>3</v>
      </c>
      <c r="M243">
        <v>253</v>
      </c>
      <c r="N243">
        <v>773</v>
      </c>
      <c r="O243">
        <v>0</v>
      </c>
      <c r="P243">
        <v>773</v>
      </c>
      <c r="Q243">
        <v>146</v>
      </c>
      <c r="R243">
        <v>12</v>
      </c>
      <c r="S243">
        <v>1</v>
      </c>
      <c r="T243">
        <v>278</v>
      </c>
      <c r="U243">
        <v>2</v>
      </c>
      <c r="X243">
        <v>53</v>
      </c>
      <c r="Y243">
        <v>2</v>
      </c>
      <c r="Z243">
        <v>2</v>
      </c>
      <c r="AA243">
        <v>2</v>
      </c>
      <c r="AF243">
        <v>3</v>
      </c>
      <c r="AG243">
        <v>2</v>
      </c>
      <c r="AH243">
        <v>0</v>
      </c>
      <c r="AI243">
        <v>0</v>
      </c>
      <c r="AW243">
        <v>0</v>
      </c>
      <c r="AX243">
        <v>272</v>
      </c>
      <c r="AY243">
        <v>773</v>
      </c>
      <c r="AZ243">
        <v>775</v>
      </c>
      <c r="BA243">
        <v>730</v>
      </c>
      <c r="BB243">
        <v>44</v>
      </c>
      <c r="BC243" t="s">
        <v>346</v>
      </c>
      <c r="BD243">
        <v>0</v>
      </c>
      <c r="BF243" t="s">
        <v>347</v>
      </c>
      <c r="BG243" s="1">
        <v>44354.180555555555</v>
      </c>
      <c r="BH243" s="1">
        <v>44354.292175925926</v>
      </c>
      <c r="BI243" s="1">
        <v>44354.292754629627</v>
      </c>
      <c r="BJ243" t="s">
        <v>85</v>
      </c>
      <c r="BK243" t="s">
        <v>86</v>
      </c>
      <c r="BL243" t="s">
        <v>87</v>
      </c>
    </row>
    <row r="244" spans="1:64" x14ac:dyDescent="0.3">
      <c r="A244" t="str">
        <f>"200157C0300"</f>
        <v>200157C0300</v>
      </c>
      <c r="B244" t="str">
        <f>"200157C03003"</f>
        <v>200157C03003</v>
      </c>
      <c r="C244" t="str">
        <f t="shared" si="12"/>
        <v>20</v>
      </c>
      <c r="D244" t="s">
        <v>81</v>
      </c>
      <c r="E244" t="str">
        <f t="shared" si="15"/>
        <v>028</v>
      </c>
      <c r="F244" t="s">
        <v>343</v>
      </c>
      <c r="G244" t="str">
        <f>"0157"</f>
        <v>0157</v>
      </c>
      <c r="H244" t="str">
        <f>"0003"</f>
        <v>0003</v>
      </c>
      <c r="I244" t="s">
        <v>89</v>
      </c>
      <c r="J244">
        <v>0</v>
      </c>
      <c r="K244">
        <v>1</v>
      </c>
      <c r="L244">
        <v>3</v>
      </c>
      <c r="M244">
        <v>270</v>
      </c>
      <c r="N244">
        <v>504</v>
      </c>
      <c r="O244">
        <v>2</v>
      </c>
      <c r="P244" t="s">
        <v>92</v>
      </c>
      <c r="Q244">
        <v>150</v>
      </c>
      <c r="R244">
        <v>13</v>
      </c>
      <c r="S244">
        <v>0</v>
      </c>
      <c r="T244">
        <v>263</v>
      </c>
      <c r="U244">
        <v>2</v>
      </c>
      <c r="X244">
        <v>56</v>
      </c>
      <c r="Y244">
        <v>1</v>
      </c>
      <c r="Z244">
        <v>1</v>
      </c>
      <c r="AA244">
        <v>1</v>
      </c>
      <c r="AF244">
        <v>6</v>
      </c>
      <c r="AG244">
        <v>0</v>
      </c>
      <c r="AH244">
        <v>0</v>
      </c>
      <c r="AI244">
        <v>0</v>
      </c>
      <c r="AW244">
        <v>0</v>
      </c>
      <c r="AX244">
        <v>11</v>
      </c>
      <c r="AY244">
        <v>504</v>
      </c>
      <c r="AZ244">
        <v>504</v>
      </c>
      <c r="BA244">
        <v>730</v>
      </c>
      <c r="BB244">
        <v>44</v>
      </c>
      <c r="BD244">
        <v>1</v>
      </c>
      <c r="BF244" t="s">
        <v>348</v>
      </c>
      <c r="BG244" s="1">
        <v>44354.181250000001</v>
      </c>
      <c r="BH244" s="1">
        <v>44354.291168981479</v>
      </c>
      <c r="BI244" s="1">
        <v>44354.292210648149</v>
      </c>
      <c r="BJ244" t="s">
        <v>85</v>
      </c>
      <c r="BK244" t="s">
        <v>86</v>
      </c>
      <c r="BL244" t="s">
        <v>87</v>
      </c>
    </row>
    <row r="245" spans="1:64" x14ac:dyDescent="0.3">
      <c r="A245" t="str">
        <f>"200158B0000"</f>
        <v>200158B0000</v>
      </c>
      <c r="B245" t="str">
        <f>"200158B00003"</f>
        <v>200158B00003</v>
      </c>
      <c r="C245" t="str">
        <f t="shared" si="12"/>
        <v>20</v>
      </c>
      <c r="D245" t="s">
        <v>81</v>
      </c>
      <c r="E245" t="str">
        <f t="shared" si="15"/>
        <v>028</v>
      </c>
      <c r="F245" t="s">
        <v>343</v>
      </c>
      <c r="G245" t="str">
        <f>"0158"</f>
        <v>0158</v>
      </c>
      <c r="H245" t="str">
        <f>"0000"</f>
        <v>0000</v>
      </c>
      <c r="I245" t="s">
        <v>83</v>
      </c>
      <c r="J245">
        <v>0</v>
      </c>
      <c r="K245">
        <v>1</v>
      </c>
      <c r="L245">
        <v>3</v>
      </c>
      <c r="M245">
        <v>277</v>
      </c>
      <c r="N245">
        <v>485</v>
      </c>
      <c r="O245">
        <v>1</v>
      </c>
      <c r="P245">
        <v>485</v>
      </c>
      <c r="Q245">
        <v>168</v>
      </c>
      <c r="R245">
        <v>9</v>
      </c>
      <c r="S245">
        <v>216</v>
      </c>
      <c r="T245">
        <v>216</v>
      </c>
      <c r="U245">
        <v>0</v>
      </c>
      <c r="X245">
        <v>70</v>
      </c>
      <c r="Y245">
        <v>0</v>
      </c>
      <c r="Z245">
        <v>3</v>
      </c>
      <c r="AA245">
        <v>5</v>
      </c>
      <c r="AF245">
        <v>5</v>
      </c>
      <c r="AG245">
        <v>1</v>
      </c>
      <c r="AH245">
        <v>0</v>
      </c>
      <c r="AI245">
        <v>0</v>
      </c>
      <c r="AW245">
        <v>0</v>
      </c>
      <c r="AX245">
        <v>7</v>
      </c>
      <c r="AY245">
        <v>485</v>
      </c>
      <c r="AZ245">
        <v>700</v>
      </c>
      <c r="BA245">
        <v>718</v>
      </c>
      <c r="BB245">
        <v>44</v>
      </c>
      <c r="BD245">
        <v>1</v>
      </c>
      <c r="BF245" t="s">
        <v>349</v>
      </c>
      <c r="BG245" s="1">
        <v>44354.181944444441</v>
      </c>
      <c r="BH245" s="1">
        <v>44354.283333333333</v>
      </c>
      <c r="BI245" s="1">
        <v>44354.284016203703</v>
      </c>
      <c r="BJ245" t="s">
        <v>85</v>
      </c>
      <c r="BK245" t="s">
        <v>86</v>
      </c>
      <c r="BL245" t="s">
        <v>87</v>
      </c>
    </row>
    <row r="246" spans="1:64" x14ac:dyDescent="0.3">
      <c r="A246" t="str">
        <f>"200158C0100"</f>
        <v>200158C0100</v>
      </c>
      <c r="B246" t="str">
        <f>"200158C01003"</f>
        <v>200158C01003</v>
      </c>
      <c r="C246" t="str">
        <f t="shared" si="12"/>
        <v>20</v>
      </c>
      <c r="D246" t="s">
        <v>81</v>
      </c>
      <c r="E246" t="str">
        <f t="shared" si="15"/>
        <v>028</v>
      </c>
      <c r="F246" t="s">
        <v>343</v>
      </c>
      <c r="G246" t="str">
        <f>"0158"</f>
        <v>0158</v>
      </c>
      <c r="H246" t="str">
        <f>"0001"</f>
        <v>0001</v>
      </c>
      <c r="I246" t="s">
        <v>89</v>
      </c>
      <c r="J246">
        <v>0</v>
      </c>
      <c r="K246">
        <v>1</v>
      </c>
      <c r="L246">
        <v>3</v>
      </c>
      <c r="M246">
        <v>271</v>
      </c>
      <c r="N246">
        <v>490</v>
      </c>
      <c r="O246">
        <v>0</v>
      </c>
      <c r="P246">
        <v>490</v>
      </c>
      <c r="Q246">
        <v>145</v>
      </c>
      <c r="R246">
        <v>11</v>
      </c>
      <c r="S246">
        <v>1</v>
      </c>
      <c r="T246">
        <v>241</v>
      </c>
      <c r="U246">
        <v>1</v>
      </c>
      <c r="X246">
        <v>64</v>
      </c>
      <c r="Y246">
        <v>1</v>
      </c>
      <c r="Z246">
        <v>3</v>
      </c>
      <c r="AA246">
        <v>3</v>
      </c>
      <c r="AF246">
        <v>3</v>
      </c>
      <c r="AG246">
        <v>3</v>
      </c>
      <c r="AH246">
        <v>0</v>
      </c>
      <c r="AI246">
        <v>0</v>
      </c>
      <c r="AW246">
        <v>0</v>
      </c>
      <c r="AX246">
        <v>20</v>
      </c>
      <c r="AY246">
        <v>490</v>
      </c>
      <c r="AZ246">
        <v>496</v>
      </c>
      <c r="BA246">
        <v>717</v>
      </c>
      <c r="BB246">
        <v>44</v>
      </c>
      <c r="BD246">
        <v>1</v>
      </c>
      <c r="BF246" t="s">
        <v>350</v>
      </c>
      <c r="BG246" s="1">
        <v>44354.185416666667</v>
      </c>
      <c r="BH246" s="1">
        <v>44354.281377314815</v>
      </c>
      <c r="BI246" s="1">
        <v>44354.282824074071</v>
      </c>
      <c r="BJ246" t="s">
        <v>85</v>
      </c>
      <c r="BK246" t="s">
        <v>86</v>
      </c>
      <c r="BL246" t="s">
        <v>87</v>
      </c>
    </row>
    <row r="247" spans="1:64" x14ac:dyDescent="0.3">
      <c r="A247" t="str">
        <f>"200158C0200"</f>
        <v>200158C0200</v>
      </c>
      <c r="B247" t="str">
        <f>"200158C02003"</f>
        <v>200158C02003</v>
      </c>
      <c r="C247" t="str">
        <f t="shared" si="12"/>
        <v>20</v>
      </c>
      <c r="D247" t="s">
        <v>81</v>
      </c>
      <c r="E247" t="str">
        <f t="shared" si="15"/>
        <v>028</v>
      </c>
      <c r="F247" t="s">
        <v>343</v>
      </c>
      <c r="G247" t="str">
        <f>"0158"</f>
        <v>0158</v>
      </c>
      <c r="H247" t="str">
        <f>"0002"</f>
        <v>0002</v>
      </c>
      <c r="I247" t="s">
        <v>89</v>
      </c>
      <c r="J247">
        <v>0</v>
      </c>
      <c r="K247">
        <v>1</v>
      </c>
      <c r="L247">
        <v>3</v>
      </c>
      <c r="M247">
        <v>282</v>
      </c>
      <c r="N247">
        <v>479</v>
      </c>
      <c r="O247">
        <v>3</v>
      </c>
      <c r="P247">
        <v>479</v>
      </c>
      <c r="Q247">
        <v>168</v>
      </c>
      <c r="R247">
        <v>10</v>
      </c>
      <c r="S247">
        <v>1</v>
      </c>
      <c r="T247">
        <v>205</v>
      </c>
      <c r="U247">
        <v>2</v>
      </c>
      <c r="X247">
        <v>71</v>
      </c>
      <c r="Y247">
        <v>0</v>
      </c>
      <c r="Z247">
        <v>0</v>
      </c>
      <c r="AA247">
        <v>5</v>
      </c>
      <c r="AF247">
        <v>1</v>
      </c>
      <c r="AG247">
        <v>3</v>
      </c>
      <c r="AH247">
        <v>1</v>
      </c>
      <c r="AI247">
        <v>0</v>
      </c>
      <c r="AW247">
        <v>0</v>
      </c>
      <c r="AX247">
        <v>12</v>
      </c>
      <c r="AY247">
        <v>479</v>
      </c>
      <c r="AZ247">
        <v>479</v>
      </c>
      <c r="BA247">
        <v>717</v>
      </c>
      <c r="BB247">
        <v>44</v>
      </c>
      <c r="BD247">
        <v>1</v>
      </c>
      <c r="BF247" t="s">
        <v>351</v>
      </c>
      <c r="BG247" s="1">
        <v>44354.183333333334</v>
      </c>
      <c r="BH247" s="1">
        <v>44354.278506944444</v>
      </c>
      <c r="BI247" s="1">
        <v>44354.278807870367</v>
      </c>
      <c r="BJ247" t="s">
        <v>85</v>
      </c>
      <c r="BK247" t="s">
        <v>86</v>
      </c>
      <c r="BL247" t="s">
        <v>87</v>
      </c>
    </row>
    <row r="248" spans="1:64" x14ac:dyDescent="0.3">
      <c r="A248" t="str">
        <f>"200159B0000"</f>
        <v>200159B0000</v>
      </c>
      <c r="B248" t="str">
        <f>"200159B00003"</f>
        <v>200159B00003</v>
      </c>
      <c r="C248" t="str">
        <f t="shared" si="12"/>
        <v>20</v>
      </c>
      <c r="D248" t="s">
        <v>81</v>
      </c>
      <c r="E248" t="str">
        <f t="shared" si="15"/>
        <v>028</v>
      </c>
      <c r="F248" t="s">
        <v>343</v>
      </c>
      <c r="G248" t="str">
        <f>"0159"</f>
        <v>0159</v>
      </c>
      <c r="H248" t="str">
        <f>"0000"</f>
        <v>0000</v>
      </c>
      <c r="I248" t="s">
        <v>83</v>
      </c>
      <c r="J248">
        <v>0</v>
      </c>
      <c r="K248">
        <v>1</v>
      </c>
      <c r="L248">
        <v>3</v>
      </c>
      <c r="M248">
        <v>197</v>
      </c>
      <c r="N248">
        <v>389</v>
      </c>
      <c r="O248">
        <v>0</v>
      </c>
      <c r="P248">
        <v>388</v>
      </c>
      <c r="Q248">
        <v>147</v>
      </c>
      <c r="R248">
        <v>8</v>
      </c>
      <c r="S248">
        <v>0</v>
      </c>
      <c r="T248">
        <v>177</v>
      </c>
      <c r="U248">
        <v>0</v>
      </c>
      <c r="X248">
        <v>41</v>
      </c>
      <c r="Y248">
        <v>0</v>
      </c>
      <c r="Z248">
        <v>1</v>
      </c>
      <c r="AA248">
        <v>2</v>
      </c>
      <c r="AF248">
        <v>1</v>
      </c>
      <c r="AG248">
        <v>0</v>
      </c>
      <c r="AH248">
        <v>0</v>
      </c>
      <c r="AI248">
        <v>0</v>
      </c>
      <c r="AW248">
        <v>0</v>
      </c>
      <c r="AX248">
        <v>11</v>
      </c>
      <c r="AY248">
        <v>388</v>
      </c>
      <c r="AZ248">
        <v>388</v>
      </c>
      <c r="BA248">
        <v>543</v>
      </c>
      <c r="BB248">
        <v>44</v>
      </c>
      <c r="BD248">
        <v>1</v>
      </c>
      <c r="BF248" t="s">
        <v>352</v>
      </c>
      <c r="BG248" s="1">
        <v>44354.186805555553</v>
      </c>
      <c r="BH248" s="1">
        <v>44354.277245370373</v>
      </c>
      <c r="BI248" s="1">
        <v>44354.277650462966</v>
      </c>
      <c r="BJ248" t="s">
        <v>85</v>
      </c>
      <c r="BK248" t="s">
        <v>86</v>
      </c>
      <c r="BL248" t="s">
        <v>87</v>
      </c>
    </row>
    <row r="249" spans="1:64" x14ac:dyDescent="0.3">
      <c r="A249" t="str">
        <f>"200159C0100"</f>
        <v>200159C0100</v>
      </c>
      <c r="B249" t="str">
        <f>"200159C01003"</f>
        <v>200159C01003</v>
      </c>
      <c r="C249" t="str">
        <f t="shared" si="12"/>
        <v>20</v>
      </c>
      <c r="D249" t="s">
        <v>81</v>
      </c>
      <c r="E249" t="str">
        <f t="shared" si="15"/>
        <v>028</v>
      </c>
      <c r="F249" t="s">
        <v>343</v>
      </c>
      <c r="G249" t="str">
        <f>"0159"</f>
        <v>0159</v>
      </c>
      <c r="H249" t="str">
        <f>"0001"</f>
        <v>0001</v>
      </c>
      <c r="I249" t="s">
        <v>89</v>
      </c>
      <c r="J249">
        <v>0</v>
      </c>
      <c r="K249">
        <v>1</v>
      </c>
      <c r="L249">
        <v>3</v>
      </c>
      <c r="M249">
        <v>177</v>
      </c>
      <c r="N249">
        <v>409</v>
      </c>
      <c r="O249">
        <v>1</v>
      </c>
      <c r="P249">
        <v>409</v>
      </c>
      <c r="Q249">
        <v>120</v>
      </c>
      <c r="R249">
        <v>4</v>
      </c>
      <c r="S249">
        <v>0</v>
      </c>
      <c r="T249">
        <v>202</v>
      </c>
      <c r="U249">
        <v>1</v>
      </c>
      <c r="X249">
        <v>57</v>
      </c>
      <c r="Y249">
        <v>1</v>
      </c>
      <c r="Z249">
        <v>3</v>
      </c>
      <c r="AA249">
        <v>2</v>
      </c>
      <c r="AF249">
        <v>3</v>
      </c>
      <c r="AG249">
        <v>2</v>
      </c>
      <c r="AH249">
        <v>0</v>
      </c>
      <c r="AI249">
        <v>0</v>
      </c>
      <c r="AW249">
        <v>0</v>
      </c>
      <c r="AX249">
        <v>14</v>
      </c>
      <c r="AY249">
        <v>409</v>
      </c>
      <c r="AZ249">
        <v>409</v>
      </c>
      <c r="BA249">
        <v>543</v>
      </c>
      <c r="BB249">
        <v>44</v>
      </c>
      <c r="BD249">
        <v>1</v>
      </c>
      <c r="BF249" t="s">
        <v>353</v>
      </c>
      <c r="BG249" s="1">
        <v>44354.184027777781</v>
      </c>
      <c r="BH249" s="1">
        <v>44354.275578703702</v>
      </c>
      <c r="BI249" s="1">
        <v>44354.276504629626</v>
      </c>
      <c r="BJ249" t="s">
        <v>85</v>
      </c>
      <c r="BK249" t="s">
        <v>86</v>
      </c>
      <c r="BL249" t="s">
        <v>87</v>
      </c>
    </row>
    <row r="250" spans="1:64" x14ac:dyDescent="0.3">
      <c r="A250" t="str">
        <f>"200160B0000"</f>
        <v>200160B0000</v>
      </c>
      <c r="B250" t="str">
        <f>"200160B00003"</f>
        <v>200160B00003</v>
      </c>
      <c r="C250" t="str">
        <f t="shared" si="12"/>
        <v>20</v>
      </c>
      <c r="D250" t="s">
        <v>81</v>
      </c>
      <c r="E250" t="str">
        <f t="shared" si="15"/>
        <v>028</v>
      </c>
      <c r="F250" t="s">
        <v>343</v>
      </c>
      <c r="G250" t="str">
        <f>"0160"</f>
        <v>0160</v>
      </c>
      <c r="H250" t="str">
        <f>"0000"</f>
        <v>0000</v>
      </c>
      <c r="I250" t="s">
        <v>83</v>
      </c>
      <c r="J250">
        <v>0</v>
      </c>
      <c r="K250">
        <v>1</v>
      </c>
      <c r="L250">
        <v>3</v>
      </c>
      <c r="M250">
        <v>237</v>
      </c>
      <c r="N250">
        <v>434</v>
      </c>
      <c r="O250">
        <v>5</v>
      </c>
      <c r="P250">
        <v>434</v>
      </c>
      <c r="Q250">
        <v>153</v>
      </c>
      <c r="R250">
        <v>9</v>
      </c>
      <c r="S250">
        <v>2</v>
      </c>
      <c r="T250">
        <v>177</v>
      </c>
      <c r="U250">
        <v>4</v>
      </c>
      <c r="X250">
        <v>59</v>
      </c>
      <c r="Y250">
        <v>2</v>
      </c>
      <c r="Z250">
        <v>4</v>
      </c>
      <c r="AA250">
        <v>3</v>
      </c>
      <c r="AF250">
        <v>1</v>
      </c>
      <c r="AG250">
        <v>2</v>
      </c>
      <c r="AH250" t="s">
        <v>95</v>
      </c>
      <c r="AI250" t="s">
        <v>95</v>
      </c>
      <c r="AW250" t="s">
        <v>95</v>
      </c>
      <c r="AX250">
        <v>18</v>
      </c>
      <c r="AY250">
        <v>434</v>
      </c>
      <c r="AZ250">
        <v>434</v>
      </c>
      <c r="BA250">
        <v>638</v>
      </c>
      <c r="BB250">
        <v>44</v>
      </c>
      <c r="BC250" t="s">
        <v>96</v>
      </c>
      <c r="BD250">
        <v>1</v>
      </c>
      <c r="BF250" t="s">
        <v>354</v>
      </c>
      <c r="BG250" s="1">
        <v>44353.928842592592</v>
      </c>
      <c r="BH250" s="1">
        <v>44353.948819444442</v>
      </c>
      <c r="BI250" s="1">
        <v>44353.950150462966</v>
      </c>
      <c r="BJ250" t="s">
        <v>197</v>
      </c>
      <c r="BK250" t="s">
        <v>198</v>
      </c>
      <c r="BL250" t="s">
        <v>87</v>
      </c>
    </row>
    <row r="251" spans="1:64" x14ac:dyDescent="0.3">
      <c r="A251" t="str">
        <f>"200160C0100"</f>
        <v>200160C0100</v>
      </c>
      <c r="B251" t="str">
        <f>"200160C01003"</f>
        <v>200160C01003</v>
      </c>
      <c r="C251" t="str">
        <f t="shared" si="12"/>
        <v>20</v>
      </c>
      <c r="D251" t="s">
        <v>81</v>
      </c>
      <c r="E251" t="str">
        <f t="shared" si="15"/>
        <v>028</v>
      </c>
      <c r="F251" t="s">
        <v>343</v>
      </c>
      <c r="G251" t="str">
        <f>"0160"</f>
        <v>0160</v>
      </c>
      <c r="H251" t="str">
        <f>"0001"</f>
        <v>0001</v>
      </c>
      <c r="I251" t="s">
        <v>89</v>
      </c>
      <c r="J251">
        <v>0</v>
      </c>
      <c r="K251">
        <v>1</v>
      </c>
      <c r="L251">
        <v>3</v>
      </c>
      <c r="M251">
        <v>253</v>
      </c>
      <c r="N251">
        <v>428</v>
      </c>
      <c r="O251">
        <v>0</v>
      </c>
      <c r="P251">
        <v>428</v>
      </c>
      <c r="Q251">
        <v>109</v>
      </c>
      <c r="R251">
        <v>107</v>
      </c>
      <c r="S251">
        <v>3</v>
      </c>
      <c r="T251">
        <v>246</v>
      </c>
      <c r="U251">
        <v>0</v>
      </c>
      <c r="X251">
        <v>34</v>
      </c>
      <c r="Y251">
        <v>0</v>
      </c>
      <c r="Z251">
        <v>4</v>
      </c>
      <c r="AA251">
        <v>9</v>
      </c>
      <c r="AF251">
        <v>1</v>
      </c>
      <c r="AG251">
        <v>1</v>
      </c>
      <c r="AH251">
        <v>0</v>
      </c>
      <c r="AI251">
        <v>0</v>
      </c>
      <c r="AW251">
        <v>0</v>
      </c>
      <c r="AX251">
        <v>14</v>
      </c>
      <c r="AY251">
        <v>428</v>
      </c>
      <c r="AZ251">
        <v>528</v>
      </c>
      <c r="BA251">
        <v>638</v>
      </c>
      <c r="BB251">
        <v>44</v>
      </c>
      <c r="BD251">
        <v>1</v>
      </c>
      <c r="BF251" t="s">
        <v>355</v>
      </c>
      <c r="BG251" s="1">
        <v>44353.890173611115</v>
      </c>
      <c r="BH251" s="1">
        <v>44353.892280092594</v>
      </c>
      <c r="BI251" s="1">
        <v>44353.892962962964</v>
      </c>
      <c r="BJ251" t="s">
        <v>197</v>
      </c>
      <c r="BK251" t="s">
        <v>198</v>
      </c>
      <c r="BL251" t="s">
        <v>87</v>
      </c>
    </row>
    <row r="252" spans="1:64" x14ac:dyDescent="0.3">
      <c r="A252" t="str">
        <f>"200160C0200"</f>
        <v>200160C0200</v>
      </c>
      <c r="B252" t="str">
        <f>"200160C02003"</f>
        <v>200160C02003</v>
      </c>
      <c r="C252" t="str">
        <f t="shared" si="12"/>
        <v>20</v>
      </c>
      <c r="D252" t="s">
        <v>81</v>
      </c>
      <c r="E252" t="str">
        <f t="shared" si="15"/>
        <v>028</v>
      </c>
      <c r="F252" t="s">
        <v>343</v>
      </c>
      <c r="G252" t="str">
        <f>"0160"</f>
        <v>0160</v>
      </c>
      <c r="H252" t="str">
        <f>"0002"</f>
        <v>0002</v>
      </c>
      <c r="I252" t="s">
        <v>89</v>
      </c>
      <c r="J252">
        <v>0</v>
      </c>
      <c r="K252">
        <v>1</v>
      </c>
      <c r="L252">
        <v>3</v>
      </c>
      <c r="M252">
        <v>247</v>
      </c>
      <c r="N252">
        <v>434</v>
      </c>
      <c r="O252">
        <v>0</v>
      </c>
      <c r="P252">
        <v>434</v>
      </c>
      <c r="Q252">
        <v>110</v>
      </c>
      <c r="R252">
        <v>6</v>
      </c>
      <c r="S252">
        <v>1</v>
      </c>
      <c r="T252">
        <v>244</v>
      </c>
      <c r="U252">
        <v>2</v>
      </c>
      <c r="X252">
        <v>53</v>
      </c>
      <c r="Y252">
        <v>1</v>
      </c>
      <c r="Z252">
        <v>4</v>
      </c>
      <c r="AA252">
        <v>2</v>
      </c>
      <c r="AF252">
        <v>1</v>
      </c>
      <c r="AG252">
        <v>0</v>
      </c>
      <c r="AH252">
        <v>0</v>
      </c>
      <c r="AI252">
        <v>0</v>
      </c>
      <c r="AW252">
        <v>0</v>
      </c>
      <c r="AX252">
        <v>10</v>
      </c>
      <c r="AY252">
        <v>434</v>
      </c>
      <c r="AZ252">
        <v>434</v>
      </c>
      <c r="BA252">
        <v>637</v>
      </c>
      <c r="BB252">
        <v>44</v>
      </c>
      <c r="BD252">
        <v>1</v>
      </c>
      <c r="BF252" t="s">
        <v>356</v>
      </c>
      <c r="BG252" s="1">
        <v>44353.883090277777</v>
      </c>
      <c r="BH252" s="1">
        <v>44353.88486111111</v>
      </c>
      <c r="BI252" s="1">
        <v>44353.886655092596</v>
      </c>
      <c r="BJ252" t="s">
        <v>197</v>
      </c>
      <c r="BK252" t="s">
        <v>198</v>
      </c>
      <c r="BL252" t="s">
        <v>87</v>
      </c>
    </row>
    <row r="253" spans="1:64" x14ac:dyDescent="0.3">
      <c r="A253" t="str">
        <f>"200160S0100"</f>
        <v>200160S0100</v>
      </c>
      <c r="B253" t="str">
        <f>"200160S01003E"</f>
        <v>200160S01003E</v>
      </c>
      <c r="C253" t="str">
        <f t="shared" si="12"/>
        <v>20</v>
      </c>
      <c r="D253" t="s">
        <v>81</v>
      </c>
      <c r="E253" t="str">
        <f t="shared" si="15"/>
        <v>028</v>
      </c>
      <c r="F253" t="s">
        <v>343</v>
      </c>
      <c r="G253" t="str">
        <f>"0160"</f>
        <v>0160</v>
      </c>
      <c r="H253" t="str">
        <f>"0001"</f>
        <v>0001</v>
      </c>
      <c r="I253" t="s">
        <v>99</v>
      </c>
      <c r="J253">
        <v>0</v>
      </c>
      <c r="K253">
        <v>1</v>
      </c>
      <c r="L253" t="s">
        <v>100</v>
      </c>
      <c r="M253">
        <v>953</v>
      </c>
      <c r="N253">
        <v>47</v>
      </c>
      <c r="O253">
        <v>0</v>
      </c>
      <c r="P253">
        <v>47</v>
      </c>
      <c r="Q253">
        <v>17</v>
      </c>
      <c r="R253">
        <v>4</v>
      </c>
      <c r="S253">
        <v>0</v>
      </c>
      <c r="T253">
        <v>16</v>
      </c>
      <c r="U253">
        <v>0</v>
      </c>
      <c r="X253">
        <v>7</v>
      </c>
      <c r="Y253">
        <v>0</v>
      </c>
      <c r="Z253">
        <v>1</v>
      </c>
      <c r="AA253">
        <v>0</v>
      </c>
      <c r="AF253">
        <v>0</v>
      </c>
      <c r="AG253">
        <v>0</v>
      </c>
      <c r="AH253">
        <v>0</v>
      </c>
      <c r="AI253">
        <v>0</v>
      </c>
      <c r="AW253">
        <v>1</v>
      </c>
      <c r="AX253">
        <v>1</v>
      </c>
      <c r="AY253">
        <v>47</v>
      </c>
      <c r="AZ253">
        <v>47</v>
      </c>
      <c r="BA253">
        <v>0</v>
      </c>
      <c r="BB253">
        <v>44</v>
      </c>
      <c r="BD253">
        <v>1</v>
      </c>
      <c r="BF253" t="s">
        <v>357</v>
      </c>
      <c r="BG253" s="1">
        <v>44354.177083333336</v>
      </c>
      <c r="BH253" s="1">
        <v>44354.391574074078</v>
      </c>
      <c r="BI253" s="1">
        <v>44354.391979166663</v>
      </c>
      <c r="BJ253" t="s">
        <v>85</v>
      </c>
      <c r="BK253" t="s">
        <v>86</v>
      </c>
      <c r="BL253" t="s">
        <v>87</v>
      </c>
    </row>
    <row r="254" spans="1:64" x14ac:dyDescent="0.3">
      <c r="A254" t="str">
        <f>"200161B0000"</f>
        <v>200161B0000</v>
      </c>
      <c r="B254" t="str">
        <f>"200161B00003"</f>
        <v>200161B00003</v>
      </c>
      <c r="C254" t="str">
        <f t="shared" si="12"/>
        <v>20</v>
      </c>
      <c r="D254" t="s">
        <v>81</v>
      </c>
      <c r="E254" t="str">
        <f t="shared" si="15"/>
        <v>028</v>
      </c>
      <c r="F254" t="s">
        <v>343</v>
      </c>
      <c r="G254" t="str">
        <f>"0161"</f>
        <v>0161</v>
      </c>
      <c r="H254" t="str">
        <f>"0000"</f>
        <v>0000</v>
      </c>
      <c r="I254" t="s">
        <v>83</v>
      </c>
      <c r="J254">
        <v>0</v>
      </c>
      <c r="K254">
        <v>1</v>
      </c>
      <c r="L254">
        <v>3</v>
      </c>
      <c r="M254">
        <v>258</v>
      </c>
      <c r="N254">
        <v>423</v>
      </c>
      <c r="O254">
        <v>0</v>
      </c>
      <c r="P254">
        <v>423</v>
      </c>
      <c r="Q254">
        <v>127</v>
      </c>
      <c r="R254">
        <v>8</v>
      </c>
      <c r="S254">
        <v>1</v>
      </c>
      <c r="T254">
        <v>170</v>
      </c>
      <c r="U254">
        <v>1</v>
      </c>
      <c r="X254">
        <v>90</v>
      </c>
      <c r="Y254">
        <v>0</v>
      </c>
      <c r="Z254">
        <v>4</v>
      </c>
      <c r="AA254">
        <v>4</v>
      </c>
      <c r="AF254">
        <v>1</v>
      </c>
      <c r="AG254">
        <v>3</v>
      </c>
      <c r="AH254">
        <v>0</v>
      </c>
      <c r="AI254">
        <v>0</v>
      </c>
      <c r="AW254">
        <v>0</v>
      </c>
      <c r="AX254">
        <v>14</v>
      </c>
      <c r="AY254">
        <v>423</v>
      </c>
      <c r="AZ254">
        <v>423</v>
      </c>
      <c r="BA254">
        <v>637</v>
      </c>
      <c r="BB254">
        <v>44</v>
      </c>
      <c r="BD254">
        <v>1</v>
      </c>
      <c r="BF254" t="s">
        <v>358</v>
      </c>
      <c r="BG254" s="1">
        <v>44354.17083333333</v>
      </c>
      <c r="BH254" s="1">
        <v>44354.304606481484</v>
      </c>
      <c r="BI254" s="1">
        <v>44354.305243055554</v>
      </c>
      <c r="BJ254" t="s">
        <v>85</v>
      </c>
      <c r="BK254" t="s">
        <v>86</v>
      </c>
      <c r="BL254" t="s">
        <v>87</v>
      </c>
    </row>
    <row r="255" spans="1:64" x14ac:dyDescent="0.3">
      <c r="A255" t="str">
        <f>"200161C0100"</f>
        <v>200161C0100</v>
      </c>
      <c r="B255" t="str">
        <f>"200161C01003"</f>
        <v>200161C01003</v>
      </c>
      <c r="C255" t="str">
        <f t="shared" si="12"/>
        <v>20</v>
      </c>
      <c r="D255" t="s">
        <v>81</v>
      </c>
      <c r="E255" t="str">
        <f t="shared" si="15"/>
        <v>028</v>
      </c>
      <c r="F255" t="s">
        <v>343</v>
      </c>
      <c r="G255" t="str">
        <f>"0161"</f>
        <v>0161</v>
      </c>
      <c r="H255" t="str">
        <f>"0001"</f>
        <v>0001</v>
      </c>
      <c r="I255" t="s">
        <v>89</v>
      </c>
      <c r="J255">
        <v>0</v>
      </c>
      <c r="K255">
        <v>1</v>
      </c>
      <c r="L255">
        <v>3</v>
      </c>
      <c r="M255">
        <v>256</v>
      </c>
      <c r="N255" t="s">
        <v>92</v>
      </c>
      <c r="O255" t="s">
        <v>92</v>
      </c>
      <c r="P255" t="s">
        <v>92</v>
      </c>
      <c r="Q255">
        <v>150</v>
      </c>
      <c r="R255">
        <v>6</v>
      </c>
      <c r="S255">
        <v>0</v>
      </c>
      <c r="T255">
        <v>155</v>
      </c>
      <c r="U255">
        <v>4</v>
      </c>
      <c r="X255">
        <v>68</v>
      </c>
      <c r="Y255">
        <v>1</v>
      </c>
      <c r="Z255">
        <v>4</v>
      </c>
      <c r="AA255">
        <v>2</v>
      </c>
      <c r="AF255">
        <v>6</v>
      </c>
      <c r="AG255">
        <v>7</v>
      </c>
      <c r="AH255">
        <v>3</v>
      </c>
      <c r="AI255">
        <v>0</v>
      </c>
      <c r="AW255">
        <v>0</v>
      </c>
      <c r="AX255">
        <v>19</v>
      </c>
      <c r="AY255">
        <v>425</v>
      </c>
      <c r="AZ255">
        <v>425</v>
      </c>
      <c r="BA255">
        <v>637</v>
      </c>
      <c r="BB255">
        <v>44</v>
      </c>
      <c r="BD255">
        <v>1</v>
      </c>
      <c r="BF255" t="s">
        <v>359</v>
      </c>
      <c r="BG255" s="1">
        <v>44354.1875</v>
      </c>
      <c r="BH255" s="1">
        <v>44354.250127314815</v>
      </c>
      <c r="BI255" s="1">
        <v>44354.250671296293</v>
      </c>
      <c r="BJ255" t="s">
        <v>85</v>
      </c>
      <c r="BK255" t="s">
        <v>86</v>
      </c>
      <c r="BL255" t="s">
        <v>87</v>
      </c>
    </row>
    <row r="256" spans="1:64" x14ac:dyDescent="0.3">
      <c r="A256" t="str">
        <f>"200162B0000"</f>
        <v>200162B0000</v>
      </c>
      <c r="B256" t="str">
        <f>"200162B00003"</f>
        <v>200162B00003</v>
      </c>
      <c r="C256" t="str">
        <f t="shared" si="12"/>
        <v>20</v>
      </c>
      <c r="D256" t="s">
        <v>81</v>
      </c>
      <c r="E256" t="str">
        <f t="shared" si="15"/>
        <v>028</v>
      </c>
      <c r="F256" t="s">
        <v>343</v>
      </c>
      <c r="G256" t="str">
        <f>"0162"</f>
        <v>0162</v>
      </c>
      <c r="H256" t="str">
        <f>"0000"</f>
        <v>0000</v>
      </c>
      <c r="I256" t="s">
        <v>83</v>
      </c>
      <c r="J256">
        <v>0</v>
      </c>
      <c r="K256">
        <v>1</v>
      </c>
      <c r="L256">
        <v>3</v>
      </c>
      <c r="M256">
        <v>154</v>
      </c>
      <c r="N256">
        <v>134</v>
      </c>
      <c r="O256">
        <v>0</v>
      </c>
      <c r="P256">
        <v>134</v>
      </c>
      <c r="Q256">
        <v>54</v>
      </c>
      <c r="R256">
        <v>6</v>
      </c>
      <c r="S256">
        <v>1</v>
      </c>
      <c r="T256">
        <v>22</v>
      </c>
      <c r="U256">
        <v>4</v>
      </c>
      <c r="X256">
        <v>37</v>
      </c>
      <c r="Y256">
        <v>0</v>
      </c>
      <c r="Z256">
        <v>2</v>
      </c>
      <c r="AA256">
        <v>4</v>
      </c>
      <c r="AF256">
        <v>1</v>
      </c>
      <c r="AG256">
        <v>0</v>
      </c>
      <c r="AH256">
        <v>0</v>
      </c>
      <c r="AI256">
        <v>0</v>
      </c>
      <c r="AW256">
        <v>0</v>
      </c>
      <c r="AX256">
        <v>3</v>
      </c>
      <c r="AY256">
        <v>134</v>
      </c>
      <c r="AZ256">
        <v>134</v>
      </c>
      <c r="BA256">
        <v>244</v>
      </c>
      <c r="BB256">
        <v>44</v>
      </c>
      <c r="BD256">
        <v>1</v>
      </c>
      <c r="BF256" t="s">
        <v>360</v>
      </c>
      <c r="BG256" s="1">
        <v>44354.181250000001</v>
      </c>
      <c r="BH256" s="1">
        <v>44354.256412037037</v>
      </c>
      <c r="BI256" s="1">
        <v>44354.256967592592</v>
      </c>
      <c r="BJ256" t="s">
        <v>85</v>
      </c>
      <c r="BK256" t="s">
        <v>86</v>
      </c>
      <c r="BL256" t="s">
        <v>87</v>
      </c>
    </row>
    <row r="257" spans="1:64" x14ac:dyDescent="0.3">
      <c r="A257" t="str">
        <f>"200163B0000"</f>
        <v>200163B0000</v>
      </c>
      <c r="B257" t="str">
        <f>"200163B00003"</f>
        <v>200163B00003</v>
      </c>
      <c r="C257" t="str">
        <f t="shared" si="12"/>
        <v>20</v>
      </c>
      <c r="D257" t="s">
        <v>81</v>
      </c>
      <c r="E257" t="str">
        <f t="shared" si="15"/>
        <v>028</v>
      </c>
      <c r="F257" t="s">
        <v>343</v>
      </c>
      <c r="G257" t="str">
        <f>"0163"</f>
        <v>0163</v>
      </c>
      <c r="H257" t="str">
        <f>"0000"</f>
        <v>0000</v>
      </c>
      <c r="I257" t="s">
        <v>83</v>
      </c>
      <c r="J257">
        <v>0</v>
      </c>
      <c r="K257">
        <v>1</v>
      </c>
      <c r="L257">
        <v>3</v>
      </c>
      <c r="M257">
        <v>117</v>
      </c>
      <c r="N257">
        <v>164</v>
      </c>
      <c r="O257">
        <v>0</v>
      </c>
      <c r="P257">
        <v>164</v>
      </c>
      <c r="Q257">
        <v>103</v>
      </c>
      <c r="R257">
        <v>6</v>
      </c>
      <c r="S257">
        <v>0</v>
      </c>
      <c r="T257">
        <v>35</v>
      </c>
      <c r="U257">
        <v>1</v>
      </c>
      <c r="X257">
        <v>17</v>
      </c>
      <c r="Y257">
        <v>0</v>
      </c>
      <c r="Z257">
        <v>0</v>
      </c>
      <c r="AA257">
        <v>0</v>
      </c>
      <c r="AF257">
        <v>0</v>
      </c>
      <c r="AG257">
        <v>1</v>
      </c>
      <c r="AH257">
        <v>0</v>
      </c>
      <c r="AI257">
        <v>0</v>
      </c>
      <c r="AW257">
        <v>0</v>
      </c>
      <c r="AX257">
        <v>1</v>
      </c>
      <c r="AY257">
        <v>164</v>
      </c>
      <c r="AZ257">
        <v>164</v>
      </c>
      <c r="BA257">
        <v>237</v>
      </c>
      <c r="BB257">
        <v>44</v>
      </c>
      <c r="BD257">
        <v>1</v>
      </c>
      <c r="BF257" t="s">
        <v>361</v>
      </c>
      <c r="BG257" s="1">
        <v>44354.001979166664</v>
      </c>
      <c r="BH257" s="1">
        <v>44354.006701388891</v>
      </c>
      <c r="BI257" s="1">
        <v>44354.007175925923</v>
      </c>
      <c r="BJ257" t="s">
        <v>197</v>
      </c>
      <c r="BK257" t="s">
        <v>198</v>
      </c>
      <c r="BL257" t="s">
        <v>87</v>
      </c>
    </row>
    <row r="258" spans="1:64" x14ac:dyDescent="0.3">
      <c r="A258" t="str">
        <f>"200164B0000"</f>
        <v>200164B0000</v>
      </c>
      <c r="B258" t="str">
        <f>"200164B00003"</f>
        <v>200164B00003</v>
      </c>
      <c r="C258" t="str">
        <f t="shared" si="12"/>
        <v>20</v>
      </c>
      <c r="D258" t="s">
        <v>81</v>
      </c>
      <c r="E258" t="str">
        <f t="shared" si="15"/>
        <v>028</v>
      </c>
      <c r="F258" t="s">
        <v>343</v>
      </c>
      <c r="G258" t="str">
        <f>"0164"</f>
        <v>0164</v>
      </c>
      <c r="H258" t="str">
        <f>"0000"</f>
        <v>0000</v>
      </c>
      <c r="I258" t="s">
        <v>83</v>
      </c>
      <c r="J258">
        <v>0</v>
      </c>
      <c r="K258">
        <v>1</v>
      </c>
      <c r="L258">
        <v>3</v>
      </c>
      <c r="M258">
        <v>168</v>
      </c>
      <c r="N258">
        <v>405</v>
      </c>
      <c r="O258">
        <v>0</v>
      </c>
      <c r="P258">
        <v>405</v>
      </c>
      <c r="Q258">
        <v>306</v>
      </c>
      <c r="R258">
        <v>3</v>
      </c>
      <c r="S258">
        <v>2</v>
      </c>
      <c r="T258">
        <v>51</v>
      </c>
      <c r="U258">
        <v>1</v>
      </c>
      <c r="X258">
        <v>31</v>
      </c>
      <c r="Y258">
        <v>0</v>
      </c>
      <c r="Z258">
        <v>2</v>
      </c>
      <c r="AA258">
        <v>2</v>
      </c>
      <c r="AF258">
        <v>2</v>
      </c>
      <c r="AG258">
        <v>0</v>
      </c>
      <c r="AH258">
        <v>0</v>
      </c>
      <c r="AI258">
        <v>0</v>
      </c>
      <c r="AW258">
        <v>0</v>
      </c>
      <c r="AX258">
        <v>5</v>
      </c>
      <c r="AY258">
        <v>405</v>
      </c>
      <c r="AZ258">
        <v>405</v>
      </c>
      <c r="BA258">
        <v>529</v>
      </c>
      <c r="BB258">
        <v>44</v>
      </c>
      <c r="BD258">
        <v>1</v>
      </c>
      <c r="BF258" t="s">
        <v>362</v>
      </c>
      <c r="BG258" s="1">
        <v>44354.185416666667</v>
      </c>
      <c r="BH258" s="1">
        <v>44354.263819444444</v>
      </c>
      <c r="BI258" s="1">
        <v>44354.264247685183</v>
      </c>
      <c r="BJ258" t="s">
        <v>85</v>
      </c>
      <c r="BK258" t="s">
        <v>86</v>
      </c>
      <c r="BL258" t="s">
        <v>87</v>
      </c>
    </row>
    <row r="259" spans="1:64" x14ac:dyDescent="0.3">
      <c r="A259" t="str">
        <f>"200165B0000"</f>
        <v>200165B0000</v>
      </c>
      <c r="B259" t="str">
        <f>"200165B00003"</f>
        <v>200165B00003</v>
      </c>
      <c r="C259" t="str">
        <f t="shared" si="12"/>
        <v>20</v>
      </c>
      <c r="D259" t="s">
        <v>81</v>
      </c>
      <c r="E259" t="str">
        <f t="shared" si="15"/>
        <v>028</v>
      </c>
      <c r="F259" t="s">
        <v>343</v>
      </c>
      <c r="G259" t="str">
        <f>"0165"</f>
        <v>0165</v>
      </c>
      <c r="H259" t="str">
        <f>"0000"</f>
        <v>0000</v>
      </c>
      <c r="I259" t="s">
        <v>83</v>
      </c>
      <c r="J259">
        <v>0</v>
      </c>
      <c r="K259">
        <v>1</v>
      </c>
      <c r="L259">
        <v>3</v>
      </c>
      <c r="M259">
        <v>82</v>
      </c>
      <c r="N259">
        <v>158</v>
      </c>
      <c r="O259">
        <v>5</v>
      </c>
      <c r="P259">
        <v>76</v>
      </c>
      <c r="Q259">
        <v>15</v>
      </c>
      <c r="R259">
        <v>1</v>
      </c>
      <c r="S259">
        <v>0</v>
      </c>
      <c r="T259">
        <v>46</v>
      </c>
      <c r="U259">
        <v>0</v>
      </c>
      <c r="X259">
        <v>12</v>
      </c>
      <c r="Y259">
        <v>0</v>
      </c>
      <c r="Z259">
        <v>0</v>
      </c>
      <c r="AA259">
        <v>0</v>
      </c>
      <c r="AF259">
        <v>0</v>
      </c>
      <c r="AG259">
        <v>0</v>
      </c>
      <c r="AH259">
        <v>0</v>
      </c>
      <c r="AI259">
        <v>0</v>
      </c>
      <c r="AW259">
        <v>0</v>
      </c>
      <c r="AX259">
        <v>2</v>
      </c>
      <c r="AY259">
        <v>76</v>
      </c>
      <c r="AZ259">
        <v>76</v>
      </c>
      <c r="BA259">
        <v>114</v>
      </c>
      <c r="BB259">
        <v>44</v>
      </c>
      <c r="BD259">
        <v>1</v>
      </c>
      <c r="BF259" t="s">
        <v>363</v>
      </c>
      <c r="BG259" s="1">
        <v>44354.179861111108</v>
      </c>
      <c r="BH259" s="1">
        <v>44354.296261574076</v>
      </c>
      <c r="BI259" s="1">
        <v>44354.296724537038</v>
      </c>
      <c r="BJ259" t="s">
        <v>85</v>
      </c>
      <c r="BK259" t="s">
        <v>86</v>
      </c>
      <c r="BL259" t="s">
        <v>87</v>
      </c>
    </row>
    <row r="260" spans="1:64" x14ac:dyDescent="0.3">
      <c r="A260" t="str">
        <f>"200166B0000"</f>
        <v>200166B0000</v>
      </c>
      <c r="B260" t="str">
        <f>"200166B00003"</f>
        <v>200166B00003</v>
      </c>
      <c r="C260" t="str">
        <f t="shared" si="12"/>
        <v>20</v>
      </c>
      <c r="D260" t="s">
        <v>81</v>
      </c>
      <c r="E260" t="str">
        <f t="shared" si="15"/>
        <v>028</v>
      </c>
      <c r="F260" t="s">
        <v>343</v>
      </c>
      <c r="G260" t="str">
        <f>"0166"</f>
        <v>0166</v>
      </c>
      <c r="H260" t="str">
        <f>"0000"</f>
        <v>0000</v>
      </c>
      <c r="I260" t="s">
        <v>83</v>
      </c>
      <c r="J260">
        <v>0</v>
      </c>
      <c r="K260">
        <v>1</v>
      </c>
      <c r="L260">
        <v>3</v>
      </c>
      <c r="M260">
        <v>206</v>
      </c>
      <c r="N260">
        <v>455</v>
      </c>
      <c r="O260">
        <v>0</v>
      </c>
      <c r="P260">
        <v>455</v>
      </c>
      <c r="Q260">
        <v>210</v>
      </c>
      <c r="R260">
        <v>6</v>
      </c>
      <c r="S260">
        <v>2</v>
      </c>
      <c r="T260">
        <v>131</v>
      </c>
      <c r="U260">
        <v>4</v>
      </c>
      <c r="X260">
        <v>65</v>
      </c>
      <c r="Y260">
        <v>3</v>
      </c>
      <c r="Z260">
        <v>4</v>
      </c>
      <c r="AA260">
        <v>3</v>
      </c>
      <c r="AF260">
        <v>3</v>
      </c>
      <c r="AG260">
        <v>2</v>
      </c>
      <c r="AH260">
        <v>1</v>
      </c>
      <c r="AI260">
        <v>0</v>
      </c>
      <c r="AW260">
        <v>0</v>
      </c>
      <c r="AX260">
        <v>22</v>
      </c>
      <c r="AY260">
        <v>455</v>
      </c>
      <c r="AZ260">
        <v>456</v>
      </c>
      <c r="BA260">
        <v>618</v>
      </c>
      <c r="BB260">
        <v>44</v>
      </c>
      <c r="BD260">
        <v>1</v>
      </c>
      <c r="BF260" t="s">
        <v>364</v>
      </c>
      <c r="BG260" s="1">
        <v>44354.179861111108</v>
      </c>
      <c r="BH260" s="1">
        <v>44354.294745370367</v>
      </c>
      <c r="BI260" s="1">
        <v>44354.295590277776</v>
      </c>
      <c r="BJ260" t="s">
        <v>85</v>
      </c>
      <c r="BK260" t="s">
        <v>86</v>
      </c>
      <c r="BL260" t="s">
        <v>87</v>
      </c>
    </row>
    <row r="261" spans="1:64" x14ac:dyDescent="0.3">
      <c r="A261" t="str">
        <f>"200166C0100"</f>
        <v>200166C0100</v>
      </c>
      <c r="B261" t="str">
        <f>"200166C01003"</f>
        <v>200166C01003</v>
      </c>
      <c r="C261" t="str">
        <f t="shared" si="12"/>
        <v>20</v>
      </c>
      <c r="D261" t="s">
        <v>81</v>
      </c>
      <c r="E261" t="str">
        <f t="shared" si="15"/>
        <v>028</v>
      </c>
      <c r="F261" t="s">
        <v>343</v>
      </c>
      <c r="G261" t="str">
        <f>"0166"</f>
        <v>0166</v>
      </c>
      <c r="H261" t="str">
        <f>"0001"</f>
        <v>0001</v>
      </c>
      <c r="I261" t="s">
        <v>89</v>
      </c>
      <c r="J261">
        <v>0</v>
      </c>
      <c r="K261">
        <v>1</v>
      </c>
      <c r="L261">
        <v>3</v>
      </c>
      <c r="M261">
        <v>200</v>
      </c>
      <c r="N261">
        <v>461</v>
      </c>
      <c r="O261">
        <v>0</v>
      </c>
      <c r="P261">
        <v>0</v>
      </c>
      <c r="Q261">
        <v>220</v>
      </c>
      <c r="R261">
        <v>3</v>
      </c>
      <c r="S261">
        <v>4</v>
      </c>
      <c r="T261">
        <v>112</v>
      </c>
      <c r="U261">
        <v>3</v>
      </c>
      <c r="X261">
        <v>66</v>
      </c>
      <c r="Y261">
        <v>0</v>
      </c>
      <c r="Z261">
        <v>6</v>
      </c>
      <c r="AA261">
        <v>5</v>
      </c>
      <c r="AF261">
        <v>0</v>
      </c>
      <c r="AG261">
        <v>4</v>
      </c>
      <c r="AH261">
        <v>0</v>
      </c>
      <c r="AI261">
        <v>0</v>
      </c>
      <c r="AW261">
        <v>0</v>
      </c>
      <c r="AX261">
        <v>38</v>
      </c>
      <c r="AY261">
        <v>461</v>
      </c>
      <c r="AZ261">
        <v>461</v>
      </c>
      <c r="BA261">
        <v>617</v>
      </c>
      <c r="BB261">
        <v>44</v>
      </c>
      <c r="BD261">
        <v>1</v>
      </c>
      <c r="BF261" t="s">
        <v>365</v>
      </c>
      <c r="BG261" s="1">
        <v>44354.178472222222</v>
      </c>
      <c r="BH261" s="1">
        <v>44354.296342592592</v>
      </c>
      <c r="BI261" s="1">
        <v>44354.296909722223</v>
      </c>
      <c r="BJ261" t="s">
        <v>85</v>
      </c>
      <c r="BK261" t="s">
        <v>86</v>
      </c>
      <c r="BL261" t="s">
        <v>87</v>
      </c>
    </row>
    <row r="262" spans="1:64" x14ac:dyDescent="0.3">
      <c r="A262" t="str">
        <f>"200167B0000"</f>
        <v>200167B0000</v>
      </c>
      <c r="B262" t="str">
        <f>"200167B00003"</f>
        <v>200167B00003</v>
      </c>
      <c r="C262" t="str">
        <f t="shared" si="12"/>
        <v>20</v>
      </c>
      <c r="D262" t="s">
        <v>81</v>
      </c>
      <c r="E262" t="str">
        <f t="shared" si="15"/>
        <v>028</v>
      </c>
      <c r="F262" t="s">
        <v>343</v>
      </c>
      <c r="G262" t="str">
        <f>"0167"</f>
        <v>0167</v>
      </c>
      <c r="H262" t="str">
        <f>"0000"</f>
        <v>0000</v>
      </c>
      <c r="I262" t="s">
        <v>83</v>
      </c>
      <c r="J262">
        <v>0</v>
      </c>
      <c r="K262">
        <v>1</v>
      </c>
      <c r="L262">
        <v>3</v>
      </c>
      <c r="M262">
        <v>249</v>
      </c>
      <c r="N262">
        <v>0</v>
      </c>
      <c r="O262">
        <v>0</v>
      </c>
      <c r="P262">
        <v>405</v>
      </c>
      <c r="Q262">
        <v>134</v>
      </c>
      <c r="R262">
        <v>6</v>
      </c>
      <c r="S262">
        <v>2</v>
      </c>
      <c r="T262">
        <v>153</v>
      </c>
      <c r="U262">
        <v>5</v>
      </c>
      <c r="X262">
        <v>79</v>
      </c>
      <c r="Y262">
        <v>2</v>
      </c>
      <c r="Z262">
        <v>6</v>
      </c>
      <c r="AA262">
        <v>4</v>
      </c>
      <c r="AF262">
        <v>0</v>
      </c>
      <c r="AG262">
        <v>0</v>
      </c>
      <c r="AH262">
        <v>0</v>
      </c>
      <c r="AI262">
        <v>1</v>
      </c>
      <c r="AW262">
        <v>0</v>
      </c>
      <c r="AX262">
        <v>0</v>
      </c>
      <c r="AY262">
        <v>405</v>
      </c>
      <c r="AZ262">
        <v>392</v>
      </c>
      <c r="BA262">
        <v>610</v>
      </c>
      <c r="BB262">
        <v>44</v>
      </c>
      <c r="BD262">
        <v>1</v>
      </c>
      <c r="BF262" t="s">
        <v>366</v>
      </c>
      <c r="BG262" s="1">
        <v>44354.181944444441</v>
      </c>
      <c r="BH262" s="1">
        <v>44354.287546296298</v>
      </c>
      <c r="BI262" s="1">
        <v>44354.288668981484</v>
      </c>
      <c r="BJ262" t="s">
        <v>85</v>
      </c>
      <c r="BK262" t="s">
        <v>86</v>
      </c>
      <c r="BL262" t="s">
        <v>87</v>
      </c>
    </row>
    <row r="263" spans="1:64" x14ac:dyDescent="0.3">
      <c r="A263" t="str">
        <f>"200168B0000"</f>
        <v>200168B0000</v>
      </c>
      <c r="B263" t="str">
        <f>"200168B00003"</f>
        <v>200168B00003</v>
      </c>
      <c r="C263" t="str">
        <f t="shared" ref="C263:C326" si="16">"20"</f>
        <v>20</v>
      </c>
      <c r="D263" t="s">
        <v>81</v>
      </c>
      <c r="E263" t="str">
        <f t="shared" si="15"/>
        <v>028</v>
      </c>
      <c r="F263" t="s">
        <v>343</v>
      </c>
      <c r="G263" t="str">
        <f>"0168"</f>
        <v>0168</v>
      </c>
      <c r="H263" t="str">
        <f>"0000"</f>
        <v>0000</v>
      </c>
      <c r="I263" t="s">
        <v>83</v>
      </c>
      <c r="J263">
        <v>0</v>
      </c>
      <c r="K263">
        <v>1</v>
      </c>
      <c r="L263">
        <v>3</v>
      </c>
      <c r="M263">
        <v>271</v>
      </c>
      <c r="N263">
        <v>423</v>
      </c>
      <c r="O263" t="s">
        <v>131</v>
      </c>
      <c r="P263">
        <v>423</v>
      </c>
      <c r="Q263">
        <v>211</v>
      </c>
      <c r="R263">
        <v>53</v>
      </c>
      <c r="S263">
        <v>2</v>
      </c>
      <c r="T263">
        <v>42</v>
      </c>
      <c r="U263">
        <v>11</v>
      </c>
      <c r="X263">
        <v>65</v>
      </c>
      <c r="Y263">
        <v>1</v>
      </c>
      <c r="Z263">
        <v>6</v>
      </c>
      <c r="AA263">
        <v>7</v>
      </c>
      <c r="AF263">
        <v>2</v>
      </c>
      <c r="AG263">
        <v>1</v>
      </c>
      <c r="AH263">
        <v>1</v>
      </c>
      <c r="AI263">
        <v>0</v>
      </c>
      <c r="AW263">
        <v>0</v>
      </c>
      <c r="AX263">
        <v>21</v>
      </c>
      <c r="AY263">
        <v>423</v>
      </c>
      <c r="AZ263">
        <v>423</v>
      </c>
      <c r="BA263">
        <v>650</v>
      </c>
      <c r="BB263">
        <v>44</v>
      </c>
      <c r="BD263">
        <v>1</v>
      </c>
      <c r="BF263" t="s">
        <v>367</v>
      </c>
      <c r="BG263" s="1">
        <v>44354.178472222222</v>
      </c>
      <c r="BH263" s="1">
        <v>44354.29828703704</v>
      </c>
      <c r="BI263" s="1">
        <v>44354.298831018517</v>
      </c>
      <c r="BJ263" t="s">
        <v>85</v>
      </c>
      <c r="BK263" t="s">
        <v>86</v>
      </c>
      <c r="BL263" t="s">
        <v>87</v>
      </c>
    </row>
    <row r="264" spans="1:64" x14ac:dyDescent="0.3">
      <c r="A264" t="str">
        <f>"200169B0000"</f>
        <v>200169B0000</v>
      </c>
      <c r="B264" t="str">
        <f>"200169B00003"</f>
        <v>200169B00003</v>
      </c>
      <c r="C264" t="str">
        <f t="shared" si="16"/>
        <v>20</v>
      </c>
      <c r="D264" t="s">
        <v>81</v>
      </c>
      <c r="E264" t="str">
        <f t="shared" si="15"/>
        <v>028</v>
      </c>
      <c r="F264" t="s">
        <v>343</v>
      </c>
      <c r="G264" t="str">
        <f>"0169"</f>
        <v>0169</v>
      </c>
      <c r="H264" t="str">
        <f>"0000"</f>
        <v>0000</v>
      </c>
      <c r="I264" t="s">
        <v>83</v>
      </c>
      <c r="J264">
        <v>0</v>
      </c>
      <c r="K264">
        <v>1</v>
      </c>
      <c r="L264">
        <v>3</v>
      </c>
      <c r="M264">
        <v>259</v>
      </c>
      <c r="N264">
        <v>428</v>
      </c>
      <c r="O264">
        <v>0</v>
      </c>
      <c r="P264">
        <v>428</v>
      </c>
      <c r="Q264">
        <v>172</v>
      </c>
      <c r="R264">
        <v>11</v>
      </c>
      <c r="S264">
        <v>5</v>
      </c>
      <c r="T264">
        <v>98</v>
      </c>
      <c r="U264">
        <v>5</v>
      </c>
      <c r="X264">
        <v>109</v>
      </c>
      <c r="Y264">
        <v>1</v>
      </c>
      <c r="Z264">
        <v>5</v>
      </c>
      <c r="AA264">
        <v>2</v>
      </c>
      <c r="AF264">
        <v>4</v>
      </c>
      <c r="AG264">
        <v>2</v>
      </c>
      <c r="AH264">
        <v>0</v>
      </c>
      <c r="AI264">
        <v>0</v>
      </c>
      <c r="AW264">
        <v>0</v>
      </c>
      <c r="AX264">
        <v>14</v>
      </c>
      <c r="AY264">
        <v>428</v>
      </c>
      <c r="AZ264">
        <v>428</v>
      </c>
      <c r="BA264">
        <v>643</v>
      </c>
      <c r="BB264">
        <v>44</v>
      </c>
      <c r="BD264">
        <v>1</v>
      </c>
      <c r="BF264" t="s">
        <v>368</v>
      </c>
      <c r="BG264" s="1">
        <v>44354.181250000001</v>
      </c>
      <c r="BH264" s="1">
        <v>44354.288935185185</v>
      </c>
      <c r="BI264" s="1">
        <v>44354.289502314816</v>
      </c>
      <c r="BJ264" t="s">
        <v>85</v>
      </c>
      <c r="BK264" t="s">
        <v>86</v>
      </c>
      <c r="BL264" t="s">
        <v>87</v>
      </c>
    </row>
    <row r="265" spans="1:64" x14ac:dyDescent="0.3">
      <c r="A265" t="str">
        <f>"200170B0000"</f>
        <v>200170B0000</v>
      </c>
      <c r="B265" t="str">
        <f>"200170B00003"</f>
        <v>200170B00003</v>
      </c>
      <c r="C265" t="str">
        <f t="shared" si="16"/>
        <v>20</v>
      </c>
      <c r="D265" t="s">
        <v>81</v>
      </c>
      <c r="E265" t="str">
        <f t="shared" si="15"/>
        <v>028</v>
      </c>
      <c r="F265" t="s">
        <v>343</v>
      </c>
      <c r="G265" t="str">
        <f>"0170"</f>
        <v>0170</v>
      </c>
      <c r="H265" t="str">
        <f>"0000"</f>
        <v>0000</v>
      </c>
      <c r="I265" t="s">
        <v>83</v>
      </c>
      <c r="J265">
        <v>0</v>
      </c>
      <c r="K265">
        <v>1</v>
      </c>
      <c r="L265">
        <v>3</v>
      </c>
      <c r="M265">
        <v>172</v>
      </c>
      <c r="N265">
        <v>269</v>
      </c>
      <c r="O265">
        <v>1</v>
      </c>
      <c r="P265">
        <v>269</v>
      </c>
      <c r="Q265">
        <v>147</v>
      </c>
      <c r="R265">
        <v>11</v>
      </c>
      <c r="S265">
        <v>0</v>
      </c>
      <c r="T265">
        <v>70</v>
      </c>
      <c r="U265">
        <v>0</v>
      </c>
      <c r="X265">
        <v>29</v>
      </c>
      <c r="Y265">
        <v>2</v>
      </c>
      <c r="Z265">
        <v>3</v>
      </c>
      <c r="AA265">
        <v>1</v>
      </c>
      <c r="AF265">
        <v>3</v>
      </c>
      <c r="AG265">
        <v>0</v>
      </c>
      <c r="AH265">
        <v>0</v>
      </c>
      <c r="AI265">
        <v>0</v>
      </c>
      <c r="AW265">
        <v>0</v>
      </c>
      <c r="AX265">
        <v>3</v>
      </c>
      <c r="AY265">
        <v>269</v>
      </c>
      <c r="AZ265">
        <v>269</v>
      </c>
      <c r="BA265">
        <v>397</v>
      </c>
      <c r="BB265">
        <v>44</v>
      </c>
      <c r="BD265">
        <v>1</v>
      </c>
      <c r="BF265" t="s">
        <v>369</v>
      </c>
      <c r="BG265" s="1">
        <v>44354.18472222222</v>
      </c>
      <c r="BH265" s="1">
        <v>44354.267314814817</v>
      </c>
      <c r="BI265" s="1">
        <v>44354.267569444448</v>
      </c>
      <c r="BJ265" t="s">
        <v>85</v>
      </c>
      <c r="BK265" t="s">
        <v>86</v>
      </c>
      <c r="BL265" t="s">
        <v>87</v>
      </c>
    </row>
    <row r="266" spans="1:64" x14ac:dyDescent="0.3">
      <c r="A266" t="str">
        <f>"200170C0100"</f>
        <v>200170C0100</v>
      </c>
      <c r="B266" t="str">
        <f>"200170C01003"</f>
        <v>200170C01003</v>
      </c>
      <c r="C266" t="str">
        <f t="shared" si="16"/>
        <v>20</v>
      </c>
      <c r="D266" t="s">
        <v>81</v>
      </c>
      <c r="E266" t="str">
        <f t="shared" si="15"/>
        <v>028</v>
      </c>
      <c r="F266" t="s">
        <v>343</v>
      </c>
      <c r="G266" t="str">
        <f>"0170"</f>
        <v>0170</v>
      </c>
      <c r="H266" t="str">
        <f>"0001"</f>
        <v>0001</v>
      </c>
      <c r="I266" t="s">
        <v>89</v>
      </c>
      <c r="J266">
        <v>0</v>
      </c>
      <c r="K266">
        <v>1</v>
      </c>
      <c r="L266">
        <v>3</v>
      </c>
      <c r="M266">
        <v>181</v>
      </c>
      <c r="N266">
        <v>259</v>
      </c>
      <c r="O266">
        <v>0</v>
      </c>
      <c r="P266">
        <v>259</v>
      </c>
      <c r="Q266">
        <v>158</v>
      </c>
      <c r="R266">
        <v>4</v>
      </c>
      <c r="S266">
        <v>0</v>
      </c>
      <c r="T266">
        <v>65</v>
      </c>
      <c r="U266">
        <v>0</v>
      </c>
      <c r="X266">
        <v>17</v>
      </c>
      <c r="Y266">
        <v>1</v>
      </c>
      <c r="Z266">
        <v>2</v>
      </c>
      <c r="AA266">
        <v>0</v>
      </c>
      <c r="AF266">
        <v>3</v>
      </c>
      <c r="AG266">
        <v>2</v>
      </c>
      <c r="AH266">
        <v>0</v>
      </c>
      <c r="AI266">
        <v>0</v>
      </c>
      <c r="AW266">
        <v>0</v>
      </c>
      <c r="AX266">
        <v>7</v>
      </c>
      <c r="AY266">
        <v>259</v>
      </c>
      <c r="AZ266">
        <v>259</v>
      </c>
      <c r="BA266">
        <v>396</v>
      </c>
      <c r="BB266">
        <v>44</v>
      </c>
      <c r="BD266">
        <v>1</v>
      </c>
      <c r="BF266" t="s">
        <v>370</v>
      </c>
      <c r="BG266" s="1">
        <v>44354.18472222222</v>
      </c>
      <c r="BH266" s="1">
        <v>44354.272233796299</v>
      </c>
      <c r="BI266" s="1">
        <v>44354.272604166668</v>
      </c>
      <c r="BJ266" t="s">
        <v>85</v>
      </c>
      <c r="BK266" t="s">
        <v>86</v>
      </c>
      <c r="BL266" t="s">
        <v>87</v>
      </c>
    </row>
    <row r="267" spans="1:64" x14ac:dyDescent="0.3">
      <c r="A267" t="str">
        <f>"200171B0000"</f>
        <v>200171B0000</v>
      </c>
      <c r="B267" t="str">
        <f>"200171B00003"</f>
        <v>200171B00003</v>
      </c>
      <c r="C267" t="str">
        <f t="shared" si="16"/>
        <v>20</v>
      </c>
      <c r="D267" t="s">
        <v>81</v>
      </c>
      <c r="E267" t="str">
        <f t="shared" si="15"/>
        <v>028</v>
      </c>
      <c r="F267" t="s">
        <v>343</v>
      </c>
      <c r="G267" t="str">
        <f>"0171"</f>
        <v>0171</v>
      </c>
      <c r="H267" t="str">
        <f>"0000"</f>
        <v>0000</v>
      </c>
      <c r="I267" t="s">
        <v>83</v>
      </c>
      <c r="J267">
        <v>0</v>
      </c>
      <c r="K267">
        <v>1</v>
      </c>
      <c r="L267">
        <v>3</v>
      </c>
      <c r="M267">
        <v>125</v>
      </c>
      <c r="N267">
        <v>201</v>
      </c>
      <c r="O267">
        <v>8</v>
      </c>
      <c r="P267">
        <v>201</v>
      </c>
      <c r="Q267">
        <v>112</v>
      </c>
      <c r="R267">
        <v>3</v>
      </c>
      <c r="S267" t="s">
        <v>95</v>
      </c>
      <c r="T267">
        <v>61</v>
      </c>
      <c r="U267">
        <v>4</v>
      </c>
      <c r="X267">
        <v>12</v>
      </c>
      <c r="Y267" t="s">
        <v>95</v>
      </c>
      <c r="Z267" t="s">
        <v>95</v>
      </c>
      <c r="AA267" t="s">
        <v>95</v>
      </c>
      <c r="AF267">
        <v>2</v>
      </c>
      <c r="AG267" t="s">
        <v>95</v>
      </c>
      <c r="AH267" t="s">
        <v>95</v>
      </c>
      <c r="AI267" t="s">
        <v>95</v>
      </c>
      <c r="AW267" t="s">
        <v>95</v>
      </c>
      <c r="AX267">
        <v>7</v>
      </c>
      <c r="AY267">
        <v>201</v>
      </c>
      <c r="AZ267">
        <v>201</v>
      </c>
      <c r="BA267">
        <v>282</v>
      </c>
      <c r="BB267">
        <v>44</v>
      </c>
      <c r="BC267" t="s">
        <v>96</v>
      </c>
      <c r="BD267">
        <v>1</v>
      </c>
      <c r="BF267" t="s">
        <v>371</v>
      </c>
      <c r="BG267" s="1">
        <v>44354.1875</v>
      </c>
      <c r="BH267" s="1">
        <v>44354.241527777776</v>
      </c>
      <c r="BI267" s="1">
        <v>44354.242812500001</v>
      </c>
      <c r="BJ267" t="s">
        <v>85</v>
      </c>
      <c r="BK267" t="s">
        <v>86</v>
      </c>
      <c r="BL267" t="s">
        <v>87</v>
      </c>
    </row>
    <row r="268" spans="1:64" x14ac:dyDescent="0.3">
      <c r="A268" t="str">
        <f>"200172B0000"</f>
        <v>200172B0000</v>
      </c>
      <c r="B268" t="str">
        <f>"200172B00003"</f>
        <v>200172B00003</v>
      </c>
      <c r="C268" t="str">
        <f t="shared" si="16"/>
        <v>20</v>
      </c>
      <c r="D268" t="s">
        <v>81</v>
      </c>
      <c r="E268" t="str">
        <f t="shared" si="15"/>
        <v>028</v>
      </c>
      <c r="F268" t="s">
        <v>343</v>
      </c>
      <c r="G268" t="str">
        <f>"0172"</f>
        <v>0172</v>
      </c>
      <c r="H268" t="str">
        <f>"0000"</f>
        <v>0000</v>
      </c>
      <c r="I268" t="s">
        <v>83</v>
      </c>
      <c r="J268">
        <v>0</v>
      </c>
      <c r="K268">
        <v>1</v>
      </c>
      <c r="L268">
        <v>3</v>
      </c>
      <c r="M268">
        <v>126</v>
      </c>
      <c r="N268">
        <v>226</v>
      </c>
      <c r="O268">
        <v>8</v>
      </c>
      <c r="P268">
        <v>218</v>
      </c>
      <c r="Q268">
        <v>87</v>
      </c>
      <c r="R268">
        <v>2</v>
      </c>
      <c r="S268">
        <v>0</v>
      </c>
      <c r="T268">
        <v>60</v>
      </c>
      <c r="U268">
        <v>2</v>
      </c>
      <c r="X268">
        <v>47</v>
      </c>
      <c r="Y268">
        <v>1</v>
      </c>
      <c r="Z268">
        <v>3</v>
      </c>
      <c r="AA268">
        <v>3</v>
      </c>
      <c r="AF268">
        <v>1</v>
      </c>
      <c r="AG268">
        <v>0</v>
      </c>
      <c r="AH268">
        <v>0</v>
      </c>
      <c r="AI268">
        <v>0</v>
      </c>
      <c r="AW268">
        <v>0</v>
      </c>
      <c r="AX268">
        <v>12</v>
      </c>
      <c r="AY268">
        <v>218</v>
      </c>
      <c r="AZ268">
        <v>218</v>
      </c>
      <c r="BA268">
        <v>300</v>
      </c>
      <c r="BB268">
        <v>44</v>
      </c>
      <c r="BD268">
        <v>1</v>
      </c>
      <c r="BF268" t="s">
        <v>372</v>
      </c>
      <c r="BG268" s="1">
        <v>44354.1875</v>
      </c>
      <c r="BH268" s="1">
        <v>44354.249571759261</v>
      </c>
      <c r="BI268" s="1">
        <v>44354.250127314815</v>
      </c>
      <c r="BJ268" t="s">
        <v>85</v>
      </c>
      <c r="BK268" t="s">
        <v>86</v>
      </c>
      <c r="BL268" t="s">
        <v>87</v>
      </c>
    </row>
    <row r="269" spans="1:64" x14ac:dyDescent="0.3">
      <c r="A269" t="str">
        <f>"200173B0000"</f>
        <v>200173B0000</v>
      </c>
      <c r="B269" t="str">
        <f>"200173B00003"</f>
        <v>200173B00003</v>
      </c>
      <c r="C269" t="str">
        <f t="shared" si="16"/>
        <v>20</v>
      </c>
      <c r="D269" t="s">
        <v>81</v>
      </c>
      <c r="E269" t="str">
        <f t="shared" si="15"/>
        <v>028</v>
      </c>
      <c r="F269" t="s">
        <v>343</v>
      </c>
      <c r="G269" t="str">
        <f>"0173"</f>
        <v>0173</v>
      </c>
      <c r="H269" t="str">
        <f>"0000"</f>
        <v>0000</v>
      </c>
      <c r="I269" t="s">
        <v>83</v>
      </c>
      <c r="J269">
        <v>0</v>
      </c>
      <c r="K269">
        <v>1</v>
      </c>
      <c r="L269">
        <v>3</v>
      </c>
      <c r="M269">
        <v>362</v>
      </c>
      <c r="N269">
        <v>366</v>
      </c>
      <c r="O269">
        <v>0</v>
      </c>
      <c r="P269" t="s">
        <v>92</v>
      </c>
      <c r="Q269">
        <v>120</v>
      </c>
      <c r="R269">
        <v>10</v>
      </c>
      <c r="S269">
        <v>2</v>
      </c>
      <c r="T269">
        <v>156</v>
      </c>
      <c r="U269">
        <v>2</v>
      </c>
      <c r="X269">
        <v>48</v>
      </c>
      <c r="Y269">
        <v>2</v>
      </c>
      <c r="Z269">
        <v>7</v>
      </c>
      <c r="AA269">
        <v>2</v>
      </c>
      <c r="AF269" t="s">
        <v>95</v>
      </c>
      <c r="AG269" t="s">
        <v>95</v>
      </c>
      <c r="AH269" t="s">
        <v>95</v>
      </c>
      <c r="AI269" t="s">
        <v>95</v>
      </c>
      <c r="AW269" t="s">
        <v>95</v>
      </c>
      <c r="AX269">
        <v>17</v>
      </c>
      <c r="AY269">
        <v>366</v>
      </c>
      <c r="AZ269">
        <v>366</v>
      </c>
      <c r="BA269">
        <v>684</v>
      </c>
      <c r="BB269">
        <v>44</v>
      </c>
      <c r="BC269" t="s">
        <v>96</v>
      </c>
      <c r="BD269">
        <v>1</v>
      </c>
      <c r="BF269" t="s">
        <v>373</v>
      </c>
      <c r="BG269" s="1">
        <v>44354.17083333333</v>
      </c>
      <c r="BH269" s="1">
        <v>44354.304803240739</v>
      </c>
      <c r="BI269" s="1">
        <v>44354.305590277778</v>
      </c>
      <c r="BJ269" t="s">
        <v>85</v>
      </c>
      <c r="BK269" t="s">
        <v>86</v>
      </c>
      <c r="BL269" t="s">
        <v>87</v>
      </c>
    </row>
    <row r="270" spans="1:64" x14ac:dyDescent="0.3">
      <c r="A270" t="str">
        <f>"200173C0100"</f>
        <v>200173C0100</v>
      </c>
      <c r="B270" t="str">
        <f>"200173C01003"</f>
        <v>200173C01003</v>
      </c>
      <c r="C270" t="str">
        <f t="shared" si="16"/>
        <v>20</v>
      </c>
      <c r="D270" t="s">
        <v>81</v>
      </c>
      <c r="E270" t="str">
        <f t="shared" si="15"/>
        <v>028</v>
      </c>
      <c r="F270" t="s">
        <v>343</v>
      </c>
      <c r="G270" t="str">
        <f>"0173"</f>
        <v>0173</v>
      </c>
      <c r="H270" t="str">
        <f>"0001"</f>
        <v>0001</v>
      </c>
      <c r="I270" t="s">
        <v>89</v>
      </c>
      <c r="J270">
        <v>0</v>
      </c>
      <c r="K270">
        <v>1</v>
      </c>
      <c r="L270">
        <v>3</v>
      </c>
      <c r="M270">
        <v>307</v>
      </c>
      <c r="N270">
        <v>420</v>
      </c>
      <c r="O270">
        <v>0</v>
      </c>
      <c r="P270">
        <v>420</v>
      </c>
      <c r="Q270">
        <v>148</v>
      </c>
      <c r="R270">
        <v>9</v>
      </c>
      <c r="S270">
        <v>2</v>
      </c>
      <c r="T270">
        <v>170</v>
      </c>
      <c r="U270">
        <v>3</v>
      </c>
      <c r="X270">
        <v>66</v>
      </c>
      <c r="Y270">
        <v>1</v>
      </c>
      <c r="Z270">
        <v>3</v>
      </c>
      <c r="AA270">
        <v>9</v>
      </c>
      <c r="AF270">
        <v>0</v>
      </c>
      <c r="AG270">
        <v>1</v>
      </c>
      <c r="AH270">
        <v>0</v>
      </c>
      <c r="AI270">
        <v>0</v>
      </c>
      <c r="AW270">
        <v>0</v>
      </c>
      <c r="AX270">
        <v>8</v>
      </c>
      <c r="AY270">
        <v>420</v>
      </c>
      <c r="AZ270">
        <v>420</v>
      </c>
      <c r="BA270">
        <v>683</v>
      </c>
      <c r="BB270">
        <v>44</v>
      </c>
      <c r="BD270">
        <v>1</v>
      </c>
      <c r="BF270" t="s">
        <v>374</v>
      </c>
      <c r="BG270" s="1">
        <v>44354.172222222223</v>
      </c>
      <c r="BH270" s="1">
        <v>44354.301944444444</v>
      </c>
      <c r="BI270" s="1">
        <v>44354.302418981482</v>
      </c>
      <c r="BJ270" t="s">
        <v>85</v>
      </c>
      <c r="BK270" t="s">
        <v>86</v>
      </c>
      <c r="BL270" t="s">
        <v>87</v>
      </c>
    </row>
    <row r="271" spans="1:64" x14ac:dyDescent="0.3">
      <c r="A271" t="str">
        <f>"200174B0000"</f>
        <v>200174B0000</v>
      </c>
      <c r="B271" t="str">
        <f>"200174B00003"</f>
        <v>200174B00003</v>
      </c>
      <c r="C271" t="str">
        <f t="shared" si="16"/>
        <v>20</v>
      </c>
      <c r="D271" t="s">
        <v>81</v>
      </c>
      <c r="E271" t="str">
        <f t="shared" si="15"/>
        <v>028</v>
      </c>
      <c r="F271" t="s">
        <v>343</v>
      </c>
      <c r="G271" t="str">
        <f>"0174"</f>
        <v>0174</v>
      </c>
      <c r="H271" t="str">
        <f>"0000"</f>
        <v>0000</v>
      </c>
      <c r="I271" t="s">
        <v>83</v>
      </c>
      <c r="J271">
        <v>0</v>
      </c>
      <c r="K271">
        <v>1</v>
      </c>
      <c r="L271">
        <v>3</v>
      </c>
      <c r="M271">
        <v>159</v>
      </c>
      <c r="N271">
        <v>263</v>
      </c>
      <c r="O271">
        <v>0</v>
      </c>
      <c r="P271">
        <v>263</v>
      </c>
      <c r="Q271">
        <v>135</v>
      </c>
      <c r="R271">
        <v>21</v>
      </c>
      <c r="S271">
        <v>2</v>
      </c>
      <c r="T271">
        <v>81</v>
      </c>
      <c r="U271">
        <v>1</v>
      </c>
      <c r="X271">
        <v>10</v>
      </c>
      <c r="Y271">
        <v>1</v>
      </c>
      <c r="Z271">
        <v>4</v>
      </c>
      <c r="AA271">
        <v>1</v>
      </c>
      <c r="AF271">
        <v>0</v>
      </c>
      <c r="AG271">
        <v>1</v>
      </c>
      <c r="AH271">
        <v>0</v>
      </c>
      <c r="AI271">
        <v>0</v>
      </c>
      <c r="AW271">
        <v>0</v>
      </c>
      <c r="AX271">
        <v>6</v>
      </c>
      <c r="AY271">
        <v>263</v>
      </c>
      <c r="AZ271">
        <v>263</v>
      </c>
      <c r="BA271">
        <v>378</v>
      </c>
      <c r="BB271">
        <v>44</v>
      </c>
      <c r="BD271">
        <v>1</v>
      </c>
      <c r="BF271" t="s">
        <v>375</v>
      </c>
      <c r="BG271" s="1">
        <v>44354.07885416667</v>
      </c>
      <c r="BH271" s="1">
        <v>44354.128668981481</v>
      </c>
      <c r="BI271" s="1">
        <v>44354.129907407405</v>
      </c>
      <c r="BJ271" t="s">
        <v>197</v>
      </c>
      <c r="BK271" t="s">
        <v>198</v>
      </c>
      <c r="BL271" t="s">
        <v>87</v>
      </c>
    </row>
    <row r="272" spans="1:64" x14ac:dyDescent="0.3">
      <c r="A272" t="str">
        <f>"200175B0000"</f>
        <v>200175B0000</v>
      </c>
      <c r="B272" t="str">
        <f>"200175B00003"</f>
        <v>200175B00003</v>
      </c>
      <c r="C272" t="str">
        <f t="shared" si="16"/>
        <v>20</v>
      </c>
      <c r="D272" t="s">
        <v>81</v>
      </c>
      <c r="E272" t="str">
        <f t="shared" si="15"/>
        <v>028</v>
      </c>
      <c r="F272" t="s">
        <v>343</v>
      </c>
      <c r="G272" t="str">
        <f>"0175"</f>
        <v>0175</v>
      </c>
      <c r="H272" t="str">
        <f>"0000"</f>
        <v>0000</v>
      </c>
      <c r="I272" t="s">
        <v>83</v>
      </c>
      <c r="J272">
        <v>0</v>
      </c>
      <c r="K272">
        <v>1</v>
      </c>
      <c r="L272">
        <v>3</v>
      </c>
      <c r="M272">
        <v>310</v>
      </c>
      <c r="N272">
        <v>443</v>
      </c>
      <c r="O272">
        <v>0</v>
      </c>
      <c r="P272">
        <v>443</v>
      </c>
      <c r="Q272">
        <v>306</v>
      </c>
      <c r="R272">
        <v>46</v>
      </c>
      <c r="S272">
        <v>1</v>
      </c>
      <c r="T272">
        <v>29</v>
      </c>
      <c r="U272">
        <v>3</v>
      </c>
      <c r="X272">
        <v>18</v>
      </c>
      <c r="Y272">
        <v>5</v>
      </c>
      <c r="Z272">
        <v>6</v>
      </c>
      <c r="AA272">
        <v>5</v>
      </c>
      <c r="AF272">
        <v>4</v>
      </c>
      <c r="AG272">
        <v>0</v>
      </c>
      <c r="AH272">
        <v>0</v>
      </c>
      <c r="AI272">
        <v>0</v>
      </c>
      <c r="AW272">
        <v>0</v>
      </c>
      <c r="AX272">
        <v>20</v>
      </c>
      <c r="AY272">
        <v>443</v>
      </c>
      <c r="AZ272">
        <v>443</v>
      </c>
      <c r="BA272">
        <v>709</v>
      </c>
      <c r="BB272">
        <v>44</v>
      </c>
      <c r="BD272">
        <v>1</v>
      </c>
      <c r="BF272" t="s">
        <v>376</v>
      </c>
      <c r="BG272" s="1">
        <v>44354.184027777781</v>
      </c>
      <c r="BH272" s="1">
        <v>44354.273553240739</v>
      </c>
      <c r="BI272" s="1">
        <v>44354.273912037039</v>
      </c>
      <c r="BJ272" t="s">
        <v>85</v>
      </c>
      <c r="BK272" t="s">
        <v>86</v>
      </c>
      <c r="BL272" t="s">
        <v>87</v>
      </c>
    </row>
    <row r="273" spans="1:64" x14ac:dyDescent="0.3">
      <c r="A273" t="str">
        <f>"200180B0000"</f>
        <v>200180B0000</v>
      </c>
      <c r="B273" t="str">
        <f>"200180B00003"</f>
        <v>200180B00003</v>
      </c>
      <c r="C273" t="str">
        <f t="shared" si="16"/>
        <v>20</v>
      </c>
      <c r="D273" t="s">
        <v>81</v>
      </c>
      <c r="E273" t="str">
        <f t="shared" ref="E273:E286" si="17">"030"</f>
        <v>030</v>
      </c>
      <c r="F273" t="s">
        <v>377</v>
      </c>
      <c r="G273" t="str">
        <f>"0180"</f>
        <v>0180</v>
      </c>
      <c r="H273" t="str">
        <f>"0000"</f>
        <v>0000</v>
      </c>
      <c r="I273" t="s">
        <v>83</v>
      </c>
      <c r="J273">
        <v>0</v>
      </c>
      <c r="K273">
        <v>1</v>
      </c>
      <c r="L273">
        <v>3</v>
      </c>
      <c r="M273">
        <v>130</v>
      </c>
      <c r="N273">
        <v>379</v>
      </c>
      <c r="O273">
        <v>8</v>
      </c>
      <c r="P273">
        <v>379</v>
      </c>
      <c r="Q273">
        <v>1</v>
      </c>
      <c r="R273">
        <v>62</v>
      </c>
      <c r="S273">
        <v>20</v>
      </c>
      <c r="T273">
        <v>10</v>
      </c>
      <c r="U273">
        <v>1</v>
      </c>
      <c r="V273">
        <v>2</v>
      </c>
      <c r="W273">
        <v>0</v>
      </c>
      <c r="X273">
        <v>119</v>
      </c>
      <c r="Y273">
        <v>0</v>
      </c>
      <c r="Z273">
        <v>92</v>
      </c>
      <c r="AA273">
        <v>0</v>
      </c>
      <c r="AB273">
        <v>53</v>
      </c>
      <c r="AF273">
        <v>5</v>
      </c>
      <c r="AG273">
        <v>0</v>
      </c>
      <c r="AH273">
        <v>0</v>
      </c>
      <c r="AI273">
        <v>1</v>
      </c>
      <c r="AW273">
        <v>0</v>
      </c>
      <c r="AX273">
        <v>13</v>
      </c>
      <c r="AY273">
        <v>379</v>
      </c>
      <c r="AZ273">
        <v>379</v>
      </c>
      <c r="BA273">
        <v>465</v>
      </c>
      <c r="BB273">
        <v>44</v>
      </c>
      <c r="BD273">
        <v>1</v>
      </c>
      <c r="BF273" t="s">
        <v>378</v>
      </c>
      <c r="BG273" s="1">
        <v>44353.988194444442</v>
      </c>
      <c r="BH273" s="1">
        <v>44353.992847222224</v>
      </c>
      <c r="BI273" s="1">
        <v>44353.994004629632</v>
      </c>
      <c r="BJ273" t="s">
        <v>85</v>
      </c>
      <c r="BK273" t="s">
        <v>86</v>
      </c>
      <c r="BL273" t="s">
        <v>87</v>
      </c>
    </row>
    <row r="274" spans="1:64" x14ac:dyDescent="0.3">
      <c r="A274" t="str">
        <f>"200180C0100"</f>
        <v>200180C0100</v>
      </c>
      <c r="B274" t="str">
        <f>"200180C01003"</f>
        <v>200180C01003</v>
      </c>
      <c r="C274" t="str">
        <f t="shared" si="16"/>
        <v>20</v>
      </c>
      <c r="D274" t="s">
        <v>81</v>
      </c>
      <c r="E274" t="str">
        <f t="shared" si="17"/>
        <v>030</v>
      </c>
      <c r="F274" t="s">
        <v>377</v>
      </c>
      <c r="G274" t="str">
        <f>"0180"</f>
        <v>0180</v>
      </c>
      <c r="H274" t="str">
        <f>"0001"</f>
        <v>0001</v>
      </c>
      <c r="I274" t="s">
        <v>89</v>
      </c>
      <c r="J274">
        <v>0</v>
      </c>
      <c r="K274">
        <v>1</v>
      </c>
      <c r="L274">
        <v>3</v>
      </c>
      <c r="M274">
        <v>148</v>
      </c>
      <c r="N274">
        <v>359</v>
      </c>
      <c r="O274">
        <v>4</v>
      </c>
      <c r="P274">
        <v>360</v>
      </c>
      <c r="Q274">
        <v>11</v>
      </c>
      <c r="R274">
        <v>46</v>
      </c>
      <c r="S274">
        <v>12</v>
      </c>
      <c r="T274">
        <v>13</v>
      </c>
      <c r="U274">
        <v>0</v>
      </c>
      <c r="V274">
        <v>1</v>
      </c>
      <c r="W274">
        <v>1</v>
      </c>
      <c r="X274">
        <v>127</v>
      </c>
      <c r="Y274">
        <v>0</v>
      </c>
      <c r="Z274">
        <v>95</v>
      </c>
      <c r="AA274">
        <v>1</v>
      </c>
      <c r="AB274">
        <v>47</v>
      </c>
      <c r="AF274">
        <v>3</v>
      </c>
      <c r="AG274">
        <v>0</v>
      </c>
      <c r="AH274">
        <v>0</v>
      </c>
      <c r="AI274">
        <v>0</v>
      </c>
      <c r="AW274">
        <v>0</v>
      </c>
      <c r="AX274">
        <v>3</v>
      </c>
      <c r="AY274">
        <v>360</v>
      </c>
      <c r="AZ274">
        <v>360</v>
      </c>
      <c r="BA274">
        <v>464</v>
      </c>
      <c r="BB274">
        <v>44</v>
      </c>
      <c r="BD274">
        <v>1</v>
      </c>
      <c r="BF274" t="s">
        <v>379</v>
      </c>
      <c r="BG274" s="1">
        <v>44353.987500000003</v>
      </c>
      <c r="BH274" s="1">
        <v>44353.991527777776</v>
      </c>
      <c r="BI274" s="1">
        <v>44353.992303240739</v>
      </c>
      <c r="BJ274" t="s">
        <v>85</v>
      </c>
      <c r="BK274" t="s">
        <v>86</v>
      </c>
      <c r="BL274" t="s">
        <v>87</v>
      </c>
    </row>
    <row r="275" spans="1:64" x14ac:dyDescent="0.3">
      <c r="A275" t="str">
        <f>"200181B0000"</f>
        <v>200181B0000</v>
      </c>
      <c r="B275" t="str">
        <f>"200181B00003"</f>
        <v>200181B00003</v>
      </c>
      <c r="C275" t="str">
        <f t="shared" si="16"/>
        <v>20</v>
      </c>
      <c r="D275" t="s">
        <v>81</v>
      </c>
      <c r="E275" t="str">
        <f t="shared" si="17"/>
        <v>030</v>
      </c>
      <c r="F275" t="s">
        <v>377</v>
      </c>
      <c r="G275" t="str">
        <f>"0181"</f>
        <v>0181</v>
      </c>
      <c r="H275" t="str">
        <f>"0000"</f>
        <v>0000</v>
      </c>
      <c r="I275" t="s">
        <v>83</v>
      </c>
      <c r="J275">
        <v>0</v>
      </c>
      <c r="K275">
        <v>1</v>
      </c>
      <c r="L275">
        <v>3</v>
      </c>
      <c r="M275">
        <v>123</v>
      </c>
      <c r="N275">
        <v>363</v>
      </c>
      <c r="O275">
        <v>3</v>
      </c>
      <c r="P275">
        <v>363</v>
      </c>
      <c r="Q275">
        <v>4</v>
      </c>
      <c r="R275">
        <v>63</v>
      </c>
      <c r="S275">
        <v>16</v>
      </c>
      <c r="T275">
        <v>37</v>
      </c>
      <c r="U275">
        <v>1</v>
      </c>
      <c r="V275">
        <v>1</v>
      </c>
      <c r="W275">
        <v>1</v>
      </c>
      <c r="X275">
        <v>100</v>
      </c>
      <c r="Y275">
        <v>0</v>
      </c>
      <c r="Z275">
        <v>89</v>
      </c>
      <c r="AA275">
        <v>0</v>
      </c>
      <c r="AB275">
        <v>38</v>
      </c>
      <c r="AF275">
        <v>6</v>
      </c>
      <c r="AG275">
        <v>0</v>
      </c>
      <c r="AH275">
        <v>0</v>
      </c>
      <c r="AI275">
        <v>0</v>
      </c>
      <c r="AW275">
        <v>0</v>
      </c>
      <c r="AX275">
        <v>7</v>
      </c>
      <c r="AY275">
        <v>363</v>
      </c>
      <c r="AZ275">
        <v>363</v>
      </c>
      <c r="BA275">
        <v>442</v>
      </c>
      <c r="BB275">
        <v>44</v>
      </c>
      <c r="BD275">
        <v>1</v>
      </c>
      <c r="BF275" t="s">
        <v>380</v>
      </c>
      <c r="BG275" s="1">
        <v>44354.007638888892</v>
      </c>
      <c r="BH275" s="1">
        <v>44354.013182870367</v>
      </c>
      <c r="BI275" s="1">
        <v>44354.013668981483</v>
      </c>
      <c r="BJ275" t="s">
        <v>85</v>
      </c>
      <c r="BK275" t="s">
        <v>86</v>
      </c>
      <c r="BL275" t="s">
        <v>87</v>
      </c>
    </row>
    <row r="276" spans="1:64" x14ac:dyDescent="0.3">
      <c r="A276" t="str">
        <f>"200181C0100"</f>
        <v>200181C0100</v>
      </c>
      <c r="B276" t="str">
        <f>"200181C01003"</f>
        <v>200181C01003</v>
      </c>
      <c r="C276" t="str">
        <f t="shared" si="16"/>
        <v>20</v>
      </c>
      <c r="D276" t="s">
        <v>81</v>
      </c>
      <c r="E276" t="str">
        <f t="shared" si="17"/>
        <v>030</v>
      </c>
      <c r="F276" t="s">
        <v>377</v>
      </c>
      <c r="G276" t="str">
        <f>"0181"</f>
        <v>0181</v>
      </c>
      <c r="H276" t="str">
        <f>"0001"</f>
        <v>0001</v>
      </c>
      <c r="I276" t="s">
        <v>89</v>
      </c>
      <c r="J276">
        <v>0</v>
      </c>
      <c r="K276">
        <v>1</v>
      </c>
      <c r="L276">
        <v>3</v>
      </c>
      <c r="BA276">
        <v>442</v>
      </c>
      <c r="BB276">
        <v>44</v>
      </c>
      <c r="BC276" t="s">
        <v>381</v>
      </c>
      <c r="BD276">
        <v>0</v>
      </c>
      <c r="BF276" t="s">
        <v>382</v>
      </c>
      <c r="BG276" s="1">
        <v>44354.18472222222</v>
      </c>
      <c r="BH276" s="1">
        <v>44354.190057870372</v>
      </c>
      <c r="BI276" s="1">
        <v>44354.190057870372</v>
      </c>
      <c r="BJ276" t="s">
        <v>85</v>
      </c>
      <c r="BK276" t="s">
        <v>86</v>
      </c>
      <c r="BL276" t="s">
        <v>87</v>
      </c>
    </row>
    <row r="277" spans="1:64" x14ac:dyDescent="0.3">
      <c r="A277" t="str">
        <f>"200182B0000"</f>
        <v>200182B0000</v>
      </c>
      <c r="B277" t="str">
        <f>"200182B00003"</f>
        <v>200182B00003</v>
      </c>
      <c r="C277" t="str">
        <f t="shared" si="16"/>
        <v>20</v>
      </c>
      <c r="D277" t="s">
        <v>81</v>
      </c>
      <c r="E277" t="str">
        <f t="shared" si="17"/>
        <v>030</v>
      </c>
      <c r="F277" t="s">
        <v>377</v>
      </c>
      <c r="G277" t="str">
        <f>"0182"</f>
        <v>0182</v>
      </c>
      <c r="H277" t="str">
        <f>"0000"</f>
        <v>0000</v>
      </c>
      <c r="I277" t="s">
        <v>83</v>
      </c>
      <c r="J277">
        <v>0</v>
      </c>
      <c r="K277">
        <v>1</v>
      </c>
      <c r="L277">
        <v>3</v>
      </c>
      <c r="M277">
        <v>134</v>
      </c>
      <c r="N277">
        <v>425</v>
      </c>
      <c r="O277">
        <v>0</v>
      </c>
      <c r="P277">
        <v>425</v>
      </c>
      <c r="Q277">
        <v>6</v>
      </c>
      <c r="R277">
        <v>40</v>
      </c>
      <c r="S277">
        <v>27</v>
      </c>
      <c r="T277">
        <v>44</v>
      </c>
      <c r="U277">
        <v>5</v>
      </c>
      <c r="V277">
        <v>0</v>
      </c>
      <c r="W277">
        <v>3</v>
      </c>
      <c r="X277">
        <v>94</v>
      </c>
      <c r="Y277">
        <v>0</v>
      </c>
      <c r="Z277">
        <v>123</v>
      </c>
      <c r="AA277">
        <v>0</v>
      </c>
      <c r="AB277">
        <v>70</v>
      </c>
      <c r="AF277">
        <v>3</v>
      </c>
      <c r="AG277">
        <v>0</v>
      </c>
      <c r="AH277">
        <v>0</v>
      </c>
      <c r="AI277">
        <v>0</v>
      </c>
      <c r="AW277">
        <v>0</v>
      </c>
      <c r="AX277">
        <v>10</v>
      </c>
      <c r="AY277">
        <v>425</v>
      </c>
      <c r="AZ277">
        <v>425</v>
      </c>
      <c r="BA277">
        <v>515</v>
      </c>
      <c r="BB277">
        <v>44</v>
      </c>
      <c r="BD277">
        <v>1</v>
      </c>
      <c r="BF277" t="s">
        <v>383</v>
      </c>
      <c r="BG277" s="1">
        <v>44354.078472222223</v>
      </c>
      <c r="BH277" s="1">
        <v>44354.086331018516</v>
      </c>
      <c r="BI277" s="1">
        <v>44354.086793981478</v>
      </c>
      <c r="BJ277" t="s">
        <v>85</v>
      </c>
      <c r="BK277" t="s">
        <v>86</v>
      </c>
      <c r="BL277" t="s">
        <v>87</v>
      </c>
    </row>
    <row r="278" spans="1:64" x14ac:dyDescent="0.3">
      <c r="A278" t="str">
        <f>"200182C0100"</f>
        <v>200182C0100</v>
      </c>
      <c r="B278" t="str">
        <f>"200182C01003"</f>
        <v>200182C01003</v>
      </c>
      <c r="C278" t="str">
        <f t="shared" si="16"/>
        <v>20</v>
      </c>
      <c r="D278" t="s">
        <v>81</v>
      </c>
      <c r="E278" t="str">
        <f t="shared" si="17"/>
        <v>030</v>
      </c>
      <c r="F278" t="s">
        <v>377</v>
      </c>
      <c r="G278" t="str">
        <f>"0182"</f>
        <v>0182</v>
      </c>
      <c r="H278" t="str">
        <f>"0001"</f>
        <v>0001</v>
      </c>
      <c r="I278" t="s">
        <v>89</v>
      </c>
      <c r="J278">
        <v>0</v>
      </c>
      <c r="K278">
        <v>1</v>
      </c>
      <c r="L278">
        <v>3</v>
      </c>
      <c r="M278">
        <v>135</v>
      </c>
      <c r="N278">
        <v>424</v>
      </c>
      <c r="O278">
        <v>2</v>
      </c>
      <c r="P278">
        <v>424</v>
      </c>
      <c r="Q278">
        <v>5</v>
      </c>
      <c r="R278">
        <v>47</v>
      </c>
      <c r="S278">
        <v>21</v>
      </c>
      <c r="T278">
        <v>44</v>
      </c>
      <c r="U278">
        <v>6</v>
      </c>
      <c r="V278">
        <v>1</v>
      </c>
      <c r="W278">
        <v>4</v>
      </c>
      <c r="X278">
        <v>118</v>
      </c>
      <c r="Y278">
        <v>0</v>
      </c>
      <c r="Z278">
        <v>121</v>
      </c>
      <c r="AA278">
        <v>3</v>
      </c>
      <c r="AB278">
        <v>43</v>
      </c>
      <c r="AF278">
        <v>2</v>
      </c>
      <c r="AG278">
        <v>0</v>
      </c>
      <c r="AH278">
        <v>0</v>
      </c>
      <c r="AI278">
        <v>0</v>
      </c>
      <c r="AW278">
        <v>0</v>
      </c>
      <c r="AX278">
        <v>9</v>
      </c>
      <c r="AY278">
        <v>424</v>
      </c>
      <c r="AZ278">
        <v>424</v>
      </c>
      <c r="BA278">
        <v>515</v>
      </c>
      <c r="BB278">
        <v>44</v>
      </c>
      <c r="BD278">
        <v>1</v>
      </c>
      <c r="BF278" t="s">
        <v>384</v>
      </c>
      <c r="BG278" s="1">
        <v>44354.081944444442</v>
      </c>
      <c r="BH278" s="1">
        <v>44354.089444444442</v>
      </c>
      <c r="BI278" s="1">
        <v>44354.089675925927</v>
      </c>
      <c r="BJ278" t="s">
        <v>85</v>
      </c>
      <c r="BK278" t="s">
        <v>86</v>
      </c>
      <c r="BL278" t="s">
        <v>87</v>
      </c>
    </row>
    <row r="279" spans="1:64" x14ac:dyDescent="0.3">
      <c r="A279" t="str">
        <f>"200183B0000"</f>
        <v>200183B0000</v>
      </c>
      <c r="B279" t="str">
        <f>"200183B00003"</f>
        <v>200183B00003</v>
      </c>
      <c r="C279" t="str">
        <f t="shared" si="16"/>
        <v>20</v>
      </c>
      <c r="D279" t="s">
        <v>81</v>
      </c>
      <c r="E279" t="str">
        <f t="shared" si="17"/>
        <v>030</v>
      </c>
      <c r="F279" t="s">
        <v>377</v>
      </c>
      <c r="G279" t="str">
        <f>"0183"</f>
        <v>0183</v>
      </c>
      <c r="H279" t="str">
        <f>"0000"</f>
        <v>0000</v>
      </c>
      <c r="I279" t="s">
        <v>83</v>
      </c>
      <c r="J279">
        <v>0</v>
      </c>
      <c r="K279">
        <v>1</v>
      </c>
      <c r="L279">
        <v>3</v>
      </c>
      <c r="M279">
        <v>200</v>
      </c>
      <c r="N279">
        <v>506</v>
      </c>
      <c r="O279">
        <v>4</v>
      </c>
      <c r="P279">
        <v>506</v>
      </c>
      <c r="Q279">
        <v>11</v>
      </c>
      <c r="R279">
        <v>73</v>
      </c>
      <c r="S279">
        <v>32</v>
      </c>
      <c r="T279">
        <v>46</v>
      </c>
      <c r="U279">
        <v>9</v>
      </c>
      <c r="V279">
        <v>0</v>
      </c>
      <c r="W279">
        <v>2</v>
      </c>
      <c r="X279">
        <v>119</v>
      </c>
      <c r="Y279">
        <v>0</v>
      </c>
      <c r="Z279">
        <v>158</v>
      </c>
      <c r="AA279">
        <v>2</v>
      </c>
      <c r="AB279">
        <v>37</v>
      </c>
      <c r="AF279">
        <v>3</v>
      </c>
      <c r="AG279">
        <v>2</v>
      </c>
      <c r="AH279">
        <v>0</v>
      </c>
      <c r="AI279">
        <v>0</v>
      </c>
      <c r="AW279" t="s">
        <v>95</v>
      </c>
      <c r="AX279">
        <v>12</v>
      </c>
      <c r="AY279">
        <v>506</v>
      </c>
      <c r="AZ279">
        <v>506</v>
      </c>
      <c r="BA279">
        <v>662</v>
      </c>
      <c r="BB279">
        <v>44</v>
      </c>
      <c r="BC279" t="s">
        <v>96</v>
      </c>
      <c r="BD279">
        <v>1</v>
      </c>
      <c r="BF279" t="s">
        <v>385</v>
      </c>
      <c r="BG279" s="1">
        <v>44354.091666666667</v>
      </c>
      <c r="BH279" s="1">
        <v>44354.098680555559</v>
      </c>
      <c r="BI279" s="1">
        <v>44354.099166666667</v>
      </c>
      <c r="BJ279" t="s">
        <v>85</v>
      </c>
      <c r="BK279" t="s">
        <v>86</v>
      </c>
      <c r="BL279" t="s">
        <v>87</v>
      </c>
    </row>
    <row r="280" spans="1:64" x14ac:dyDescent="0.3">
      <c r="A280" t="str">
        <f>"200183C0100"</f>
        <v>200183C0100</v>
      </c>
      <c r="B280" t="str">
        <f>"200183C01003"</f>
        <v>200183C01003</v>
      </c>
      <c r="C280" t="str">
        <f t="shared" si="16"/>
        <v>20</v>
      </c>
      <c r="D280" t="s">
        <v>81</v>
      </c>
      <c r="E280" t="str">
        <f t="shared" si="17"/>
        <v>030</v>
      </c>
      <c r="F280" t="s">
        <v>377</v>
      </c>
      <c r="G280" t="str">
        <f>"0183"</f>
        <v>0183</v>
      </c>
      <c r="H280" t="str">
        <f>"0001"</f>
        <v>0001</v>
      </c>
      <c r="I280" t="s">
        <v>89</v>
      </c>
      <c r="J280">
        <v>0</v>
      </c>
      <c r="K280">
        <v>1</v>
      </c>
      <c r="L280">
        <v>3</v>
      </c>
      <c r="M280">
        <v>179</v>
      </c>
      <c r="N280">
        <v>526</v>
      </c>
      <c r="O280">
        <v>6</v>
      </c>
      <c r="P280">
        <v>526</v>
      </c>
      <c r="Q280">
        <v>10</v>
      </c>
      <c r="R280">
        <v>64</v>
      </c>
      <c r="S280">
        <v>29</v>
      </c>
      <c r="T280">
        <v>40</v>
      </c>
      <c r="U280">
        <v>7</v>
      </c>
      <c r="V280">
        <v>2</v>
      </c>
      <c r="W280">
        <v>1</v>
      </c>
      <c r="X280">
        <v>140</v>
      </c>
      <c r="Y280">
        <v>0</v>
      </c>
      <c r="Z280">
        <v>178</v>
      </c>
      <c r="AA280">
        <v>0</v>
      </c>
      <c r="AB280">
        <v>38</v>
      </c>
      <c r="AF280">
        <v>1</v>
      </c>
      <c r="AG280">
        <v>1</v>
      </c>
      <c r="AH280" t="s">
        <v>95</v>
      </c>
      <c r="AI280">
        <v>2</v>
      </c>
      <c r="AW280" t="s">
        <v>95</v>
      </c>
      <c r="AX280" t="s">
        <v>95</v>
      </c>
      <c r="AY280" t="s">
        <v>95</v>
      </c>
      <c r="AZ280">
        <v>513</v>
      </c>
      <c r="BA280">
        <v>661</v>
      </c>
      <c r="BB280">
        <v>44</v>
      </c>
      <c r="BC280" t="s">
        <v>96</v>
      </c>
      <c r="BD280">
        <v>1</v>
      </c>
      <c r="BF280" t="s">
        <v>386</v>
      </c>
      <c r="BG280" s="1">
        <v>44354.085416666669</v>
      </c>
      <c r="BH280" s="1">
        <v>44354.092800925922</v>
      </c>
      <c r="BI280" s="1">
        <v>44354.095706018517</v>
      </c>
      <c r="BJ280" t="s">
        <v>85</v>
      </c>
      <c r="BK280" t="s">
        <v>86</v>
      </c>
      <c r="BL280" t="s">
        <v>87</v>
      </c>
    </row>
    <row r="281" spans="1:64" x14ac:dyDescent="0.3">
      <c r="A281" t="str">
        <f>"200184B0000"</f>
        <v>200184B0000</v>
      </c>
      <c r="B281" t="str">
        <f>"200184B00003"</f>
        <v>200184B00003</v>
      </c>
      <c r="C281" t="str">
        <f t="shared" si="16"/>
        <v>20</v>
      </c>
      <c r="D281" t="s">
        <v>81</v>
      </c>
      <c r="E281" t="str">
        <f t="shared" si="17"/>
        <v>030</v>
      </c>
      <c r="F281" t="s">
        <v>377</v>
      </c>
      <c r="G281" t="str">
        <f>"0184"</f>
        <v>0184</v>
      </c>
      <c r="H281" t="str">
        <f>"0000"</f>
        <v>0000</v>
      </c>
      <c r="I281" t="s">
        <v>83</v>
      </c>
      <c r="J281">
        <v>0</v>
      </c>
      <c r="K281">
        <v>1</v>
      </c>
      <c r="L281">
        <v>3</v>
      </c>
      <c r="M281">
        <v>135</v>
      </c>
      <c r="N281">
        <v>431</v>
      </c>
      <c r="O281">
        <v>8</v>
      </c>
      <c r="P281">
        <v>431</v>
      </c>
      <c r="Q281">
        <v>22</v>
      </c>
      <c r="R281">
        <v>50</v>
      </c>
      <c r="S281">
        <v>15</v>
      </c>
      <c r="T281">
        <v>21</v>
      </c>
      <c r="U281">
        <v>17</v>
      </c>
      <c r="V281">
        <v>4</v>
      </c>
      <c r="W281">
        <v>7</v>
      </c>
      <c r="X281">
        <v>131</v>
      </c>
      <c r="Y281">
        <v>0</v>
      </c>
      <c r="Z281">
        <v>105</v>
      </c>
      <c r="AA281">
        <v>1</v>
      </c>
      <c r="AB281">
        <v>47</v>
      </c>
      <c r="AF281">
        <v>3</v>
      </c>
      <c r="AG281">
        <v>0</v>
      </c>
      <c r="AH281">
        <v>0</v>
      </c>
      <c r="AI281">
        <v>0</v>
      </c>
      <c r="AW281">
        <v>0</v>
      </c>
      <c r="AX281">
        <v>8</v>
      </c>
      <c r="AY281">
        <v>431</v>
      </c>
      <c r="AZ281">
        <v>431</v>
      </c>
      <c r="BA281">
        <v>522</v>
      </c>
      <c r="BB281">
        <v>44</v>
      </c>
      <c r="BD281">
        <v>1</v>
      </c>
      <c r="BF281" t="s">
        <v>387</v>
      </c>
      <c r="BG281" s="1">
        <v>44354.070833333331</v>
      </c>
      <c r="BH281" s="1">
        <v>44354.082083333335</v>
      </c>
      <c r="BI281" s="1">
        <v>44354.082743055558</v>
      </c>
      <c r="BJ281" t="s">
        <v>85</v>
      </c>
      <c r="BK281" t="s">
        <v>86</v>
      </c>
      <c r="BL281" t="s">
        <v>87</v>
      </c>
    </row>
    <row r="282" spans="1:64" x14ac:dyDescent="0.3">
      <c r="A282" t="str">
        <f>"200184C0100"</f>
        <v>200184C0100</v>
      </c>
      <c r="B282" t="str">
        <f>"200184C01003"</f>
        <v>200184C01003</v>
      </c>
      <c r="C282" t="str">
        <f t="shared" si="16"/>
        <v>20</v>
      </c>
      <c r="D282" t="s">
        <v>81</v>
      </c>
      <c r="E282" t="str">
        <f t="shared" si="17"/>
        <v>030</v>
      </c>
      <c r="F282" t="s">
        <v>377</v>
      </c>
      <c r="G282" t="str">
        <f>"0184"</f>
        <v>0184</v>
      </c>
      <c r="H282" t="str">
        <f>"0001"</f>
        <v>0001</v>
      </c>
      <c r="I282" t="s">
        <v>89</v>
      </c>
      <c r="J282">
        <v>0</v>
      </c>
      <c r="K282">
        <v>1</v>
      </c>
      <c r="L282">
        <v>3</v>
      </c>
      <c r="M282">
        <v>155</v>
      </c>
      <c r="N282">
        <v>411</v>
      </c>
      <c r="O282">
        <v>6</v>
      </c>
      <c r="P282">
        <v>411</v>
      </c>
      <c r="Q282">
        <v>8</v>
      </c>
      <c r="R282">
        <v>52</v>
      </c>
      <c r="S282">
        <v>10</v>
      </c>
      <c r="T282">
        <v>17</v>
      </c>
      <c r="U282">
        <v>9</v>
      </c>
      <c r="V282">
        <v>8</v>
      </c>
      <c r="W282">
        <v>6</v>
      </c>
      <c r="X282">
        <v>135</v>
      </c>
      <c r="Y282">
        <v>0</v>
      </c>
      <c r="Z282">
        <v>105</v>
      </c>
      <c r="AA282">
        <v>1</v>
      </c>
      <c r="AB282">
        <v>49</v>
      </c>
      <c r="AF282">
        <v>3</v>
      </c>
      <c r="AG282">
        <v>1</v>
      </c>
      <c r="AH282">
        <v>0</v>
      </c>
      <c r="AI282">
        <v>0</v>
      </c>
      <c r="AW282">
        <v>0</v>
      </c>
      <c r="AX282">
        <v>7</v>
      </c>
      <c r="AY282">
        <v>411</v>
      </c>
      <c r="AZ282">
        <v>411</v>
      </c>
      <c r="BA282">
        <v>522</v>
      </c>
      <c r="BB282">
        <v>44</v>
      </c>
      <c r="BD282">
        <v>1</v>
      </c>
      <c r="BF282" t="s">
        <v>388</v>
      </c>
      <c r="BG282" s="1">
        <v>44354.073611111111</v>
      </c>
      <c r="BH282" s="1">
        <v>44354.081805555557</v>
      </c>
      <c r="BI282" s="1">
        <v>44354.082407407404</v>
      </c>
      <c r="BJ282" t="s">
        <v>85</v>
      </c>
      <c r="BK282" t="s">
        <v>86</v>
      </c>
      <c r="BL282" t="s">
        <v>87</v>
      </c>
    </row>
    <row r="283" spans="1:64" x14ac:dyDescent="0.3">
      <c r="A283" t="str">
        <f>"200185B0000"</f>
        <v>200185B0000</v>
      </c>
      <c r="B283" t="str">
        <f>"200185B00003"</f>
        <v>200185B00003</v>
      </c>
      <c r="C283" t="str">
        <f t="shared" si="16"/>
        <v>20</v>
      </c>
      <c r="D283" t="s">
        <v>81</v>
      </c>
      <c r="E283" t="str">
        <f t="shared" si="17"/>
        <v>030</v>
      </c>
      <c r="F283" t="s">
        <v>377</v>
      </c>
      <c r="G283" t="str">
        <f>"0185"</f>
        <v>0185</v>
      </c>
      <c r="H283" t="str">
        <f>"0000"</f>
        <v>0000</v>
      </c>
      <c r="I283" t="s">
        <v>83</v>
      </c>
      <c r="J283">
        <v>0</v>
      </c>
      <c r="K283">
        <v>1</v>
      </c>
      <c r="L283">
        <v>3</v>
      </c>
      <c r="M283">
        <v>227</v>
      </c>
      <c r="N283">
        <v>332</v>
      </c>
      <c r="O283">
        <v>1</v>
      </c>
      <c r="P283">
        <v>332</v>
      </c>
      <c r="Q283">
        <v>3</v>
      </c>
      <c r="R283">
        <v>32</v>
      </c>
      <c r="S283">
        <v>13</v>
      </c>
      <c r="T283">
        <v>26</v>
      </c>
      <c r="U283">
        <v>9</v>
      </c>
      <c r="V283">
        <v>3</v>
      </c>
      <c r="W283">
        <v>3</v>
      </c>
      <c r="X283">
        <v>92</v>
      </c>
      <c r="Y283">
        <v>0</v>
      </c>
      <c r="Z283">
        <v>76</v>
      </c>
      <c r="AA283">
        <v>0</v>
      </c>
      <c r="AB283">
        <v>63</v>
      </c>
      <c r="AF283">
        <v>3</v>
      </c>
      <c r="AG283">
        <v>1</v>
      </c>
      <c r="AH283">
        <v>0</v>
      </c>
      <c r="AI283">
        <v>0</v>
      </c>
      <c r="AW283">
        <v>0</v>
      </c>
      <c r="AX283">
        <v>8</v>
      </c>
      <c r="AY283">
        <v>332</v>
      </c>
      <c r="AZ283">
        <v>332</v>
      </c>
      <c r="BA283">
        <v>421</v>
      </c>
      <c r="BB283">
        <v>44</v>
      </c>
      <c r="BD283">
        <v>1</v>
      </c>
      <c r="BF283" t="s">
        <v>389</v>
      </c>
      <c r="BG283" s="1">
        <v>44353.995138888888</v>
      </c>
      <c r="BH283" s="1">
        <v>44354.001203703701</v>
      </c>
      <c r="BI283" s="1">
        <v>44354.001562500001</v>
      </c>
      <c r="BJ283" t="s">
        <v>85</v>
      </c>
      <c r="BK283" t="s">
        <v>86</v>
      </c>
      <c r="BL283" t="s">
        <v>87</v>
      </c>
    </row>
    <row r="284" spans="1:64" x14ac:dyDescent="0.3">
      <c r="A284" t="str">
        <f>"200185C0100"</f>
        <v>200185C0100</v>
      </c>
      <c r="B284" t="str">
        <f>"200185C01003"</f>
        <v>200185C01003</v>
      </c>
      <c r="C284" t="str">
        <f t="shared" si="16"/>
        <v>20</v>
      </c>
      <c r="D284" t="s">
        <v>81</v>
      </c>
      <c r="E284" t="str">
        <f t="shared" si="17"/>
        <v>030</v>
      </c>
      <c r="F284" t="s">
        <v>377</v>
      </c>
      <c r="G284" t="str">
        <f>"0185"</f>
        <v>0185</v>
      </c>
      <c r="H284" t="str">
        <f>"0001"</f>
        <v>0001</v>
      </c>
      <c r="I284" t="s">
        <v>89</v>
      </c>
      <c r="J284">
        <v>0</v>
      </c>
      <c r="K284">
        <v>1</v>
      </c>
      <c r="L284">
        <v>3</v>
      </c>
      <c r="M284">
        <v>120</v>
      </c>
      <c r="N284">
        <v>343</v>
      </c>
      <c r="O284">
        <v>7</v>
      </c>
      <c r="P284">
        <v>345</v>
      </c>
      <c r="Q284">
        <v>4</v>
      </c>
      <c r="R284">
        <v>34</v>
      </c>
      <c r="S284">
        <v>8</v>
      </c>
      <c r="T284">
        <v>27</v>
      </c>
      <c r="U284">
        <v>6</v>
      </c>
      <c r="V284">
        <v>1</v>
      </c>
      <c r="W284">
        <v>4</v>
      </c>
      <c r="X284">
        <v>94</v>
      </c>
      <c r="Y284">
        <v>0</v>
      </c>
      <c r="Z284">
        <v>72</v>
      </c>
      <c r="AA284">
        <v>0</v>
      </c>
      <c r="AB284">
        <v>84</v>
      </c>
      <c r="AF284">
        <v>5</v>
      </c>
      <c r="AG284">
        <v>0</v>
      </c>
      <c r="AH284">
        <v>1</v>
      </c>
      <c r="AI284">
        <v>1</v>
      </c>
      <c r="AW284">
        <v>0</v>
      </c>
      <c r="AX284">
        <v>4</v>
      </c>
      <c r="AY284">
        <v>345</v>
      </c>
      <c r="AZ284">
        <v>345</v>
      </c>
      <c r="BA284">
        <v>421</v>
      </c>
      <c r="BB284">
        <v>44</v>
      </c>
      <c r="BD284">
        <v>1</v>
      </c>
      <c r="BF284" t="s">
        <v>390</v>
      </c>
      <c r="BG284" s="1">
        <v>44353.990972222222</v>
      </c>
      <c r="BH284" s="1">
        <v>44353.996574074074</v>
      </c>
      <c r="BI284" s="1">
        <v>44353.997754629629</v>
      </c>
      <c r="BJ284" t="s">
        <v>85</v>
      </c>
      <c r="BK284" t="s">
        <v>86</v>
      </c>
      <c r="BL284" t="s">
        <v>87</v>
      </c>
    </row>
    <row r="285" spans="1:64" x14ac:dyDescent="0.3">
      <c r="A285" t="str">
        <f>"200186B0000"</f>
        <v>200186B0000</v>
      </c>
      <c r="B285" t="str">
        <f>"200186B00003"</f>
        <v>200186B00003</v>
      </c>
      <c r="C285" t="str">
        <f t="shared" si="16"/>
        <v>20</v>
      </c>
      <c r="D285" t="s">
        <v>81</v>
      </c>
      <c r="E285" t="str">
        <f t="shared" si="17"/>
        <v>030</v>
      </c>
      <c r="F285" t="s">
        <v>377</v>
      </c>
      <c r="G285" t="str">
        <f>"0186"</f>
        <v>0186</v>
      </c>
      <c r="H285" t="str">
        <f>"0000"</f>
        <v>0000</v>
      </c>
      <c r="I285" t="s">
        <v>83</v>
      </c>
      <c r="J285">
        <v>0</v>
      </c>
      <c r="K285">
        <v>1</v>
      </c>
      <c r="L285">
        <v>3</v>
      </c>
      <c r="M285">
        <v>150</v>
      </c>
      <c r="N285">
        <v>385</v>
      </c>
      <c r="O285">
        <v>4</v>
      </c>
      <c r="P285" t="s">
        <v>92</v>
      </c>
      <c r="Q285">
        <v>8</v>
      </c>
      <c r="R285">
        <v>74</v>
      </c>
      <c r="S285">
        <v>30</v>
      </c>
      <c r="T285">
        <v>20</v>
      </c>
      <c r="U285">
        <v>9</v>
      </c>
      <c r="V285">
        <v>1</v>
      </c>
      <c r="W285">
        <v>1</v>
      </c>
      <c r="X285">
        <v>85</v>
      </c>
      <c r="Y285">
        <v>0</v>
      </c>
      <c r="Z285">
        <v>96</v>
      </c>
      <c r="AA285">
        <v>0</v>
      </c>
      <c r="AB285">
        <v>45</v>
      </c>
      <c r="AF285">
        <v>5</v>
      </c>
      <c r="AG285">
        <v>0</v>
      </c>
      <c r="AH285">
        <v>1</v>
      </c>
      <c r="AI285">
        <v>0</v>
      </c>
      <c r="AW285">
        <v>0</v>
      </c>
      <c r="AX285">
        <v>10</v>
      </c>
      <c r="AY285">
        <v>385</v>
      </c>
      <c r="AZ285">
        <v>385</v>
      </c>
      <c r="BA285">
        <v>491</v>
      </c>
      <c r="BB285">
        <v>44</v>
      </c>
      <c r="BD285">
        <v>1</v>
      </c>
      <c r="BF285" t="s">
        <v>391</v>
      </c>
      <c r="BG285" s="1">
        <v>44354.060416666667</v>
      </c>
      <c r="BH285" s="1">
        <v>44354.066689814812</v>
      </c>
      <c r="BI285" s="1">
        <v>44354.067662037036</v>
      </c>
      <c r="BJ285" t="s">
        <v>85</v>
      </c>
      <c r="BK285" t="s">
        <v>86</v>
      </c>
      <c r="BL285" t="s">
        <v>87</v>
      </c>
    </row>
    <row r="286" spans="1:64" x14ac:dyDescent="0.3">
      <c r="A286" t="str">
        <f>"200186C0100"</f>
        <v>200186C0100</v>
      </c>
      <c r="B286" t="str">
        <f>"200186C01003"</f>
        <v>200186C01003</v>
      </c>
      <c r="C286" t="str">
        <f t="shared" si="16"/>
        <v>20</v>
      </c>
      <c r="D286" t="s">
        <v>81</v>
      </c>
      <c r="E286" t="str">
        <f t="shared" si="17"/>
        <v>030</v>
      </c>
      <c r="F286" t="s">
        <v>377</v>
      </c>
      <c r="G286" t="str">
        <f>"0186"</f>
        <v>0186</v>
      </c>
      <c r="H286" t="str">
        <f>"0001"</f>
        <v>0001</v>
      </c>
      <c r="I286" t="s">
        <v>89</v>
      </c>
      <c r="J286">
        <v>0</v>
      </c>
      <c r="K286">
        <v>1</v>
      </c>
      <c r="L286">
        <v>3</v>
      </c>
      <c r="M286">
        <v>152</v>
      </c>
      <c r="N286">
        <v>383</v>
      </c>
      <c r="O286">
        <v>4</v>
      </c>
      <c r="P286">
        <v>383</v>
      </c>
      <c r="Q286">
        <v>1</v>
      </c>
      <c r="R286">
        <v>63</v>
      </c>
      <c r="S286">
        <v>28</v>
      </c>
      <c r="T286">
        <v>32</v>
      </c>
      <c r="U286">
        <v>13</v>
      </c>
      <c r="V286">
        <v>2</v>
      </c>
      <c r="W286">
        <v>7</v>
      </c>
      <c r="X286">
        <v>67</v>
      </c>
      <c r="Y286">
        <v>0</v>
      </c>
      <c r="Z286">
        <v>99</v>
      </c>
      <c r="AA286">
        <v>2</v>
      </c>
      <c r="AB286">
        <v>53</v>
      </c>
      <c r="AF286">
        <v>8</v>
      </c>
      <c r="AG286">
        <v>0</v>
      </c>
      <c r="AH286">
        <v>0</v>
      </c>
      <c r="AI286">
        <v>0</v>
      </c>
      <c r="AW286">
        <v>0</v>
      </c>
      <c r="AX286">
        <v>8</v>
      </c>
      <c r="AY286">
        <v>383</v>
      </c>
      <c r="AZ286">
        <v>383</v>
      </c>
      <c r="BA286">
        <v>491</v>
      </c>
      <c r="BB286">
        <v>44</v>
      </c>
      <c r="BD286">
        <v>1</v>
      </c>
      <c r="BF286" t="s">
        <v>392</v>
      </c>
      <c r="BG286" s="1">
        <v>44354.065972222219</v>
      </c>
      <c r="BH286" s="1">
        <v>44354.072152777779</v>
      </c>
      <c r="BI286" s="1">
        <v>44354.073240740741</v>
      </c>
      <c r="BJ286" t="s">
        <v>85</v>
      </c>
      <c r="BK286" t="s">
        <v>86</v>
      </c>
      <c r="BL286" t="s">
        <v>87</v>
      </c>
    </row>
    <row r="287" spans="1:64" x14ac:dyDescent="0.3">
      <c r="A287" t="str">
        <f>"200187B0000"</f>
        <v>200187B0000</v>
      </c>
      <c r="B287" t="str">
        <f>"200187B00003"</f>
        <v>200187B00003</v>
      </c>
      <c r="C287" t="str">
        <f t="shared" si="16"/>
        <v>20</v>
      </c>
      <c r="D287" t="s">
        <v>81</v>
      </c>
      <c r="E287" t="str">
        <f>"031"</f>
        <v>031</v>
      </c>
      <c r="F287" t="s">
        <v>393</v>
      </c>
      <c r="G287" t="str">
        <f>"0187"</f>
        <v>0187</v>
      </c>
      <c r="H287" t="str">
        <f t="shared" ref="H287:H292" si="18">"0000"</f>
        <v>0000</v>
      </c>
      <c r="I287" t="s">
        <v>83</v>
      </c>
      <c r="J287">
        <v>0</v>
      </c>
      <c r="K287">
        <v>1</v>
      </c>
      <c r="L287">
        <v>3</v>
      </c>
      <c r="M287">
        <v>142</v>
      </c>
      <c r="N287">
        <v>312</v>
      </c>
      <c r="O287">
        <v>2</v>
      </c>
      <c r="P287">
        <v>312</v>
      </c>
      <c r="Q287">
        <v>0</v>
      </c>
      <c r="R287">
        <v>1</v>
      </c>
      <c r="S287">
        <v>4</v>
      </c>
      <c r="T287">
        <v>0</v>
      </c>
      <c r="U287">
        <v>1</v>
      </c>
      <c r="V287">
        <v>1</v>
      </c>
      <c r="Y287">
        <v>177</v>
      </c>
      <c r="Z287">
        <v>1</v>
      </c>
      <c r="AB287">
        <v>123</v>
      </c>
      <c r="AO287">
        <v>0</v>
      </c>
      <c r="AW287">
        <v>0</v>
      </c>
      <c r="AX287">
        <v>4</v>
      </c>
      <c r="AY287">
        <v>312</v>
      </c>
      <c r="AZ287">
        <v>312</v>
      </c>
      <c r="BA287">
        <v>410</v>
      </c>
      <c r="BB287">
        <v>44</v>
      </c>
      <c r="BD287">
        <v>1</v>
      </c>
      <c r="BF287" t="s">
        <v>394</v>
      </c>
      <c r="BG287" s="1">
        <v>44354.484722222223</v>
      </c>
      <c r="BH287" s="1">
        <v>44354.491076388891</v>
      </c>
      <c r="BI287" s="1">
        <v>44354.492071759261</v>
      </c>
      <c r="BJ287" t="s">
        <v>85</v>
      </c>
      <c r="BK287" t="s">
        <v>86</v>
      </c>
      <c r="BL287" t="s">
        <v>87</v>
      </c>
    </row>
    <row r="288" spans="1:64" x14ac:dyDescent="0.3">
      <c r="A288" t="str">
        <f>"200188B0000"</f>
        <v>200188B0000</v>
      </c>
      <c r="B288" t="str">
        <f>"200188B00003"</f>
        <v>200188B00003</v>
      </c>
      <c r="C288" t="str">
        <f t="shared" si="16"/>
        <v>20</v>
      </c>
      <c r="D288" t="s">
        <v>81</v>
      </c>
      <c r="E288" t="str">
        <f>"031"</f>
        <v>031</v>
      </c>
      <c r="F288" t="s">
        <v>393</v>
      </c>
      <c r="G288" t="str">
        <f>"0188"</f>
        <v>0188</v>
      </c>
      <c r="H288" t="str">
        <f t="shared" si="18"/>
        <v>0000</v>
      </c>
      <c r="I288" t="s">
        <v>83</v>
      </c>
      <c r="J288">
        <v>0</v>
      </c>
      <c r="K288">
        <v>1</v>
      </c>
      <c r="L288">
        <v>3</v>
      </c>
      <c r="M288">
        <v>169</v>
      </c>
      <c r="N288">
        <v>287</v>
      </c>
      <c r="O288">
        <v>4</v>
      </c>
      <c r="P288">
        <v>287</v>
      </c>
      <c r="Q288">
        <v>2</v>
      </c>
      <c r="R288">
        <v>6</v>
      </c>
      <c r="S288">
        <v>168</v>
      </c>
      <c r="T288">
        <v>0</v>
      </c>
      <c r="U288">
        <v>0</v>
      </c>
      <c r="V288">
        <v>3</v>
      </c>
      <c r="Y288">
        <v>28</v>
      </c>
      <c r="Z288">
        <v>3</v>
      </c>
      <c r="AB288">
        <v>66</v>
      </c>
      <c r="AO288">
        <v>0</v>
      </c>
      <c r="AW288">
        <v>0</v>
      </c>
      <c r="AX288">
        <v>11</v>
      </c>
      <c r="AY288">
        <v>287</v>
      </c>
      <c r="AZ288">
        <v>287</v>
      </c>
      <c r="BA288">
        <v>413</v>
      </c>
      <c r="BB288">
        <v>44</v>
      </c>
      <c r="BD288">
        <v>1</v>
      </c>
      <c r="BF288" t="s">
        <v>395</v>
      </c>
      <c r="BG288" s="1">
        <v>44354.511805555558</v>
      </c>
      <c r="BH288" s="1">
        <v>44354.521597222221</v>
      </c>
      <c r="BI288" s="1">
        <v>44354.522048611114</v>
      </c>
      <c r="BJ288" t="s">
        <v>85</v>
      </c>
      <c r="BK288" t="s">
        <v>86</v>
      </c>
      <c r="BL288" t="s">
        <v>87</v>
      </c>
    </row>
    <row r="289" spans="1:64" x14ac:dyDescent="0.3">
      <c r="A289" t="str">
        <f>"200189B0000"</f>
        <v>200189B0000</v>
      </c>
      <c r="B289" t="str">
        <f>"200189B00003"</f>
        <v>200189B00003</v>
      </c>
      <c r="C289" t="str">
        <f t="shared" si="16"/>
        <v>20</v>
      </c>
      <c r="D289" t="s">
        <v>81</v>
      </c>
      <c r="E289" t="str">
        <f>"032"</f>
        <v>032</v>
      </c>
      <c r="F289" t="s">
        <v>396</v>
      </c>
      <c r="G289" t="str">
        <f>"0189"</f>
        <v>0189</v>
      </c>
      <c r="H289" t="str">
        <f t="shared" si="18"/>
        <v>0000</v>
      </c>
      <c r="I289" t="s">
        <v>83</v>
      </c>
      <c r="J289">
        <v>0</v>
      </c>
      <c r="K289">
        <v>1</v>
      </c>
      <c r="L289">
        <v>3</v>
      </c>
      <c r="M289">
        <v>195</v>
      </c>
      <c r="N289">
        <v>275</v>
      </c>
      <c r="O289">
        <v>4</v>
      </c>
      <c r="P289">
        <v>275</v>
      </c>
      <c r="Q289">
        <v>6</v>
      </c>
      <c r="R289">
        <v>103</v>
      </c>
      <c r="S289">
        <v>0</v>
      </c>
      <c r="T289">
        <v>1</v>
      </c>
      <c r="U289">
        <v>3</v>
      </c>
      <c r="X289">
        <v>76</v>
      </c>
      <c r="Y289">
        <v>80</v>
      </c>
      <c r="Z289">
        <v>2</v>
      </c>
      <c r="AF289">
        <v>0</v>
      </c>
      <c r="AG289">
        <v>0</v>
      </c>
      <c r="AH289">
        <v>0</v>
      </c>
      <c r="AI289">
        <v>0</v>
      </c>
      <c r="AW289">
        <v>0</v>
      </c>
      <c r="AX289">
        <v>4</v>
      </c>
      <c r="AY289">
        <v>275</v>
      </c>
      <c r="AZ289">
        <v>275</v>
      </c>
      <c r="BA289">
        <v>426</v>
      </c>
      <c r="BB289">
        <v>44</v>
      </c>
      <c r="BD289">
        <v>1</v>
      </c>
      <c r="BF289" t="s">
        <v>397</v>
      </c>
      <c r="BG289" s="1">
        <v>44354.506249999999</v>
      </c>
      <c r="BH289" s="1">
        <v>44354.509050925924</v>
      </c>
      <c r="BI289" s="1">
        <v>44354.509699074071</v>
      </c>
      <c r="BJ289" t="s">
        <v>85</v>
      </c>
      <c r="BK289" t="s">
        <v>86</v>
      </c>
      <c r="BL289" t="s">
        <v>87</v>
      </c>
    </row>
    <row r="290" spans="1:64" x14ac:dyDescent="0.3">
      <c r="A290" t="str">
        <f>"200190B0000"</f>
        <v>200190B0000</v>
      </c>
      <c r="B290" t="str">
        <f>"200190B00003"</f>
        <v>200190B00003</v>
      </c>
      <c r="C290" t="str">
        <f t="shared" si="16"/>
        <v>20</v>
      </c>
      <c r="D290" t="s">
        <v>81</v>
      </c>
      <c r="E290" t="str">
        <f>"032"</f>
        <v>032</v>
      </c>
      <c r="F290" t="s">
        <v>396</v>
      </c>
      <c r="G290" t="str">
        <f>"0190"</f>
        <v>0190</v>
      </c>
      <c r="H290" t="str">
        <f t="shared" si="18"/>
        <v>0000</v>
      </c>
      <c r="I290" t="s">
        <v>83</v>
      </c>
      <c r="J290">
        <v>0</v>
      </c>
      <c r="K290">
        <v>1</v>
      </c>
      <c r="L290">
        <v>3</v>
      </c>
      <c r="M290">
        <v>165</v>
      </c>
      <c r="N290">
        <v>173</v>
      </c>
      <c r="O290">
        <v>1</v>
      </c>
      <c r="P290">
        <v>173</v>
      </c>
      <c r="Q290">
        <v>4</v>
      </c>
      <c r="R290">
        <v>47</v>
      </c>
      <c r="S290">
        <v>2</v>
      </c>
      <c r="T290">
        <v>0</v>
      </c>
      <c r="U290">
        <v>0</v>
      </c>
      <c r="X290">
        <v>42</v>
      </c>
      <c r="Y290">
        <v>67</v>
      </c>
      <c r="Z290">
        <v>5</v>
      </c>
      <c r="AF290">
        <v>1</v>
      </c>
      <c r="AG290">
        <v>1</v>
      </c>
      <c r="AH290">
        <v>0</v>
      </c>
      <c r="AI290">
        <v>0</v>
      </c>
      <c r="AW290">
        <v>0</v>
      </c>
      <c r="AX290">
        <v>4</v>
      </c>
      <c r="AY290">
        <v>173</v>
      </c>
      <c r="AZ290">
        <v>173</v>
      </c>
      <c r="BA290">
        <v>294</v>
      </c>
      <c r="BB290">
        <v>44</v>
      </c>
      <c r="BD290">
        <v>1</v>
      </c>
      <c r="BF290" t="s">
        <v>398</v>
      </c>
      <c r="BG290" s="1">
        <v>44354.503472222219</v>
      </c>
      <c r="BH290" s="1">
        <v>44354.536828703705</v>
      </c>
      <c r="BI290" s="1">
        <v>44354.542511574073</v>
      </c>
      <c r="BJ290" t="s">
        <v>85</v>
      </c>
      <c r="BK290" t="s">
        <v>86</v>
      </c>
      <c r="BL290" t="s">
        <v>87</v>
      </c>
    </row>
    <row r="291" spans="1:64" x14ac:dyDescent="0.3">
      <c r="A291" t="str">
        <f>"200191B0000"</f>
        <v>200191B0000</v>
      </c>
      <c r="B291" t="str">
        <f>"200191B00003"</f>
        <v>200191B00003</v>
      </c>
      <c r="C291" t="str">
        <f t="shared" si="16"/>
        <v>20</v>
      </c>
      <c r="D291" t="s">
        <v>81</v>
      </c>
      <c r="E291" t="str">
        <f>"032"</f>
        <v>032</v>
      </c>
      <c r="F291" t="s">
        <v>396</v>
      </c>
      <c r="G291" t="str">
        <f>"0191"</f>
        <v>0191</v>
      </c>
      <c r="H291" t="str">
        <f t="shared" si="18"/>
        <v>0000</v>
      </c>
      <c r="I291" t="s">
        <v>83</v>
      </c>
      <c r="J291">
        <v>0</v>
      </c>
      <c r="K291">
        <v>1</v>
      </c>
      <c r="L291">
        <v>3</v>
      </c>
      <c r="M291">
        <v>154</v>
      </c>
      <c r="N291">
        <v>280</v>
      </c>
      <c r="O291">
        <v>10</v>
      </c>
      <c r="P291">
        <v>279</v>
      </c>
      <c r="Q291">
        <v>7</v>
      </c>
      <c r="R291">
        <v>83</v>
      </c>
      <c r="S291">
        <v>2</v>
      </c>
      <c r="T291">
        <v>2</v>
      </c>
      <c r="U291">
        <v>2</v>
      </c>
      <c r="X291">
        <v>124</v>
      </c>
      <c r="Y291">
        <v>46</v>
      </c>
      <c r="Z291">
        <v>3</v>
      </c>
      <c r="AF291">
        <v>4</v>
      </c>
      <c r="AG291">
        <v>0</v>
      </c>
      <c r="AH291">
        <v>0</v>
      </c>
      <c r="AI291">
        <v>2</v>
      </c>
      <c r="AW291">
        <v>0</v>
      </c>
      <c r="AX291">
        <v>4</v>
      </c>
      <c r="AY291">
        <v>279</v>
      </c>
      <c r="AZ291">
        <v>279</v>
      </c>
      <c r="BA291">
        <v>389</v>
      </c>
      <c r="BB291">
        <v>44</v>
      </c>
      <c r="BD291">
        <v>1</v>
      </c>
      <c r="BF291" t="s">
        <v>399</v>
      </c>
      <c r="BG291" s="1">
        <v>44354.506249999999</v>
      </c>
      <c r="BH291" s="1">
        <v>44354.509606481479</v>
      </c>
      <c r="BI291" s="1">
        <v>44354.50990740741</v>
      </c>
      <c r="BJ291" t="s">
        <v>85</v>
      </c>
      <c r="BK291" t="s">
        <v>86</v>
      </c>
      <c r="BL291" t="s">
        <v>87</v>
      </c>
    </row>
    <row r="292" spans="1:64" x14ac:dyDescent="0.3">
      <c r="A292" t="str">
        <f>"200201B0000"</f>
        <v>200201B0000</v>
      </c>
      <c r="B292" t="str">
        <f>"200201B00003"</f>
        <v>200201B00003</v>
      </c>
      <c r="C292" t="str">
        <f t="shared" si="16"/>
        <v>20</v>
      </c>
      <c r="D292" t="s">
        <v>81</v>
      </c>
      <c r="E292" t="str">
        <f t="shared" ref="E292:E323" si="19">"037"</f>
        <v>037</v>
      </c>
      <c r="F292" t="s">
        <v>400</v>
      </c>
      <c r="G292" t="str">
        <f>"0201"</f>
        <v>0201</v>
      </c>
      <c r="H292" t="str">
        <f t="shared" si="18"/>
        <v>0000</v>
      </c>
      <c r="I292" t="s">
        <v>83</v>
      </c>
      <c r="J292">
        <v>0</v>
      </c>
      <c r="K292">
        <v>1</v>
      </c>
      <c r="L292">
        <v>3</v>
      </c>
      <c r="M292">
        <v>406</v>
      </c>
      <c r="N292">
        <v>358</v>
      </c>
      <c r="O292">
        <v>5</v>
      </c>
      <c r="P292">
        <v>358</v>
      </c>
      <c r="Q292">
        <v>52</v>
      </c>
      <c r="R292">
        <v>26</v>
      </c>
      <c r="S292">
        <v>6</v>
      </c>
      <c r="T292">
        <v>53</v>
      </c>
      <c r="U292">
        <v>27</v>
      </c>
      <c r="V292">
        <v>1</v>
      </c>
      <c r="W292">
        <v>6</v>
      </c>
      <c r="X292">
        <v>98</v>
      </c>
      <c r="Y292">
        <v>45</v>
      </c>
      <c r="Z292">
        <v>0</v>
      </c>
      <c r="AA292">
        <v>6</v>
      </c>
      <c r="AB292">
        <v>21</v>
      </c>
      <c r="AO292">
        <v>6</v>
      </c>
      <c r="AW292">
        <v>0</v>
      </c>
      <c r="AX292">
        <v>11</v>
      </c>
      <c r="AY292">
        <v>358</v>
      </c>
      <c r="AZ292">
        <v>358</v>
      </c>
      <c r="BA292">
        <v>720</v>
      </c>
      <c r="BB292">
        <v>44</v>
      </c>
      <c r="BD292">
        <v>1</v>
      </c>
      <c r="BF292" t="s">
        <v>401</v>
      </c>
      <c r="BG292" s="1">
        <v>44353.93476851852</v>
      </c>
      <c r="BH292" s="1">
        <v>44353.936111111114</v>
      </c>
      <c r="BI292" s="1">
        <v>44353.936643518522</v>
      </c>
      <c r="BJ292" t="s">
        <v>197</v>
      </c>
      <c r="BK292" t="s">
        <v>198</v>
      </c>
      <c r="BL292" t="s">
        <v>87</v>
      </c>
    </row>
    <row r="293" spans="1:64" x14ac:dyDescent="0.3">
      <c r="A293" t="str">
        <f>"200201C0100"</f>
        <v>200201C0100</v>
      </c>
      <c r="B293" t="str">
        <f>"200201C01003"</f>
        <v>200201C01003</v>
      </c>
      <c r="C293" t="str">
        <f t="shared" si="16"/>
        <v>20</v>
      </c>
      <c r="D293" t="s">
        <v>81</v>
      </c>
      <c r="E293" t="str">
        <f t="shared" si="19"/>
        <v>037</v>
      </c>
      <c r="F293" t="s">
        <v>400</v>
      </c>
      <c r="G293" t="str">
        <f>"0201"</f>
        <v>0201</v>
      </c>
      <c r="H293" t="str">
        <f>"0001"</f>
        <v>0001</v>
      </c>
      <c r="I293" t="s">
        <v>89</v>
      </c>
      <c r="J293">
        <v>0</v>
      </c>
      <c r="K293">
        <v>1</v>
      </c>
      <c r="L293">
        <v>3</v>
      </c>
      <c r="M293">
        <v>426</v>
      </c>
      <c r="N293">
        <v>338</v>
      </c>
      <c r="O293">
        <v>2</v>
      </c>
      <c r="P293">
        <v>338</v>
      </c>
      <c r="Q293">
        <v>57</v>
      </c>
      <c r="R293">
        <v>40</v>
      </c>
      <c r="S293">
        <v>1</v>
      </c>
      <c r="T293">
        <v>70</v>
      </c>
      <c r="U293">
        <v>22</v>
      </c>
      <c r="V293">
        <v>3</v>
      </c>
      <c r="W293">
        <v>6</v>
      </c>
      <c r="X293">
        <v>61</v>
      </c>
      <c r="Y293">
        <v>50</v>
      </c>
      <c r="Z293">
        <v>1</v>
      </c>
      <c r="AA293">
        <v>9</v>
      </c>
      <c r="AB293">
        <v>9</v>
      </c>
      <c r="AO293">
        <v>2</v>
      </c>
      <c r="AW293">
        <v>0</v>
      </c>
      <c r="AX293">
        <v>7</v>
      </c>
      <c r="AY293">
        <v>338</v>
      </c>
      <c r="AZ293">
        <v>338</v>
      </c>
      <c r="BA293">
        <v>720</v>
      </c>
      <c r="BB293">
        <v>44</v>
      </c>
      <c r="BD293">
        <v>1</v>
      </c>
      <c r="BF293" t="s">
        <v>402</v>
      </c>
      <c r="BG293" s="1">
        <v>44353.864212962966</v>
      </c>
      <c r="BH293" s="1">
        <v>44353.869432870371</v>
      </c>
      <c r="BI293" s="1">
        <v>44353.870729166665</v>
      </c>
      <c r="BJ293" t="s">
        <v>197</v>
      </c>
      <c r="BK293" t="s">
        <v>198</v>
      </c>
      <c r="BL293" t="s">
        <v>87</v>
      </c>
    </row>
    <row r="294" spans="1:64" x14ac:dyDescent="0.3">
      <c r="A294" t="str">
        <f>"200201C0200"</f>
        <v>200201C0200</v>
      </c>
      <c r="B294" t="str">
        <f>"200201C02003"</f>
        <v>200201C02003</v>
      </c>
      <c r="C294" t="str">
        <f t="shared" si="16"/>
        <v>20</v>
      </c>
      <c r="D294" t="s">
        <v>81</v>
      </c>
      <c r="E294" t="str">
        <f t="shared" si="19"/>
        <v>037</v>
      </c>
      <c r="F294" t="s">
        <v>400</v>
      </c>
      <c r="G294" t="str">
        <f>"0201"</f>
        <v>0201</v>
      </c>
      <c r="H294" t="str">
        <f>"0002"</f>
        <v>0002</v>
      </c>
      <c r="I294" t="s">
        <v>89</v>
      </c>
      <c r="J294">
        <v>0</v>
      </c>
      <c r="K294">
        <v>1</v>
      </c>
      <c r="L294">
        <v>3</v>
      </c>
      <c r="M294">
        <v>417</v>
      </c>
      <c r="N294">
        <v>347</v>
      </c>
      <c r="O294">
        <v>3</v>
      </c>
      <c r="P294">
        <v>347</v>
      </c>
      <c r="Q294">
        <v>71</v>
      </c>
      <c r="R294">
        <v>35</v>
      </c>
      <c r="S294">
        <v>4</v>
      </c>
      <c r="T294">
        <v>55</v>
      </c>
      <c r="U294">
        <v>27</v>
      </c>
      <c r="V294">
        <v>4</v>
      </c>
      <c r="W294">
        <v>3</v>
      </c>
      <c r="X294">
        <v>75</v>
      </c>
      <c r="Y294">
        <v>45</v>
      </c>
      <c r="Z294">
        <v>0</v>
      </c>
      <c r="AA294">
        <v>7</v>
      </c>
      <c r="AB294">
        <v>10</v>
      </c>
      <c r="AO294">
        <v>2</v>
      </c>
      <c r="AW294">
        <v>0</v>
      </c>
      <c r="AX294">
        <v>9</v>
      </c>
      <c r="AY294">
        <v>347</v>
      </c>
      <c r="AZ294">
        <v>347</v>
      </c>
      <c r="BA294">
        <v>720</v>
      </c>
      <c r="BB294">
        <v>44</v>
      </c>
      <c r="BD294">
        <v>1</v>
      </c>
      <c r="BF294" t="s">
        <v>403</v>
      </c>
      <c r="BG294" s="1">
        <v>44354.126388888886</v>
      </c>
      <c r="BH294" s="1">
        <v>44354.128344907411</v>
      </c>
      <c r="BI294" s="1">
        <v>44354.128842592596</v>
      </c>
      <c r="BJ294" t="s">
        <v>85</v>
      </c>
      <c r="BK294" t="s">
        <v>86</v>
      </c>
      <c r="BL294" t="s">
        <v>87</v>
      </c>
    </row>
    <row r="295" spans="1:64" x14ac:dyDescent="0.3">
      <c r="A295" t="str">
        <f>"200201C0300"</f>
        <v>200201C0300</v>
      </c>
      <c r="B295" t="str">
        <f>"200201C03003"</f>
        <v>200201C03003</v>
      </c>
      <c r="C295" t="str">
        <f t="shared" si="16"/>
        <v>20</v>
      </c>
      <c r="D295" t="s">
        <v>81</v>
      </c>
      <c r="E295" t="str">
        <f t="shared" si="19"/>
        <v>037</v>
      </c>
      <c r="F295" t="s">
        <v>400</v>
      </c>
      <c r="G295" t="str">
        <f>"0201"</f>
        <v>0201</v>
      </c>
      <c r="H295" t="str">
        <f>"0003"</f>
        <v>0003</v>
      </c>
      <c r="I295" t="s">
        <v>89</v>
      </c>
      <c r="J295">
        <v>0</v>
      </c>
      <c r="K295">
        <v>1</v>
      </c>
      <c r="L295">
        <v>3</v>
      </c>
      <c r="M295">
        <v>397</v>
      </c>
      <c r="N295">
        <v>367</v>
      </c>
      <c r="O295">
        <v>4</v>
      </c>
      <c r="P295">
        <v>367</v>
      </c>
      <c r="Q295">
        <v>69</v>
      </c>
      <c r="R295">
        <v>29</v>
      </c>
      <c r="S295">
        <v>1</v>
      </c>
      <c r="T295">
        <v>56</v>
      </c>
      <c r="U295">
        <v>39</v>
      </c>
      <c r="V295">
        <v>3</v>
      </c>
      <c r="W295">
        <v>2</v>
      </c>
      <c r="X295">
        <v>88</v>
      </c>
      <c r="Y295">
        <v>36</v>
      </c>
      <c r="Z295">
        <v>0</v>
      </c>
      <c r="AA295">
        <v>10</v>
      </c>
      <c r="AB295">
        <v>16</v>
      </c>
      <c r="AO295">
        <v>10</v>
      </c>
      <c r="AW295">
        <v>0</v>
      </c>
      <c r="AX295">
        <v>8</v>
      </c>
      <c r="AY295">
        <v>367</v>
      </c>
      <c r="AZ295">
        <v>367</v>
      </c>
      <c r="BA295">
        <v>720</v>
      </c>
      <c r="BB295">
        <v>44</v>
      </c>
      <c r="BD295">
        <v>1</v>
      </c>
      <c r="BF295" t="s">
        <v>404</v>
      </c>
      <c r="BG295" s="1">
        <v>44354.116666666669</v>
      </c>
      <c r="BH295" s="1">
        <v>44354.122870370367</v>
      </c>
      <c r="BI295" s="1">
        <v>44354.123414351852</v>
      </c>
      <c r="BJ295" t="s">
        <v>85</v>
      </c>
      <c r="BK295" t="s">
        <v>86</v>
      </c>
      <c r="BL295" t="s">
        <v>87</v>
      </c>
    </row>
    <row r="296" spans="1:64" x14ac:dyDescent="0.3">
      <c r="A296" t="str">
        <f>"200201C0400"</f>
        <v>200201C0400</v>
      </c>
      <c r="B296" t="str">
        <f>"200201C04003"</f>
        <v>200201C04003</v>
      </c>
      <c r="C296" t="str">
        <f t="shared" si="16"/>
        <v>20</v>
      </c>
      <c r="D296" t="s">
        <v>81</v>
      </c>
      <c r="E296" t="str">
        <f t="shared" si="19"/>
        <v>037</v>
      </c>
      <c r="F296" t="s">
        <v>400</v>
      </c>
      <c r="G296" t="str">
        <f>"0201"</f>
        <v>0201</v>
      </c>
      <c r="H296" t="str">
        <f>"0004"</f>
        <v>0004</v>
      </c>
      <c r="I296" t="s">
        <v>89</v>
      </c>
      <c r="J296">
        <v>0</v>
      </c>
      <c r="K296">
        <v>1</v>
      </c>
      <c r="L296">
        <v>3</v>
      </c>
      <c r="M296">
        <v>407</v>
      </c>
      <c r="N296">
        <v>356</v>
      </c>
      <c r="O296">
        <v>4</v>
      </c>
      <c r="P296">
        <v>356</v>
      </c>
      <c r="Q296">
        <v>66</v>
      </c>
      <c r="R296">
        <v>33</v>
      </c>
      <c r="S296">
        <v>4</v>
      </c>
      <c r="T296">
        <v>67</v>
      </c>
      <c r="U296">
        <v>31</v>
      </c>
      <c r="V296">
        <v>3</v>
      </c>
      <c r="W296">
        <v>3</v>
      </c>
      <c r="X296">
        <v>81</v>
      </c>
      <c r="Y296">
        <v>37</v>
      </c>
      <c r="Z296">
        <v>1</v>
      </c>
      <c r="AA296">
        <v>13</v>
      </c>
      <c r="AB296">
        <v>12</v>
      </c>
      <c r="AO296">
        <v>0</v>
      </c>
      <c r="AW296">
        <v>0</v>
      </c>
      <c r="AX296">
        <v>5</v>
      </c>
      <c r="AY296">
        <v>356</v>
      </c>
      <c r="AZ296">
        <v>356</v>
      </c>
      <c r="BA296">
        <v>719</v>
      </c>
      <c r="BB296">
        <v>44</v>
      </c>
      <c r="BD296">
        <v>1</v>
      </c>
      <c r="BF296" t="s">
        <v>405</v>
      </c>
      <c r="BG296" s="1">
        <v>44353.917175925926</v>
      </c>
      <c r="BH296" s="1">
        <v>44353.919444444444</v>
      </c>
      <c r="BI296" s="1">
        <v>44353.920081018521</v>
      </c>
      <c r="BJ296" t="s">
        <v>197</v>
      </c>
      <c r="BK296" t="s">
        <v>198</v>
      </c>
      <c r="BL296" t="s">
        <v>87</v>
      </c>
    </row>
    <row r="297" spans="1:64" x14ac:dyDescent="0.3">
      <c r="A297" t="str">
        <f>"200202B0000"</f>
        <v>200202B0000</v>
      </c>
      <c r="B297" t="str">
        <f>"200202B00003"</f>
        <v>200202B00003</v>
      </c>
      <c r="C297" t="str">
        <f t="shared" si="16"/>
        <v>20</v>
      </c>
      <c r="D297" t="s">
        <v>81</v>
      </c>
      <c r="E297" t="str">
        <f t="shared" si="19"/>
        <v>037</v>
      </c>
      <c r="F297" t="s">
        <v>400</v>
      </c>
      <c r="G297" t="str">
        <f>"0202"</f>
        <v>0202</v>
      </c>
      <c r="H297" t="str">
        <f>"0000"</f>
        <v>0000</v>
      </c>
      <c r="I297" t="s">
        <v>83</v>
      </c>
      <c r="J297">
        <v>0</v>
      </c>
      <c r="K297">
        <v>1</v>
      </c>
      <c r="L297">
        <v>3</v>
      </c>
      <c r="M297">
        <v>444</v>
      </c>
      <c r="N297">
        <v>289</v>
      </c>
      <c r="O297">
        <v>4</v>
      </c>
      <c r="P297">
        <v>289</v>
      </c>
      <c r="Q297">
        <v>58</v>
      </c>
      <c r="R297">
        <v>36</v>
      </c>
      <c r="S297">
        <v>3</v>
      </c>
      <c r="T297">
        <v>46</v>
      </c>
      <c r="U297">
        <v>29</v>
      </c>
      <c r="V297">
        <v>5</v>
      </c>
      <c r="W297">
        <v>0</v>
      </c>
      <c r="X297">
        <v>53</v>
      </c>
      <c r="Y297">
        <v>22</v>
      </c>
      <c r="Z297">
        <v>1</v>
      </c>
      <c r="AA297">
        <v>20</v>
      </c>
      <c r="AB297">
        <v>9</v>
      </c>
      <c r="AO297">
        <v>2</v>
      </c>
      <c r="AW297">
        <v>1</v>
      </c>
      <c r="AX297">
        <v>4</v>
      </c>
      <c r="AY297">
        <v>289</v>
      </c>
      <c r="AZ297">
        <v>289</v>
      </c>
      <c r="BA297">
        <v>689</v>
      </c>
      <c r="BB297">
        <v>44</v>
      </c>
      <c r="BD297">
        <v>1</v>
      </c>
      <c r="BF297" t="s">
        <v>406</v>
      </c>
      <c r="BG297" s="1">
        <v>44353.911932870367</v>
      </c>
      <c r="BH297" s="1">
        <v>44353.913368055553</v>
      </c>
      <c r="BI297" s="1">
        <v>44353.914201388892</v>
      </c>
      <c r="BJ297" t="s">
        <v>197</v>
      </c>
      <c r="BK297" t="s">
        <v>198</v>
      </c>
      <c r="BL297" t="s">
        <v>87</v>
      </c>
    </row>
    <row r="298" spans="1:64" x14ac:dyDescent="0.3">
      <c r="A298" t="str">
        <f>"200202C0100"</f>
        <v>200202C0100</v>
      </c>
      <c r="B298" t="str">
        <f>"200202C01003"</f>
        <v>200202C01003</v>
      </c>
      <c r="C298" t="str">
        <f t="shared" si="16"/>
        <v>20</v>
      </c>
      <c r="D298" t="s">
        <v>81</v>
      </c>
      <c r="E298" t="str">
        <f t="shared" si="19"/>
        <v>037</v>
      </c>
      <c r="F298" t="s">
        <v>400</v>
      </c>
      <c r="G298" t="str">
        <f>"0202"</f>
        <v>0202</v>
      </c>
      <c r="H298" t="str">
        <f>"0001"</f>
        <v>0001</v>
      </c>
      <c r="I298" t="s">
        <v>89</v>
      </c>
      <c r="J298">
        <v>0</v>
      </c>
      <c r="K298">
        <v>1</v>
      </c>
      <c r="L298">
        <v>3</v>
      </c>
      <c r="M298">
        <v>413</v>
      </c>
      <c r="N298">
        <v>320</v>
      </c>
      <c r="O298">
        <v>9</v>
      </c>
      <c r="P298">
        <v>320</v>
      </c>
      <c r="Q298">
        <v>51</v>
      </c>
      <c r="R298">
        <v>27</v>
      </c>
      <c r="S298">
        <v>3</v>
      </c>
      <c r="T298">
        <v>63</v>
      </c>
      <c r="U298">
        <v>24</v>
      </c>
      <c r="V298">
        <v>3</v>
      </c>
      <c r="W298">
        <v>0</v>
      </c>
      <c r="X298">
        <v>75</v>
      </c>
      <c r="Y298">
        <v>28</v>
      </c>
      <c r="Z298">
        <v>1</v>
      </c>
      <c r="AA298">
        <v>10</v>
      </c>
      <c r="AB298">
        <v>18</v>
      </c>
      <c r="AO298">
        <v>8</v>
      </c>
      <c r="AW298">
        <v>2</v>
      </c>
      <c r="AX298">
        <v>7</v>
      </c>
      <c r="AY298">
        <v>320</v>
      </c>
      <c r="AZ298">
        <v>320</v>
      </c>
      <c r="BA298">
        <v>689</v>
      </c>
      <c r="BB298">
        <v>44</v>
      </c>
      <c r="BD298">
        <v>1</v>
      </c>
      <c r="BF298" t="s">
        <v>407</v>
      </c>
      <c r="BG298" s="1">
        <v>44353.939965277779</v>
      </c>
      <c r="BH298" s="1">
        <v>44353.942962962959</v>
      </c>
      <c r="BI298" s="1">
        <v>44353.943472222221</v>
      </c>
      <c r="BJ298" t="s">
        <v>197</v>
      </c>
      <c r="BK298" t="s">
        <v>198</v>
      </c>
      <c r="BL298" t="s">
        <v>87</v>
      </c>
    </row>
    <row r="299" spans="1:64" x14ac:dyDescent="0.3">
      <c r="A299" t="str">
        <f>"200202C0200"</f>
        <v>200202C0200</v>
      </c>
      <c r="B299" t="str">
        <f>"200202C02003"</f>
        <v>200202C02003</v>
      </c>
      <c r="C299" t="str">
        <f t="shared" si="16"/>
        <v>20</v>
      </c>
      <c r="D299" t="s">
        <v>81</v>
      </c>
      <c r="E299" t="str">
        <f t="shared" si="19"/>
        <v>037</v>
      </c>
      <c r="F299" t="s">
        <v>400</v>
      </c>
      <c r="G299" t="str">
        <f>"0202"</f>
        <v>0202</v>
      </c>
      <c r="H299" t="str">
        <f>"0002"</f>
        <v>0002</v>
      </c>
      <c r="I299" t="s">
        <v>89</v>
      </c>
      <c r="J299">
        <v>0</v>
      </c>
      <c r="K299">
        <v>1</v>
      </c>
      <c r="L299">
        <v>3</v>
      </c>
      <c r="M299">
        <v>468</v>
      </c>
      <c r="N299">
        <v>265</v>
      </c>
      <c r="O299">
        <v>10</v>
      </c>
      <c r="P299">
        <v>265</v>
      </c>
      <c r="Q299">
        <v>49</v>
      </c>
      <c r="R299">
        <v>24</v>
      </c>
      <c r="S299">
        <v>1</v>
      </c>
      <c r="T299">
        <v>47</v>
      </c>
      <c r="U299">
        <v>19</v>
      </c>
      <c r="V299">
        <v>3</v>
      </c>
      <c r="W299">
        <v>3</v>
      </c>
      <c r="X299">
        <v>74</v>
      </c>
      <c r="Y299">
        <v>23</v>
      </c>
      <c r="Z299">
        <v>0</v>
      </c>
      <c r="AA299">
        <v>9</v>
      </c>
      <c r="AB299">
        <v>9</v>
      </c>
      <c r="AO299">
        <v>1</v>
      </c>
      <c r="AW299" t="s">
        <v>95</v>
      </c>
      <c r="AX299">
        <v>3</v>
      </c>
      <c r="AY299">
        <v>265</v>
      </c>
      <c r="AZ299">
        <v>265</v>
      </c>
      <c r="BA299">
        <v>689</v>
      </c>
      <c r="BB299">
        <v>44</v>
      </c>
      <c r="BC299" t="s">
        <v>96</v>
      </c>
      <c r="BD299">
        <v>1</v>
      </c>
      <c r="BF299" s="2" t="s">
        <v>408</v>
      </c>
      <c r="BG299" s="1">
        <v>44353.904004629629</v>
      </c>
      <c r="BH299" s="1">
        <v>44353.905636574076</v>
      </c>
      <c r="BI299" s="1">
        <v>44353.907175925924</v>
      </c>
      <c r="BJ299" t="s">
        <v>197</v>
      </c>
      <c r="BK299" t="s">
        <v>198</v>
      </c>
      <c r="BL299" t="s">
        <v>87</v>
      </c>
    </row>
    <row r="300" spans="1:64" x14ac:dyDescent="0.3">
      <c r="A300" t="str">
        <f>"200202C0300"</f>
        <v>200202C0300</v>
      </c>
      <c r="B300" t="str">
        <f>"200202C03003"</f>
        <v>200202C03003</v>
      </c>
      <c r="C300" t="str">
        <f t="shared" si="16"/>
        <v>20</v>
      </c>
      <c r="D300" t="s">
        <v>81</v>
      </c>
      <c r="E300" t="str">
        <f t="shared" si="19"/>
        <v>037</v>
      </c>
      <c r="F300" t="s">
        <v>400</v>
      </c>
      <c r="G300" t="str">
        <f>"0202"</f>
        <v>0202</v>
      </c>
      <c r="H300" t="str">
        <f>"0003"</f>
        <v>0003</v>
      </c>
      <c r="I300" t="s">
        <v>89</v>
      </c>
      <c r="J300">
        <v>0</v>
      </c>
      <c r="K300">
        <v>1</v>
      </c>
      <c r="L300">
        <v>3</v>
      </c>
      <c r="M300">
        <v>411</v>
      </c>
      <c r="N300">
        <v>321</v>
      </c>
      <c r="O300">
        <v>8</v>
      </c>
      <c r="P300">
        <v>321</v>
      </c>
      <c r="Q300">
        <v>66</v>
      </c>
      <c r="R300">
        <v>30</v>
      </c>
      <c r="S300">
        <v>4</v>
      </c>
      <c r="T300">
        <v>43</v>
      </c>
      <c r="U300">
        <v>24</v>
      </c>
      <c r="V300">
        <v>2</v>
      </c>
      <c r="W300">
        <v>4</v>
      </c>
      <c r="X300">
        <v>77</v>
      </c>
      <c r="Y300">
        <v>30</v>
      </c>
      <c r="Z300">
        <v>2</v>
      </c>
      <c r="AA300">
        <v>10</v>
      </c>
      <c r="AB300">
        <v>23</v>
      </c>
      <c r="AO300">
        <v>0</v>
      </c>
      <c r="AW300">
        <v>1</v>
      </c>
      <c r="AX300">
        <v>5</v>
      </c>
      <c r="AY300">
        <v>321</v>
      </c>
      <c r="AZ300">
        <v>321</v>
      </c>
      <c r="BA300">
        <v>688</v>
      </c>
      <c r="BB300">
        <v>44</v>
      </c>
      <c r="BD300">
        <v>1</v>
      </c>
      <c r="BF300" t="s">
        <v>409</v>
      </c>
      <c r="BG300" s="1">
        <v>44353.895937499998</v>
      </c>
      <c r="BH300" s="1">
        <v>44353.896956018521</v>
      </c>
      <c r="BI300" s="1">
        <v>44353.897280092591</v>
      </c>
      <c r="BJ300" t="s">
        <v>197</v>
      </c>
      <c r="BK300" t="s">
        <v>198</v>
      </c>
      <c r="BL300" t="s">
        <v>87</v>
      </c>
    </row>
    <row r="301" spans="1:64" x14ac:dyDescent="0.3">
      <c r="A301" t="str">
        <f>"200203B0000"</f>
        <v>200203B0000</v>
      </c>
      <c r="B301" t="str">
        <f>"200203B00003"</f>
        <v>200203B00003</v>
      </c>
      <c r="C301" t="str">
        <f t="shared" si="16"/>
        <v>20</v>
      </c>
      <c r="D301" t="s">
        <v>81</v>
      </c>
      <c r="E301" t="str">
        <f t="shared" si="19"/>
        <v>037</v>
      </c>
      <c r="F301" t="s">
        <v>400</v>
      </c>
      <c r="G301" t="str">
        <f>"0203"</f>
        <v>0203</v>
      </c>
      <c r="H301" t="str">
        <f>"0000"</f>
        <v>0000</v>
      </c>
      <c r="I301" t="s">
        <v>83</v>
      </c>
      <c r="J301">
        <v>0</v>
      </c>
      <c r="K301">
        <v>1</v>
      </c>
      <c r="L301">
        <v>3</v>
      </c>
      <c r="M301">
        <v>344</v>
      </c>
      <c r="N301">
        <v>323</v>
      </c>
      <c r="O301">
        <v>2</v>
      </c>
      <c r="P301">
        <v>323</v>
      </c>
      <c r="Q301">
        <v>44</v>
      </c>
      <c r="R301">
        <v>24</v>
      </c>
      <c r="S301">
        <v>3</v>
      </c>
      <c r="T301">
        <v>55</v>
      </c>
      <c r="U301">
        <v>21</v>
      </c>
      <c r="V301">
        <v>4</v>
      </c>
      <c r="W301">
        <v>1</v>
      </c>
      <c r="X301">
        <v>124</v>
      </c>
      <c r="Y301">
        <v>17</v>
      </c>
      <c r="Z301">
        <v>0</v>
      </c>
      <c r="AA301">
        <v>7</v>
      </c>
      <c r="AB301">
        <v>14</v>
      </c>
      <c r="AO301">
        <v>2</v>
      </c>
      <c r="AW301">
        <v>0</v>
      </c>
      <c r="AX301">
        <v>7</v>
      </c>
      <c r="AY301">
        <v>323</v>
      </c>
      <c r="AZ301">
        <v>323</v>
      </c>
      <c r="BA301">
        <v>623</v>
      </c>
      <c r="BB301">
        <v>44</v>
      </c>
      <c r="BD301">
        <v>1</v>
      </c>
      <c r="BF301" t="s">
        <v>410</v>
      </c>
      <c r="BG301" s="1">
        <v>44354.083333333336</v>
      </c>
      <c r="BH301" s="1">
        <v>44354.091481481482</v>
      </c>
      <c r="BI301" s="1">
        <v>44354.09202546296</v>
      </c>
      <c r="BJ301" t="s">
        <v>85</v>
      </c>
      <c r="BK301" t="s">
        <v>86</v>
      </c>
      <c r="BL301" t="s">
        <v>87</v>
      </c>
    </row>
    <row r="302" spans="1:64" x14ac:dyDescent="0.3">
      <c r="A302" t="str">
        <f>"200203C0100"</f>
        <v>200203C0100</v>
      </c>
      <c r="B302" t="str">
        <f>"200203C01003"</f>
        <v>200203C01003</v>
      </c>
      <c r="C302" t="str">
        <f t="shared" si="16"/>
        <v>20</v>
      </c>
      <c r="D302" t="s">
        <v>81</v>
      </c>
      <c r="E302" t="str">
        <f t="shared" si="19"/>
        <v>037</v>
      </c>
      <c r="F302" t="s">
        <v>400</v>
      </c>
      <c r="G302" t="str">
        <f>"0203"</f>
        <v>0203</v>
      </c>
      <c r="H302" t="str">
        <f>"0001"</f>
        <v>0001</v>
      </c>
      <c r="I302" t="s">
        <v>89</v>
      </c>
      <c r="J302">
        <v>0</v>
      </c>
      <c r="K302">
        <v>1</v>
      </c>
      <c r="L302">
        <v>3</v>
      </c>
      <c r="M302">
        <v>342</v>
      </c>
      <c r="N302">
        <v>325</v>
      </c>
      <c r="O302">
        <v>1</v>
      </c>
      <c r="P302">
        <v>325</v>
      </c>
      <c r="Q302">
        <v>52</v>
      </c>
      <c r="R302">
        <v>21</v>
      </c>
      <c r="S302">
        <v>0</v>
      </c>
      <c r="T302">
        <v>85</v>
      </c>
      <c r="U302">
        <v>27</v>
      </c>
      <c r="V302">
        <v>4</v>
      </c>
      <c r="W302">
        <v>0</v>
      </c>
      <c r="X302">
        <v>88</v>
      </c>
      <c r="Y302">
        <v>11</v>
      </c>
      <c r="Z302">
        <v>2</v>
      </c>
      <c r="AA302">
        <v>2</v>
      </c>
      <c r="AB302">
        <v>14</v>
      </c>
      <c r="AO302">
        <v>7</v>
      </c>
      <c r="AW302">
        <v>0</v>
      </c>
      <c r="AX302">
        <v>12</v>
      </c>
      <c r="AY302">
        <v>325</v>
      </c>
      <c r="AZ302">
        <v>325</v>
      </c>
      <c r="BA302">
        <v>623</v>
      </c>
      <c r="BB302">
        <v>44</v>
      </c>
      <c r="BD302">
        <v>1</v>
      </c>
      <c r="BF302" t="s">
        <v>411</v>
      </c>
      <c r="BG302" s="1">
        <v>44354.038194444445</v>
      </c>
      <c r="BH302" s="1">
        <v>44354.048888888887</v>
      </c>
      <c r="BI302" s="1">
        <v>44354.049386574072</v>
      </c>
      <c r="BJ302" t="s">
        <v>85</v>
      </c>
      <c r="BK302" t="s">
        <v>86</v>
      </c>
      <c r="BL302" t="s">
        <v>87</v>
      </c>
    </row>
    <row r="303" spans="1:64" x14ac:dyDescent="0.3">
      <c r="A303" t="str">
        <f>"200203C0200"</f>
        <v>200203C0200</v>
      </c>
      <c r="B303" t="str">
        <f>"200203C02003"</f>
        <v>200203C02003</v>
      </c>
      <c r="C303" t="str">
        <f t="shared" si="16"/>
        <v>20</v>
      </c>
      <c r="D303" t="s">
        <v>81</v>
      </c>
      <c r="E303" t="str">
        <f t="shared" si="19"/>
        <v>037</v>
      </c>
      <c r="F303" t="s">
        <v>400</v>
      </c>
      <c r="G303" t="str">
        <f>"0203"</f>
        <v>0203</v>
      </c>
      <c r="H303" t="str">
        <f>"0002"</f>
        <v>0002</v>
      </c>
      <c r="I303" t="s">
        <v>89</v>
      </c>
      <c r="J303">
        <v>0</v>
      </c>
      <c r="K303">
        <v>1</v>
      </c>
      <c r="L303">
        <v>3</v>
      </c>
      <c r="M303">
        <v>344</v>
      </c>
      <c r="N303">
        <v>323</v>
      </c>
      <c r="O303">
        <v>3</v>
      </c>
      <c r="P303">
        <v>323</v>
      </c>
      <c r="Q303">
        <v>59</v>
      </c>
      <c r="R303">
        <v>24</v>
      </c>
      <c r="S303">
        <v>1</v>
      </c>
      <c r="T303">
        <v>56</v>
      </c>
      <c r="U303">
        <v>22</v>
      </c>
      <c r="V303">
        <v>4</v>
      </c>
      <c r="W303">
        <v>2</v>
      </c>
      <c r="X303">
        <v>101</v>
      </c>
      <c r="Y303">
        <v>20</v>
      </c>
      <c r="Z303">
        <v>3</v>
      </c>
      <c r="AA303">
        <v>8</v>
      </c>
      <c r="AB303">
        <v>12</v>
      </c>
      <c r="AO303">
        <v>1</v>
      </c>
      <c r="AW303">
        <v>0</v>
      </c>
      <c r="AX303">
        <v>10</v>
      </c>
      <c r="AY303">
        <v>323</v>
      </c>
      <c r="AZ303">
        <v>323</v>
      </c>
      <c r="BA303">
        <v>623</v>
      </c>
      <c r="BB303">
        <v>44</v>
      </c>
      <c r="BD303">
        <v>1</v>
      </c>
      <c r="BF303" s="2" t="s">
        <v>412</v>
      </c>
      <c r="BG303" s="1">
        <v>44354.077777777777</v>
      </c>
      <c r="BH303" s="1">
        <v>44354.086759259262</v>
      </c>
      <c r="BI303" s="1">
        <v>44354.087395833332</v>
      </c>
      <c r="BJ303" t="s">
        <v>85</v>
      </c>
      <c r="BK303" t="s">
        <v>86</v>
      </c>
      <c r="BL303" t="s">
        <v>87</v>
      </c>
    </row>
    <row r="304" spans="1:64" x14ac:dyDescent="0.3">
      <c r="A304" t="str">
        <f>"200203C0300"</f>
        <v>200203C0300</v>
      </c>
      <c r="B304" t="str">
        <f>"200203C03003"</f>
        <v>200203C03003</v>
      </c>
      <c r="C304" t="str">
        <f t="shared" si="16"/>
        <v>20</v>
      </c>
      <c r="D304" t="s">
        <v>81</v>
      </c>
      <c r="E304" t="str">
        <f t="shared" si="19"/>
        <v>037</v>
      </c>
      <c r="F304" t="s">
        <v>400</v>
      </c>
      <c r="G304" t="str">
        <f>"0203"</f>
        <v>0203</v>
      </c>
      <c r="H304" t="str">
        <f>"0003"</f>
        <v>0003</v>
      </c>
      <c r="I304" t="s">
        <v>89</v>
      </c>
      <c r="J304">
        <v>0</v>
      </c>
      <c r="K304">
        <v>1</v>
      </c>
      <c r="L304">
        <v>3</v>
      </c>
      <c r="M304">
        <v>340</v>
      </c>
      <c r="N304">
        <v>327</v>
      </c>
      <c r="O304">
        <v>2</v>
      </c>
      <c r="P304">
        <v>327</v>
      </c>
      <c r="Q304">
        <v>53</v>
      </c>
      <c r="R304">
        <v>41</v>
      </c>
      <c r="S304">
        <v>1</v>
      </c>
      <c r="T304">
        <v>49</v>
      </c>
      <c r="U304">
        <v>26</v>
      </c>
      <c r="V304">
        <v>3</v>
      </c>
      <c r="W304">
        <v>4</v>
      </c>
      <c r="X304">
        <v>86</v>
      </c>
      <c r="Y304">
        <v>33</v>
      </c>
      <c r="Z304">
        <v>2</v>
      </c>
      <c r="AA304">
        <v>7</v>
      </c>
      <c r="AB304">
        <v>11</v>
      </c>
      <c r="AO304">
        <v>3</v>
      </c>
      <c r="AW304">
        <v>0</v>
      </c>
      <c r="AX304">
        <v>8</v>
      </c>
      <c r="AY304">
        <v>327</v>
      </c>
      <c r="AZ304">
        <v>327</v>
      </c>
      <c r="BA304">
        <v>623</v>
      </c>
      <c r="BB304">
        <v>44</v>
      </c>
      <c r="BD304">
        <v>1</v>
      </c>
      <c r="BF304" t="s">
        <v>413</v>
      </c>
      <c r="BG304" s="1">
        <v>44354.086111111108</v>
      </c>
      <c r="BH304" s="1">
        <v>44354.094884259262</v>
      </c>
      <c r="BI304" s="1">
        <v>44354.095879629633</v>
      </c>
      <c r="BJ304" t="s">
        <v>85</v>
      </c>
      <c r="BK304" t="s">
        <v>86</v>
      </c>
      <c r="BL304" t="s">
        <v>87</v>
      </c>
    </row>
    <row r="305" spans="1:64" x14ac:dyDescent="0.3">
      <c r="A305" t="str">
        <f>"200203C0400"</f>
        <v>200203C0400</v>
      </c>
      <c r="B305" t="str">
        <f>"200203C04003"</f>
        <v>200203C04003</v>
      </c>
      <c r="C305" t="str">
        <f t="shared" si="16"/>
        <v>20</v>
      </c>
      <c r="D305" t="s">
        <v>81</v>
      </c>
      <c r="E305" t="str">
        <f t="shared" si="19"/>
        <v>037</v>
      </c>
      <c r="F305" t="s">
        <v>400</v>
      </c>
      <c r="G305" t="str">
        <f>"0203"</f>
        <v>0203</v>
      </c>
      <c r="H305" t="str">
        <f>"0004"</f>
        <v>0004</v>
      </c>
      <c r="I305" t="s">
        <v>89</v>
      </c>
      <c r="J305">
        <v>0</v>
      </c>
      <c r="K305">
        <v>1</v>
      </c>
      <c r="L305">
        <v>3</v>
      </c>
      <c r="M305" t="s">
        <v>92</v>
      </c>
      <c r="N305" t="s">
        <v>92</v>
      </c>
      <c r="O305" t="s">
        <v>92</v>
      </c>
      <c r="P305" t="s">
        <v>92</v>
      </c>
      <c r="Q305">
        <v>57</v>
      </c>
      <c r="R305">
        <v>16</v>
      </c>
      <c r="S305">
        <v>0</v>
      </c>
      <c r="T305">
        <v>43</v>
      </c>
      <c r="U305">
        <v>20</v>
      </c>
      <c r="V305">
        <v>2</v>
      </c>
      <c r="W305">
        <v>3</v>
      </c>
      <c r="X305">
        <v>119</v>
      </c>
      <c r="Y305">
        <v>15</v>
      </c>
      <c r="Z305">
        <v>1</v>
      </c>
      <c r="AA305">
        <v>7</v>
      </c>
      <c r="AB305">
        <v>12</v>
      </c>
      <c r="AO305">
        <v>2</v>
      </c>
      <c r="AW305">
        <v>1</v>
      </c>
      <c r="AX305">
        <v>3</v>
      </c>
      <c r="AY305">
        <v>303</v>
      </c>
      <c r="AZ305">
        <v>301</v>
      </c>
      <c r="BA305">
        <v>623</v>
      </c>
      <c r="BB305">
        <v>44</v>
      </c>
      <c r="BD305">
        <v>1</v>
      </c>
      <c r="BF305" t="s">
        <v>414</v>
      </c>
      <c r="BG305" s="1">
        <v>44354.084722222222</v>
      </c>
      <c r="BH305" s="1">
        <v>44354.093576388892</v>
      </c>
      <c r="BI305" s="1">
        <v>44354.094085648147</v>
      </c>
      <c r="BJ305" t="s">
        <v>85</v>
      </c>
      <c r="BK305" t="s">
        <v>86</v>
      </c>
      <c r="BL305" t="s">
        <v>87</v>
      </c>
    </row>
    <row r="306" spans="1:64" x14ac:dyDescent="0.3">
      <c r="A306" t="str">
        <f>"200204B0000"</f>
        <v>200204B0000</v>
      </c>
      <c r="B306" t="str">
        <f>"200204B00003"</f>
        <v>200204B00003</v>
      </c>
      <c r="C306" t="str">
        <f t="shared" si="16"/>
        <v>20</v>
      </c>
      <c r="D306" t="s">
        <v>81</v>
      </c>
      <c r="E306" t="str">
        <f t="shared" si="19"/>
        <v>037</v>
      </c>
      <c r="F306" t="s">
        <v>400</v>
      </c>
      <c r="G306" t="str">
        <f>"0204"</f>
        <v>0204</v>
      </c>
      <c r="H306" t="str">
        <f>"0000"</f>
        <v>0000</v>
      </c>
      <c r="I306" t="s">
        <v>83</v>
      </c>
      <c r="J306">
        <v>0</v>
      </c>
      <c r="K306">
        <v>1</v>
      </c>
      <c r="L306">
        <v>3</v>
      </c>
      <c r="M306">
        <v>273</v>
      </c>
      <c r="N306">
        <v>312</v>
      </c>
      <c r="O306">
        <v>6</v>
      </c>
      <c r="P306">
        <v>312</v>
      </c>
      <c r="Q306">
        <v>51</v>
      </c>
      <c r="R306">
        <v>35</v>
      </c>
      <c r="S306">
        <v>3</v>
      </c>
      <c r="T306">
        <v>63</v>
      </c>
      <c r="U306">
        <v>24</v>
      </c>
      <c r="V306">
        <v>1</v>
      </c>
      <c r="W306">
        <v>0</v>
      </c>
      <c r="X306">
        <v>88</v>
      </c>
      <c r="Y306">
        <v>14</v>
      </c>
      <c r="Z306">
        <v>1</v>
      </c>
      <c r="AA306">
        <v>4</v>
      </c>
      <c r="AB306">
        <v>18</v>
      </c>
      <c r="AO306">
        <v>3</v>
      </c>
      <c r="AW306">
        <v>0</v>
      </c>
      <c r="AX306">
        <v>7</v>
      </c>
      <c r="AY306">
        <v>312</v>
      </c>
      <c r="AZ306">
        <v>312</v>
      </c>
      <c r="BA306">
        <v>541</v>
      </c>
      <c r="BB306">
        <v>44</v>
      </c>
      <c r="BD306">
        <v>1</v>
      </c>
      <c r="BF306" t="s">
        <v>415</v>
      </c>
      <c r="BG306" s="1">
        <v>44353.883287037039</v>
      </c>
      <c r="BH306" s="1">
        <v>44353.88553240741</v>
      </c>
      <c r="BI306" s="1">
        <v>44353.885914351849</v>
      </c>
      <c r="BJ306" t="s">
        <v>197</v>
      </c>
      <c r="BK306" t="s">
        <v>198</v>
      </c>
      <c r="BL306" t="s">
        <v>87</v>
      </c>
    </row>
    <row r="307" spans="1:64" x14ac:dyDescent="0.3">
      <c r="A307" t="str">
        <f>"200204C0100"</f>
        <v>200204C0100</v>
      </c>
      <c r="B307" t="str">
        <f>"200204C01003"</f>
        <v>200204C01003</v>
      </c>
      <c r="C307" t="str">
        <f t="shared" si="16"/>
        <v>20</v>
      </c>
      <c r="D307" t="s">
        <v>81</v>
      </c>
      <c r="E307" t="str">
        <f t="shared" si="19"/>
        <v>037</v>
      </c>
      <c r="F307" t="s">
        <v>400</v>
      </c>
      <c r="G307" t="str">
        <f>"0204"</f>
        <v>0204</v>
      </c>
      <c r="H307" t="str">
        <f>"0001"</f>
        <v>0001</v>
      </c>
      <c r="I307" t="s">
        <v>89</v>
      </c>
      <c r="J307">
        <v>0</v>
      </c>
      <c r="K307">
        <v>1</v>
      </c>
      <c r="L307">
        <v>3</v>
      </c>
      <c r="M307" t="s">
        <v>92</v>
      </c>
      <c r="N307" t="s">
        <v>92</v>
      </c>
      <c r="O307" t="s">
        <v>92</v>
      </c>
      <c r="P307" t="s">
        <v>92</v>
      </c>
      <c r="Q307">
        <v>57</v>
      </c>
      <c r="R307">
        <v>20</v>
      </c>
      <c r="S307">
        <v>3</v>
      </c>
      <c r="T307">
        <v>62</v>
      </c>
      <c r="U307">
        <v>28</v>
      </c>
      <c r="V307">
        <v>2</v>
      </c>
      <c r="W307">
        <v>0</v>
      </c>
      <c r="X307">
        <v>62</v>
      </c>
      <c r="Y307">
        <v>16</v>
      </c>
      <c r="Z307">
        <v>2</v>
      </c>
      <c r="AA307">
        <v>9</v>
      </c>
      <c r="AB307">
        <v>8</v>
      </c>
      <c r="AO307">
        <v>3</v>
      </c>
      <c r="AW307">
        <v>0</v>
      </c>
      <c r="AX307">
        <v>8</v>
      </c>
      <c r="AY307">
        <v>280</v>
      </c>
      <c r="AZ307">
        <v>280</v>
      </c>
      <c r="BA307">
        <v>540</v>
      </c>
      <c r="BB307">
        <v>44</v>
      </c>
      <c r="BD307">
        <v>1</v>
      </c>
      <c r="BF307" t="s">
        <v>416</v>
      </c>
      <c r="BG307" s="1">
        <v>44353.895914351851</v>
      </c>
      <c r="BH307" s="1">
        <v>44353.8987037037</v>
      </c>
      <c r="BI307" s="1">
        <v>44353.900104166663</v>
      </c>
      <c r="BJ307" t="s">
        <v>197</v>
      </c>
      <c r="BK307" t="s">
        <v>198</v>
      </c>
      <c r="BL307" t="s">
        <v>87</v>
      </c>
    </row>
    <row r="308" spans="1:64" x14ac:dyDescent="0.3">
      <c r="A308" t="str">
        <f>"200204C0200"</f>
        <v>200204C0200</v>
      </c>
      <c r="B308" t="str">
        <f>"200204C02003"</f>
        <v>200204C02003</v>
      </c>
      <c r="C308" t="str">
        <f t="shared" si="16"/>
        <v>20</v>
      </c>
      <c r="D308" t="s">
        <v>81</v>
      </c>
      <c r="E308" t="str">
        <f t="shared" si="19"/>
        <v>037</v>
      </c>
      <c r="F308" t="s">
        <v>400</v>
      </c>
      <c r="G308" t="str">
        <f>"0204"</f>
        <v>0204</v>
      </c>
      <c r="H308" t="str">
        <f>"0002"</f>
        <v>0002</v>
      </c>
      <c r="I308" t="s">
        <v>89</v>
      </c>
      <c r="J308">
        <v>0</v>
      </c>
      <c r="K308">
        <v>1</v>
      </c>
      <c r="L308">
        <v>3</v>
      </c>
      <c r="M308">
        <v>274</v>
      </c>
      <c r="N308">
        <v>310</v>
      </c>
      <c r="O308">
        <v>4</v>
      </c>
      <c r="P308">
        <v>310</v>
      </c>
      <c r="Q308">
        <v>58</v>
      </c>
      <c r="R308">
        <v>24</v>
      </c>
      <c r="S308">
        <v>7</v>
      </c>
      <c r="T308">
        <v>57</v>
      </c>
      <c r="U308">
        <v>26</v>
      </c>
      <c r="V308">
        <v>0</v>
      </c>
      <c r="W308">
        <v>0</v>
      </c>
      <c r="X308">
        <v>76</v>
      </c>
      <c r="Y308">
        <v>18</v>
      </c>
      <c r="Z308">
        <v>0</v>
      </c>
      <c r="AA308">
        <v>16</v>
      </c>
      <c r="AB308">
        <v>11</v>
      </c>
      <c r="AO308">
        <v>6</v>
      </c>
      <c r="AW308">
        <v>3</v>
      </c>
      <c r="AX308">
        <v>8</v>
      </c>
      <c r="AY308">
        <v>310</v>
      </c>
      <c r="AZ308">
        <v>310</v>
      </c>
      <c r="BA308">
        <v>540</v>
      </c>
      <c r="BB308">
        <v>44</v>
      </c>
      <c r="BD308">
        <v>1</v>
      </c>
      <c r="BF308" s="2" t="s">
        <v>417</v>
      </c>
      <c r="BG308" s="1">
        <v>44353.891284722224</v>
      </c>
      <c r="BH308" s="1">
        <v>44353.894062500003</v>
      </c>
      <c r="BI308" s="1">
        <v>44353.894942129627</v>
      </c>
      <c r="BJ308" t="s">
        <v>197</v>
      </c>
      <c r="BK308" t="s">
        <v>198</v>
      </c>
      <c r="BL308" t="s">
        <v>87</v>
      </c>
    </row>
    <row r="309" spans="1:64" x14ac:dyDescent="0.3">
      <c r="A309" t="str">
        <f>"200204E0100"</f>
        <v>200204E0100</v>
      </c>
      <c r="B309" t="str">
        <f>"200204E01003"</f>
        <v>200204E01003</v>
      </c>
      <c r="C309" t="str">
        <f t="shared" si="16"/>
        <v>20</v>
      </c>
      <c r="D309" t="s">
        <v>81</v>
      </c>
      <c r="E309" t="str">
        <f t="shared" si="19"/>
        <v>037</v>
      </c>
      <c r="F309" t="s">
        <v>400</v>
      </c>
      <c r="G309" t="str">
        <f>"0204"</f>
        <v>0204</v>
      </c>
      <c r="H309" t="str">
        <f>"0001"</f>
        <v>0001</v>
      </c>
      <c r="I309" t="s">
        <v>122</v>
      </c>
      <c r="J309">
        <v>0</v>
      </c>
      <c r="K309">
        <v>1</v>
      </c>
      <c r="L309">
        <v>3</v>
      </c>
      <c r="M309">
        <v>217</v>
      </c>
      <c r="N309">
        <v>255</v>
      </c>
      <c r="O309">
        <v>3</v>
      </c>
      <c r="P309">
        <v>255</v>
      </c>
      <c r="Q309">
        <v>58</v>
      </c>
      <c r="R309">
        <v>24</v>
      </c>
      <c r="S309">
        <v>3</v>
      </c>
      <c r="T309">
        <v>34</v>
      </c>
      <c r="U309">
        <v>15</v>
      </c>
      <c r="V309">
        <v>2</v>
      </c>
      <c r="W309">
        <v>3</v>
      </c>
      <c r="X309">
        <v>45</v>
      </c>
      <c r="Y309">
        <v>39</v>
      </c>
      <c r="Z309">
        <v>1</v>
      </c>
      <c r="AA309">
        <v>14</v>
      </c>
      <c r="AB309">
        <v>10</v>
      </c>
      <c r="AO309">
        <v>3</v>
      </c>
      <c r="AW309">
        <v>0</v>
      </c>
      <c r="AX309">
        <v>4</v>
      </c>
      <c r="AY309">
        <v>255</v>
      </c>
      <c r="AZ309">
        <v>255</v>
      </c>
      <c r="BA309">
        <v>428</v>
      </c>
      <c r="BB309">
        <v>44</v>
      </c>
      <c r="BD309">
        <v>1</v>
      </c>
      <c r="BF309" t="s">
        <v>418</v>
      </c>
      <c r="BG309" s="1">
        <v>44353.936782407407</v>
      </c>
      <c r="BH309" s="1">
        <v>44353.938483796293</v>
      </c>
      <c r="BI309" s="1">
        <v>44353.938807870371</v>
      </c>
      <c r="BJ309" t="s">
        <v>197</v>
      </c>
      <c r="BK309" t="s">
        <v>198</v>
      </c>
      <c r="BL309" t="s">
        <v>87</v>
      </c>
    </row>
    <row r="310" spans="1:64" x14ac:dyDescent="0.3">
      <c r="A310" t="str">
        <f>"200204E0101"</f>
        <v>200204E0101</v>
      </c>
      <c r="B310" t="str">
        <f>"200204E01013"</f>
        <v>200204E01013</v>
      </c>
      <c r="C310" t="str">
        <f t="shared" si="16"/>
        <v>20</v>
      </c>
      <c r="D310" t="s">
        <v>81</v>
      </c>
      <c r="E310" t="str">
        <f t="shared" si="19"/>
        <v>037</v>
      </c>
      <c r="F310" t="s">
        <v>400</v>
      </c>
      <c r="G310" t="str">
        <f>"0204"</f>
        <v>0204</v>
      </c>
      <c r="H310" t="str">
        <f>"0001"</f>
        <v>0001</v>
      </c>
      <c r="I310" t="s">
        <v>122</v>
      </c>
      <c r="J310">
        <v>1</v>
      </c>
      <c r="K310">
        <v>1</v>
      </c>
      <c r="L310">
        <v>3</v>
      </c>
      <c r="M310">
        <v>211</v>
      </c>
      <c r="N310">
        <v>261</v>
      </c>
      <c r="O310">
        <v>5</v>
      </c>
      <c r="P310">
        <v>261</v>
      </c>
      <c r="Q310">
        <v>67</v>
      </c>
      <c r="R310">
        <v>28</v>
      </c>
      <c r="S310">
        <v>3</v>
      </c>
      <c r="T310">
        <v>38</v>
      </c>
      <c r="U310">
        <v>13</v>
      </c>
      <c r="V310">
        <v>2</v>
      </c>
      <c r="W310">
        <v>0</v>
      </c>
      <c r="X310">
        <v>52</v>
      </c>
      <c r="Y310">
        <v>29</v>
      </c>
      <c r="Z310">
        <v>1</v>
      </c>
      <c r="AA310">
        <v>5</v>
      </c>
      <c r="AB310">
        <v>11</v>
      </c>
      <c r="AO310">
        <v>6</v>
      </c>
      <c r="AW310">
        <v>0</v>
      </c>
      <c r="AX310">
        <v>6</v>
      </c>
      <c r="AY310">
        <v>261</v>
      </c>
      <c r="AZ310">
        <v>261</v>
      </c>
      <c r="BA310">
        <v>428</v>
      </c>
      <c r="BB310">
        <v>44</v>
      </c>
      <c r="BD310">
        <v>1</v>
      </c>
      <c r="BF310" t="s">
        <v>419</v>
      </c>
      <c r="BG310" s="1">
        <v>44353.939918981479</v>
      </c>
      <c r="BH310" s="1">
        <v>44353.941504629627</v>
      </c>
      <c r="BI310" s="1">
        <v>44353.943391203706</v>
      </c>
      <c r="BJ310" t="s">
        <v>197</v>
      </c>
      <c r="BK310" t="s">
        <v>198</v>
      </c>
      <c r="BL310" t="s">
        <v>87</v>
      </c>
    </row>
    <row r="311" spans="1:64" x14ac:dyDescent="0.3">
      <c r="A311" t="str">
        <f>"200205B0000"</f>
        <v>200205B0000</v>
      </c>
      <c r="B311" t="str">
        <f>"200205B00003"</f>
        <v>200205B00003</v>
      </c>
      <c r="C311" t="str">
        <f t="shared" si="16"/>
        <v>20</v>
      </c>
      <c r="D311" t="s">
        <v>81</v>
      </c>
      <c r="E311" t="str">
        <f t="shared" si="19"/>
        <v>037</v>
      </c>
      <c r="F311" t="s">
        <v>400</v>
      </c>
      <c r="G311" t="str">
        <f>"0205"</f>
        <v>0205</v>
      </c>
      <c r="H311" t="str">
        <f>"0000"</f>
        <v>0000</v>
      </c>
      <c r="I311" t="s">
        <v>83</v>
      </c>
      <c r="J311">
        <v>0</v>
      </c>
      <c r="K311">
        <v>1</v>
      </c>
      <c r="L311">
        <v>3</v>
      </c>
      <c r="M311">
        <v>302</v>
      </c>
      <c r="N311">
        <v>325</v>
      </c>
      <c r="O311">
        <v>2</v>
      </c>
      <c r="P311">
        <v>325</v>
      </c>
      <c r="Q311">
        <v>76</v>
      </c>
      <c r="R311">
        <v>16</v>
      </c>
      <c r="S311">
        <v>5</v>
      </c>
      <c r="T311">
        <v>45</v>
      </c>
      <c r="U311">
        <v>34</v>
      </c>
      <c r="V311">
        <v>2</v>
      </c>
      <c r="W311">
        <v>0</v>
      </c>
      <c r="X311">
        <v>90</v>
      </c>
      <c r="Y311">
        <v>23</v>
      </c>
      <c r="Z311">
        <v>1</v>
      </c>
      <c r="AA311">
        <v>5</v>
      </c>
      <c r="AB311">
        <v>14</v>
      </c>
      <c r="AO311">
        <v>9</v>
      </c>
      <c r="AW311">
        <v>0</v>
      </c>
      <c r="AX311">
        <v>5</v>
      </c>
      <c r="AY311">
        <v>325</v>
      </c>
      <c r="AZ311">
        <v>325</v>
      </c>
      <c r="BA311">
        <v>583</v>
      </c>
      <c r="BB311">
        <v>44</v>
      </c>
      <c r="BD311">
        <v>1</v>
      </c>
      <c r="BF311" t="s">
        <v>420</v>
      </c>
      <c r="BG311" s="1">
        <v>44353.974305555559</v>
      </c>
      <c r="BH311" s="1">
        <v>44353.977939814817</v>
      </c>
      <c r="BI311" s="1">
        <v>44353.978645833333</v>
      </c>
      <c r="BJ311" t="s">
        <v>85</v>
      </c>
      <c r="BK311" t="s">
        <v>86</v>
      </c>
      <c r="BL311" t="s">
        <v>87</v>
      </c>
    </row>
    <row r="312" spans="1:64" x14ac:dyDescent="0.3">
      <c r="A312" t="str">
        <f>"200205C0100"</f>
        <v>200205C0100</v>
      </c>
      <c r="B312" t="str">
        <f>"200205C01003"</f>
        <v>200205C01003</v>
      </c>
      <c r="C312" t="str">
        <f t="shared" si="16"/>
        <v>20</v>
      </c>
      <c r="D312" t="s">
        <v>81</v>
      </c>
      <c r="E312" t="str">
        <f t="shared" si="19"/>
        <v>037</v>
      </c>
      <c r="F312" t="s">
        <v>400</v>
      </c>
      <c r="G312" t="str">
        <f>"0205"</f>
        <v>0205</v>
      </c>
      <c r="H312" t="str">
        <f>"0001"</f>
        <v>0001</v>
      </c>
      <c r="I312" t="s">
        <v>89</v>
      </c>
      <c r="J312">
        <v>0</v>
      </c>
      <c r="K312">
        <v>1</v>
      </c>
      <c r="L312">
        <v>3</v>
      </c>
      <c r="M312">
        <v>326</v>
      </c>
      <c r="N312">
        <v>301</v>
      </c>
      <c r="O312">
        <v>3</v>
      </c>
      <c r="P312">
        <v>301</v>
      </c>
      <c r="Q312">
        <v>57</v>
      </c>
      <c r="R312">
        <v>16</v>
      </c>
      <c r="S312">
        <v>3</v>
      </c>
      <c r="T312">
        <v>58</v>
      </c>
      <c r="U312">
        <v>30</v>
      </c>
      <c r="V312">
        <v>2</v>
      </c>
      <c r="W312">
        <v>3</v>
      </c>
      <c r="X312">
        <v>71</v>
      </c>
      <c r="Y312">
        <v>18</v>
      </c>
      <c r="Z312">
        <v>1</v>
      </c>
      <c r="AA312">
        <v>11</v>
      </c>
      <c r="AB312">
        <v>17</v>
      </c>
      <c r="AO312">
        <v>5</v>
      </c>
      <c r="AW312">
        <v>0</v>
      </c>
      <c r="AX312">
        <v>9</v>
      </c>
      <c r="AY312">
        <v>301</v>
      </c>
      <c r="AZ312">
        <v>301</v>
      </c>
      <c r="BA312">
        <v>583</v>
      </c>
      <c r="BB312">
        <v>44</v>
      </c>
      <c r="BD312">
        <v>1</v>
      </c>
      <c r="BF312" t="s">
        <v>421</v>
      </c>
      <c r="BG312" s="1">
        <v>44353.977083333331</v>
      </c>
      <c r="BH312" s="1">
        <v>44353.979780092595</v>
      </c>
      <c r="BI312" s="1">
        <v>44353.980428240742</v>
      </c>
      <c r="BJ312" t="s">
        <v>85</v>
      </c>
      <c r="BK312" t="s">
        <v>86</v>
      </c>
      <c r="BL312" t="s">
        <v>87</v>
      </c>
    </row>
    <row r="313" spans="1:64" x14ac:dyDescent="0.3">
      <c r="A313" t="str">
        <f>"200205C0200"</f>
        <v>200205C0200</v>
      </c>
      <c r="B313" t="str">
        <f>"200205C02003"</f>
        <v>200205C02003</v>
      </c>
      <c r="C313" t="str">
        <f t="shared" si="16"/>
        <v>20</v>
      </c>
      <c r="D313" t="s">
        <v>81</v>
      </c>
      <c r="E313" t="str">
        <f t="shared" si="19"/>
        <v>037</v>
      </c>
      <c r="F313" t="s">
        <v>400</v>
      </c>
      <c r="G313" t="str">
        <f>"0205"</f>
        <v>0205</v>
      </c>
      <c r="H313" t="str">
        <f>"0002"</f>
        <v>0002</v>
      </c>
      <c r="I313" t="s">
        <v>89</v>
      </c>
      <c r="J313">
        <v>0</v>
      </c>
      <c r="K313">
        <v>1</v>
      </c>
      <c r="L313">
        <v>3</v>
      </c>
      <c r="M313">
        <v>338</v>
      </c>
      <c r="N313">
        <v>288</v>
      </c>
      <c r="O313">
        <v>7</v>
      </c>
      <c r="P313">
        <v>288</v>
      </c>
      <c r="Q313">
        <v>53</v>
      </c>
      <c r="R313">
        <v>13</v>
      </c>
      <c r="S313">
        <v>2</v>
      </c>
      <c r="T313">
        <v>54</v>
      </c>
      <c r="U313">
        <v>25</v>
      </c>
      <c r="V313">
        <v>5</v>
      </c>
      <c r="W313">
        <v>4</v>
      </c>
      <c r="X313">
        <v>68</v>
      </c>
      <c r="Y313">
        <v>29</v>
      </c>
      <c r="Z313">
        <v>0</v>
      </c>
      <c r="AA313">
        <v>7</v>
      </c>
      <c r="AB313">
        <v>22</v>
      </c>
      <c r="AO313">
        <v>0</v>
      </c>
      <c r="AW313">
        <v>0</v>
      </c>
      <c r="AX313">
        <v>6</v>
      </c>
      <c r="AY313">
        <v>288</v>
      </c>
      <c r="AZ313">
        <v>288</v>
      </c>
      <c r="BA313">
        <v>582</v>
      </c>
      <c r="BB313">
        <v>44</v>
      </c>
      <c r="BD313">
        <v>1</v>
      </c>
      <c r="BF313" t="s">
        <v>422</v>
      </c>
      <c r="BG313" s="1">
        <v>44353.979861111111</v>
      </c>
      <c r="BH313" s="1">
        <v>44353.983425925922</v>
      </c>
      <c r="BI313" s="1">
        <v>44353.983900462961</v>
      </c>
      <c r="BJ313" t="s">
        <v>85</v>
      </c>
      <c r="BK313" t="s">
        <v>86</v>
      </c>
      <c r="BL313" t="s">
        <v>87</v>
      </c>
    </row>
    <row r="314" spans="1:64" x14ac:dyDescent="0.3">
      <c r="A314" t="str">
        <f>"200206B0000"</f>
        <v>200206B0000</v>
      </c>
      <c r="B314" t="str">
        <f>"200206B00003"</f>
        <v>200206B00003</v>
      </c>
      <c r="C314" t="str">
        <f t="shared" si="16"/>
        <v>20</v>
      </c>
      <c r="D314" t="s">
        <v>81</v>
      </c>
      <c r="E314" t="str">
        <f t="shared" si="19"/>
        <v>037</v>
      </c>
      <c r="F314" t="s">
        <v>400</v>
      </c>
      <c r="G314" t="str">
        <f>"0206"</f>
        <v>0206</v>
      </c>
      <c r="H314" t="str">
        <f>"0000"</f>
        <v>0000</v>
      </c>
      <c r="I314" t="s">
        <v>83</v>
      </c>
      <c r="J314">
        <v>0</v>
      </c>
      <c r="K314">
        <v>1</v>
      </c>
      <c r="L314">
        <v>3</v>
      </c>
      <c r="M314">
        <v>332</v>
      </c>
      <c r="N314">
        <v>292</v>
      </c>
      <c r="O314">
        <v>2</v>
      </c>
      <c r="P314">
        <v>292</v>
      </c>
      <c r="Q314">
        <v>76</v>
      </c>
      <c r="R314">
        <v>24</v>
      </c>
      <c r="S314">
        <v>6</v>
      </c>
      <c r="T314">
        <v>50</v>
      </c>
      <c r="U314">
        <v>17</v>
      </c>
      <c r="V314">
        <v>4</v>
      </c>
      <c r="W314">
        <v>6</v>
      </c>
      <c r="X314">
        <v>60</v>
      </c>
      <c r="Y314">
        <v>15</v>
      </c>
      <c r="Z314">
        <v>2</v>
      </c>
      <c r="AA314">
        <v>16</v>
      </c>
      <c r="AB314">
        <v>8</v>
      </c>
      <c r="AO314">
        <v>0</v>
      </c>
      <c r="AW314">
        <v>0</v>
      </c>
      <c r="AX314">
        <v>0</v>
      </c>
      <c r="AY314">
        <v>0</v>
      </c>
      <c r="AZ314">
        <v>284</v>
      </c>
      <c r="BA314">
        <v>580</v>
      </c>
      <c r="BB314">
        <v>44</v>
      </c>
      <c r="BD314">
        <v>1</v>
      </c>
      <c r="BF314" t="s">
        <v>423</v>
      </c>
      <c r="BG314" s="1">
        <v>44353.958067129628</v>
      </c>
      <c r="BH314" s="1">
        <v>44353.959583333337</v>
      </c>
      <c r="BI314" s="1">
        <v>44353.960057870368</v>
      </c>
      <c r="BJ314" t="s">
        <v>197</v>
      </c>
      <c r="BK314" t="s">
        <v>198</v>
      </c>
      <c r="BL314" t="s">
        <v>87</v>
      </c>
    </row>
    <row r="315" spans="1:64" x14ac:dyDescent="0.3">
      <c r="A315" t="str">
        <f>"200206C0100"</f>
        <v>200206C0100</v>
      </c>
      <c r="B315" t="str">
        <f>"200206C01003"</f>
        <v>200206C01003</v>
      </c>
      <c r="C315" t="str">
        <f t="shared" si="16"/>
        <v>20</v>
      </c>
      <c r="D315" t="s">
        <v>81</v>
      </c>
      <c r="E315" t="str">
        <f t="shared" si="19"/>
        <v>037</v>
      </c>
      <c r="F315" t="s">
        <v>400</v>
      </c>
      <c r="G315" t="str">
        <f>"0206"</f>
        <v>0206</v>
      </c>
      <c r="H315" t="str">
        <f>"0001"</f>
        <v>0001</v>
      </c>
      <c r="I315" t="s">
        <v>89</v>
      </c>
      <c r="J315">
        <v>0</v>
      </c>
      <c r="K315">
        <v>1</v>
      </c>
      <c r="L315">
        <v>3</v>
      </c>
      <c r="M315">
        <v>342</v>
      </c>
      <c r="N315">
        <v>281</v>
      </c>
      <c r="O315">
        <v>5</v>
      </c>
      <c r="P315">
        <v>282</v>
      </c>
      <c r="Q315">
        <v>64</v>
      </c>
      <c r="R315">
        <v>19</v>
      </c>
      <c r="S315">
        <v>4</v>
      </c>
      <c r="T315">
        <v>48</v>
      </c>
      <c r="U315">
        <v>42</v>
      </c>
      <c r="V315">
        <v>1</v>
      </c>
      <c r="W315">
        <v>2</v>
      </c>
      <c r="X315">
        <v>51</v>
      </c>
      <c r="Y315">
        <v>13</v>
      </c>
      <c r="Z315">
        <v>1</v>
      </c>
      <c r="AA315">
        <v>8</v>
      </c>
      <c r="AB315">
        <v>14</v>
      </c>
      <c r="AO315">
        <v>5</v>
      </c>
      <c r="AW315">
        <v>3</v>
      </c>
      <c r="AX315">
        <v>7</v>
      </c>
      <c r="AY315">
        <v>282</v>
      </c>
      <c r="AZ315">
        <v>282</v>
      </c>
      <c r="BA315">
        <v>579</v>
      </c>
      <c r="BB315">
        <v>44</v>
      </c>
      <c r="BD315">
        <v>1</v>
      </c>
      <c r="BF315" t="s">
        <v>424</v>
      </c>
      <c r="BG315" s="1">
        <v>44353.957025462965</v>
      </c>
      <c r="BH315" s="1">
        <v>44353.959120370368</v>
      </c>
      <c r="BI315" s="1">
        <v>44353.959675925929</v>
      </c>
      <c r="BJ315" t="s">
        <v>197</v>
      </c>
      <c r="BK315" t="s">
        <v>198</v>
      </c>
      <c r="BL315" t="s">
        <v>87</v>
      </c>
    </row>
    <row r="316" spans="1:64" x14ac:dyDescent="0.3">
      <c r="A316" t="str">
        <f>"200206C0200"</f>
        <v>200206C0200</v>
      </c>
      <c r="B316" t="str">
        <f>"200206C02003"</f>
        <v>200206C02003</v>
      </c>
      <c r="C316" t="str">
        <f t="shared" si="16"/>
        <v>20</v>
      </c>
      <c r="D316" t="s">
        <v>81</v>
      </c>
      <c r="E316" t="str">
        <f t="shared" si="19"/>
        <v>037</v>
      </c>
      <c r="F316" t="s">
        <v>400</v>
      </c>
      <c r="G316" t="str">
        <f>"0206"</f>
        <v>0206</v>
      </c>
      <c r="H316" t="str">
        <f>"0002"</f>
        <v>0002</v>
      </c>
      <c r="I316" t="s">
        <v>89</v>
      </c>
      <c r="J316">
        <v>0</v>
      </c>
      <c r="K316">
        <v>1</v>
      </c>
      <c r="L316">
        <v>3</v>
      </c>
      <c r="M316">
        <v>342</v>
      </c>
      <c r="N316">
        <v>281</v>
      </c>
      <c r="O316">
        <v>6</v>
      </c>
      <c r="P316">
        <v>281</v>
      </c>
      <c r="Q316">
        <v>73</v>
      </c>
      <c r="R316">
        <v>14</v>
      </c>
      <c r="S316">
        <v>3</v>
      </c>
      <c r="T316">
        <v>44</v>
      </c>
      <c r="U316">
        <v>30</v>
      </c>
      <c r="V316">
        <v>2</v>
      </c>
      <c r="W316">
        <v>2</v>
      </c>
      <c r="X316">
        <v>64</v>
      </c>
      <c r="Y316">
        <v>18</v>
      </c>
      <c r="Z316">
        <v>0</v>
      </c>
      <c r="AA316">
        <v>11</v>
      </c>
      <c r="AB316">
        <v>11</v>
      </c>
      <c r="AO316">
        <v>1</v>
      </c>
      <c r="AW316">
        <v>0</v>
      </c>
      <c r="AX316">
        <v>8</v>
      </c>
      <c r="AY316">
        <v>281</v>
      </c>
      <c r="AZ316">
        <v>281</v>
      </c>
      <c r="BA316">
        <v>579</v>
      </c>
      <c r="BB316">
        <v>44</v>
      </c>
      <c r="BD316">
        <v>1</v>
      </c>
      <c r="BF316" t="s">
        <v>425</v>
      </c>
      <c r="BG316" s="1">
        <v>44354.020833333336</v>
      </c>
      <c r="BH316" s="1">
        <v>44354.028738425928</v>
      </c>
      <c r="BI316" s="1">
        <v>44354.029247685183</v>
      </c>
      <c r="BJ316" t="s">
        <v>85</v>
      </c>
      <c r="BK316" t="s">
        <v>86</v>
      </c>
      <c r="BL316" t="s">
        <v>87</v>
      </c>
    </row>
    <row r="317" spans="1:64" x14ac:dyDescent="0.3">
      <c r="A317" t="str">
        <f>"200206C0300"</f>
        <v>200206C0300</v>
      </c>
      <c r="B317" t="str">
        <f>"200206C03003"</f>
        <v>200206C03003</v>
      </c>
      <c r="C317" t="str">
        <f t="shared" si="16"/>
        <v>20</v>
      </c>
      <c r="D317" t="s">
        <v>81</v>
      </c>
      <c r="E317" t="str">
        <f t="shared" si="19"/>
        <v>037</v>
      </c>
      <c r="F317" t="s">
        <v>400</v>
      </c>
      <c r="G317" t="str">
        <f>"0206"</f>
        <v>0206</v>
      </c>
      <c r="H317" t="str">
        <f>"0003"</f>
        <v>0003</v>
      </c>
      <c r="I317" t="s">
        <v>89</v>
      </c>
      <c r="J317">
        <v>0</v>
      </c>
      <c r="K317">
        <v>1</v>
      </c>
      <c r="L317">
        <v>3</v>
      </c>
      <c r="M317">
        <v>355</v>
      </c>
      <c r="N317">
        <v>268</v>
      </c>
      <c r="O317">
        <v>3</v>
      </c>
      <c r="P317">
        <v>268</v>
      </c>
      <c r="Q317">
        <v>47</v>
      </c>
      <c r="R317">
        <v>19</v>
      </c>
      <c r="S317">
        <v>3</v>
      </c>
      <c r="T317">
        <v>60</v>
      </c>
      <c r="U317">
        <v>28</v>
      </c>
      <c r="V317">
        <v>1</v>
      </c>
      <c r="W317">
        <v>2</v>
      </c>
      <c r="X317">
        <v>59</v>
      </c>
      <c r="Y317">
        <v>18</v>
      </c>
      <c r="Z317">
        <v>0</v>
      </c>
      <c r="AA317">
        <v>4</v>
      </c>
      <c r="AB317">
        <v>4</v>
      </c>
      <c r="AO317">
        <v>4</v>
      </c>
      <c r="AW317">
        <v>0</v>
      </c>
      <c r="AX317">
        <v>2</v>
      </c>
      <c r="AY317">
        <v>251</v>
      </c>
      <c r="AZ317">
        <v>251</v>
      </c>
      <c r="BA317">
        <v>579</v>
      </c>
      <c r="BB317">
        <v>44</v>
      </c>
      <c r="BD317">
        <v>1</v>
      </c>
      <c r="BF317" t="s">
        <v>426</v>
      </c>
      <c r="BG317" s="1">
        <v>44353.952361111114</v>
      </c>
      <c r="BH317" s="1">
        <v>44353.954768518517</v>
      </c>
      <c r="BI317" s="1">
        <v>44353.955497685187</v>
      </c>
      <c r="BJ317" t="s">
        <v>197</v>
      </c>
      <c r="BK317" t="s">
        <v>198</v>
      </c>
      <c r="BL317" t="s">
        <v>87</v>
      </c>
    </row>
    <row r="318" spans="1:64" x14ac:dyDescent="0.3">
      <c r="A318" t="str">
        <f>"200207B0000"</f>
        <v>200207B0000</v>
      </c>
      <c r="B318" t="str">
        <f>"200207B00003"</f>
        <v>200207B00003</v>
      </c>
      <c r="C318" t="str">
        <f t="shared" si="16"/>
        <v>20</v>
      </c>
      <c r="D318" t="s">
        <v>81</v>
      </c>
      <c r="E318" t="str">
        <f t="shared" si="19"/>
        <v>037</v>
      </c>
      <c r="F318" t="s">
        <v>400</v>
      </c>
      <c r="G318" t="str">
        <f>"0207"</f>
        <v>0207</v>
      </c>
      <c r="H318" t="str">
        <f>"0000"</f>
        <v>0000</v>
      </c>
      <c r="I318" t="s">
        <v>83</v>
      </c>
      <c r="J318">
        <v>0</v>
      </c>
      <c r="K318">
        <v>1</v>
      </c>
      <c r="L318">
        <v>3</v>
      </c>
      <c r="M318">
        <v>339</v>
      </c>
      <c r="N318">
        <v>306</v>
      </c>
      <c r="O318">
        <v>3</v>
      </c>
      <c r="P318">
        <v>306</v>
      </c>
      <c r="Q318">
        <v>67</v>
      </c>
      <c r="R318">
        <v>31</v>
      </c>
      <c r="S318">
        <v>2</v>
      </c>
      <c r="T318">
        <v>44</v>
      </c>
      <c r="U318">
        <v>22</v>
      </c>
      <c r="V318">
        <v>5</v>
      </c>
      <c r="W318">
        <v>1</v>
      </c>
      <c r="X318">
        <v>79</v>
      </c>
      <c r="Y318">
        <v>25</v>
      </c>
      <c r="Z318">
        <v>0</v>
      </c>
      <c r="AA318">
        <v>7</v>
      </c>
      <c r="AB318">
        <v>13</v>
      </c>
      <c r="AO318">
        <v>1</v>
      </c>
      <c r="AW318">
        <v>0</v>
      </c>
      <c r="AX318">
        <v>9</v>
      </c>
      <c r="AY318">
        <v>306</v>
      </c>
      <c r="AZ318">
        <v>306</v>
      </c>
      <c r="BA318">
        <v>601</v>
      </c>
      <c r="BB318">
        <v>44</v>
      </c>
      <c r="BD318">
        <v>1</v>
      </c>
      <c r="BF318" t="s">
        <v>427</v>
      </c>
      <c r="BG318" s="1">
        <v>44353.913229166668</v>
      </c>
      <c r="BH318" s="1">
        <v>44353.914814814816</v>
      </c>
      <c r="BI318" s="1">
        <v>44353.91611111111</v>
      </c>
      <c r="BJ318" t="s">
        <v>197</v>
      </c>
      <c r="BK318" t="s">
        <v>198</v>
      </c>
      <c r="BL318" t="s">
        <v>87</v>
      </c>
    </row>
    <row r="319" spans="1:64" x14ac:dyDescent="0.3">
      <c r="A319" t="str">
        <f>"200207C0100"</f>
        <v>200207C0100</v>
      </c>
      <c r="B319" t="str">
        <f>"200207C01003"</f>
        <v>200207C01003</v>
      </c>
      <c r="C319" t="str">
        <f t="shared" si="16"/>
        <v>20</v>
      </c>
      <c r="D319" t="s">
        <v>81</v>
      </c>
      <c r="E319" t="str">
        <f t="shared" si="19"/>
        <v>037</v>
      </c>
      <c r="F319" t="s">
        <v>400</v>
      </c>
      <c r="G319" t="str">
        <f>"0207"</f>
        <v>0207</v>
      </c>
      <c r="H319" t="str">
        <f>"0001"</f>
        <v>0001</v>
      </c>
      <c r="I319" t="s">
        <v>89</v>
      </c>
      <c r="J319">
        <v>0</v>
      </c>
      <c r="K319">
        <v>1</v>
      </c>
      <c r="L319">
        <v>3</v>
      </c>
      <c r="M319">
        <v>341</v>
      </c>
      <c r="N319">
        <v>304</v>
      </c>
      <c r="O319">
        <v>3</v>
      </c>
      <c r="P319">
        <v>304</v>
      </c>
      <c r="Q319">
        <v>69</v>
      </c>
      <c r="R319">
        <v>32</v>
      </c>
      <c r="S319">
        <v>7</v>
      </c>
      <c r="T319">
        <v>53</v>
      </c>
      <c r="U319">
        <v>18</v>
      </c>
      <c r="V319">
        <v>1</v>
      </c>
      <c r="W319">
        <v>1</v>
      </c>
      <c r="X319">
        <v>67</v>
      </c>
      <c r="Y319">
        <v>24</v>
      </c>
      <c r="Z319">
        <v>1</v>
      </c>
      <c r="AA319">
        <v>13</v>
      </c>
      <c r="AB319">
        <v>7</v>
      </c>
      <c r="AO319">
        <v>1</v>
      </c>
      <c r="AW319">
        <v>0</v>
      </c>
      <c r="AX319">
        <v>10</v>
      </c>
      <c r="AY319">
        <v>304</v>
      </c>
      <c r="AZ319">
        <v>304</v>
      </c>
      <c r="BA319">
        <v>601</v>
      </c>
      <c r="BB319">
        <v>44</v>
      </c>
      <c r="BD319">
        <v>1</v>
      </c>
      <c r="BF319" t="s">
        <v>428</v>
      </c>
      <c r="BG319" s="1">
        <v>44353.944444444445</v>
      </c>
      <c r="BH319" s="1">
        <v>44353.959803240738</v>
      </c>
      <c r="BI319" s="1">
        <v>44353.960659722223</v>
      </c>
      <c r="BJ319" t="s">
        <v>85</v>
      </c>
      <c r="BK319" t="s">
        <v>86</v>
      </c>
      <c r="BL319" t="s">
        <v>87</v>
      </c>
    </row>
    <row r="320" spans="1:64" x14ac:dyDescent="0.3">
      <c r="A320" t="str">
        <f>"200207C0200"</f>
        <v>200207C0200</v>
      </c>
      <c r="B320" t="str">
        <f>"200207C02003"</f>
        <v>200207C02003</v>
      </c>
      <c r="C320" t="str">
        <f t="shared" si="16"/>
        <v>20</v>
      </c>
      <c r="D320" t="s">
        <v>81</v>
      </c>
      <c r="E320" t="str">
        <f t="shared" si="19"/>
        <v>037</v>
      </c>
      <c r="F320" t="s">
        <v>400</v>
      </c>
      <c r="G320" t="str">
        <f>"0207"</f>
        <v>0207</v>
      </c>
      <c r="H320" t="str">
        <f>"0002"</f>
        <v>0002</v>
      </c>
      <c r="I320" t="s">
        <v>89</v>
      </c>
      <c r="J320">
        <v>0</v>
      </c>
      <c r="K320">
        <v>1</v>
      </c>
      <c r="L320">
        <v>3</v>
      </c>
      <c r="M320">
        <v>333</v>
      </c>
      <c r="N320">
        <v>311</v>
      </c>
      <c r="O320">
        <v>2</v>
      </c>
      <c r="P320">
        <v>310</v>
      </c>
      <c r="Q320">
        <v>69</v>
      </c>
      <c r="R320">
        <v>32</v>
      </c>
      <c r="S320">
        <v>6</v>
      </c>
      <c r="T320">
        <v>53</v>
      </c>
      <c r="U320">
        <v>17</v>
      </c>
      <c r="V320">
        <v>2</v>
      </c>
      <c r="W320">
        <v>0</v>
      </c>
      <c r="X320">
        <v>74</v>
      </c>
      <c r="Y320">
        <v>25</v>
      </c>
      <c r="Z320">
        <v>1</v>
      </c>
      <c r="AA320">
        <v>5</v>
      </c>
      <c r="AB320">
        <v>7</v>
      </c>
      <c r="AO320">
        <v>6</v>
      </c>
      <c r="AW320">
        <v>2</v>
      </c>
      <c r="AX320">
        <v>10</v>
      </c>
      <c r="AY320">
        <v>310</v>
      </c>
      <c r="AZ320">
        <v>309</v>
      </c>
      <c r="BA320">
        <v>600</v>
      </c>
      <c r="BB320">
        <v>44</v>
      </c>
      <c r="BD320">
        <v>1</v>
      </c>
      <c r="BF320" t="s">
        <v>429</v>
      </c>
      <c r="BG320" s="1">
        <v>44353.908391203702</v>
      </c>
      <c r="BH320" s="1">
        <v>44353.909571759257</v>
      </c>
      <c r="BI320" s="1">
        <v>44353.910150462965</v>
      </c>
      <c r="BJ320" t="s">
        <v>197</v>
      </c>
      <c r="BK320" t="s">
        <v>198</v>
      </c>
      <c r="BL320" t="s">
        <v>87</v>
      </c>
    </row>
    <row r="321" spans="1:64" x14ac:dyDescent="0.3">
      <c r="A321" t="str">
        <f>"200207C0300"</f>
        <v>200207C0300</v>
      </c>
      <c r="B321" t="str">
        <f>"200207C03003"</f>
        <v>200207C03003</v>
      </c>
      <c r="C321" t="str">
        <f t="shared" si="16"/>
        <v>20</v>
      </c>
      <c r="D321" t="s">
        <v>81</v>
      </c>
      <c r="E321" t="str">
        <f t="shared" si="19"/>
        <v>037</v>
      </c>
      <c r="F321" t="s">
        <v>400</v>
      </c>
      <c r="G321" t="str">
        <f>"0207"</f>
        <v>0207</v>
      </c>
      <c r="H321" t="str">
        <f>"0003"</f>
        <v>0003</v>
      </c>
      <c r="I321" t="s">
        <v>89</v>
      </c>
      <c r="J321">
        <v>0</v>
      </c>
      <c r="K321">
        <v>1</v>
      </c>
      <c r="L321">
        <v>3</v>
      </c>
      <c r="M321">
        <v>341</v>
      </c>
      <c r="N321">
        <v>303</v>
      </c>
      <c r="O321">
        <v>1</v>
      </c>
      <c r="P321">
        <v>303</v>
      </c>
      <c r="Q321">
        <v>78</v>
      </c>
      <c r="R321">
        <v>25</v>
      </c>
      <c r="S321">
        <v>5</v>
      </c>
      <c r="T321">
        <v>55</v>
      </c>
      <c r="U321">
        <v>18</v>
      </c>
      <c r="V321">
        <v>1</v>
      </c>
      <c r="W321">
        <v>0</v>
      </c>
      <c r="X321">
        <v>73</v>
      </c>
      <c r="Y321">
        <v>15</v>
      </c>
      <c r="Z321">
        <v>1</v>
      </c>
      <c r="AA321">
        <v>9</v>
      </c>
      <c r="AB321">
        <v>7</v>
      </c>
      <c r="AO321">
        <v>3</v>
      </c>
      <c r="AW321">
        <v>0</v>
      </c>
      <c r="AX321">
        <v>3</v>
      </c>
      <c r="AY321">
        <v>303</v>
      </c>
      <c r="AZ321">
        <v>293</v>
      </c>
      <c r="BA321">
        <v>600</v>
      </c>
      <c r="BB321">
        <v>44</v>
      </c>
      <c r="BD321">
        <v>1</v>
      </c>
      <c r="BF321" t="s">
        <v>430</v>
      </c>
      <c r="BG321" s="1">
        <v>44353.946527777778</v>
      </c>
      <c r="BH321" s="1">
        <v>44354.49527777778</v>
      </c>
      <c r="BI321" s="1">
        <v>44354.49590277778</v>
      </c>
      <c r="BJ321" t="s">
        <v>85</v>
      </c>
      <c r="BK321" t="s">
        <v>86</v>
      </c>
      <c r="BL321" t="s">
        <v>87</v>
      </c>
    </row>
    <row r="322" spans="1:64" x14ac:dyDescent="0.3">
      <c r="A322" t="str">
        <f>"200208B0000"</f>
        <v>200208B0000</v>
      </c>
      <c r="B322" t="str">
        <f>"200208B00003"</f>
        <v>200208B00003</v>
      </c>
      <c r="C322" t="str">
        <f t="shared" si="16"/>
        <v>20</v>
      </c>
      <c r="D322" t="s">
        <v>81</v>
      </c>
      <c r="E322" t="str">
        <f t="shared" si="19"/>
        <v>037</v>
      </c>
      <c r="F322" t="s">
        <v>400</v>
      </c>
      <c r="G322" t="str">
        <f>"0208"</f>
        <v>0208</v>
      </c>
      <c r="H322" t="str">
        <f>"0000"</f>
        <v>0000</v>
      </c>
      <c r="I322" t="s">
        <v>83</v>
      </c>
      <c r="J322">
        <v>0</v>
      </c>
      <c r="K322">
        <v>1</v>
      </c>
      <c r="L322">
        <v>3</v>
      </c>
      <c r="M322">
        <v>395</v>
      </c>
      <c r="N322">
        <v>284</v>
      </c>
      <c r="O322">
        <v>7</v>
      </c>
      <c r="P322">
        <v>284</v>
      </c>
      <c r="Q322">
        <v>41</v>
      </c>
      <c r="R322">
        <v>32</v>
      </c>
      <c r="S322">
        <v>4</v>
      </c>
      <c r="T322">
        <v>49</v>
      </c>
      <c r="U322">
        <v>18</v>
      </c>
      <c r="V322">
        <v>9</v>
      </c>
      <c r="W322">
        <v>4</v>
      </c>
      <c r="X322">
        <v>52</v>
      </c>
      <c r="Y322">
        <v>35</v>
      </c>
      <c r="Z322">
        <v>2</v>
      </c>
      <c r="AA322">
        <v>2</v>
      </c>
      <c r="AB322">
        <v>14</v>
      </c>
      <c r="AO322">
        <v>3</v>
      </c>
      <c r="AW322">
        <v>0</v>
      </c>
      <c r="AX322">
        <v>19</v>
      </c>
      <c r="AY322">
        <v>284</v>
      </c>
      <c r="AZ322">
        <v>284</v>
      </c>
      <c r="BA322">
        <v>635</v>
      </c>
      <c r="BB322">
        <v>44</v>
      </c>
      <c r="BD322">
        <v>1</v>
      </c>
      <c r="BF322" t="s">
        <v>431</v>
      </c>
      <c r="BG322" s="1">
        <v>44354.09652777778</v>
      </c>
      <c r="BH322" s="1">
        <v>44354.103171296294</v>
      </c>
      <c r="BI322" s="1">
        <v>44354.105462962965</v>
      </c>
      <c r="BJ322" t="s">
        <v>85</v>
      </c>
      <c r="BK322" t="s">
        <v>86</v>
      </c>
      <c r="BL322" t="s">
        <v>87</v>
      </c>
    </row>
    <row r="323" spans="1:64" x14ac:dyDescent="0.3">
      <c r="A323" t="str">
        <f>"200208C0100"</f>
        <v>200208C0100</v>
      </c>
      <c r="B323" t="str">
        <f>"200208C01003"</f>
        <v>200208C01003</v>
      </c>
      <c r="C323" t="str">
        <f t="shared" si="16"/>
        <v>20</v>
      </c>
      <c r="D323" t="s">
        <v>81</v>
      </c>
      <c r="E323" t="str">
        <f t="shared" si="19"/>
        <v>037</v>
      </c>
      <c r="F323" t="s">
        <v>400</v>
      </c>
      <c r="G323" t="str">
        <f>"0208"</f>
        <v>0208</v>
      </c>
      <c r="H323" t="str">
        <f>"0001"</f>
        <v>0001</v>
      </c>
      <c r="I323" t="s">
        <v>89</v>
      </c>
      <c r="J323">
        <v>0</v>
      </c>
      <c r="K323">
        <v>1</v>
      </c>
      <c r="L323">
        <v>3</v>
      </c>
      <c r="M323">
        <v>396</v>
      </c>
      <c r="N323">
        <v>283</v>
      </c>
      <c r="O323">
        <v>2</v>
      </c>
      <c r="P323">
        <v>0</v>
      </c>
      <c r="Q323">
        <v>32</v>
      </c>
      <c r="R323">
        <v>25</v>
      </c>
      <c r="S323">
        <v>4</v>
      </c>
      <c r="T323">
        <v>59</v>
      </c>
      <c r="U323">
        <v>26</v>
      </c>
      <c r="V323">
        <v>10</v>
      </c>
      <c r="W323">
        <v>2</v>
      </c>
      <c r="X323">
        <v>62</v>
      </c>
      <c r="Y323">
        <v>18</v>
      </c>
      <c r="Z323">
        <v>1</v>
      </c>
      <c r="AA323">
        <v>6</v>
      </c>
      <c r="AB323">
        <v>21</v>
      </c>
      <c r="AO323">
        <v>6</v>
      </c>
      <c r="AW323">
        <v>0</v>
      </c>
      <c r="AX323">
        <v>11</v>
      </c>
      <c r="AY323">
        <v>283</v>
      </c>
      <c r="AZ323">
        <v>283</v>
      </c>
      <c r="BA323">
        <v>635</v>
      </c>
      <c r="BB323">
        <v>44</v>
      </c>
      <c r="BD323">
        <v>1</v>
      </c>
      <c r="BF323" t="s">
        <v>432</v>
      </c>
      <c r="BG323" s="1">
        <v>44353.992291666669</v>
      </c>
      <c r="BH323" s="1">
        <v>44353.996064814812</v>
      </c>
      <c r="BI323" s="1">
        <v>44353.996527777781</v>
      </c>
      <c r="BJ323" t="s">
        <v>197</v>
      </c>
      <c r="BK323" t="s">
        <v>198</v>
      </c>
      <c r="BL323" t="s">
        <v>87</v>
      </c>
    </row>
    <row r="324" spans="1:64" x14ac:dyDescent="0.3">
      <c r="A324" t="str">
        <f>"200208C0200"</f>
        <v>200208C0200</v>
      </c>
      <c r="B324" t="str">
        <f>"200208C02003"</f>
        <v>200208C02003</v>
      </c>
      <c r="C324" t="str">
        <f t="shared" si="16"/>
        <v>20</v>
      </c>
      <c r="D324" t="s">
        <v>81</v>
      </c>
      <c r="E324" t="str">
        <f t="shared" ref="E324:E355" si="20">"037"</f>
        <v>037</v>
      </c>
      <c r="F324" t="s">
        <v>400</v>
      </c>
      <c r="G324" t="str">
        <f>"0208"</f>
        <v>0208</v>
      </c>
      <c r="H324" t="str">
        <f>"0002"</f>
        <v>0002</v>
      </c>
      <c r="I324" t="s">
        <v>89</v>
      </c>
      <c r="J324">
        <v>0</v>
      </c>
      <c r="K324">
        <v>1</v>
      </c>
      <c r="L324">
        <v>3</v>
      </c>
      <c r="M324">
        <v>380</v>
      </c>
      <c r="N324">
        <v>299</v>
      </c>
      <c r="O324">
        <v>4</v>
      </c>
      <c r="P324">
        <v>299</v>
      </c>
      <c r="Q324">
        <v>39</v>
      </c>
      <c r="R324">
        <v>35</v>
      </c>
      <c r="S324">
        <v>3</v>
      </c>
      <c r="T324">
        <v>64</v>
      </c>
      <c r="U324">
        <v>34</v>
      </c>
      <c r="V324">
        <v>5</v>
      </c>
      <c r="W324">
        <v>4</v>
      </c>
      <c r="X324">
        <v>52</v>
      </c>
      <c r="Y324">
        <v>27</v>
      </c>
      <c r="Z324">
        <v>4</v>
      </c>
      <c r="AA324">
        <v>2</v>
      </c>
      <c r="AB324">
        <v>14</v>
      </c>
      <c r="AO324">
        <v>9</v>
      </c>
      <c r="AW324">
        <v>0</v>
      </c>
      <c r="AX324">
        <v>7</v>
      </c>
      <c r="AY324">
        <v>299</v>
      </c>
      <c r="AZ324">
        <v>299</v>
      </c>
      <c r="BA324">
        <v>635</v>
      </c>
      <c r="BB324">
        <v>44</v>
      </c>
      <c r="BD324">
        <v>1</v>
      </c>
      <c r="BF324" t="s">
        <v>433</v>
      </c>
      <c r="BG324" s="1">
        <v>44353.94021990741</v>
      </c>
      <c r="BH324" s="1">
        <v>44353.941828703704</v>
      </c>
      <c r="BI324" s="1">
        <v>44353.942280092589</v>
      </c>
      <c r="BJ324" t="s">
        <v>197</v>
      </c>
      <c r="BK324" t="s">
        <v>198</v>
      </c>
      <c r="BL324" t="s">
        <v>87</v>
      </c>
    </row>
    <row r="325" spans="1:64" x14ac:dyDescent="0.3">
      <c r="A325" t="str">
        <f>"200208C0300"</f>
        <v>200208C0300</v>
      </c>
      <c r="B325" t="str">
        <f>"200208C03003"</f>
        <v>200208C03003</v>
      </c>
      <c r="C325" t="str">
        <f t="shared" si="16"/>
        <v>20</v>
      </c>
      <c r="D325" t="s">
        <v>81</v>
      </c>
      <c r="E325" t="str">
        <f t="shared" si="20"/>
        <v>037</v>
      </c>
      <c r="F325" t="s">
        <v>400</v>
      </c>
      <c r="G325" t="str">
        <f>"0208"</f>
        <v>0208</v>
      </c>
      <c r="H325" t="str">
        <f>"0003"</f>
        <v>0003</v>
      </c>
      <c r="I325" t="s">
        <v>89</v>
      </c>
      <c r="J325">
        <v>0</v>
      </c>
      <c r="K325">
        <v>1</v>
      </c>
      <c r="L325">
        <v>3</v>
      </c>
      <c r="M325">
        <v>360</v>
      </c>
      <c r="N325">
        <v>319</v>
      </c>
      <c r="O325">
        <v>5</v>
      </c>
      <c r="P325">
        <v>319</v>
      </c>
      <c r="Q325">
        <v>54</v>
      </c>
      <c r="R325">
        <v>36</v>
      </c>
      <c r="S325">
        <v>0</v>
      </c>
      <c r="T325">
        <v>56</v>
      </c>
      <c r="U325">
        <v>22</v>
      </c>
      <c r="V325">
        <v>2</v>
      </c>
      <c r="W325">
        <v>4</v>
      </c>
      <c r="X325">
        <v>71</v>
      </c>
      <c r="Y325">
        <v>21</v>
      </c>
      <c r="Z325">
        <v>1</v>
      </c>
      <c r="AA325">
        <v>10</v>
      </c>
      <c r="AB325">
        <v>23</v>
      </c>
      <c r="AO325">
        <v>6</v>
      </c>
      <c r="AW325">
        <v>0</v>
      </c>
      <c r="AX325">
        <v>13</v>
      </c>
      <c r="AY325">
        <v>319</v>
      </c>
      <c r="AZ325">
        <v>319</v>
      </c>
      <c r="BA325">
        <v>635</v>
      </c>
      <c r="BB325">
        <v>44</v>
      </c>
      <c r="BD325">
        <v>1</v>
      </c>
      <c r="BF325" t="s">
        <v>434</v>
      </c>
      <c r="BG325" s="1">
        <v>44354.111805555556</v>
      </c>
      <c r="BH325" s="1">
        <v>44354.116388888891</v>
      </c>
      <c r="BI325" s="1">
        <v>44354.116956018515</v>
      </c>
      <c r="BJ325" t="s">
        <v>85</v>
      </c>
      <c r="BK325" t="s">
        <v>86</v>
      </c>
      <c r="BL325" t="s">
        <v>87</v>
      </c>
    </row>
    <row r="326" spans="1:64" x14ac:dyDescent="0.3">
      <c r="A326" t="str">
        <f>"200208C0400"</f>
        <v>200208C0400</v>
      </c>
      <c r="B326" t="str">
        <f>"200208C04003"</f>
        <v>200208C04003</v>
      </c>
      <c r="C326" t="str">
        <f t="shared" si="16"/>
        <v>20</v>
      </c>
      <c r="D326" t="s">
        <v>81</v>
      </c>
      <c r="E326" t="str">
        <f t="shared" si="20"/>
        <v>037</v>
      </c>
      <c r="F326" t="s">
        <v>400</v>
      </c>
      <c r="G326" t="str">
        <f>"0208"</f>
        <v>0208</v>
      </c>
      <c r="H326" t="str">
        <f>"0004"</f>
        <v>0004</v>
      </c>
      <c r="I326" t="s">
        <v>89</v>
      </c>
      <c r="J326">
        <v>0</v>
      </c>
      <c r="K326">
        <v>1</v>
      </c>
      <c r="L326">
        <v>3</v>
      </c>
      <c r="M326">
        <v>402</v>
      </c>
      <c r="N326">
        <v>276</v>
      </c>
      <c r="O326">
        <v>9</v>
      </c>
      <c r="P326">
        <v>276</v>
      </c>
      <c r="Q326">
        <v>47</v>
      </c>
      <c r="R326">
        <v>23</v>
      </c>
      <c r="S326">
        <v>1</v>
      </c>
      <c r="T326">
        <v>64</v>
      </c>
      <c r="U326">
        <v>33</v>
      </c>
      <c r="V326">
        <v>4</v>
      </c>
      <c r="W326">
        <v>0</v>
      </c>
      <c r="X326">
        <v>63</v>
      </c>
      <c r="Y326">
        <v>22</v>
      </c>
      <c r="Z326">
        <v>1</v>
      </c>
      <c r="AA326">
        <v>3</v>
      </c>
      <c r="AB326">
        <v>7</v>
      </c>
      <c r="AO326">
        <v>2</v>
      </c>
      <c r="AW326">
        <v>0</v>
      </c>
      <c r="AX326">
        <v>6</v>
      </c>
      <c r="AY326">
        <v>276</v>
      </c>
      <c r="AZ326">
        <v>276</v>
      </c>
      <c r="BA326">
        <v>634</v>
      </c>
      <c r="BB326">
        <v>44</v>
      </c>
      <c r="BD326">
        <v>1</v>
      </c>
      <c r="BF326" t="s">
        <v>435</v>
      </c>
      <c r="BG326" s="1">
        <v>44353.881307870368</v>
      </c>
      <c r="BH326" s="1">
        <v>44353.883310185185</v>
      </c>
      <c r="BI326" s="1">
        <v>44353.883981481478</v>
      </c>
      <c r="BJ326" t="s">
        <v>197</v>
      </c>
      <c r="BK326" t="s">
        <v>198</v>
      </c>
      <c r="BL326" t="s">
        <v>87</v>
      </c>
    </row>
    <row r="327" spans="1:64" x14ac:dyDescent="0.3">
      <c r="A327" t="str">
        <f>"200209B0000"</f>
        <v>200209B0000</v>
      </c>
      <c r="B327" t="str">
        <f>"200209B00003"</f>
        <v>200209B00003</v>
      </c>
      <c r="C327" t="str">
        <f t="shared" ref="C327:C390" si="21">"20"</f>
        <v>20</v>
      </c>
      <c r="D327" t="s">
        <v>81</v>
      </c>
      <c r="E327" t="str">
        <f t="shared" si="20"/>
        <v>037</v>
      </c>
      <c r="F327" t="s">
        <v>400</v>
      </c>
      <c r="G327" t="str">
        <f>"0209"</f>
        <v>0209</v>
      </c>
      <c r="H327" t="str">
        <f>"0000"</f>
        <v>0000</v>
      </c>
      <c r="I327" t="s">
        <v>83</v>
      </c>
      <c r="J327">
        <v>0</v>
      </c>
      <c r="K327">
        <v>1</v>
      </c>
      <c r="L327">
        <v>3</v>
      </c>
      <c r="M327">
        <v>312</v>
      </c>
      <c r="N327">
        <v>267</v>
      </c>
      <c r="O327">
        <v>5</v>
      </c>
      <c r="P327">
        <v>267</v>
      </c>
      <c r="Q327">
        <v>78</v>
      </c>
      <c r="R327">
        <v>27</v>
      </c>
      <c r="S327">
        <v>1</v>
      </c>
      <c r="T327">
        <v>41</v>
      </c>
      <c r="U327">
        <v>15</v>
      </c>
      <c r="V327">
        <v>4</v>
      </c>
      <c r="W327">
        <v>0</v>
      </c>
      <c r="X327">
        <v>58</v>
      </c>
      <c r="Y327">
        <v>11</v>
      </c>
      <c r="Z327">
        <v>0</v>
      </c>
      <c r="AA327">
        <v>4</v>
      </c>
      <c r="AB327">
        <v>10</v>
      </c>
      <c r="AO327">
        <v>10</v>
      </c>
      <c r="AW327">
        <v>0</v>
      </c>
      <c r="AX327">
        <v>8</v>
      </c>
      <c r="AY327">
        <v>267</v>
      </c>
      <c r="AZ327">
        <v>267</v>
      </c>
      <c r="BA327">
        <v>535</v>
      </c>
      <c r="BB327">
        <v>44</v>
      </c>
      <c r="BD327">
        <v>1</v>
      </c>
      <c r="BF327" t="s">
        <v>436</v>
      </c>
      <c r="BG327" s="1">
        <v>44353.903506944444</v>
      </c>
      <c r="BH327" s="1">
        <v>44353.906412037039</v>
      </c>
      <c r="BI327" s="1">
        <v>44353.907037037039</v>
      </c>
      <c r="BJ327" t="s">
        <v>197</v>
      </c>
      <c r="BK327" t="s">
        <v>198</v>
      </c>
      <c r="BL327" t="s">
        <v>87</v>
      </c>
    </row>
    <row r="328" spans="1:64" x14ac:dyDescent="0.3">
      <c r="A328" t="str">
        <f>"200209C0100"</f>
        <v>200209C0100</v>
      </c>
      <c r="B328" t="str">
        <f>"200209C01003"</f>
        <v>200209C01003</v>
      </c>
      <c r="C328" t="str">
        <f t="shared" si="21"/>
        <v>20</v>
      </c>
      <c r="D328" t="s">
        <v>81</v>
      </c>
      <c r="E328" t="str">
        <f t="shared" si="20"/>
        <v>037</v>
      </c>
      <c r="F328" t="s">
        <v>400</v>
      </c>
      <c r="G328" t="str">
        <f>"0209"</f>
        <v>0209</v>
      </c>
      <c r="H328" t="str">
        <f>"0001"</f>
        <v>0001</v>
      </c>
      <c r="I328" t="s">
        <v>89</v>
      </c>
      <c r="J328">
        <v>0</v>
      </c>
      <c r="K328">
        <v>1</v>
      </c>
      <c r="L328">
        <v>3</v>
      </c>
      <c r="M328">
        <v>256</v>
      </c>
      <c r="N328">
        <v>322</v>
      </c>
      <c r="O328">
        <v>6</v>
      </c>
      <c r="P328">
        <v>322</v>
      </c>
      <c r="Q328">
        <v>107</v>
      </c>
      <c r="R328">
        <v>17</v>
      </c>
      <c r="S328">
        <v>2</v>
      </c>
      <c r="T328">
        <v>62</v>
      </c>
      <c r="U328">
        <v>28</v>
      </c>
      <c r="V328">
        <v>2</v>
      </c>
      <c r="W328">
        <v>1</v>
      </c>
      <c r="X328">
        <v>65</v>
      </c>
      <c r="Y328">
        <v>14</v>
      </c>
      <c r="Z328">
        <v>1</v>
      </c>
      <c r="AA328">
        <v>5</v>
      </c>
      <c r="AB328">
        <v>8</v>
      </c>
      <c r="AO328">
        <v>7</v>
      </c>
      <c r="AW328">
        <v>0</v>
      </c>
      <c r="AX328">
        <v>3</v>
      </c>
      <c r="AY328">
        <v>322</v>
      </c>
      <c r="AZ328">
        <v>322</v>
      </c>
      <c r="BA328">
        <v>534</v>
      </c>
      <c r="BB328">
        <v>44</v>
      </c>
      <c r="BD328">
        <v>1</v>
      </c>
      <c r="BF328" t="s">
        <v>437</v>
      </c>
      <c r="BG328" s="1">
        <v>44353.902650462966</v>
      </c>
      <c r="BH328" s="1">
        <v>44353.906782407408</v>
      </c>
      <c r="BI328" s="1">
        <v>44353.907222222224</v>
      </c>
      <c r="BJ328" t="s">
        <v>197</v>
      </c>
      <c r="BK328" t="s">
        <v>198</v>
      </c>
      <c r="BL328" t="s">
        <v>87</v>
      </c>
    </row>
    <row r="329" spans="1:64" x14ac:dyDescent="0.3">
      <c r="A329" t="str">
        <f>"200209C0200"</f>
        <v>200209C0200</v>
      </c>
      <c r="B329" t="str">
        <f>"200209C02003"</f>
        <v>200209C02003</v>
      </c>
      <c r="C329" t="str">
        <f t="shared" si="21"/>
        <v>20</v>
      </c>
      <c r="D329" t="s">
        <v>81</v>
      </c>
      <c r="E329" t="str">
        <f t="shared" si="20"/>
        <v>037</v>
      </c>
      <c r="F329" t="s">
        <v>400</v>
      </c>
      <c r="G329" t="str">
        <f>"0209"</f>
        <v>0209</v>
      </c>
      <c r="H329" t="str">
        <f>"0002"</f>
        <v>0002</v>
      </c>
      <c r="I329" t="s">
        <v>89</v>
      </c>
      <c r="J329">
        <v>0</v>
      </c>
      <c r="K329">
        <v>1</v>
      </c>
      <c r="L329">
        <v>3</v>
      </c>
      <c r="M329">
        <v>306</v>
      </c>
      <c r="N329">
        <v>271</v>
      </c>
      <c r="O329">
        <v>7</v>
      </c>
      <c r="P329" t="s">
        <v>92</v>
      </c>
      <c r="Q329">
        <v>77</v>
      </c>
      <c r="R329">
        <v>27</v>
      </c>
      <c r="S329">
        <v>2</v>
      </c>
      <c r="T329">
        <v>58</v>
      </c>
      <c r="U329">
        <v>23</v>
      </c>
      <c r="V329">
        <v>5</v>
      </c>
      <c r="W329">
        <v>1</v>
      </c>
      <c r="X329">
        <v>50</v>
      </c>
      <c r="Y329">
        <v>5</v>
      </c>
      <c r="Z329">
        <v>0</v>
      </c>
      <c r="AA329">
        <v>4</v>
      </c>
      <c r="AB329">
        <v>6</v>
      </c>
      <c r="AO329" t="s">
        <v>95</v>
      </c>
      <c r="AW329" t="s">
        <v>95</v>
      </c>
      <c r="AX329">
        <v>8</v>
      </c>
      <c r="AY329">
        <v>263</v>
      </c>
      <c r="AZ329">
        <v>266</v>
      </c>
      <c r="BA329">
        <v>534</v>
      </c>
      <c r="BB329">
        <v>44</v>
      </c>
      <c r="BC329" t="s">
        <v>96</v>
      </c>
      <c r="BD329">
        <v>1</v>
      </c>
      <c r="BF329" t="s">
        <v>438</v>
      </c>
      <c r="BG329" s="1">
        <v>44354.004166666666</v>
      </c>
      <c r="BH329" s="1">
        <v>44354.011446759258</v>
      </c>
      <c r="BI329" s="1">
        <v>44354.012060185189</v>
      </c>
      <c r="BJ329" t="s">
        <v>85</v>
      </c>
      <c r="BK329" t="s">
        <v>86</v>
      </c>
      <c r="BL329" t="s">
        <v>87</v>
      </c>
    </row>
    <row r="330" spans="1:64" x14ac:dyDescent="0.3">
      <c r="A330" t="str">
        <f>"200210B0000"</f>
        <v>200210B0000</v>
      </c>
      <c r="B330" t="str">
        <f>"200210B00003"</f>
        <v>200210B00003</v>
      </c>
      <c r="C330" t="str">
        <f t="shared" si="21"/>
        <v>20</v>
      </c>
      <c r="D330" t="s">
        <v>81</v>
      </c>
      <c r="E330" t="str">
        <f t="shared" si="20"/>
        <v>037</v>
      </c>
      <c r="F330" t="s">
        <v>400</v>
      </c>
      <c r="G330" t="str">
        <f>"0210"</f>
        <v>0210</v>
      </c>
      <c r="H330" t="str">
        <f>"0000"</f>
        <v>0000</v>
      </c>
      <c r="I330" t="s">
        <v>83</v>
      </c>
      <c r="J330">
        <v>0</v>
      </c>
      <c r="K330">
        <v>1</v>
      </c>
      <c r="L330">
        <v>3</v>
      </c>
      <c r="M330">
        <v>299</v>
      </c>
      <c r="N330">
        <v>305</v>
      </c>
      <c r="O330">
        <v>4</v>
      </c>
      <c r="P330">
        <v>305</v>
      </c>
      <c r="Q330">
        <v>95</v>
      </c>
      <c r="R330">
        <v>44</v>
      </c>
      <c r="S330">
        <v>1</v>
      </c>
      <c r="T330">
        <v>56</v>
      </c>
      <c r="U330">
        <v>6</v>
      </c>
      <c r="V330">
        <v>5</v>
      </c>
      <c r="W330">
        <v>0</v>
      </c>
      <c r="X330">
        <v>62</v>
      </c>
      <c r="Y330">
        <v>16</v>
      </c>
      <c r="Z330">
        <v>2</v>
      </c>
      <c r="AA330">
        <v>2</v>
      </c>
      <c r="AB330">
        <v>8</v>
      </c>
      <c r="AO330">
        <v>2</v>
      </c>
      <c r="AW330">
        <v>0</v>
      </c>
      <c r="AX330">
        <v>6</v>
      </c>
      <c r="AY330">
        <v>305</v>
      </c>
      <c r="AZ330">
        <v>305</v>
      </c>
      <c r="BA330">
        <v>560</v>
      </c>
      <c r="BB330">
        <v>44</v>
      </c>
      <c r="BD330">
        <v>1</v>
      </c>
      <c r="BF330" t="s">
        <v>439</v>
      </c>
      <c r="BG330" s="1">
        <v>44353.897916666669</v>
      </c>
      <c r="BH330" s="1">
        <v>44354.099398148152</v>
      </c>
      <c r="BI330" s="1">
        <v>44354.099907407406</v>
      </c>
      <c r="BJ330" t="s">
        <v>85</v>
      </c>
      <c r="BK330" t="s">
        <v>86</v>
      </c>
      <c r="BL330" t="s">
        <v>87</v>
      </c>
    </row>
    <row r="331" spans="1:64" x14ac:dyDescent="0.3">
      <c r="A331" t="str">
        <f>"200210C0100"</f>
        <v>200210C0100</v>
      </c>
      <c r="B331" t="str">
        <f>"200210C01003"</f>
        <v>200210C01003</v>
      </c>
      <c r="C331" t="str">
        <f t="shared" si="21"/>
        <v>20</v>
      </c>
      <c r="D331" t="s">
        <v>81</v>
      </c>
      <c r="E331" t="str">
        <f t="shared" si="20"/>
        <v>037</v>
      </c>
      <c r="F331" t="s">
        <v>400</v>
      </c>
      <c r="G331" t="str">
        <f>"0210"</f>
        <v>0210</v>
      </c>
      <c r="H331" t="str">
        <f>"0001"</f>
        <v>0001</v>
      </c>
      <c r="I331" t="s">
        <v>89</v>
      </c>
      <c r="J331">
        <v>0</v>
      </c>
      <c r="K331">
        <v>1</v>
      </c>
      <c r="L331">
        <v>3</v>
      </c>
      <c r="M331">
        <v>290</v>
      </c>
      <c r="N331">
        <v>313</v>
      </c>
      <c r="O331">
        <v>4</v>
      </c>
      <c r="P331">
        <v>313</v>
      </c>
      <c r="Q331">
        <v>80</v>
      </c>
      <c r="R331">
        <v>41</v>
      </c>
      <c r="S331">
        <v>1</v>
      </c>
      <c r="T331">
        <v>56</v>
      </c>
      <c r="U331">
        <v>17</v>
      </c>
      <c r="V331">
        <v>2</v>
      </c>
      <c r="W331">
        <v>0</v>
      </c>
      <c r="X331">
        <v>79</v>
      </c>
      <c r="Y331">
        <v>11</v>
      </c>
      <c r="Z331">
        <v>0</v>
      </c>
      <c r="AA331">
        <v>6</v>
      </c>
      <c r="AB331">
        <v>8</v>
      </c>
      <c r="AO331">
        <v>7</v>
      </c>
      <c r="AW331">
        <v>0</v>
      </c>
      <c r="AX331">
        <v>5</v>
      </c>
      <c r="AY331">
        <v>313</v>
      </c>
      <c r="AZ331">
        <v>313</v>
      </c>
      <c r="BA331">
        <v>559</v>
      </c>
      <c r="BB331">
        <v>44</v>
      </c>
      <c r="BD331">
        <v>1</v>
      </c>
      <c r="BF331" t="s">
        <v>440</v>
      </c>
      <c r="BG331" s="1">
        <v>44354.101388888892</v>
      </c>
      <c r="BH331" s="1">
        <v>44354.106053240743</v>
      </c>
      <c r="BI331" s="1">
        <v>44354.106481481482</v>
      </c>
      <c r="BJ331" t="s">
        <v>85</v>
      </c>
      <c r="BK331" t="s">
        <v>86</v>
      </c>
      <c r="BL331" t="s">
        <v>87</v>
      </c>
    </row>
    <row r="332" spans="1:64" x14ac:dyDescent="0.3">
      <c r="A332" t="str">
        <f>"200211B0000"</f>
        <v>200211B0000</v>
      </c>
      <c r="B332" t="str">
        <f>"200211B00003"</f>
        <v>200211B00003</v>
      </c>
      <c r="C332" t="str">
        <f t="shared" si="21"/>
        <v>20</v>
      </c>
      <c r="D332" t="s">
        <v>81</v>
      </c>
      <c r="E332" t="str">
        <f t="shared" si="20"/>
        <v>037</v>
      </c>
      <c r="F332" t="s">
        <v>400</v>
      </c>
      <c r="G332" t="str">
        <f>"0211"</f>
        <v>0211</v>
      </c>
      <c r="H332" t="str">
        <f>"0000"</f>
        <v>0000</v>
      </c>
      <c r="I332" t="s">
        <v>83</v>
      </c>
      <c r="J332">
        <v>0</v>
      </c>
      <c r="K332">
        <v>1</v>
      </c>
      <c r="L332">
        <v>3</v>
      </c>
      <c r="M332">
        <v>316</v>
      </c>
      <c r="N332">
        <v>340</v>
      </c>
      <c r="O332">
        <v>5</v>
      </c>
      <c r="P332">
        <v>340</v>
      </c>
      <c r="Q332">
        <v>81</v>
      </c>
      <c r="R332">
        <v>44</v>
      </c>
      <c r="S332">
        <v>1</v>
      </c>
      <c r="T332">
        <v>69</v>
      </c>
      <c r="U332">
        <v>15</v>
      </c>
      <c r="V332">
        <v>0</v>
      </c>
      <c r="W332">
        <v>2</v>
      </c>
      <c r="X332">
        <v>68</v>
      </c>
      <c r="Y332">
        <v>22</v>
      </c>
      <c r="Z332">
        <v>1</v>
      </c>
      <c r="AA332">
        <v>8</v>
      </c>
      <c r="AB332">
        <v>13</v>
      </c>
      <c r="AO332">
        <v>5</v>
      </c>
      <c r="AW332">
        <v>0</v>
      </c>
      <c r="AX332">
        <v>11</v>
      </c>
      <c r="AY332">
        <v>340</v>
      </c>
      <c r="AZ332">
        <v>340</v>
      </c>
      <c r="BA332">
        <v>612</v>
      </c>
      <c r="BB332">
        <v>44</v>
      </c>
      <c r="BD332">
        <v>1</v>
      </c>
      <c r="BF332" t="s">
        <v>441</v>
      </c>
      <c r="BG332" s="1">
        <v>44354.068749999999</v>
      </c>
      <c r="BH332" s="1">
        <v>44354.075358796297</v>
      </c>
      <c r="BI332" s="1">
        <v>44354.076342592591</v>
      </c>
      <c r="BJ332" t="s">
        <v>85</v>
      </c>
      <c r="BK332" t="s">
        <v>86</v>
      </c>
      <c r="BL332" t="s">
        <v>87</v>
      </c>
    </row>
    <row r="333" spans="1:64" x14ac:dyDescent="0.3">
      <c r="A333" t="str">
        <f>"200212B0000"</f>
        <v>200212B0000</v>
      </c>
      <c r="B333" t="str">
        <f>"200212B00003"</f>
        <v>200212B00003</v>
      </c>
      <c r="C333" t="str">
        <f t="shared" si="21"/>
        <v>20</v>
      </c>
      <c r="D333" t="s">
        <v>81</v>
      </c>
      <c r="E333" t="str">
        <f t="shared" si="20"/>
        <v>037</v>
      </c>
      <c r="F333" t="s">
        <v>400</v>
      </c>
      <c r="G333" t="str">
        <f>"0212"</f>
        <v>0212</v>
      </c>
      <c r="H333" t="str">
        <f>"0000"</f>
        <v>0000</v>
      </c>
      <c r="I333" t="s">
        <v>83</v>
      </c>
      <c r="J333">
        <v>0</v>
      </c>
      <c r="K333">
        <v>1</v>
      </c>
      <c r="L333">
        <v>3</v>
      </c>
      <c r="M333">
        <v>318</v>
      </c>
      <c r="N333">
        <v>662</v>
      </c>
      <c r="O333">
        <v>10</v>
      </c>
      <c r="P333">
        <v>344</v>
      </c>
      <c r="Q333">
        <v>84</v>
      </c>
      <c r="R333">
        <v>25</v>
      </c>
      <c r="S333">
        <v>9</v>
      </c>
      <c r="T333">
        <v>87</v>
      </c>
      <c r="U333">
        <v>26</v>
      </c>
      <c r="V333">
        <v>7</v>
      </c>
      <c r="W333">
        <v>3</v>
      </c>
      <c r="X333">
        <v>57</v>
      </c>
      <c r="Y333">
        <v>17</v>
      </c>
      <c r="Z333">
        <v>0</v>
      </c>
      <c r="AA333">
        <v>2</v>
      </c>
      <c r="AB333">
        <v>14</v>
      </c>
      <c r="AO333">
        <v>7</v>
      </c>
      <c r="AW333">
        <v>0</v>
      </c>
      <c r="AX333">
        <v>6</v>
      </c>
      <c r="AY333">
        <v>344</v>
      </c>
      <c r="AZ333">
        <v>344</v>
      </c>
      <c r="BA333">
        <v>618</v>
      </c>
      <c r="BB333">
        <v>44</v>
      </c>
      <c r="BD333">
        <v>1</v>
      </c>
      <c r="BF333" s="2" t="s">
        <v>442</v>
      </c>
      <c r="BG333" s="1">
        <v>44353.950381944444</v>
      </c>
      <c r="BH333" s="1">
        <v>44353.954976851855</v>
      </c>
      <c r="BI333" s="1">
        <v>44353.955381944441</v>
      </c>
      <c r="BJ333" t="s">
        <v>197</v>
      </c>
      <c r="BK333" t="s">
        <v>198</v>
      </c>
      <c r="BL333" t="s">
        <v>87</v>
      </c>
    </row>
    <row r="334" spans="1:64" x14ac:dyDescent="0.3">
      <c r="A334" t="str">
        <f>"200212C0100"</f>
        <v>200212C0100</v>
      </c>
      <c r="B334" t="str">
        <f>"200212C01003"</f>
        <v>200212C01003</v>
      </c>
      <c r="C334" t="str">
        <f t="shared" si="21"/>
        <v>20</v>
      </c>
      <c r="D334" t="s">
        <v>81</v>
      </c>
      <c r="E334" t="str">
        <f t="shared" si="20"/>
        <v>037</v>
      </c>
      <c r="F334" t="s">
        <v>400</v>
      </c>
      <c r="G334" t="str">
        <f>"0212"</f>
        <v>0212</v>
      </c>
      <c r="H334" t="str">
        <f>"0001"</f>
        <v>0001</v>
      </c>
      <c r="I334" t="s">
        <v>89</v>
      </c>
      <c r="J334">
        <v>0</v>
      </c>
      <c r="K334">
        <v>1</v>
      </c>
      <c r="L334">
        <v>3</v>
      </c>
      <c r="M334">
        <v>362</v>
      </c>
      <c r="N334">
        <v>301</v>
      </c>
      <c r="O334">
        <v>5</v>
      </c>
      <c r="P334">
        <v>300</v>
      </c>
      <c r="Q334">
        <v>78</v>
      </c>
      <c r="R334">
        <v>22</v>
      </c>
      <c r="S334">
        <v>10</v>
      </c>
      <c r="T334">
        <v>57</v>
      </c>
      <c r="U334">
        <v>14</v>
      </c>
      <c r="V334">
        <v>5</v>
      </c>
      <c r="W334">
        <v>0</v>
      </c>
      <c r="X334">
        <v>63</v>
      </c>
      <c r="Y334">
        <v>12</v>
      </c>
      <c r="Z334">
        <v>1</v>
      </c>
      <c r="AA334">
        <v>5</v>
      </c>
      <c r="AB334">
        <v>16</v>
      </c>
      <c r="AO334">
        <v>8</v>
      </c>
      <c r="AW334">
        <v>0</v>
      </c>
      <c r="AX334">
        <v>9</v>
      </c>
      <c r="AY334">
        <v>300</v>
      </c>
      <c r="AZ334">
        <v>300</v>
      </c>
      <c r="BA334">
        <v>618</v>
      </c>
      <c r="BB334">
        <v>44</v>
      </c>
      <c r="BD334">
        <v>1</v>
      </c>
      <c r="BF334" t="s">
        <v>443</v>
      </c>
      <c r="BG334" s="1">
        <v>44353.954942129632</v>
      </c>
      <c r="BH334" s="1">
        <v>44353.957141203704</v>
      </c>
      <c r="BI334" s="1">
        <v>44353.95894675926</v>
      </c>
      <c r="BJ334" t="s">
        <v>197</v>
      </c>
      <c r="BK334" t="s">
        <v>198</v>
      </c>
      <c r="BL334" t="s">
        <v>87</v>
      </c>
    </row>
    <row r="335" spans="1:64" x14ac:dyDescent="0.3">
      <c r="A335" t="str">
        <f>"200212S0100"</f>
        <v>200212S0100</v>
      </c>
      <c r="B335" t="str">
        <f>"200212S01003E"</f>
        <v>200212S01003E</v>
      </c>
      <c r="C335" t="str">
        <f t="shared" si="21"/>
        <v>20</v>
      </c>
      <c r="D335" t="s">
        <v>81</v>
      </c>
      <c r="E335" t="str">
        <f t="shared" si="20"/>
        <v>037</v>
      </c>
      <c r="F335" t="s">
        <v>400</v>
      </c>
      <c r="G335" t="str">
        <f>"0212"</f>
        <v>0212</v>
      </c>
      <c r="H335" t="str">
        <f>"0001"</f>
        <v>0001</v>
      </c>
      <c r="I335" t="s">
        <v>99</v>
      </c>
      <c r="J335">
        <v>0</v>
      </c>
      <c r="K335">
        <v>1</v>
      </c>
      <c r="L335" t="s">
        <v>100</v>
      </c>
      <c r="M335">
        <v>959</v>
      </c>
      <c r="N335">
        <v>41</v>
      </c>
      <c r="O335">
        <v>0</v>
      </c>
      <c r="P335" t="s">
        <v>92</v>
      </c>
      <c r="Q335">
        <v>11</v>
      </c>
      <c r="R335">
        <v>5</v>
      </c>
      <c r="S335">
        <v>0</v>
      </c>
      <c r="T335">
        <v>5</v>
      </c>
      <c r="U335">
        <v>4</v>
      </c>
      <c r="V335">
        <v>1</v>
      </c>
      <c r="W335">
        <v>1</v>
      </c>
      <c r="X335">
        <v>9</v>
      </c>
      <c r="Y335">
        <v>4</v>
      </c>
      <c r="Z335">
        <v>0</v>
      </c>
      <c r="AA335">
        <v>1</v>
      </c>
      <c r="AB335">
        <v>0</v>
      </c>
      <c r="AO335" t="s">
        <v>95</v>
      </c>
      <c r="AW335" t="s">
        <v>95</v>
      </c>
      <c r="AX335" t="s">
        <v>95</v>
      </c>
      <c r="AY335">
        <v>41</v>
      </c>
      <c r="AZ335">
        <v>41</v>
      </c>
      <c r="BA335">
        <v>0</v>
      </c>
      <c r="BB335">
        <v>44</v>
      </c>
      <c r="BC335" t="s">
        <v>96</v>
      </c>
      <c r="BD335">
        <v>1</v>
      </c>
      <c r="BF335" t="s">
        <v>444</v>
      </c>
      <c r="BG335" s="1">
        <v>44354.021539351852</v>
      </c>
      <c r="BH335" s="1">
        <v>44354.029560185183</v>
      </c>
      <c r="BI335" s="1">
        <v>44354.030243055553</v>
      </c>
      <c r="BJ335" t="s">
        <v>197</v>
      </c>
      <c r="BK335" t="s">
        <v>198</v>
      </c>
      <c r="BL335" t="s">
        <v>87</v>
      </c>
    </row>
    <row r="336" spans="1:64" x14ac:dyDescent="0.3">
      <c r="A336" t="str">
        <f>"200213B0000"</f>
        <v>200213B0000</v>
      </c>
      <c r="B336" t="str">
        <f>"200213B00003"</f>
        <v>200213B00003</v>
      </c>
      <c r="C336" t="str">
        <f t="shared" si="21"/>
        <v>20</v>
      </c>
      <c r="D336" t="s">
        <v>81</v>
      </c>
      <c r="E336" t="str">
        <f t="shared" si="20"/>
        <v>037</v>
      </c>
      <c r="F336" t="s">
        <v>400</v>
      </c>
      <c r="G336" t="str">
        <f>"0213"</f>
        <v>0213</v>
      </c>
      <c r="H336" t="str">
        <f>"0000"</f>
        <v>0000</v>
      </c>
      <c r="I336" t="s">
        <v>83</v>
      </c>
      <c r="J336">
        <v>0</v>
      </c>
      <c r="K336">
        <v>1</v>
      </c>
      <c r="L336">
        <v>3</v>
      </c>
      <c r="M336">
        <v>233</v>
      </c>
      <c r="N336">
        <v>316</v>
      </c>
      <c r="O336">
        <v>5</v>
      </c>
      <c r="P336">
        <v>316</v>
      </c>
      <c r="Q336">
        <v>83</v>
      </c>
      <c r="R336">
        <v>35</v>
      </c>
      <c r="S336">
        <v>3</v>
      </c>
      <c r="T336">
        <v>73</v>
      </c>
      <c r="U336">
        <v>15</v>
      </c>
      <c r="V336">
        <v>1</v>
      </c>
      <c r="W336">
        <v>0</v>
      </c>
      <c r="X336">
        <v>73</v>
      </c>
      <c r="Y336">
        <v>10</v>
      </c>
      <c r="Z336">
        <v>1</v>
      </c>
      <c r="AA336">
        <v>1</v>
      </c>
      <c r="AB336">
        <v>19</v>
      </c>
      <c r="AO336">
        <v>6</v>
      </c>
      <c r="AW336">
        <v>0</v>
      </c>
      <c r="AX336">
        <v>6</v>
      </c>
      <c r="AY336">
        <v>316</v>
      </c>
      <c r="AZ336">
        <v>326</v>
      </c>
      <c r="BA336">
        <v>505</v>
      </c>
      <c r="BB336">
        <v>44</v>
      </c>
      <c r="BD336">
        <v>1</v>
      </c>
      <c r="BF336" t="s">
        <v>445</v>
      </c>
      <c r="BG336" s="1">
        <v>44353.91300925926</v>
      </c>
      <c r="BH336" s="1">
        <v>44353.921284722222</v>
      </c>
      <c r="BI336" s="1">
        <v>44353.923275462963</v>
      </c>
      <c r="BJ336" t="s">
        <v>197</v>
      </c>
      <c r="BK336" t="s">
        <v>198</v>
      </c>
      <c r="BL336" t="s">
        <v>87</v>
      </c>
    </row>
    <row r="337" spans="1:64" x14ac:dyDescent="0.3">
      <c r="A337" t="str">
        <f>"200213C0100"</f>
        <v>200213C0100</v>
      </c>
      <c r="B337" t="str">
        <f>"200213C01003"</f>
        <v>200213C01003</v>
      </c>
      <c r="C337" t="str">
        <f t="shared" si="21"/>
        <v>20</v>
      </c>
      <c r="D337" t="s">
        <v>81</v>
      </c>
      <c r="E337" t="str">
        <f t="shared" si="20"/>
        <v>037</v>
      </c>
      <c r="F337" t="s">
        <v>400</v>
      </c>
      <c r="G337" t="str">
        <f>"0213"</f>
        <v>0213</v>
      </c>
      <c r="H337" t="str">
        <f>"0001"</f>
        <v>0001</v>
      </c>
      <c r="I337" t="s">
        <v>89</v>
      </c>
      <c r="J337">
        <v>0</v>
      </c>
      <c r="K337">
        <v>1</v>
      </c>
      <c r="L337">
        <v>3</v>
      </c>
      <c r="M337">
        <v>220</v>
      </c>
      <c r="N337">
        <v>329</v>
      </c>
      <c r="O337">
        <v>7</v>
      </c>
      <c r="P337">
        <v>329</v>
      </c>
      <c r="Q337">
        <v>104</v>
      </c>
      <c r="R337">
        <v>47</v>
      </c>
      <c r="S337">
        <v>5</v>
      </c>
      <c r="T337">
        <v>62</v>
      </c>
      <c r="U337">
        <v>18</v>
      </c>
      <c r="V337">
        <v>2</v>
      </c>
      <c r="W337">
        <v>4</v>
      </c>
      <c r="X337">
        <v>46</v>
      </c>
      <c r="Y337">
        <v>8</v>
      </c>
      <c r="Z337">
        <v>2</v>
      </c>
      <c r="AA337">
        <v>2</v>
      </c>
      <c r="AB337">
        <v>16</v>
      </c>
      <c r="AO337">
        <v>7</v>
      </c>
      <c r="AW337">
        <v>0</v>
      </c>
      <c r="AX337">
        <v>6</v>
      </c>
      <c r="AY337">
        <v>329</v>
      </c>
      <c r="AZ337">
        <v>329</v>
      </c>
      <c r="BA337">
        <v>505</v>
      </c>
      <c r="BB337">
        <v>44</v>
      </c>
      <c r="BD337">
        <v>1</v>
      </c>
      <c r="BF337" t="s">
        <v>446</v>
      </c>
      <c r="BG337" s="1">
        <v>44353.901458333334</v>
      </c>
      <c r="BH337" s="1">
        <v>44353.902766203704</v>
      </c>
      <c r="BI337" s="1">
        <v>44353.903807870367</v>
      </c>
      <c r="BJ337" t="s">
        <v>197</v>
      </c>
      <c r="BK337" t="s">
        <v>198</v>
      </c>
      <c r="BL337" t="s">
        <v>87</v>
      </c>
    </row>
    <row r="338" spans="1:64" x14ac:dyDescent="0.3">
      <c r="A338" t="str">
        <f>"200214B0000"</f>
        <v>200214B0000</v>
      </c>
      <c r="B338" t="str">
        <f>"200214B00003"</f>
        <v>200214B00003</v>
      </c>
      <c r="C338" t="str">
        <f t="shared" si="21"/>
        <v>20</v>
      </c>
      <c r="D338" t="s">
        <v>81</v>
      </c>
      <c r="E338" t="str">
        <f t="shared" si="20"/>
        <v>037</v>
      </c>
      <c r="F338" t="s">
        <v>400</v>
      </c>
      <c r="G338" t="str">
        <f>"0214"</f>
        <v>0214</v>
      </c>
      <c r="H338" t="str">
        <f>"0000"</f>
        <v>0000</v>
      </c>
      <c r="I338" t="s">
        <v>83</v>
      </c>
      <c r="J338">
        <v>0</v>
      </c>
      <c r="K338">
        <v>1</v>
      </c>
      <c r="L338">
        <v>3</v>
      </c>
      <c r="M338">
        <v>339</v>
      </c>
      <c r="N338">
        <v>351</v>
      </c>
      <c r="O338">
        <v>3</v>
      </c>
      <c r="P338" t="s">
        <v>92</v>
      </c>
      <c r="Q338">
        <v>100</v>
      </c>
      <c r="R338">
        <v>32</v>
      </c>
      <c r="S338">
        <v>2</v>
      </c>
      <c r="T338">
        <v>74</v>
      </c>
      <c r="U338">
        <v>12</v>
      </c>
      <c r="V338">
        <v>3</v>
      </c>
      <c r="W338">
        <v>2</v>
      </c>
      <c r="X338">
        <v>89</v>
      </c>
      <c r="Y338">
        <v>11</v>
      </c>
      <c r="Z338">
        <v>0</v>
      </c>
      <c r="AA338">
        <v>6</v>
      </c>
      <c r="AB338">
        <v>9</v>
      </c>
      <c r="AO338">
        <v>4</v>
      </c>
      <c r="AW338" t="s">
        <v>95</v>
      </c>
      <c r="AX338">
        <v>7</v>
      </c>
      <c r="AY338" t="s">
        <v>95</v>
      </c>
      <c r="AZ338">
        <v>351</v>
      </c>
      <c r="BA338">
        <v>646</v>
      </c>
      <c r="BB338">
        <v>44</v>
      </c>
      <c r="BC338" t="s">
        <v>96</v>
      </c>
      <c r="BD338">
        <v>1</v>
      </c>
      <c r="BF338" t="s">
        <v>447</v>
      </c>
      <c r="BG338" s="1">
        <v>44354.168749999997</v>
      </c>
      <c r="BH338" s="1">
        <v>44354.169895833336</v>
      </c>
      <c r="BI338" s="1">
        <v>44354.170405092591</v>
      </c>
      <c r="BJ338" t="s">
        <v>85</v>
      </c>
      <c r="BK338" t="s">
        <v>86</v>
      </c>
      <c r="BL338" t="s">
        <v>87</v>
      </c>
    </row>
    <row r="339" spans="1:64" x14ac:dyDescent="0.3">
      <c r="A339" t="str">
        <f>"200214E0100"</f>
        <v>200214E0100</v>
      </c>
      <c r="B339" t="str">
        <f>"200214E01003"</f>
        <v>200214E01003</v>
      </c>
      <c r="C339" t="str">
        <f t="shared" si="21"/>
        <v>20</v>
      </c>
      <c r="D339" t="s">
        <v>81</v>
      </c>
      <c r="E339" t="str">
        <f t="shared" si="20"/>
        <v>037</v>
      </c>
      <c r="F339" t="s">
        <v>400</v>
      </c>
      <c r="G339" t="str">
        <f>"0214"</f>
        <v>0214</v>
      </c>
      <c r="H339" t="str">
        <f>"0001"</f>
        <v>0001</v>
      </c>
      <c r="I339" t="s">
        <v>122</v>
      </c>
      <c r="J339">
        <v>0</v>
      </c>
      <c r="K339">
        <v>1</v>
      </c>
      <c r="L339">
        <v>3</v>
      </c>
      <c r="M339">
        <v>463</v>
      </c>
      <c r="N339">
        <v>324</v>
      </c>
      <c r="O339">
        <v>1</v>
      </c>
      <c r="P339">
        <v>324</v>
      </c>
      <c r="Q339">
        <v>84</v>
      </c>
      <c r="R339">
        <v>25</v>
      </c>
      <c r="S339">
        <v>8</v>
      </c>
      <c r="T339">
        <v>64</v>
      </c>
      <c r="U339">
        <v>20</v>
      </c>
      <c r="V339">
        <v>4</v>
      </c>
      <c r="W339">
        <v>1</v>
      </c>
      <c r="X339">
        <v>76</v>
      </c>
      <c r="Y339">
        <v>25</v>
      </c>
      <c r="Z339">
        <v>1</v>
      </c>
      <c r="AA339">
        <v>2</v>
      </c>
      <c r="AB339">
        <v>9</v>
      </c>
      <c r="AO339" t="s">
        <v>95</v>
      </c>
      <c r="AW339">
        <v>1</v>
      </c>
      <c r="AX339">
        <v>3</v>
      </c>
      <c r="AY339">
        <v>324</v>
      </c>
      <c r="AZ339">
        <v>323</v>
      </c>
      <c r="BA339">
        <v>743</v>
      </c>
      <c r="BB339">
        <v>44</v>
      </c>
      <c r="BC339" t="s">
        <v>96</v>
      </c>
      <c r="BD339">
        <v>1</v>
      </c>
      <c r="BF339" t="s">
        <v>448</v>
      </c>
      <c r="BG339" s="1">
        <v>44353.930173611108</v>
      </c>
      <c r="BH339" s="1">
        <v>44353.932430555556</v>
      </c>
      <c r="BI339" s="1">
        <v>44353.932847222219</v>
      </c>
      <c r="BJ339" t="s">
        <v>197</v>
      </c>
      <c r="BK339" t="s">
        <v>198</v>
      </c>
      <c r="BL339" t="s">
        <v>87</v>
      </c>
    </row>
    <row r="340" spans="1:64" x14ac:dyDescent="0.3">
      <c r="A340" t="str">
        <f>"200214E0101"</f>
        <v>200214E0101</v>
      </c>
      <c r="B340" t="str">
        <f>"200214E01013"</f>
        <v>200214E01013</v>
      </c>
      <c r="C340" t="str">
        <f t="shared" si="21"/>
        <v>20</v>
      </c>
      <c r="D340" t="s">
        <v>81</v>
      </c>
      <c r="E340" t="str">
        <f t="shared" si="20"/>
        <v>037</v>
      </c>
      <c r="F340" t="s">
        <v>400</v>
      </c>
      <c r="G340" t="str">
        <f>"0214"</f>
        <v>0214</v>
      </c>
      <c r="H340" t="str">
        <f>"0001"</f>
        <v>0001</v>
      </c>
      <c r="I340" t="s">
        <v>122</v>
      </c>
      <c r="J340">
        <v>1</v>
      </c>
      <c r="K340">
        <v>1</v>
      </c>
      <c r="L340">
        <v>3</v>
      </c>
      <c r="M340">
        <v>449</v>
      </c>
      <c r="N340">
        <v>346</v>
      </c>
      <c r="O340">
        <v>8</v>
      </c>
      <c r="P340">
        <v>338</v>
      </c>
      <c r="Q340">
        <v>74</v>
      </c>
      <c r="R340">
        <v>30</v>
      </c>
      <c r="S340">
        <v>7</v>
      </c>
      <c r="T340">
        <v>66</v>
      </c>
      <c r="U340">
        <v>30</v>
      </c>
      <c r="V340">
        <v>1</v>
      </c>
      <c r="W340">
        <v>2</v>
      </c>
      <c r="X340">
        <v>91</v>
      </c>
      <c r="Y340">
        <v>19</v>
      </c>
      <c r="Z340">
        <v>0</v>
      </c>
      <c r="AA340">
        <v>4</v>
      </c>
      <c r="AB340">
        <v>7</v>
      </c>
      <c r="AO340">
        <v>1</v>
      </c>
      <c r="AW340">
        <v>0</v>
      </c>
      <c r="AX340">
        <v>6</v>
      </c>
      <c r="AY340">
        <v>338</v>
      </c>
      <c r="AZ340">
        <v>338</v>
      </c>
      <c r="BA340">
        <v>743</v>
      </c>
      <c r="BB340">
        <v>44</v>
      </c>
      <c r="BD340">
        <v>1</v>
      </c>
      <c r="BF340" t="s">
        <v>449</v>
      </c>
      <c r="BG340" s="1">
        <v>44353.937199074076</v>
      </c>
      <c r="BH340" s="1">
        <v>44353.939780092594</v>
      </c>
      <c r="BI340" s="1">
        <v>44353.940844907411</v>
      </c>
      <c r="BJ340" t="s">
        <v>197</v>
      </c>
      <c r="BK340" t="s">
        <v>198</v>
      </c>
      <c r="BL340" t="s">
        <v>87</v>
      </c>
    </row>
    <row r="341" spans="1:64" x14ac:dyDescent="0.3">
      <c r="A341" t="str">
        <f>"200214E0200"</f>
        <v>200214E0200</v>
      </c>
      <c r="B341" t="str">
        <f>"200214E02003"</f>
        <v>200214E02003</v>
      </c>
      <c r="C341" t="str">
        <f t="shared" si="21"/>
        <v>20</v>
      </c>
      <c r="D341" t="s">
        <v>81</v>
      </c>
      <c r="E341" t="str">
        <f t="shared" si="20"/>
        <v>037</v>
      </c>
      <c r="F341" t="s">
        <v>400</v>
      </c>
      <c r="G341" t="str">
        <f>"0214"</f>
        <v>0214</v>
      </c>
      <c r="H341" t="str">
        <f>"0002"</f>
        <v>0002</v>
      </c>
      <c r="I341" t="s">
        <v>122</v>
      </c>
      <c r="J341">
        <v>0</v>
      </c>
      <c r="K341">
        <v>1</v>
      </c>
      <c r="L341">
        <v>3</v>
      </c>
      <c r="M341">
        <v>255</v>
      </c>
      <c r="N341">
        <v>235</v>
      </c>
      <c r="O341">
        <v>6</v>
      </c>
      <c r="P341">
        <v>235</v>
      </c>
      <c r="Q341">
        <v>44</v>
      </c>
      <c r="R341">
        <v>26</v>
      </c>
      <c r="S341">
        <v>2</v>
      </c>
      <c r="T341">
        <v>34</v>
      </c>
      <c r="U341">
        <v>22</v>
      </c>
      <c r="V341">
        <v>1</v>
      </c>
      <c r="W341">
        <v>2</v>
      </c>
      <c r="X341">
        <v>53</v>
      </c>
      <c r="Y341">
        <v>20</v>
      </c>
      <c r="Z341">
        <v>2</v>
      </c>
      <c r="AA341">
        <v>3</v>
      </c>
      <c r="AB341">
        <v>11</v>
      </c>
      <c r="AO341">
        <v>4</v>
      </c>
      <c r="AW341">
        <v>0</v>
      </c>
      <c r="AX341">
        <v>11</v>
      </c>
      <c r="AY341">
        <v>235</v>
      </c>
      <c r="AZ341">
        <v>235</v>
      </c>
      <c r="BA341">
        <v>446</v>
      </c>
      <c r="BB341">
        <v>44</v>
      </c>
      <c r="BD341">
        <v>1</v>
      </c>
      <c r="BF341" t="s">
        <v>450</v>
      </c>
      <c r="BG341" s="1">
        <v>44354.003472222219</v>
      </c>
      <c r="BH341" s="1">
        <v>44354.010196759256</v>
      </c>
      <c r="BI341" s="1">
        <v>44354.010682870372</v>
      </c>
      <c r="BJ341" t="s">
        <v>85</v>
      </c>
      <c r="BK341" t="s">
        <v>86</v>
      </c>
      <c r="BL341" t="s">
        <v>87</v>
      </c>
    </row>
    <row r="342" spans="1:64" x14ac:dyDescent="0.3">
      <c r="A342" t="str">
        <f>"200215B0000"</f>
        <v>200215B0000</v>
      </c>
      <c r="B342" t="str">
        <f>"200215B00003"</f>
        <v>200215B00003</v>
      </c>
      <c r="C342" t="str">
        <f t="shared" si="21"/>
        <v>20</v>
      </c>
      <c r="D342" t="s">
        <v>81</v>
      </c>
      <c r="E342" t="str">
        <f t="shared" si="20"/>
        <v>037</v>
      </c>
      <c r="F342" t="s">
        <v>400</v>
      </c>
      <c r="G342" t="str">
        <f>"0215"</f>
        <v>0215</v>
      </c>
      <c r="H342" t="str">
        <f>"0000"</f>
        <v>0000</v>
      </c>
      <c r="I342" t="s">
        <v>83</v>
      </c>
      <c r="J342">
        <v>0</v>
      </c>
      <c r="K342">
        <v>1</v>
      </c>
      <c r="L342">
        <v>3</v>
      </c>
      <c r="M342">
        <v>193</v>
      </c>
      <c r="N342">
        <v>235</v>
      </c>
      <c r="O342">
        <v>5</v>
      </c>
      <c r="P342">
        <v>235</v>
      </c>
      <c r="Q342">
        <v>82</v>
      </c>
      <c r="R342">
        <v>25</v>
      </c>
      <c r="S342">
        <v>2</v>
      </c>
      <c r="T342">
        <v>36</v>
      </c>
      <c r="U342">
        <v>17</v>
      </c>
      <c r="V342">
        <v>1</v>
      </c>
      <c r="W342">
        <v>0</v>
      </c>
      <c r="X342">
        <v>40</v>
      </c>
      <c r="Y342">
        <v>12</v>
      </c>
      <c r="Z342">
        <v>0</v>
      </c>
      <c r="AA342">
        <v>4</v>
      </c>
      <c r="AB342">
        <v>10</v>
      </c>
      <c r="AO342">
        <v>2</v>
      </c>
      <c r="AW342" t="s">
        <v>95</v>
      </c>
      <c r="AX342">
        <v>4</v>
      </c>
      <c r="AY342">
        <v>235</v>
      </c>
      <c r="AZ342">
        <v>235</v>
      </c>
      <c r="BA342">
        <v>384</v>
      </c>
      <c r="BB342">
        <v>44</v>
      </c>
      <c r="BC342" t="s">
        <v>96</v>
      </c>
      <c r="BD342">
        <v>1</v>
      </c>
      <c r="BF342" t="s">
        <v>451</v>
      </c>
      <c r="BG342" s="1">
        <v>44353.893460648149</v>
      </c>
      <c r="BH342" s="1">
        <v>44353.895196759258</v>
      </c>
      <c r="BI342" s="1">
        <v>44353.895983796298</v>
      </c>
      <c r="BJ342" t="s">
        <v>197</v>
      </c>
      <c r="BK342" t="s">
        <v>198</v>
      </c>
      <c r="BL342" t="s">
        <v>87</v>
      </c>
    </row>
    <row r="343" spans="1:64" x14ac:dyDescent="0.3">
      <c r="A343" t="str">
        <f>"200215C0100"</f>
        <v>200215C0100</v>
      </c>
      <c r="B343" t="str">
        <f>"200215C01003"</f>
        <v>200215C01003</v>
      </c>
      <c r="C343" t="str">
        <f t="shared" si="21"/>
        <v>20</v>
      </c>
      <c r="D343" t="s">
        <v>81</v>
      </c>
      <c r="E343" t="str">
        <f t="shared" si="20"/>
        <v>037</v>
      </c>
      <c r="F343" t="s">
        <v>400</v>
      </c>
      <c r="G343" t="str">
        <f>"0215"</f>
        <v>0215</v>
      </c>
      <c r="H343" t="str">
        <f>"0001"</f>
        <v>0001</v>
      </c>
      <c r="I343" t="s">
        <v>89</v>
      </c>
      <c r="J343">
        <v>0</v>
      </c>
      <c r="K343">
        <v>1</v>
      </c>
      <c r="L343">
        <v>3</v>
      </c>
      <c r="M343">
        <v>192</v>
      </c>
      <c r="N343">
        <v>235</v>
      </c>
      <c r="O343">
        <v>9</v>
      </c>
      <c r="P343">
        <v>235</v>
      </c>
      <c r="Q343">
        <v>64</v>
      </c>
      <c r="R343">
        <v>30</v>
      </c>
      <c r="S343">
        <v>2</v>
      </c>
      <c r="T343">
        <v>48</v>
      </c>
      <c r="U343">
        <v>9</v>
      </c>
      <c r="V343">
        <v>0</v>
      </c>
      <c r="W343">
        <v>0</v>
      </c>
      <c r="X343">
        <v>48</v>
      </c>
      <c r="Y343">
        <v>11</v>
      </c>
      <c r="Z343">
        <v>2</v>
      </c>
      <c r="AA343">
        <v>5</v>
      </c>
      <c r="AB343">
        <v>9</v>
      </c>
      <c r="AO343">
        <v>3</v>
      </c>
      <c r="AW343">
        <v>0</v>
      </c>
      <c r="AX343">
        <v>4</v>
      </c>
      <c r="AY343">
        <v>235</v>
      </c>
      <c r="AZ343">
        <v>235</v>
      </c>
      <c r="BA343">
        <v>383</v>
      </c>
      <c r="BB343">
        <v>44</v>
      </c>
      <c r="BD343">
        <v>1</v>
      </c>
      <c r="BF343" t="s">
        <v>452</v>
      </c>
      <c r="BG343" s="1">
        <v>44353.89472222222</v>
      </c>
      <c r="BH343" s="1">
        <v>44353.895798611113</v>
      </c>
      <c r="BI343" s="1">
        <v>44353.896215277775</v>
      </c>
      <c r="BJ343" t="s">
        <v>197</v>
      </c>
      <c r="BK343" t="s">
        <v>198</v>
      </c>
      <c r="BL343" t="s">
        <v>87</v>
      </c>
    </row>
    <row r="344" spans="1:64" x14ac:dyDescent="0.3">
      <c r="A344" t="str">
        <f>"200216B0000"</f>
        <v>200216B0000</v>
      </c>
      <c r="B344" t="str">
        <f>"200216B00003"</f>
        <v>200216B00003</v>
      </c>
      <c r="C344" t="str">
        <f t="shared" si="21"/>
        <v>20</v>
      </c>
      <c r="D344" t="s">
        <v>81</v>
      </c>
      <c r="E344" t="str">
        <f t="shared" si="20"/>
        <v>037</v>
      </c>
      <c r="F344" t="s">
        <v>400</v>
      </c>
      <c r="G344" t="str">
        <f>"0216"</f>
        <v>0216</v>
      </c>
      <c r="H344" t="str">
        <f>"0000"</f>
        <v>0000</v>
      </c>
      <c r="I344" t="s">
        <v>83</v>
      </c>
      <c r="J344">
        <v>0</v>
      </c>
      <c r="K344">
        <v>1</v>
      </c>
      <c r="L344">
        <v>3</v>
      </c>
      <c r="M344">
        <v>401</v>
      </c>
      <c r="N344">
        <v>351</v>
      </c>
      <c r="O344">
        <v>3</v>
      </c>
      <c r="P344">
        <v>351</v>
      </c>
      <c r="Q344">
        <v>95</v>
      </c>
      <c r="R344">
        <v>32</v>
      </c>
      <c r="S344">
        <v>4</v>
      </c>
      <c r="T344">
        <v>65</v>
      </c>
      <c r="U344">
        <v>13</v>
      </c>
      <c r="V344">
        <v>5</v>
      </c>
      <c r="W344">
        <v>1</v>
      </c>
      <c r="X344">
        <v>84</v>
      </c>
      <c r="Y344">
        <v>25</v>
      </c>
      <c r="Z344">
        <v>1</v>
      </c>
      <c r="AA344">
        <v>4</v>
      </c>
      <c r="AB344">
        <v>9</v>
      </c>
      <c r="AO344">
        <v>9</v>
      </c>
      <c r="AW344">
        <v>0</v>
      </c>
      <c r="AX344">
        <v>9</v>
      </c>
      <c r="AY344">
        <v>351</v>
      </c>
      <c r="AZ344">
        <v>356</v>
      </c>
      <c r="BA344">
        <v>713</v>
      </c>
      <c r="BB344">
        <v>44</v>
      </c>
      <c r="BD344">
        <v>1</v>
      </c>
      <c r="BF344" t="s">
        <v>453</v>
      </c>
      <c r="BG344" s="1">
        <v>44353.988703703704</v>
      </c>
      <c r="BH344" s="1">
        <v>44353.992719907408</v>
      </c>
      <c r="BI344" s="1">
        <v>44353.993298611109</v>
      </c>
      <c r="BJ344" t="s">
        <v>197</v>
      </c>
      <c r="BK344" t="s">
        <v>198</v>
      </c>
      <c r="BL344" t="s">
        <v>87</v>
      </c>
    </row>
    <row r="345" spans="1:64" x14ac:dyDescent="0.3">
      <c r="A345" t="str">
        <f>"200216C0100"</f>
        <v>200216C0100</v>
      </c>
      <c r="B345" t="str">
        <f>"200216C01003"</f>
        <v>200216C01003</v>
      </c>
      <c r="C345" t="str">
        <f t="shared" si="21"/>
        <v>20</v>
      </c>
      <c r="D345" t="s">
        <v>81</v>
      </c>
      <c r="E345" t="str">
        <f t="shared" si="20"/>
        <v>037</v>
      </c>
      <c r="F345" t="s">
        <v>400</v>
      </c>
      <c r="G345" t="str">
        <f>"0216"</f>
        <v>0216</v>
      </c>
      <c r="H345" t="str">
        <f>"0001"</f>
        <v>0001</v>
      </c>
      <c r="I345" t="s">
        <v>89</v>
      </c>
      <c r="J345">
        <v>0</v>
      </c>
      <c r="K345">
        <v>1</v>
      </c>
      <c r="L345">
        <v>3</v>
      </c>
      <c r="M345">
        <v>373</v>
      </c>
      <c r="N345">
        <v>384</v>
      </c>
      <c r="O345">
        <v>6</v>
      </c>
      <c r="P345">
        <v>384</v>
      </c>
      <c r="Q345">
        <v>108</v>
      </c>
      <c r="R345">
        <v>36</v>
      </c>
      <c r="S345">
        <v>1</v>
      </c>
      <c r="T345">
        <v>69</v>
      </c>
      <c r="U345">
        <v>18</v>
      </c>
      <c r="V345">
        <v>4</v>
      </c>
      <c r="W345">
        <v>2</v>
      </c>
      <c r="X345">
        <v>86</v>
      </c>
      <c r="Y345">
        <v>25</v>
      </c>
      <c r="Z345">
        <v>0</v>
      </c>
      <c r="AA345">
        <v>5</v>
      </c>
      <c r="AB345">
        <v>14</v>
      </c>
      <c r="AO345">
        <v>4</v>
      </c>
      <c r="AW345">
        <v>1</v>
      </c>
      <c r="AX345">
        <v>11</v>
      </c>
      <c r="AY345">
        <v>384</v>
      </c>
      <c r="AZ345">
        <v>384</v>
      </c>
      <c r="BA345">
        <v>713</v>
      </c>
      <c r="BB345">
        <v>44</v>
      </c>
      <c r="BD345">
        <v>1</v>
      </c>
      <c r="BF345" t="s">
        <v>454</v>
      </c>
      <c r="BG345" s="1">
        <v>44353.99019675926</v>
      </c>
      <c r="BH345" s="1">
        <v>44353.993437500001</v>
      </c>
      <c r="BI345" s="1">
        <v>44353.994305555556</v>
      </c>
      <c r="BJ345" t="s">
        <v>197</v>
      </c>
      <c r="BK345" t="s">
        <v>198</v>
      </c>
      <c r="BL345" t="s">
        <v>87</v>
      </c>
    </row>
    <row r="346" spans="1:64" x14ac:dyDescent="0.3">
      <c r="A346" t="str">
        <f>"200216E0100"</f>
        <v>200216E0100</v>
      </c>
      <c r="B346" t="str">
        <f>"200216E01003"</f>
        <v>200216E01003</v>
      </c>
      <c r="C346" t="str">
        <f t="shared" si="21"/>
        <v>20</v>
      </c>
      <c r="D346" t="s">
        <v>81</v>
      </c>
      <c r="E346" t="str">
        <f t="shared" si="20"/>
        <v>037</v>
      </c>
      <c r="F346" t="s">
        <v>400</v>
      </c>
      <c r="G346" t="str">
        <f>"0216"</f>
        <v>0216</v>
      </c>
      <c r="H346" t="str">
        <f>"0001"</f>
        <v>0001</v>
      </c>
      <c r="I346" t="s">
        <v>122</v>
      </c>
      <c r="J346">
        <v>0</v>
      </c>
      <c r="K346">
        <v>1</v>
      </c>
      <c r="L346">
        <v>3</v>
      </c>
      <c r="M346">
        <v>435</v>
      </c>
      <c r="N346">
        <v>301</v>
      </c>
      <c r="O346">
        <v>3</v>
      </c>
      <c r="P346">
        <v>301</v>
      </c>
      <c r="Q346">
        <v>69</v>
      </c>
      <c r="R346">
        <v>27</v>
      </c>
      <c r="S346">
        <v>1</v>
      </c>
      <c r="T346">
        <v>40</v>
      </c>
      <c r="U346">
        <v>22</v>
      </c>
      <c r="V346">
        <v>5</v>
      </c>
      <c r="W346">
        <v>1</v>
      </c>
      <c r="X346">
        <v>77</v>
      </c>
      <c r="Y346">
        <v>28</v>
      </c>
      <c r="Z346">
        <v>2</v>
      </c>
      <c r="AA346">
        <v>5</v>
      </c>
      <c r="AB346">
        <v>13</v>
      </c>
      <c r="AO346">
        <v>6</v>
      </c>
      <c r="AW346">
        <v>0</v>
      </c>
      <c r="AX346">
        <v>5</v>
      </c>
      <c r="AY346">
        <v>301</v>
      </c>
      <c r="AZ346">
        <v>301</v>
      </c>
      <c r="BA346">
        <v>692</v>
      </c>
      <c r="BB346">
        <v>44</v>
      </c>
      <c r="BD346">
        <v>1</v>
      </c>
      <c r="BF346" t="s">
        <v>455</v>
      </c>
      <c r="BG346" s="1">
        <v>44354.07916666667</v>
      </c>
      <c r="BH346" s="1">
        <v>44354.085972222223</v>
      </c>
      <c r="BI346" s="1">
        <v>44354.086539351854</v>
      </c>
      <c r="BJ346" t="s">
        <v>85</v>
      </c>
      <c r="BK346" t="s">
        <v>86</v>
      </c>
      <c r="BL346" t="s">
        <v>87</v>
      </c>
    </row>
    <row r="347" spans="1:64" x14ac:dyDescent="0.3">
      <c r="A347" t="str">
        <f>"200216E0101"</f>
        <v>200216E0101</v>
      </c>
      <c r="B347" t="str">
        <f>"200216E01013"</f>
        <v>200216E01013</v>
      </c>
      <c r="C347" t="str">
        <f t="shared" si="21"/>
        <v>20</v>
      </c>
      <c r="D347" t="s">
        <v>81</v>
      </c>
      <c r="E347" t="str">
        <f t="shared" si="20"/>
        <v>037</v>
      </c>
      <c r="F347" t="s">
        <v>400</v>
      </c>
      <c r="G347" t="str">
        <f>"0216"</f>
        <v>0216</v>
      </c>
      <c r="H347" t="str">
        <f>"0001"</f>
        <v>0001</v>
      </c>
      <c r="I347" t="s">
        <v>122</v>
      </c>
      <c r="J347">
        <v>1</v>
      </c>
      <c r="K347">
        <v>1</v>
      </c>
      <c r="L347">
        <v>3</v>
      </c>
      <c r="M347" t="s">
        <v>131</v>
      </c>
      <c r="N347" t="s">
        <v>131</v>
      </c>
      <c r="O347" t="s">
        <v>131</v>
      </c>
      <c r="P347" t="s">
        <v>131</v>
      </c>
      <c r="Q347" t="s">
        <v>131</v>
      </c>
      <c r="R347">
        <v>32</v>
      </c>
      <c r="S347" t="s">
        <v>131</v>
      </c>
      <c r="T347" t="s">
        <v>131</v>
      </c>
      <c r="U347">
        <v>24</v>
      </c>
      <c r="V347">
        <v>5</v>
      </c>
      <c r="W347">
        <v>1</v>
      </c>
      <c r="X347">
        <v>78</v>
      </c>
      <c r="Y347">
        <v>34</v>
      </c>
      <c r="Z347">
        <v>0</v>
      </c>
      <c r="AA347">
        <v>26</v>
      </c>
      <c r="AB347">
        <v>16</v>
      </c>
      <c r="AO347">
        <v>4</v>
      </c>
      <c r="AW347">
        <v>0</v>
      </c>
      <c r="AX347">
        <v>1</v>
      </c>
      <c r="AY347">
        <v>334</v>
      </c>
      <c r="AZ347">
        <v>221</v>
      </c>
      <c r="BA347">
        <v>692</v>
      </c>
      <c r="BB347">
        <v>44</v>
      </c>
      <c r="BC347" t="s">
        <v>96</v>
      </c>
      <c r="BD347">
        <v>1</v>
      </c>
      <c r="BF347" t="s">
        <v>456</v>
      </c>
      <c r="BG347" s="1">
        <v>44354.069444444445</v>
      </c>
      <c r="BH347" s="1">
        <v>44354.098344907405</v>
      </c>
      <c r="BI347" s="1">
        <v>44354.101388888892</v>
      </c>
      <c r="BJ347" t="s">
        <v>85</v>
      </c>
      <c r="BK347" t="s">
        <v>86</v>
      </c>
      <c r="BL347" t="s">
        <v>87</v>
      </c>
    </row>
    <row r="348" spans="1:64" x14ac:dyDescent="0.3">
      <c r="A348" t="str">
        <f>"200217B0000"</f>
        <v>200217B0000</v>
      </c>
      <c r="B348" t="str">
        <f>"200217B00003"</f>
        <v>200217B00003</v>
      </c>
      <c r="C348" t="str">
        <f t="shared" si="21"/>
        <v>20</v>
      </c>
      <c r="D348" t="s">
        <v>81</v>
      </c>
      <c r="E348" t="str">
        <f t="shared" si="20"/>
        <v>037</v>
      </c>
      <c r="F348" t="s">
        <v>400</v>
      </c>
      <c r="G348" t="str">
        <f>"0217"</f>
        <v>0217</v>
      </c>
      <c r="H348" t="str">
        <f>"0000"</f>
        <v>0000</v>
      </c>
      <c r="I348" t="s">
        <v>83</v>
      </c>
      <c r="J348">
        <v>0</v>
      </c>
      <c r="K348">
        <v>1</v>
      </c>
      <c r="L348">
        <v>3</v>
      </c>
      <c r="M348">
        <v>495</v>
      </c>
      <c r="N348">
        <v>290</v>
      </c>
      <c r="O348">
        <v>3</v>
      </c>
      <c r="P348">
        <v>290</v>
      </c>
      <c r="Q348">
        <v>62</v>
      </c>
      <c r="R348">
        <v>40</v>
      </c>
      <c r="S348">
        <v>0</v>
      </c>
      <c r="T348">
        <v>45</v>
      </c>
      <c r="U348">
        <v>23</v>
      </c>
      <c r="V348">
        <v>5</v>
      </c>
      <c r="W348">
        <v>2</v>
      </c>
      <c r="X348">
        <v>57</v>
      </c>
      <c r="Y348">
        <v>20</v>
      </c>
      <c r="Z348">
        <v>1</v>
      </c>
      <c r="AA348">
        <v>9</v>
      </c>
      <c r="AB348">
        <v>10</v>
      </c>
      <c r="AO348">
        <v>5</v>
      </c>
      <c r="AW348">
        <v>0</v>
      </c>
      <c r="AX348">
        <v>11</v>
      </c>
      <c r="AY348">
        <v>290</v>
      </c>
      <c r="AZ348">
        <v>290</v>
      </c>
      <c r="BA348">
        <v>741</v>
      </c>
      <c r="BB348">
        <v>44</v>
      </c>
      <c r="BD348">
        <v>1</v>
      </c>
      <c r="BF348" t="s">
        <v>457</v>
      </c>
      <c r="BG348" s="1">
        <v>44353.920381944445</v>
      </c>
      <c r="BH348" s="1">
        <v>44353.922164351854</v>
      </c>
      <c r="BI348" s="1">
        <v>44353.922592592593</v>
      </c>
      <c r="BJ348" t="s">
        <v>197</v>
      </c>
      <c r="BK348" t="s">
        <v>198</v>
      </c>
      <c r="BL348" t="s">
        <v>87</v>
      </c>
    </row>
    <row r="349" spans="1:64" x14ac:dyDescent="0.3">
      <c r="A349" t="str">
        <f>"200217C0100"</f>
        <v>200217C0100</v>
      </c>
      <c r="B349" t="str">
        <f>"200217C01003"</f>
        <v>200217C01003</v>
      </c>
      <c r="C349" t="str">
        <f t="shared" si="21"/>
        <v>20</v>
      </c>
      <c r="D349" t="s">
        <v>81</v>
      </c>
      <c r="E349" t="str">
        <f t="shared" si="20"/>
        <v>037</v>
      </c>
      <c r="F349" t="s">
        <v>400</v>
      </c>
      <c r="G349" t="str">
        <f>"0217"</f>
        <v>0217</v>
      </c>
      <c r="H349" t="str">
        <f>"0001"</f>
        <v>0001</v>
      </c>
      <c r="I349" t="s">
        <v>89</v>
      </c>
      <c r="J349">
        <v>0</v>
      </c>
      <c r="K349">
        <v>1</v>
      </c>
      <c r="L349">
        <v>3</v>
      </c>
      <c r="M349">
        <v>504</v>
      </c>
      <c r="N349">
        <v>281</v>
      </c>
      <c r="O349">
        <v>6</v>
      </c>
      <c r="P349">
        <v>281</v>
      </c>
      <c r="Q349">
        <v>60</v>
      </c>
      <c r="R349">
        <v>44</v>
      </c>
      <c r="S349">
        <v>4</v>
      </c>
      <c r="T349">
        <v>38</v>
      </c>
      <c r="U349">
        <v>18</v>
      </c>
      <c r="V349">
        <v>3</v>
      </c>
      <c r="W349">
        <v>0</v>
      </c>
      <c r="X349">
        <v>50</v>
      </c>
      <c r="Y349">
        <v>29</v>
      </c>
      <c r="Z349">
        <v>3</v>
      </c>
      <c r="AA349">
        <v>5</v>
      </c>
      <c r="AB349">
        <v>9</v>
      </c>
      <c r="AO349">
        <v>4</v>
      </c>
      <c r="AW349">
        <v>0</v>
      </c>
      <c r="AX349">
        <v>14</v>
      </c>
      <c r="AY349">
        <v>281</v>
      </c>
      <c r="AZ349">
        <v>281</v>
      </c>
      <c r="BA349">
        <v>741</v>
      </c>
      <c r="BB349">
        <v>44</v>
      </c>
      <c r="BD349">
        <v>1</v>
      </c>
      <c r="BF349" t="s">
        <v>458</v>
      </c>
      <c r="BG349" s="1">
        <v>44353.910486111112</v>
      </c>
      <c r="BH349" s="1">
        <v>44353.911689814813</v>
      </c>
      <c r="BI349" s="1">
        <v>44353.912175925929</v>
      </c>
      <c r="BJ349" t="s">
        <v>197</v>
      </c>
      <c r="BK349" t="s">
        <v>198</v>
      </c>
      <c r="BL349" t="s">
        <v>87</v>
      </c>
    </row>
    <row r="350" spans="1:64" x14ac:dyDescent="0.3">
      <c r="A350" t="str">
        <f>"200217C0200"</f>
        <v>200217C0200</v>
      </c>
      <c r="B350" t="str">
        <f>"200217C02003"</f>
        <v>200217C02003</v>
      </c>
      <c r="C350" t="str">
        <f t="shared" si="21"/>
        <v>20</v>
      </c>
      <c r="D350" t="s">
        <v>81</v>
      </c>
      <c r="E350" t="str">
        <f t="shared" si="20"/>
        <v>037</v>
      </c>
      <c r="F350" t="s">
        <v>400</v>
      </c>
      <c r="G350" t="str">
        <f>"0217"</f>
        <v>0217</v>
      </c>
      <c r="H350" t="str">
        <f>"0002"</f>
        <v>0002</v>
      </c>
      <c r="I350" t="s">
        <v>89</v>
      </c>
      <c r="J350">
        <v>0</v>
      </c>
      <c r="K350">
        <v>1</v>
      </c>
      <c r="L350">
        <v>3</v>
      </c>
      <c r="M350">
        <v>489</v>
      </c>
      <c r="N350">
        <v>296</v>
      </c>
      <c r="O350">
        <v>6</v>
      </c>
      <c r="P350">
        <v>296</v>
      </c>
      <c r="Q350">
        <v>73</v>
      </c>
      <c r="R350">
        <v>29</v>
      </c>
      <c r="S350">
        <v>4</v>
      </c>
      <c r="T350">
        <v>35</v>
      </c>
      <c r="U350">
        <v>26</v>
      </c>
      <c r="V350">
        <v>4</v>
      </c>
      <c r="W350">
        <v>1</v>
      </c>
      <c r="X350">
        <v>59</v>
      </c>
      <c r="Y350">
        <v>28</v>
      </c>
      <c r="Z350">
        <v>2</v>
      </c>
      <c r="AA350">
        <v>11</v>
      </c>
      <c r="AB350">
        <v>10</v>
      </c>
      <c r="AO350">
        <v>6</v>
      </c>
      <c r="AW350">
        <v>0</v>
      </c>
      <c r="AX350">
        <v>8</v>
      </c>
      <c r="AY350">
        <v>296</v>
      </c>
      <c r="AZ350">
        <v>296</v>
      </c>
      <c r="BA350">
        <v>741</v>
      </c>
      <c r="BB350">
        <v>44</v>
      </c>
      <c r="BD350">
        <v>1</v>
      </c>
      <c r="BF350" t="s">
        <v>459</v>
      </c>
      <c r="BG350" s="1">
        <v>44353.915671296294</v>
      </c>
      <c r="BH350" s="1">
        <v>44353.917812500003</v>
      </c>
      <c r="BI350" s="1">
        <v>44353.918599537035</v>
      </c>
      <c r="BJ350" t="s">
        <v>197</v>
      </c>
      <c r="BK350" t="s">
        <v>198</v>
      </c>
      <c r="BL350" t="s">
        <v>87</v>
      </c>
    </row>
    <row r="351" spans="1:64" x14ac:dyDescent="0.3">
      <c r="A351" t="str">
        <f>"200217C0300"</f>
        <v>200217C0300</v>
      </c>
      <c r="B351" t="str">
        <f>"200217C03003"</f>
        <v>200217C03003</v>
      </c>
      <c r="C351" t="str">
        <f t="shared" si="21"/>
        <v>20</v>
      </c>
      <c r="D351" t="s">
        <v>81</v>
      </c>
      <c r="E351" t="str">
        <f t="shared" si="20"/>
        <v>037</v>
      </c>
      <c r="F351" t="s">
        <v>400</v>
      </c>
      <c r="G351" t="str">
        <f>"0217"</f>
        <v>0217</v>
      </c>
      <c r="H351" t="str">
        <f>"0003"</f>
        <v>0003</v>
      </c>
      <c r="I351" t="s">
        <v>89</v>
      </c>
      <c r="J351">
        <v>0</v>
      </c>
      <c r="K351">
        <v>1</v>
      </c>
      <c r="L351">
        <v>3</v>
      </c>
      <c r="M351">
        <v>490</v>
      </c>
      <c r="N351">
        <v>294</v>
      </c>
      <c r="O351">
        <v>2</v>
      </c>
      <c r="P351" t="s">
        <v>92</v>
      </c>
      <c r="Q351">
        <v>68</v>
      </c>
      <c r="R351">
        <v>38</v>
      </c>
      <c r="S351">
        <v>4</v>
      </c>
      <c r="T351">
        <v>40</v>
      </c>
      <c r="U351">
        <v>6</v>
      </c>
      <c r="V351">
        <v>6</v>
      </c>
      <c r="W351">
        <v>4</v>
      </c>
      <c r="X351">
        <v>57</v>
      </c>
      <c r="Y351">
        <v>28</v>
      </c>
      <c r="Z351">
        <v>6</v>
      </c>
      <c r="AA351">
        <v>5</v>
      </c>
      <c r="AB351">
        <v>12</v>
      </c>
      <c r="AO351">
        <v>7</v>
      </c>
      <c r="AW351">
        <v>0</v>
      </c>
      <c r="AX351">
        <v>8</v>
      </c>
      <c r="AY351">
        <v>294</v>
      </c>
      <c r="AZ351">
        <v>289</v>
      </c>
      <c r="BA351">
        <v>741</v>
      </c>
      <c r="BB351">
        <v>44</v>
      </c>
      <c r="BD351">
        <v>1</v>
      </c>
      <c r="BF351" s="2" t="s">
        <v>460</v>
      </c>
      <c r="BG351" s="1">
        <v>44353.913136574076</v>
      </c>
      <c r="BH351" s="1">
        <v>44353.914606481485</v>
      </c>
      <c r="BI351" s="1">
        <v>44353.916550925926</v>
      </c>
      <c r="BJ351" t="s">
        <v>197</v>
      </c>
      <c r="BK351" t="s">
        <v>198</v>
      </c>
      <c r="BL351" t="s">
        <v>87</v>
      </c>
    </row>
    <row r="352" spans="1:64" x14ac:dyDescent="0.3">
      <c r="A352" t="str">
        <f>"200217C0400"</f>
        <v>200217C0400</v>
      </c>
      <c r="B352" t="str">
        <f>"200217C04003"</f>
        <v>200217C04003</v>
      </c>
      <c r="C352" t="str">
        <f t="shared" si="21"/>
        <v>20</v>
      </c>
      <c r="D352" t="s">
        <v>81</v>
      </c>
      <c r="E352" t="str">
        <f t="shared" si="20"/>
        <v>037</v>
      </c>
      <c r="F352" t="s">
        <v>400</v>
      </c>
      <c r="G352" t="str">
        <f>"0217"</f>
        <v>0217</v>
      </c>
      <c r="H352" t="str">
        <f>"0004"</f>
        <v>0004</v>
      </c>
      <c r="I352" t="s">
        <v>89</v>
      </c>
      <c r="J352">
        <v>0</v>
      </c>
      <c r="K352">
        <v>1</v>
      </c>
      <c r="L352">
        <v>3</v>
      </c>
      <c r="M352">
        <v>494</v>
      </c>
      <c r="N352">
        <v>290</v>
      </c>
      <c r="O352">
        <v>1</v>
      </c>
      <c r="P352">
        <v>290</v>
      </c>
      <c r="Q352">
        <v>62</v>
      </c>
      <c r="R352">
        <v>28</v>
      </c>
      <c r="S352">
        <v>5</v>
      </c>
      <c r="T352">
        <v>55</v>
      </c>
      <c r="U352">
        <v>16</v>
      </c>
      <c r="V352">
        <v>3</v>
      </c>
      <c r="W352">
        <v>2</v>
      </c>
      <c r="X352">
        <v>72</v>
      </c>
      <c r="Y352">
        <v>17</v>
      </c>
      <c r="Z352">
        <v>3</v>
      </c>
      <c r="AA352">
        <v>3</v>
      </c>
      <c r="AB352">
        <v>6</v>
      </c>
      <c r="AO352">
        <v>5</v>
      </c>
      <c r="AW352">
        <v>0</v>
      </c>
      <c r="AX352">
        <v>13</v>
      </c>
      <c r="AY352">
        <v>290</v>
      </c>
      <c r="AZ352">
        <v>290</v>
      </c>
      <c r="BA352">
        <v>740</v>
      </c>
      <c r="BB352">
        <v>44</v>
      </c>
      <c r="BD352">
        <v>1</v>
      </c>
      <c r="BF352" t="s">
        <v>461</v>
      </c>
      <c r="BG352" s="1">
        <v>44353.89266203704</v>
      </c>
      <c r="BH352" s="1">
        <v>44353.895497685182</v>
      </c>
      <c r="BI352" s="1">
        <v>44353.896967592591</v>
      </c>
      <c r="BJ352" t="s">
        <v>197</v>
      </c>
      <c r="BK352" t="s">
        <v>198</v>
      </c>
      <c r="BL352" t="s">
        <v>87</v>
      </c>
    </row>
    <row r="353" spans="1:64" x14ac:dyDescent="0.3">
      <c r="A353" t="str">
        <f>"200218B0000"</f>
        <v>200218B0000</v>
      </c>
      <c r="B353" t="str">
        <f>"200218B00003"</f>
        <v>200218B00003</v>
      </c>
      <c r="C353" t="str">
        <f t="shared" si="21"/>
        <v>20</v>
      </c>
      <c r="D353" t="s">
        <v>81</v>
      </c>
      <c r="E353" t="str">
        <f t="shared" si="20"/>
        <v>037</v>
      </c>
      <c r="F353" t="s">
        <v>400</v>
      </c>
      <c r="G353" t="str">
        <f t="shared" ref="G353:G358" si="22">"0218"</f>
        <v>0218</v>
      </c>
      <c r="H353" t="str">
        <f>"0000"</f>
        <v>0000</v>
      </c>
      <c r="I353" t="s">
        <v>83</v>
      </c>
      <c r="J353">
        <v>0</v>
      </c>
      <c r="K353">
        <v>1</v>
      </c>
      <c r="L353">
        <v>3</v>
      </c>
      <c r="M353">
        <v>407</v>
      </c>
      <c r="N353">
        <v>310</v>
      </c>
      <c r="O353">
        <v>5</v>
      </c>
      <c r="P353">
        <v>310</v>
      </c>
      <c r="Q353">
        <v>59</v>
      </c>
      <c r="R353">
        <v>32</v>
      </c>
      <c r="S353">
        <v>2</v>
      </c>
      <c r="T353">
        <v>49</v>
      </c>
      <c r="U353">
        <v>17</v>
      </c>
      <c r="V353">
        <v>4</v>
      </c>
      <c r="W353">
        <v>3</v>
      </c>
      <c r="X353">
        <v>84</v>
      </c>
      <c r="Y353">
        <v>24</v>
      </c>
      <c r="Z353">
        <v>1</v>
      </c>
      <c r="AA353">
        <v>6</v>
      </c>
      <c r="AB353">
        <v>11</v>
      </c>
      <c r="AO353">
        <v>4</v>
      </c>
      <c r="AW353" t="s">
        <v>95</v>
      </c>
      <c r="AX353">
        <v>14</v>
      </c>
      <c r="AY353">
        <v>310</v>
      </c>
      <c r="AZ353">
        <v>310</v>
      </c>
      <c r="BA353">
        <v>673</v>
      </c>
      <c r="BB353">
        <v>44</v>
      </c>
      <c r="BC353" t="s">
        <v>96</v>
      </c>
      <c r="BD353">
        <v>1</v>
      </c>
      <c r="BF353" t="s">
        <v>462</v>
      </c>
      <c r="BG353" s="1">
        <v>44353.902268518519</v>
      </c>
      <c r="BH353" s="1">
        <v>44353.903668981482</v>
      </c>
      <c r="BI353" s="1">
        <v>44353.904097222221</v>
      </c>
      <c r="BJ353" t="s">
        <v>197</v>
      </c>
      <c r="BK353" t="s">
        <v>198</v>
      </c>
      <c r="BL353" t="s">
        <v>87</v>
      </c>
    </row>
    <row r="354" spans="1:64" x14ac:dyDescent="0.3">
      <c r="A354" t="str">
        <f>"200218C0100"</f>
        <v>200218C0100</v>
      </c>
      <c r="B354" t="str">
        <f>"200218C01003"</f>
        <v>200218C01003</v>
      </c>
      <c r="C354" t="str">
        <f t="shared" si="21"/>
        <v>20</v>
      </c>
      <c r="D354" t="s">
        <v>81</v>
      </c>
      <c r="E354" t="str">
        <f t="shared" si="20"/>
        <v>037</v>
      </c>
      <c r="F354" t="s">
        <v>400</v>
      </c>
      <c r="G354" t="str">
        <f t="shared" si="22"/>
        <v>0218</v>
      </c>
      <c r="H354" t="str">
        <f>"0001"</f>
        <v>0001</v>
      </c>
      <c r="I354" t="s">
        <v>89</v>
      </c>
      <c r="J354">
        <v>0</v>
      </c>
      <c r="K354">
        <v>1</v>
      </c>
      <c r="L354">
        <v>3</v>
      </c>
      <c r="M354">
        <v>412</v>
      </c>
      <c r="N354">
        <v>305</v>
      </c>
      <c r="O354">
        <v>2</v>
      </c>
      <c r="P354">
        <v>305</v>
      </c>
      <c r="Q354">
        <v>76</v>
      </c>
      <c r="R354">
        <v>47</v>
      </c>
      <c r="S354">
        <v>3</v>
      </c>
      <c r="T354">
        <v>45</v>
      </c>
      <c r="U354">
        <v>14</v>
      </c>
      <c r="V354">
        <v>0</v>
      </c>
      <c r="W354">
        <v>4</v>
      </c>
      <c r="X354">
        <v>59</v>
      </c>
      <c r="Y354">
        <v>27</v>
      </c>
      <c r="Z354">
        <v>2</v>
      </c>
      <c r="AA354">
        <v>9</v>
      </c>
      <c r="AB354">
        <v>9</v>
      </c>
      <c r="AO354">
        <v>5</v>
      </c>
      <c r="AW354">
        <v>1</v>
      </c>
      <c r="AX354">
        <v>4</v>
      </c>
      <c r="AY354">
        <v>305</v>
      </c>
      <c r="AZ354">
        <v>305</v>
      </c>
      <c r="BA354">
        <v>673</v>
      </c>
      <c r="BB354">
        <v>44</v>
      </c>
      <c r="BD354">
        <v>1</v>
      </c>
      <c r="BF354" t="s">
        <v>463</v>
      </c>
      <c r="BG354" s="1">
        <v>44353.931180555555</v>
      </c>
      <c r="BH354" s="1">
        <v>44353.932685185187</v>
      </c>
      <c r="BI354" s="1">
        <v>44353.933206018519</v>
      </c>
      <c r="BJ354" t="s">
        <v>197</v>
      </c>
      <c r="BK354" t="s">
        <v>198</v>
      </c>
      <c r="BL354" t="s">
        <v>87</v>
      </c>
    </row>
    <row r="355" spans="1:64" x14ac:dyDescent="0.3">
      <c r="A355" t="str">
        <f>"200218C0200"</f>
        <v>200218C0200</v>
      </c>
      <c r="B355" t="str">
        <f>"200218C02003"</f>
        <v>200218C02003</v>
      </c>
      <c r="C355" t="str">
        <f t="shared" si="21"/>
        <v>20</v>
      </c>
      <c r="D355" t="s">
        <v>81</v>
      </c>
      <c r="E355" t="str">
        <f t="shared" si="20"/>
        <v>037</v>
      </c>
      <c r="F355" t="s">
        <v>400</v>
      </c>
      <c r="G355" t="str">
        <f t="shared" si="22"/>
        <v>0218</v>
      </c>
      <c r="H355" t="str">
        <f>"0002"</f>
        <v>0002</v>
      </c>
      <c r="I355" t="s">
        <v>89</v>
      </c>
      <c r="J355">
        <v>0</v>
      </c>
      <c r="K355">
        <v>1</v>
      </c>
      <c r="L355">
        <v>3</v>
      </c>
      <c r="M355">
        <v>413</v>
      </c>
      <c r="N355">
        <v>304</v>
      </c>
      <c r="O355">
        <v>0</v>
      </c>
      <c r="P355">
        <v>304</v>
      </c>
      <c r="Q355">
        <v>58</v>
      </c>
      <c r="R355">
        <v>50</v>
      </c>
      <c r="S355">
        <v>5</v>
      </c>
      <c r="T355">
        <v>47</v>
      </c>
      <c r="U355">
        <v>16</v>
      </c>
      <c r="V355">
        <v>2</v>
      </c>
      <c r="W355">
        <v>3</v>
      </c>
      <c r="X355">
        <v>51</v>
      </c>
      <c r="Y355">
        <v>31</v>
      </c>
      <c r="Z355">
        <v>5</v>
      </c>
      <c r="AA355">
        <v>6</v>
      </c>
      <c r="AB355">
        <v>12</v>
      </c>
      <c r="AO355">
        <v>2</v>
      </c>
      <c r="AW355">
        <v>0</v>
      </c>
      <c r="AX355">
        <v>16</v>
      </c>
      <c r="AY355">
        <v>304</v>
      </c>
      <c r="AZ355">
        <v>304</v>
      </c>
      <c r="BA355">
        <v>673</v>
      </c>
      <c r="BB355">
        <v>44</v>
      </c>
      <c r="BD355">
        <v>1</v>
      </c>
      <c r="BF355" t="s">
        <v>464</v>
      </c>
      <c r="BG355" s="1">
        <v>44354.168055555558</v>
      </c>
      <c r="BH355" s="1">
        <v>44354.169641203705</v>
      </c>
      <c r="BI355" s="1">
        <v>44354.170300925929</v>
      </c>
      <c r="BJ355" t="s">
        <v>85</v>
      </c>
      <c r="BK355" t="s">
        <v>86</v>
      </c>
      <c r="BL355" t="s">
        <v>87</v>
      </c>
    </row>
    <row r="356" spans="1:64" x14ac:dyDescent="0.3">
      <c r="A356" t="str">
        <f>"200218C0300"</f>
        <v>200218C0300</v>
      </c>
      <c r="B356" t="str">
        <f>"200218C03003"</f>
        <v>200218C03003</v>
      </c>
      <c r="C356" t="str">
        <f t="shared" si="21"/>
        <v>20</v>
      </c>
      <c r="D356" t="s">
        <v>81</v>
      </c>
      <c r="E356" t="str">
        <f t="shared" ref="E356:E387" si="23">"037"</f>
        <v>037</v>
      </c>
      <c r="F356" t="s">
        <v>400</v>
      </c>
      <c r="G356" t="str">
        <f t="shared" si="22"/>
        <v>0218</v>
      </c>
      <c r="H356" t="str">
        <f>"0003"</f>
        <v>0003</v>
      </c>
      <c r="I356" t="s">
        <v>89</v>
      </c>
      <c r="J356">
        <v>0</v>
      </c>
      <c r="K356">
        <v>1</v>
      </c>
      <c r="L356">
        <v>3</v>
      </c>
      <c r="M356">
        <v>394</v>
      </c>
      <c r="N356">
        <v>323</v>
      </c>
      <c r="O356">
        <v>1</v>
      </c>
      <c r="P356" t="s">
        <v>92</v>
      </c>
      <c r="Q356">
        <v>70</v>
      </c>
      <c r="R356">
        <v>23</v>
      </c>
      <c r="S356">
        <v>3</v>
      </c>
      <c r="T356">
        <v>58</v>
      </c>
      <c r="U356">
        <v>15</v>
      </c>
      <c r="V356">
        <v>0</v>
      </c>
      <c r="W356">
        <v>4</v>
      </c>
      <c r="X356">
        <v>90</v>
      </c>
      <c r="Y356">
        <v>21</v>
      </c>
      <c r="Z356">
        <v>1</v>
      </c>
      <c r="AA356">
        <v>5</v>
      </c>
      <c r="AB356">
        <v>18</v>
      </c>
      <c r="AO356">
        <v>7</v>
      </c>
      <c r="AW356" t="s">
        <v>95</v>
      </c>
      <c r="AX356" t="s">
        <v>95</v>
      </c>
      <c r="AY356" t="s">
        <v>95</v>
      </c>
      <c r="AZ356">
        <v>315</v>
      </c>
      <c r="BA356">
        <v>673</v>
      </c>
      <c r="BB356">
        <v>44</v>
      </c>
      <c r="BC356" t="s">
        <v>96</v>
      </c>
      <c r="BD356">
        <v>1</v>
      </c>
      <c r="BF356" t="s">
        <v>465</v>
      </c>
      <c r="BG356" s="1">
        <v>44353.944861111115</v>
      </c>
      <c r="BH356" s="1">
        <v>44353.946111111109</v>
      </c>
      <c r="BI356" s="1">
        <v>44353.947650462964</v>
      </c>
      <c r="BJ356" t="s">
        <v>197</v>
      </c>
      <c r="BK356" t="s">
        <v>198</v>
      </c>
      <c r="BL356" t="s">
        <v>87</v>
      </c>
    </row>
    <row r="357" spans="1:64" x14ac:dyDescent="0.3">
      <c r="A357" t="str">
        <f>"200218C0400"</f>
        <v>200218C0400</v>
      </c>
      <c r="B357" t="str">
        <f>"200218C04003"</f>
        <v>200218C04003</v>
      </c>
      <c r="C357" t="str">
        <f t="shared" si="21"/>
        <v>20</v>
      </c>
      <c r="D357" t="s">
        <v>81</v>
      </c>
      <c r="E357" t="str">
        <f t="shared" si="23"/>
        <v>037</v>
      </c>
      <c r="F357" t="s">
        <v>400</v>
      </c>
      <c r="G357" t="str">
        <f t="shared" si="22"/>
        <v>0218</v>
      </c>
      <c r="H357" t="str">
        <f>"0004"</f>
        <v>0004</v>
      </c>
      <c r="I357" t="s">
        <v>89</v>
      </c>
      <c r="J357">
        <v>0</v>
      </c>
      <c r="K357">
        <v>1</v>
      </c>
      <c r="L357">
        <v>3</v>
      </c>
      <c r="M357">
        <v>417</v>
      </c>
      <c r="N357">
        <v>299</v>
      </c>
      <c r="O357">
        <v>5</v>
      </c>
      <c r="P357" t="s">
        <v>92</v>
      </c>
      <c r="Q357">
        <v>78</v>
      </c>
      <c r="R357">
        <v>23</v>
      </c>
      <c r="S357">
        <v>3</v>
      </c>
      <c r="T357">
        <v>42</v>
      </c>
      <c r="U357">
        <v>20</v>
      </c>
      <c r="V357">
        <v>4</v>
      </c>
      <c r="W357">
        <v>3</v>
      </c>
      <c r="X357">
        <v>66</v>
      </c>
      <c r="Y357">
        <v>29</v>
      </c>
      <c r="Z357">
        <v>1</v>
      </c>
      <c r="AA357">
        <v>2</v>
      </c>
      <c r="AB357">
        <v>18</v>
      </c>
      <c r="AO357">
        <v>3</v>
      </c>
      <c r="AW357">
        <v>0</v>
      </c>
      <c r="AX357">
        <v>6</v>
      </c>
      <c r="AY357">
        <v>295</v>
      </c>
      <c r="AZ357">
        <v>298</v>
      </c>
      <c r="BA357">
        <v>672</v>
      </c>
      <c r="BB357">
        <v>44</v>
      </c>
      <c r="BD357">
        <v>1</v>
      </c>
      <c r="BF357" t="s">
        <v>466</v>
      </c>
      <c r="BG357" s="1">
        <v>44353.947025462963</v>
      </c>
      <c r="BH357" s="1">
        <v>44353.948611111111</v>
      </c>
      <c r="BI357" s="1">
        <v>44353.950266203705</v>
      </c>
      <c r="BJ357" t="s">
        <v>197</v>
      </c>
      <c r="BK357" t="s">
        <v>198</v>
      </c>
      <c r="BL357" t="s">
        <v>87</v>
      </c>
    </row>
    <row r="358" spans="1:64" x14ac:dyDescent="0.3">
      <c r="A358" t="str">
        <f>"200218C0500"</f>
        <v>200218C0500</v>
      </c>
      <c r="B358" t="str">
        <f>"200218C05003"</f>
        <v>200218C05003</v>
      </c>
      <c r="C358" t="str">
        <f t="shared" si="21"/>
        <v>20</v>
      </c>
      <c r="D358" t="s">
        <v>81</v>
      </c>
      <c r="E358" t="str">
        <f t="shared" si="23"/>
        <v>037</v>
      </c>
      <c r="F358" t="s">
        <v>400</v>
      </c>
      <c r="G358" t="str">
        <f t="shared" si="22"/>
        <v>0218</v>
      </c>
      <c r="H358" t="str">
        <f>"0005"</f>
        <v>0005</v>
      </c>
      <c r="I358" t="s">
        <v>89</v>
      </c>
      <c r="J358">
        <v>0</v>
      </c>
      <c r="K358">
        <v>1</v>
      </c>
      <c r="L358">
        <v>3</v>
      </c>
      <c r="M358">
        <v>399</v>
      </c>
      <c r="N358">
        <v>317</v>
      </c>
      <c r="O358">
        <v>4</v>
      </c>
      <c r="P358">
        <v>317</v>
      </c>
      <c r="Q358">
        <v>65</v>
      </c>
      <c r="R358">
        <v>35</v>
      </c>
      <c r="S358">
        <v>3</v>
      </c>
      <c r="T358">
        <v>47</v>
      </c>
      <c r="U358">
        <v>20</v>
      </c>
      <c r="V358">
        <v>4</v>
      </c>
      <c r="W358">
        <v>3</v>
      </c>
      <c r="X358">
        <v>78</v>
      </c>
      <c r="Y358">
        <v>34</v>
      </c>
      <c r="Z358">
        <v>1</v>
      </c>
      <c r="AA358">
        <v>10</v>
      </c>
      <c r="AB358">
        <v>6</v>
      </c>
      <c r="AO358">
        <v>4</v>
      </c>
      <c r="AW358">
        <v>0</v>
      </c>
      <c r="AX358">
        <v>7</v>
      </c>
      <c r="AY358">
        <v>317</v>
      </c>
      <c r="AZ358">
        <v>317</v>
      </c>
      <c r="BA358">
        <v>672</v>
      </c>
      <c r="BB358">
        <v>44</v>
      </c>
      <c r="BD358">
        <v>1</v>
      </c>
      <c r="BF358" t="s">
        <v>467</v>
      </c>
      <c r="BG358" s="1">
        <v>44353.920949074076</v>
      </c>
      <c r="BH358" s="1">
        <v>44353.922256944446</v>
      </c>
      <c r="BI358" s="1">
        <v>44353.923078703701</v>
      </c>
      <c r="BJ358" t="s">
        <v>197</v>
      </c>
      <c r="BK358" t="s">
        <v>198</v>
      </c>
      <c r="BL358" t="s">
        <v>87</v>
      </c>
    </row>
    <row r="359" spans="1:64" x14ac:dyDescent="0.3">
      <c r="A359" t="str">
        <f>"200219B0000"</f>
        <v>200219B0000</v>
      </c>
      <c r="B359" t="str">
        <f>"200219B00003"</f>
        <v>200219B00003</v>
      </c>
      <c r="C359" t="str">
        <f t="shared" si="21"/>
        <v>20</v>
      </c>
      <c r="D359" t="s">
        <v>81</v>
      </c>
      <c r="E359" t="str">
        <f t="shared" si="23"/>
        <v>037</v>
      </c>
      <c r="F359" t="s">
        <v>400</v>
      </c>
      <c r="G359" t="str">
        <f>"0219"</f>
        <v>0219</v>
      </c>
      <c r="H359" t="str">
        <f>"0000"</f>
        <v>0000</v>
      </c>
      <c r="I359" t="s">
        <v>83</v>
      </c>
      <c r="J359">
        <v>0</v>
      </c>
      <c r="K359">
        <v>1</v>
      </c>
      <c r="L359">
        <v>3</v>
      </c>
      <c r="M359">
        <v>630</v>
      </c>
      <c r="N359">
        <v>316</v>
      </c>
      <c r="O359">
        <v>3</v>
      </c>
      <c r="P359" t="s">
        <v>92</v>
      </c>
      <c r="Q359">
        <v>92</v>
      </c>
      <c r="R359">
        <v>31</v>
      </c>
      <c r="S359">
        <v>2</v>
      </c>
      <c r="T359">
        <v>64</v>
      </c>
      <c r="U359">
        <v>13</v>
      </c>
      <c r="V359">
        <v>3</v>
      </c>
      <c r="W359">
        <v>2</v>
      </c>
      <c r="X359">
        <v>66</v>
      </c>
      <c r="Y359">
        <v>22</v>
      </c>
      <c r="Z359">
        <v>0</v>
      </c>
      <c r="AA359">
        <v>5</v>
      </c>
      <c r="AB359">
        <v>7</v>
      </c>
      <c r="AO359">
        <v>4</v>
      </c>
      <c r="AW359">
        <v>0</v>
      </c>
      <c r="AX359">
        <v>5</v>
      </c>
      <c r="AY359">
        <v>316</v>
      </c>
      <c r="AZ359">
        <v>316</v>
      </c>
      <c r="BA359">
        <v>586</v>
      </c>
      <c r="BB359">
        <v>44</v>
      </c>
      <c r="BD359">
        <v>1</v>
      </c>
      <c r="BF359" t="s">
        <v>468</v>
      </c>
      <c r="BG359" s="1">
        <v>44354.054166666669</v>
      </c>
      <c r="BH359" s="1">
        <v>44354.062430555554</v>
      </c>
      <c r="BI359" s="1">
        <v>44354.063090277778</v>
      </c>
      <c r="BJ359" t="s">
        <v>85</v>
      </c>
      <c r="BK359" t="s">
        <v>86</v>
      </c>
      <c r="BL359" t="s">
        <v>87</v>
      </c>
    </row>
    <row r="360" spans="1:64" x14ac:dyDescent="0.3">
      <c r="A360" t="str">
        <f>"200219C0100"</f>
        <v>200219C0100</v>
      </c>
      <c r="B360" t="str">
        <f>"200219C01003"</f>
        <v>200219C01003</v>
      </c>
      <c r="C360" t="str">
        <f t="shared" si="21"/>
        <v>20</v>
      </c>
      <c r="D360" t="s">
        <v>81</v>
      </c>
      <c r="E360" t="str">
        <f t="shared" si="23"/>
        <v>037</v>
      </c>
      <c r="F360" t="s">
        <v>400</v>
      </c>
      <c r="G360" t="str">
        <f>"0219"</f>
        <v>0219</v>
      </c>
      <c r="H360" t="str">
        <f>"0001"</f>
        <v>0001</v>
      </c>
      <c r="I360" t="s">
        <v>89</v>
      </c>
      <c r="J360">
        <v>0</v>
      </c>
      <c r="K360">
        <v>1</v>
      </c>
      <c r="L360">
        <v>3</v>
      </c>
      <c r="M360">
        <v>308</v>
      </c>
      <c r="N360">
        <v>322</v>
      </c>
      <c r="O360">
        <v>2</v>
      </c>
      <c r="P360">
        <v>322</v>
      </c>
      <c r="Q360">
        <v>70</v>
      </c>
      <c r="R360">
        <v>24</v>
      </c>
      <c r="S360">
        <v>4</v>
      </c>
      <c r="T360">
        <v>62</v>
      </c>
      <c r="U360">
        <v>27</v>
      </c>
      <c r="V360">
        <v>3</v>
      </c>
      <c r="W360">
        <v>3</v>
      </c>
      <c r="X360">
        <v>69</v>
      </c>
      <c r="Y360">
        <v>17</v>
      </c>
      <c r="Z360">
        <v>1</v>
      </c>
      <c r="AA360">
        <v>10</v>
      </c>
      <c r="AB360">
        <v>18</v>
      </c>
      <c r="AO360">
        <v>5</v>
      </c>
      <c r="AW360">
        <v>0</v>
      </c>
      <c r="AX360">
        <v>9</v>
      </c>
      <c r="AY360">
        <v>322</v>
      </c>
      <c r="AZ360">
        <v>322</v>
      </c>
      <c r="BA360">
        <v>586</v>
      </c>
      <c r="BB360">
        <v>44</v>
      </c>
      <c r="BD360">
        <v>1</v>
      </c>
      <c r="BF360" t="s">
        <v>469</v>
      </c>
      <c r="BG360" s="1">
        <v>44354.051388888889</v>
      </c>
      <c r="BH360" s="1">
        <v>44354.058020833334</v>
      </c>
      <c r="BI360" s="1">
        <v>44354.058506944442</v>
      </c>
      <c r="BJ360" t="s">
        <v>85</v>
      </c>
      <c r="BK360" t="s">
        <v>86</v>
      </c>
      <c r="BL360" t="s">
        <v>87</v>
      </c>
    </row>
    <row r="361" spans="1:64" x14ac:dyDescent="0.3">
      <c r="A361" t="str">
        <f>"200219C0200"</f>
        <v>200219C0200</v>
      </c>
      <c r="B361" t="str">
        <f>"200219C02003"</f>
        <v>200219C02003</v>
      </c>
      <c r="C361" t="str">
        <f t="shared" si="21"/>
        <v>20</v>
      </c>
      <c r="D361" t="s">
        <v>81</v>
      </c>
      <c r="E361" t="str">
        <f t="shared" si="23"/>
        <v>037</v>
      </c>
      <c r="F361" t="s">
        <v>400</v>
      </c>
      <c r="G361" t="str">
        <f>"0219"</f>
        <v>0219</v>
      </c>
      <c r="H361" t="str">
        <f>"0002"</f>
        <v>0002</v>
      </c>
      <c r="I361" t="s">
        <v>89</v>
      </c>
      <c r="J361">
        <v>0</v>
      </c>
      <c r="K361">
        <v>1</v>
      </c>
      <c r="L361">
        <v>3</v>
      </c>
      <c r="M361">
        <v>317</v>
      </c>
      <c r="N361">
        <v>313</v>
      </c>
      <c r="O361">
        <v>5</v>
      </c>
      <c r="P361">
        <v>313</v>
      </c>
      <c r="Q361">
        <v>75</v>
      </c>
      <c r="R361">
        <v>25</v>
      </c>
      <c r="S361">
        <v>9</v>
      </c>
      <c r="T361">
        <v>51</v>
      </c>
      <c r="U361">
        <v>22</v>
      </c>
      <c r="V361">
        <v>3</v>
      </c>
      <c r="W361">
        <v>0</v>
      </c>
      <c r="X361">
        <v>68</v>
      </c>
      <c r="Y361">
        <v>19</v>
      </c>
      <c r="Z361">
        <v>0</v>
      </c>
      <c r="AA361">
        <v>9</v>
      </c>
      <c r="AB361">
        <v>15</v>
      </c>
      <c r="AO361">
        <v>6</v>
      </c>
      <c r="AW361">
        <v>0</v>
      </c>
      <c r="AX361">
        <v>11</v>
      </c>
      <c r="AY361">
        <v>313</v>
      </c>
      <c r="AZ361">
        <v>313</v>
      </c>
      <c r="BA361">
        <v>586</v>
      </c>
      <c r="BB361">
        <v>44</v>
      </c>
      <c r="BD361">
        <v>1</v>
      </c>
      <c r="BF361" t="s">
        <v>470</v>
      </c>
      <c r="BG361" s="1">
        <v>44354.048611111109</v>
      </c>
      <c r="BH361" s="1">
        <v>44354.055092592593</v>
      </c>
      <c r="BI361" s="1">
        <v>44354.055752314816</v>
      </c>
      <c r="BJ361" t="s">
        <v>85</v>
      </c>
      <c r="BK361" t="s">
        <v>86</v>
      </c>
      <c r="BL361" t="s">
        <v>87</v>
      </c>
    </row>
    <row r="362" spans="1:64" x14ac:dyDescent="0.3">
      <c r="A362" t="str">
        <f>"200219C0300"</f>
        <v>200219C0300</v>
      </c>
      <c r="B362" t="str">
        <f>"200219C03003"</f>
        <v>200219C03003</v>
      </c>
      <c r="C362" t="str">
        <f t="shared" si="21"/>
        <v>20</v>
      </c>
      <c r="D362" t="s">
        <v>81</v>
      </c>
      <c r="E362" t="str">
        <f t="shared" si="23"/>
        <v>037</v>
      </c>
      <c r="F362" t="s">
        <v>400</v>
      </c>
      <c r="G362" t="str">
        <f>"0219"</f>
        <v>0219</v>
      </c>
      <c r="H362" t="str">
        <f>"0003"</f>
        <v>0003</v>
      </c>
      <c r="I362" t="s">
        <v>89</v>
      </c>
      <c r="J362">
        <v>0</v>
      </c>
      <c r="K362">
        <v>1</v>
      </c>
      <c r="L362">
        <v>3</v>
      </c>
      <c r="M362">
        <v>342</v>
      </c>
      <c r="N362">
        <v>288</v>
      </c>
      <c r="O362">
        <v>3</v>
      </c>
      <c r="P362" t="s">
        <v>92</v>
      </c>
      <c r="Q362">
        <v>75</v>
      </c>
      <c r="R362">
        <v>32</v>
      </c>
      <c r="S362">
        <v>3</v>
      </c>
      <c r="T362">
        <v>41</v>
      </c>
      <c r="U362">
        <v>11</v>
      </c>
      <c r="V362">
        <v>4</v>
      </c>
      <c r="W362">
        <v>0</v>
      </c>
      <c r="X362">
        <v>73</v>
      </c>
      <c r="Y362">
        <v>24</v>
      </c>
      <c r="Z362">
        <v>0</v>
      </c>
      <c r="AA362">
        <v>6</v>
      </c>
      <c r="AB362">
        <v>9</v>
      </c>
      <c r="AO362">
        <v>2</v>
      </c>
      <c r="AW362">
        <v>0</v>
      </c>
      <c r="AX362">
        <v>8</v>
      </c>
      <c r="AY362">
        <v>288</v>
      </c>
      <c r="AZ362">
        <v>288</v>
      </c>
      <c r="BA362">
        <v>586</v>
      </c>
      <c r="BB362">
        <v>44</v>
      </c>
      <c r="BD362">
        <v>1</v>
      </c>
      <c r="BF362" t="s">
        <v>471</v>
      </c>
      <c r="BG362" s="1">
        <v>44354.057638888888</v>
      </c>
      <c r="BH362" s="1">
        <v>44354.064803240741</v>
      </c>
      <c r="BI362" s="1">
        <v>44354.065381944441</v>
      </c>
      <c r="BJ362" t="s">
        <v>85</v>
      </c>
      <c r="BK362" t="s">
        <v>86</v>
      </c>
      <c r="BL362" t="s">
        <v>87</v>
      </c>
    </row>
    <row r="363" spans="1:64" x14ac:dyDescent="0.3">
      <c r="A363" t="str">
        <f>"200220B0000"</f>
        <v>200220B0000</v>
      </c>
      <c r="B363" t="str">
        <f>"200220B00003"</f>
        <v>200220B00003</v>
      </c>
      <c r="C363" t="str">
        <f t="shared" si="21"/>
        <v>20</v>
      </c>
      <c r="D363" t="s">
        <v>81</v>
      </c>
      <c r="E363" t="str">
        <f t="shared" si="23"/>
        <v>037</v>
      </c>
      <c r="F363" t="s">
        <v>400</v>
      </c>
      <c r="G363" t="str">
        <f t="shared" ref="G363:G368" si="24">"0220"</f>
        <v>0220</v>
      </c>
      <c r="H363" t="str">
        <f>"0000"</f>
        <v>0000</v>
      </c>
      <c r="I363" t="s">
        <v>83</v>
      </c>
      <c r="J363">
        <v>0</v>
      </c>
      <c r="K363">
        <v>1</v>
      </c>
      <c r="L363">
        <v>3</v>
      </c>
      <c r="M363">
        <v>321</v>
      </c>
      <c r="N363">
        <v>331</v>
      </c>
      <c r="O363">
        <v>5</v>
      </c>
      <c r="P363">
        <v>330</v>
      </c>
      <c r="Q363">
        <v>78</v>
      </c>
      <c r="R363">
        <v>23</v>
      </c>
      <c r="S363">
        <v>7</v>
      </c>
      <c r="T363">
        <v>68</v>
      </c>
      <c r="U363">
        <v>17</v>
      </c>
      <c r="V363">
        <v>2</v>
      </c>
      <c r="W363">
        <v>1</v>
      </c>
      <c r="X363">
        <v>63</v>
      </c>
      <c r="Y363">
        <v>40</v>
      </c>
      <c r="Z363">
        <v>4</v>
      </c>
      <c r="AA363">
        <v>8</v>
      </c>
      <c r="AB363">
        <v>10</v>
      </c>
      <c r="AO363">
        <v>3</v>
      </c>
      <c r="AW363">
        <v>0</v>
      </c>
      <c r="AX363">
        <v>6</v>
      </c>
      <c r="AY363">
        <v>330</v>
      </c>
      <c r="AZ363">
        <v>330</v>
      </c>
      <c r="BA363">
        <v>608</v>
      </c>
      <c r="BB363">
        <v>44</v>
      </c>
      <c r="BD363">
        <v>1</v>
      </c>
      <c r="BF363" t="s">
        <v>472</v>
      </c>
      <c r="BG363" s="1">
        <v>44353.922546296293</v>
      </c>
      <c r="BH363" s="1">
        <v>44353.92392361111</v>
      </c>
      <c r="BI363" s="1">
        <v>44353.924525462964</v>
      </c>
      <c r="BJ363" t="s">
        <v>197</v>
      </c>
      <c r="BK363" t="s">
        <v>198</v>
      </c>
      <c r="BL363" t="s">
        <v>87</v>
      </c>
    </row>
    <row r="364" spans="1:64" x14ac:dyDescent="0.3">
      <c r="A364" t="str">
        <f>"200220C0100"</f>
        <v>200220C0100</v>
      </c>
      <c r="B364" t="str">
        <f>"200220C01003"</f>
        <v>200220C01003</v>
      </c>
      <c r="C364" t="str">
        <f t="shared" si="21"/>
        <v>20</v>
      </c>
      <c r="D364" t="s">
        <v>81</v>
      </c>
      <c r="E364" t="str">
        <f t="shared" si="23"/>
        <v>037</v>
      </c>
      <c r="F364" t="s">
        <v>400</v>
      </c>
      <c r="G364" t="str">
        <f t="shared" si="24"/>
        <v>0220</v>
      </c>
      <c r="H364" t="str">
        <f>"0001"</f>
        <v>0001</v>
      </c>
      <c r="I364" t="s">
        <v>89</v>
      </c>
      <c r="J364">
        <v>0</v>
      </c>
      <c r="K364">
        <v>1</v>
      </c>
      <c r="L364">
        <v>3</v>
      </c>
      <c r="M364">
        <v>350</v>
      </c>
      <c r="N364">
        <v>301</v>
      </c>
      <c r="O364">
        <v>5</v>
      </c>
      <c r="P364" t="s">
        <v>92</v>
      </c>
      <c r="Q364">
        <v>82</v>
      </c>
      <c r="R364">
        <v>26</v>
      </c>
      <c r="S364">
        <v>4</v>
      </c>
      <c r="T364">
        <v>56</v>
      </c>
      <c r="U364">
        <v>14</v>
      </c>
      <c r="V364">
        <v>3</v>
      </c>
      <c r="W364">
        <v>1</v>
      </c>
      <c r="X364">
        <v>50</v>
      </c>
      <c r="Y364">
        <v>30</v>
      </c>
      <c r="Z364">
        <v>8</v>
      </c>
      <c r="AA364">
        <v>7</v>
      </c>
      <c r="AB364">
        <v>12</v>
      </c>
      <c r="AO364">
        <v>2</v>
      </c>
      <c r="AW364">
        <v>0</v>
      </c>
      <c r="AX364">
        <v>8</v>
      </c>
      <c r="AY364">
        <v>303</v>
      </c>
      <c r="AZ364">
        <v>303</v>
      </c>
      <c r="BA364">
        <v>608</v>
      </c>
      <c r="BB364">
        <v>44</v>
      </c>
      <c r="BD364">
        <v>1</v>
      </c>
      <c r="BF364" t="s">
        <v>473</v>
      </c>
      <c r="BG364" s="1">
        <v>44353.912847222222</v>
      </c>
      <c r="BH364" s="1">
        <v>44353.914444444446</v>
      </c>
      <c r="BI364" s="1">
        <v>44353.915462962963</v>
      </c>
      <c r="BJ364" t="s">
        <v>197</v>
      </c>
      <c r="BK364" t="s">
        <v>198</v>
      </c>
      <c r="BL364" t="s">
        <v>87</v>
      </c>
    </row>
    <row r="365" spans="1:64" x14ac:dyDescent="0.3">
      <c r="A365" t="str">
        <f>"200220C0200"</f>
        <v>200220C0200</v>
      </c>
      <c r="B365" t="str">
        <f>"200220C02003"</f>
        <v>200220C02003</v>
      </c>
      <c r="C365" t="str">
        <f t="shared" si="21"/>
        <v>20</v>
      </c>
      <c r="D365" t="s">
        <v>81</v>
      </c>
      <c r="E365" t="str">
        <f t="shared" si="23"/>
        <v>037</v>
      </c>
      <c r="F365" t="s">
        <v>400</v>
      </c>
      <c r="G365" t="str">
        <f t="shared" si="24"/>
        <v>0220</v>
      </c>
      <c r="H365" t="str">
        <f>"0002"</f>
        <v>0002</v>
      </c>
      <c r="I365" t="s">
        <v>89</v>
      </c>
      <c r="J365">
        <v>0</v>
      </c>
      <c r="K365">
        <v>1</v>
      </c>
      <c r="L365">
        <v>3</v>
      </c>
      <c r="M365">
        <v>365</v>
      </c>
      <c r="N365">
        <v>286</v>
      </c>
      <c r="O365">
        <v>6</v>
      </c>
      <c r="P365">
        <v>285</v>
      </c>
      <c r="Q365">
        <v>72</v>
      </c>
      <c r="R365">
        <v>17</v>
      </c>
      <c r="S365">
        <v>3</v>
      </c>
      <c r="T365">
        <v>60</v>
      </c>
      <c r="U365">
        <v>20</v>
      </c>
      <c r="V365">
        <v>6</v>
      </c>
      <c r="W365">
        <v>4</v>
      </c>
      <c r="X365">
        <v>58</v>
      </c>
      <c r="Y365">
        <v>14</v>
      </c>
      <c r="Z365">
        <v>1</v>
      </c>
      <c r="AA365">
        <v>5</v>
      </c>
      <c r="AB365">
        <v>13</v>
      </c>
      <c r="AO365">
        <v>3</v>
      </c>
      <c r="AW365">
        <v>1</v>
      </c>
      <c r="AX365">
        <v>8</v>
      </c>
      <c r="AY365">
        <v>285</v>
      </c>
      <c r="AZ365">
        <v>285</v>
      </c>
      <c r="BA365">
        <v>607</v>
      </c>
      <c r="BB365">
        <v>44</v>
      </c>
      <c r="BD365">
        <v>1</v>
      </c>
      <c r="BF365" t="s">
        <v>474</v>
      </c>
      <c r="BG365" s="1">
        <v>44353.98333333333</v>
      </c>
      <c r="BH365" s="1">
        <v>44354.003541666665</v>
      </c>
      <c r="BI365" s="1">
        <v>44354.004189814812</v>
      </c>
      <c r="BJ365" t="s">
        <v>85</v>
      </c>
      <c r="BK365" t="s">
        <v>86</v>
      </c>
      <c r="BL365" t="s">
        <v>87</v>
      </c>
    </row>
    <row r="366" spans="1:64" x14ac:dyDescent="0.3">
      <c r="A366" t="str">
        <f>"200220C0300"</f>
        <v>200220C0300</v>
      </c>
      <c r="B366" t="str">
        <f>"200220C03003"</f>
        <v>200220C03003</v>
      </c>
      <c r="C366" t="str">
        <f t="shared" si="21"/>
        <v>20</v>
      </c>
      <c r="D366" t="s">
        <v>81</v>
      </c>
      <c r="E366" t="str">
        <f t="shared" si="23"/>
        <v>037</v>
      </c>
      <c r="F366" t="s">
        <v>400</v>
      </c>
      <c r="G366" t="str">
        <f t="shared" si="24"/>
        <v>0220</v>
      </c>
      <c r="H366" t="str">
        <f>"0003"</f>
        <v>0003</v>
      </c>
      <c r="I366" t="s">
        <v>89</v>
      </c>
      <c r="J366">
        <v>0</v>
      </c>
      <c r="K366">
        <v>1</v>
      </c>
      <c r="L366">
        <v>3</v>
      </c>
      <c r="M366">
        <v>300</v>
      </c>
      <c r="N366">
        <v>293</v>
      </c>
      <c r="O366">
        <v>4</v>
      </c>
      <c r="P366">
        <v>294</v>
      </c>
      <c r="Q366">
        <v>75</v>
      </c>
      <c r="R366">
        <v>29</v>
      </c>
      <c r="S366">
        <v>1</v>
      </c>
      <c r="T366">
        <v>54</v>
      </c>
      <c r="U366">
        <v>17</v>
      </c>
      <c r="V366">
        <v>1</v>
      </c>
      <c r="W366">
        <v>1</v>
      </c>
      <c r="X366">
        <v>53</v>
      </c>
      <c r="Y366">
        <v>27</v>
      </c>
      <c r="Z366">
        <v>2</v>
      </c>
      <c r="AA366">
        <v>7</v>
      </c>
      <c r="AB366">
        <v>10</v>
      </c>
      <c r="AO366">
        <v>4</v>
      </c>
      <c r="AW366" t="s">
        <v>95</v>
      </c>
      <c r="AX366">
        <v>14</v>
      </c>
      <c r="AY366">
        <v>294</v>
      </c>
      <c r="AZ366">
        <v>295</v>
      </c>
      <c r="BA366">
        <v>607</v>
      </c>
      <c r="BB366">
        <v>44</v>
      </c>
      <c r="BC366" t="s">
        <v>96</v>
      </c>
      <c r="BD366">
        <v>1</v>
      </c>
      <c r="BF366" t="s">
        <v>475</v>
      </c>
      <c r="BG366" s="1">
        <v>44353.932256944441</v>
      </c>
      <c r="BH366" s="1">
        <v>44353.933969907404</v>
      </c>
      <c r="BI366" s="1">
        <v>44353.93476851852</v>
      </c>
      <c r="BJ366" t="s">
        <v>197</v>
      </c>
      <c r="BK366" t="s">
        <v>198</v>
      </c>
      <c r="BL366" t="s">
        <v>87</v>
      </c>
    </row>
    <row r="367" spans="1:64" x14ac:dyDescent="0.3">
      <c r="A367" t="str">
        <f>"200220C0400"</f>
        <v>200220C0400</v>
      </c>
      <c r="B367" t="str">
        <f>"200220C04003"</f>
        <v>200220C04003</v>
      </c>
      <c r="C367" t="str">
        <f t="shared" si="21"/>
        <v>20</v>
      </c>
      <c r="D367" t="s">
        <v>81</v>
      </c>
      <c r="E367" t="str">
        <f t="shared" si="23"/>
        <v>037</v>
      </c>
      <c r="F367" t="s">
        <v>400</v>
      </c>
      <c r="G367" t="str">
        <f t="shared" si="24"/>
        <v>0220</v>
      </c>
      <c r="H367" t="str">
        <f>"0004"</f>
        <v>0004</v>
      </c>
      <c r="I367" t="s">
        <v>89</v>
      </c>
      <c r="J367">
        <v>0</v>
      </c>
      <c r="K367">
        <v>1</v>
      </c>
      <c r="L367">
        <v>3</v>
      </c>
      <c r="M367">
        <v>360</v>
      </c>
      <c r="N367">
        <v>291</v>
      </c>
      <c r="O367">
        <v>5</v>
      </c>
      <c r="P367">
        <v>291</v>
      </c>
      <c r="Q367">
        <v>55</v>
      </c>
      <c r="R367">
        <v>23</v>
      </c>
      <c r="S367">
        <v>5</v>
      </c>
      <c r="T367">
        <v>61</v>
      </c>
      <c r="U367">
        <v>25</v>
      </c>
      <c r="V367">
        <v>5</v>
      </c>
      <c r="W367">
        <v>1</v>
      </c>
      <c r="X367">
        <v>64</v>
      </c>
      <c r="Y367">
        <v>23</v>
      </c>
      <c r="Z367">
        <v>1</v>
      </c>
      <c r="AA367">
        <v>1</v>
      </c>
      <c r="AB367">
        <v>14</v>
      </c>
      <c r="AO367">
        <v>1</v>
      </c>
      <c r="AW367">
        <v>0</v>
      </c>
      <c r="AX367">
        <v>12</v>
      </c>
      <c r="AY367">
        <v>291</v>
      </c>
      <c r="AZ367">
        <v>291</v>
      </c>
      <c r="BA367">
        <v>607</v>
      </c>
      <c r="BB367">
        <v>44</v>
      </c>
      <c r="BD367">
        <v>1</v>
      </c>
      <c r="BF367" t="s">
        <v>476</v>
      </c>
      <c r="BG367" s="1">
        <v>44354.009027777778</v>
      </c>
      <c r="BH367" s="1">
        <v>44354.023645833331</v>
      </c>
      <c r="BI367" s="1">
        <v>44354.023958333331</v>
      </c>
      <c r="BJ367" t="s">
        <v>85</v>
      </c>
      <c r="BK367" t="s">
        <v>86</v>
      </c>
      <c r="BL367" t="s">
        <v>87</v>
      </c>
    </row>
    <row r="368" spans="1:64" x14ac:dyDescent="0.3">
      <c r="A368" t="str">
        <f>"200220E0100"</f>
        <v>200220E0100</v>
      </c>
      <c r="B368" t="str">
        <f>"200220E01003"</f>
        <v>200220E01003</v>
      </c>
      <c r="C368" t="str">
        <f t="shared" si="21"/>
        <v>20</v>
      </c>
      <c r="D368" t="s">
        <v>81</v>
      </c>
      <c r="E368" t="str">
        <f t="shared" si="23"/>
        <v>037</v>
      </c>
      <c r="F368" t="s">
        <v>400</v>
      </c>
      <c r="G368" t="str">
        <f t="shared" si="24"/>
        <v>0220</v>
      </c>
      <c r="H368" t="str">
        <f>"0001"</f>
        <v>0001</v>
      </c>
      <c r="I368" t="s">
        <v>122</v>
      </c>
      <c r="J368">
        <v>0</v>
      </c>
      <c r="K368">
        <v>1</v>
      </c>
      <c r="L368">
        <v>3</v>
      </c>
      <c r="M368">
        <v>341</v>
      </c>
      <c r="N368">
        <v>244</v>
      </c>
      <c r="O368">
        <v>6</v>
      </c>
      <c r="P368">
        <v>244</v>
      </c>
      <c r="Q368">
        <v>70</v>
      </c>
      <c r="R368">
        <v>37</v>
      </c>
      <c r="S368">
        <v>6</v>
      </c>
      <c r="T368">
        <v>28</v>
      </c>
      <c r="U368">
        <v>6</v>
      </c>
      <c r="V368">
        <v>4</v>
      </c>
      <c r="W368">
        <v>3</v>
      </c>
      <c r="X368">
        <v>48</v>
      </c>
      <c r="Y368">
        <v>22</v>
      </c>
      <c r="Z368">
        <v>0</v>
      </c>
      <c r="AA368">
        <v>1</v>
      </c>
      <c r="AB368">
        <v>4</v>
      </c>
      <c r="AO368">
        <v>4</v>
      </c>
      <c r="AW368">
        <v>0</v>
      </c>
      <c r="AX368">
        <v>11</v>
      </c>
      <c r="AY368">
        <v>244</v>
      </c>
      <c r="AZ368">
        <v>244</v>
      </c>
      <c r="BA368">
        <v>541</v>
      </c>
      <c r="BB368">
        <v>44</v>
      </c>
      <c r="BD368">
        <v>1</v>
      </c>
      <c r="BF368" t="s">
        <v>477</v>
      </c>
      <c r="BG368" s="1">
        <v>44353.8908912037</v>
      </c>
      <c r="BH368" s="1">
        <v>44354.093854166669</v>
      </c>
      <c r="BI368" s="1">
        <v>44354.094293981485</v>
      </c>
      <c r="BJ368" t="s">
        <v>197</v>
      </c>
      <c r="BK368" t="s">
        <v>198</v>
      </c>
      <c r="BL368" t="s">
        <v>87</v>
      </c>
    </row>
    <row r="369" spans="1:64" x14ac:dyDescent="0.3">
      <c r="A369" t="str">
        <f>"200221B0000"</f>
        <v>200221B0000</v>
      </c>
      <c r="B369" t="str">
        <f>"200221B00003"</f>
        <v>200221B00003</v>
      </c>
      <c r="C369" t="str">
        <f t="shared" si="21"/>
        <v>20</v>
      </c>
      <c r="D369" t="s">
        <v>81</v>
      </c>
      <c r="E369" t="str">
        <f t="shared" si="23"/>
        <v>037</v>
      </c>
      <c r="F369" t="s">
        <v>400</v>
      </c>
      <c r="G369" t="str">
        <f>"0221"</f>
        <v>0221</v>
      </c>
      <c r="H369" t="str">
        <f>"0000"</f>
        <v>0000</v>
      </c>
      <c r="I369" t="s">
        <v>83</v>
      </c>
      <c r="J369">
        <v>0</v>
      </c>
      <c r="K369">
        <v>1</v>
      </c>
      <c r="L369">
        <v>3</v>
      </c>
      <c r="M369">
        <v>306</v>
      </c>
      <c r="N369">
        <v>689</v>
      </c>
      <c r="O369">
        <v>306</v>
      </c>
      <c r="P369">
        <v>303</v>
      </c>
      <c r="Q369">
        <v>73</v>
      </c>
      <c r="R369">
        <v>34</v>
      </c>
      <c r="S369">
        <v>2</v>
      </c>
      <c r="T369">
        <v>51</v>
      </c>
      <c r="U369">
        <v>11</v>
      </c>
      <c r="V369">
        <v>2</v>
      </c>
      <c r="W369">
        <v>1</v>
      </c>
      <c r="X369">
        <v>61</v>
      </c>
      <c r="Y369">
        <v>35</v>
      </c>
      <c r="Z369">
        <v>1</v>
      </c>
      <c r="AA369">
        <v>3</v>
      </c>
      <c r="AB369">
        <v>14</v>
      </c>
      <c r="AO369">
        <v>4</v>
      </c>
      <c r="AW369">
        <v>0</v>
      </c>
      <c r="AX369">
        <v>11</v>
      </c>
      <c r="AY369">
        <v>303</v>
      </c>
      <c r="AZ369">
        <v>303</v>
      </c>
      <c r="BA369">
        <v>645</v>
      </c>
      <c r="BB369">
        <v>44</v>
      </c>
      <c r="BD369">
        <v>1</v>
      </c>
      <c r="BF369" s="2" t="s">
        <v>478</v>
      </c>
      <c r="BG369" s="1">
        <v>44353.892372685186</v>
      </c>
      <c r="BH369" s="1">
        <v>44353.894212962965</v>
      </c>
      <c r="BI369" s="1">
        <v>44353.89472222222</v>
      </c>
      <c r="BJ369" t="s">
        <v>197</v>
      </c>
      <c r="BK369" t="s">
        <v>198</v>
      </c>
      <c r="BL369" t="s">
        <v>87</v>
      </c>
    </row>
    <row r="370" spans="1:64" x14ac:dyDescent="0.3">
      <c r="A370" t="str">
        <f>"200221C0100"</f>
        <v>200221C0100</v>
      </c>
      <c r="B370" t="str">
        <f>"200221C01003"</f>
        <v>200221C01003</v>
      </c>
      <c r="C370" t="str">
        <f t="shared" si="21"/>
        <v>20</v>
      </c>
      <c r="D370" t="s">
        <v>81</v>
      </c>
      <c r="E370" t="str">
        <f t="shared" si="23"/>
        <v>037</v>
      </c>
      <c r="F370" t="s">
        <v>400</v>
      </c>
      <c r="G370" t="str">
        <f>"0221"</f>
        <v>0221</v>
      </c>
      <c r="H370" t="str">
        <f>"0001"</f>
        <v>0001</v>
      </c>
      <c r="I370" t="s">
        <v>89</v>
      </c>
      <c r="J370">
        <v>0</v>
      </c>
      <c r="K370">
        <v>1</v>
      </c>
      <c r="L370">
        <v>3</v>
      </c>
      <c r="M370">
        <v>348</v>
      </c>
      <c r="N370">
        <v>341</v>
      </c>
      <c r="O370">
        <v>1</v>
      </c>
      <c r="P370">
        <v>341</v>
      </c>
      <c r="Q370">
        <v>58</v>
      </c>
      <c r="R370">
        <v>31</v>
      </c>
      <c r="S370">
        <v>1</v>
      </c>
      <c r="T370">
        <v>83</v>
      </c>
      <c r="U370">
        <v>15</v>
      </c>
      <c r="V370">
        <v>2</v>
      </c>
      <c r="W370">
        <v>3</v>
      </c>
      <c r="X370">
        <v>74</v>
      </c>
      <c r="Y370">
        <v>28</v>
      </c>
      <c r="Z370">
        <v>1</v>
      </c>
      <c r="AA370">
        <v>11</v>
      </c>
      <c r="AB370">
        <v>18</v>
      </c>
      <c r="AO370">
        <v>6</v>
      </c>
      <c r="AW370">
        <v>0</v>
      </c>
      <c r="AX370">
        <v>10</v>
      </c>
      <c r="AY370">
        <v>341</v>
      </c>
      <c r="AZ370">
        <v>341</v>
      </c>
      <c r="BA370">
        <v>645</v>
      </c>
      <c r="BB370">
        <v>44</v>
      </c>
      <c r="BD370">
        <v>1</v>
      </c>
      <c r="BF370" t="s">
        <v>479</v>
      </c>
      <c r="BG370" s="1">
        <v>44353.884328703702</v>
      </c>
      <c r="BH370" s="1">
        <v>44353.887569444443</v>
      </c>
      <c r="BI370" s="1">
        <v>44353.888472222221</v>
      </c>
      <c r="BJ370" t="s">
        <v>197</v>
      </c>
      <c r="BK370" t="s">
        <v>198</v>
      </c>
      <c r="BL370" t="s">
        <v>87</v>
      </c>
    </row>
    <row r="371" spans="1:64" x14ac:dyDescent="0.3">
      <c r="A371" t="str">
        <f>"200222B0000"</f>
        <v>200222B0000</v>
      </c>
      <c r="B371" t="str">
        <f>"200222B00003"</f>
        <v>200222B00003</v>
      </c>
      <c r="C371" t="str">
        <f t="shared" si="21"/>
        <v>20</v>
      </c>
      <c r="D371" t="s">
        <v>81</v>
      </c>
      <c r="E371" t="str">
        <f t="shared" si="23"/>
        <v>037</v>
      </c>
      <c r="F371" t="s">
        <v>400</v>
      </c>
      <c r="G371" t="str">
        <f>"0222"</f>
        <v>0222</v>
      </c>
      <c r="H371" t="str">
        <f>"0000"</f>
        <v>0000</v>
      </c>
      <c r="I371" t="s">
        <v>83</v>
      </c>
      <c r="J371">
        <v>0</v>
      </c>
      <c r="K371">
        <v>1</v>
      </c>
      <c r="L371">
        <v>3</v>
      </c>
      <c r="M371">
        <v>321</v>
      </c>
      <c r="N371">
        <v>372</v>
      </c>
      <c r="O371">
        <v>4</v>
      </c>
      <c r="P371">
        <v>372</v>
      </c>
      <c r="Q371">
        <v>84</v>
      </c>
      <c r="R371">
        <v>53</v>
      </c>
      <c r="S371">
        <v>0</v>
      </c>
      <c r="T371">
        <v>98</v>
      </c>
      <c r="U371">
        <v>8</v>
      </c>
      <c r="V371">
        <v>1</v>
      </c>
      <c r="W371">
        <v>0</v>
      </c>
      <c r="X371">
        <v>79</v>
      </c>
      <c r="Y371">
        <v>22</v>
      </c>
      <c r="Z371">
        <v>1</v>
      </c>
      <c r="AA371">
        <v>3</v>
      </c>
      <c r="AB371">
        <v>6</v>
      </c>
      <c r="AO371">
        <v>5</v>
      </c>
      <c r="AW371">
        <v>0</v>
      </c>
      <c r="AX371">
        <v>12</v>
      </c>
      <c r="AY371">
        <v>372</v>
      </c>
      <c r="AZ371">
        <v>372</v>
      </c>
      <c r="BA371">
        <v>649</v>
      </c>
      <c r="BB371">
        <v>44</v>
      </c>
      <c r="BD371">
        <v>1</v>
      </c>
      <c r="BF371" t="s">
        <v>480</v>
      </c>
      <c r="BG371" s="1">
        <v>44353.942650462966</v>
      </c>
      <c r="BH371" s="1">
        <v>44353.944212962961</v>
      </c>
      <c r="BI371" s="1">
        <v>44353.944618055553</v>
      </c>
      <c r="BJ371" t="s">
        <v>197</v>
      </c>
      <c r="BK371" t="s">
        <v>198</v>
      </c>
      <c r="BL371" t="s">
        <v>87</v>
      </c>
    </row>
    <row r="372" spans="1:64" x14ac:dyDescent="0.3">
      <c r="A372" t="str">
        <f>"200222C0100"</f>
        <v>200222C0100</v>
      </c>
      <c r="B372" t="str">
        <f>"200222C01003"</f>
        <v>200222C01003</v>
      </c>
      <c r="C372" t="str">
        <f t="shared" si="21"/>
        <v>20</v>
      </c>
      <c r="D372" t="s">
        <v>81</v>
      </c>
      <c r="E372" t="str">
        <f t="shared" si="23"/>
        <v>037</v>
      </c>
      <c r="F372" t="s">
        <v>400</v>
      </c>
      <c r="G372" t="str">
        <f>"0222"</f>
        <v>0222</v>
      </c>
      <c r="H372" t="str">
        <f>"0001"</f>
        <v>0001</v>
      </c>
      <c r="I372" t="s">
        <v>89</v>
      </c>
      <c r="J372">
        <v>0</v>
      </c>
      <c r="K372">
        <v>1</v>
      </c>
      <c r="L372">
        <v>3</v>
      </c>
      <c r="M372">
        <v>309</v>
      </c>
      <c r="N372">
        <v>377</v>
      </c>
      <c r="O372">
        <v>5</v>
      </c>
      <c r="P372">
        <v>384</v>
      </c>
      <c r="Q372">
        <v>80</v>
      </c>
      <c r="R372">
        <v>72</v>
      </c>
      <c r="S372">
        <v>1</v>
      </c>
      <c r="T372">
        <v>104</v>
      </c>
      <c r="U372">
        <v>11</v>
      </c>
      <c r="V372">
        <v>2</v>
      </c>
      <c r="W372">
        <v>0</v>
      </c>
      <c r="X372">
        <v>78</v>
      </c>
      <c r="Y372">
        <v>12</v>
      </c>
      <c r="Z372">
        <v>1</v>
      </c>
      <c r="AA372">
        <v>0</v>
      </c>
      <c r="AB372">
        <v>6</v>
      </c>
      <c r="AO372">
        <v>9</v>
      </c>
      <c r="AW372">
        <v>0</v>
      </c>
      <c r="AX372">
        <v>8</v>
      </c>
      <c r="AY372">
        <v>384</v>
      </c>
      <c r="AZ372">
        <v>384</v>
      </c>
      <c r="BA372">
        <v>649</v>
      </c>
      <c r="BB372">
        <v>44</v>
      </c>
      <c r="BD372">
        <v>1</v>
      </c>
      <c r="BF372" t="s">
        <v>481</v>
      </c>
      <c r="BG372" s="1">
        <v>44353.940162037034</v>
      </c>
      <c r="BH372" s="1">
        <v>44353.941643518519</v>
      </c>
      <c r="BI372" s="1">
        <v>44353.942118055558</v>
      </c>
      <c r="BJ372" t="s">
        <v>197</v>
      </c>
      <c r="BK372" t="s">
        <v>198</v>
      </c>
      <c r="BL372" t="s">
        <v>87</v>
      </c>
    </row>
    <row r="373" spans="1:64" x14ac:dyDescent="0.3">
      <c r="A373" t="str">
        <f>"200223B0000"</f>
        <v>200223B0000</v>
      </c>
      <c r="B373" t="str">
        <f>"200223B00003"</f>
        <v>200223B00003</v>
      </c>
      <c r="C373" t="str">
        <f t="shared" si="21"/>
        <v>20</v>
      </c>
      <c r="D373" t="s">
        <v>81</v>
      </c>
      <c r="E373" t="str">
        <f t="shared" si="23"/>
        <v>037</v>
      </c>
      <c r="F373" t="s">
        <v>400</v>
      </c>
      <c r="G373" t="str">
        <f>"0223"</f>
        <v>0223</v>
      </c>
      <c r="H373" t="str">
        <f>"0000"</f>
        <v>0000</v>
      </c>
      <c r="I373" t="s">
        <v>83</v>
      </c>
      <c r="J373">
        <v>0</v>
      </c>
      <c r="K373">
        <v>1</v>
      </c>
      <c r="L373">
        <v>3</v>
      </c>
      <c r="M373">
        <v>164</v>
      </c>
      <c r="N373">
        <v>128</v>
      </c>
      <c r="O373">
        <v>5</v>
      </c>
      <c r="P373">
        <v>128</v>
      </c>
      <c r="Q373">
        <v>10</v>
      </c>
      <c r="R373">
        <v>53</v>
      </c>
      <c r="S373">
        <v>3</v>
      </c>
      <c r="T373">
        <v>10</v>
      </c>
      <c r="U373">
        <v>3</v>
      </c>
      <c r="V373">
        <v>1</v>
      </c>
      <c r="W373">
        <v>0</v>
      </c>
      <c r="X373">
        <v>26</v>
      </c>
      <c r="Y373">
        <v>6</v>
      </c>
      <c r="Z373">
        <v>2</v>
      </c>
      <c r="AA373">
        <v>2</v>
      </c>
      <c r="AB373">
        <v>0</v>
      </c>
      <c r="AO373">
        <v>3</v>
      </c>
      <c r="AW373">
        <v>0</v>
      </c>
      <c r="AX373">
        <v>9</v>
      </c>
      <c r="AY373">
        <v>128</v>
      </c>
      <c r="AZ373">
        <v>128</v>
      </c>
      <c r="BA373">
        <v>248</v>
      </c>
      <c r="BB373">
        <v>44</v>
      </c>
      <c r="BD373">
        <v>1</v>
      </c>
      <c r="BF373" t="s">
        <v>482</v>
      </c>
      <c r="BG373" s="1">
        <v>44353.9372337963</v>
      </c>
      <c r="BH373" s="1">
        <v>44354.046747685185</v>
      </c>
      <c r="BI373" s="1">
        <v>44354.047523148147</v>
      </c>
      <c r="BJ373" t="s">
        <v>197</v>
      </c>
      <c r="BK373" t="s">
        <v>198</v>
      </c>
      <c r="BL373" t="s">
        <v>87</v>
      </c>
    </row>
    <row r="374" spans="1:64" x14ac:dyDescent="0.3">
      <c r="A374" t="str">
        <f>"200224B0000"</f>
        <v>200224B0000</v>
      </c>
      <c r="B374" t="str">
        <f>"200224B00003"</f>
        <v>200224B00003</v>
      </c>
      <c r="C374" t="str">
        <f t="shared" si="21"/>
        <v>20</v>
      </c>
      <c r="D374" t="s">
        <v>81</v>
      </c>
      <c r="E374" t="str">
        <f t="shared" si="23"/>
        <v>037</v>
      </c>
      <c r="F374" t="s">
        <v>400</v>
      </c>
      <c r="G374" t="str">
        <f>"0224"</f>
        <v>0224</v>
      </c>
      <c r="H374" t="str">
        <f>"0000"</f>
        <v>0000</v>
      </c>
      <c r="I374" t="s">
        <v>83</v>
      </c>
      <c r="J374">
        <v>0</v>
      </c>
      <c r="K374">
        <v>1</v>
      </c>
      <c r="L374">
        <v>3</v>
      </c>
      <c r="M374">
        <v>102</v>
      </c>
      <c r="N374">
        <v>99</v>
      </c>
      <c r="O374">
        <v>16</v>
      </c>
      <c r="P374">
        <v>99</v>
      </c>
      <c r="Q374">
        <v>30</v>
      </c>
      <c r="R374">
        <v>20</v>
      </c>
      <c r="S374">
        <v>0</v>
      </c>
      <c r="T374">
        <v>10</v>
      </c>
      <c r="U374">
        <v>4</v>
      </c>
      <c r="V374">
        <v>0</v>
      </c>
      <c r="W374">
        <v>3</v>
      </c>
      <c r="X374">
        <v>15</v>
      </c>
      <c r="Y374">
        <v>9</v>
      </c>
      <c r="Z374">
        <v>2</v>
      </c>
      <c r="AA374">
        <v>1</v>
      </c>
      <c r="AB374">
        <v>0</v>
      </c>
      <c r="AO374" t="s">
        <v>95</v>
      </c>
      <c r="AW374" t="s">
        <v>95</v>
      </c>
      <c r="AX374">
        <v>3</v>
      </c>
      <c r="AY374">
        <v>99</v>
      </c>
      <c r="AZ374">
        <v>97</v>
      </c>
      <c r="BA374">
        <v>157</v>
      </c>
      <c r="BB374">
        <v>44</v>
      </c>
      <c r="BC374" t="s">
        <v>96</v>
      </c>
      <c r="BD374">
        <v>1</v>
      </c>
      <c r="BF374" t="s">
        <v>483</v>
      </c>
      <c r="BG374" s="1">
        <v>44354.02039351852</v>
      </c>
      <c r="BH374" s="1">
        <v>44354.046319444446</v>
      </c>
      <c r="BI374" s="1">
        <v>44354.046979166669</v>
      </c>
      <c r="BJ374" t="s">
        <v>197</v>
      </c>
      <c r="BK374" t="s">
        <v>198</v>
      </c>
      <c r="BL374" t="s">
        <v>87</v>
      </c>
    </row>
    <row r="375" spans="1:64" x14ac:dyDescent="0.3">
      <c r="A375" t="str">
        <f>"200225B0000"</f>
        <v>200225B0000</v>
      </c>
      <c r="B375" t="str">
        <f>"200225B00003"</f>
        <v>200225B00003</v>
      </c>
      <c r="C375" t="str">
        <f t="shared" si="21"/>
        <v>20</v>
      </c>
      <c r="D375" t="s">
        <v>81</v>
      </c>
      <c r="E375" t="str">
        <f t="shared" si="23"/>
        <v>037</v>
      </c>
      <c r="F375" t="s">
        <v>400</v>
      </c>
      <c r="G375" t="str">
        <f>"0225"</f>
        <v>0225</v>
      </c>
      <c r="H375" t="str">
        <f>"0000"</f>
        <v>0000</v>
      </c>
      <c r="I375" t="s">
        <v>83</v>
      </c>
      <c r="J375">
        <v>0</v>
      </c>
      <c r="K375">
        <v>1</v>
      </c>
      <c r="L375">
        <v>3</v>
      </c>
      <c r="M375">
        <v>128</v>
      </c>
      <c r="N375">
        <v>135</v>
      </c>
      <c r="O375">
        <v>2</v>
      </c>
      <c r="P375">
        <v>135</v>
      </c>
      <c r="Q375">
        <v>25</v>
      </c>
      <c r="R375">
        <v>48</v>
      </c>
      <c r="S375">
        <v>0</v>
      </c>
      <c r="T375">
        <v>23</v>
      </c>
      <c r="U375">
        <v>2</v>
      </c>
      <c r="V375">
        <v>0</v>
      </c>
      <c r="W375">
        <v>0</v>
      </c>
      <c r="X375">
        <v>20</v>
      </c>
      <c r="Y375">
        <v>10</v>
      </c>
      <c r="Z375">
        <v>2</v>
      </c>
      <c r="AA375">
        <v>2</v>
      </c>
      <c r="AB375">
        <v>1</v>
      </c>
      <c r="AO375">
        <v>0</v>
      </c>
      <c r="AW375">
        <v>0</v>
      </c>
      <c r="AX375">
        <v>2</v>
      </c>
      <c r="AY375">
        <v>135</v>
      </c>
      <c r="AZ375">
        <v>135</v>
      </c>
      <c r="BA375">
        <v>219</v>
      </c>
      <c r="BB375">
        <v>44</v>
      </c>
      <c r="BD375">
        <v>1</v>
      </c>
      <c r="BF375" t="s">
        <v>484</v>
      </c>
      <c r="BG375" s="1">
        <v>44354.044444444444</v>
      </c>
      <c r="BH375" s="1">
        <v>44354.051979166667</v>
      </c>
      <c r="BI375" s="1">
        <v>44354.052430555559</v>
      </c>
      <c r="BJ375" t="s">
        <v>197</v>
      </c>
      <c r="BK375" t="s">
        <v>198</v>
      </c>
      <c r="BL375" t="s">
        <v>87</v>
      </c>
    </row>
    <row r="376" spans="1:64" x14ac:dyDescent="0.3">
      <c r="A376" t="str">
        <f>"200226B0000"</f>
        <v>200226B0000</v>
      </c>
      <c r="B376" t="str">
        <f>"200226B00003"</f>
        <v>200226B00003</v>
      </c>
      <c r="C376" t="str">
        <f t="shared" si="21"/>
        <v>20</v>
      </c>
      <c r="D376" t="s">
        <v>81</v>
      </c>
      <c r="E376" t="str">
        <f t="shared" si="23"/>
        <v>037</v>
      </c>
      <c r="F376" t="s">
        <v>400</v>
      </c>
      <c r="G376" t="str">
        <f>"0226"</f>
        <v>0226</v>
      </c>
      <c r="H376" t="str">
        <f>"0000"</f>
        <v>0000</v>
      </c>
      <c r="I376" t="s">
        <v>83</v>
      </c>
      <c r="J376">
        <v>0</v>
      </c>
      <c r="K376">
        <v>1</v>
      </c>
      <c r="L376">
        <v>3</v>
      </c>
      <c r="M376">
        <v>436</v>
      </c>
      <c r="N376">
        <v>308</v>
      </c>
      <c r="O376">
        <v>2</v>
      </c>
      <c r="P376">
        <v>308</v>
      </c>
      <c r="Q376">
        <v>69</v>
      </c>
      <c r="R376">
        <v>43</v>
      </c>
      <c r="S376">
        <v>1</v>
      </c>
      <c r="T376">
        <v>59</v>
      </c>
      <c r="U376">
        <v>43</v>
      </c>
      <c r="V376">
        <v>1</v>
      </c>
      <c r="W376">
        <v>6</v>
      </c>
      <c r="X376">
        <v>35</v>
      </c>
      <c r="Y376">
        <v>10</v>
      </c>
      <c r="Z376">
        <v>3</v>
      </c>
      <c r="AA376">
        <v>5</v>
      </c>
      <c r="AB376">
        <v>12</v>
      </c>
      <c r="AO376">
        <v>6</v>
      </c>
      <c r="AW376">
        <v>0</v>
      </c>
      <c r="AX376">
        <v>15</v>
      </c>
      <c r="AY376">
        <v>308</v>
      </c>
      <c r="AZ376">
        <v>308</v>
      </c>
      <c r="BA376">
        <v>700</v>
      </c>
      <c r="BB376">
        <v>44</v>
      </c>
      <c r="BD376">
        <v>1</v>
      </c>
      <c r="BF376" t="s">
        <v>485</v>
      </c>
      <c r="BG376" s="1">
        <v>44354.019803240742</v>
      </c>
      <c r="BH376" s="1">
        <v>44354.094074074077</v>
      </c>
      <c r="BI376" s="1">
        <v>44354.094456018516</v>
      </c>
      <c r="BJ376" t="s">
        <v>197</v>
      </c>
      <c r="BK376" t="s">
        <v>198</v>
      </c>
      <c r="BL376" t="s">
        <v>87</v>
      </c>
    </row>
    <row r="377" spans="1:64" x14ac:dyDescent="0.3">
      <c r="A377" t="str">
        <f>"200227B0000"</f>
        <v>200227B0000</v>
      </c>
      <c r="B377" t="str">
        <f>"200227B00003"</f>
        <v>200227B00003</v>
      </c>
      <c r="C377" t="str">
        <f t="shared" si="21"/>
        <v>20</v>
      </c>
      <c r="D377" t="s">
        <v>81</v>
      </c>
      <c r="E377" t="str">
        <f t="shared" si="23"/>
        <v>037</v>
      </c>
      <c r="F377" t="s">
        <v>400</v>
      </c>
      <c r="G377" t="str">
        <f>"0227"</f>
        <v>0227</v>
      </c>
      <c r="H377" t="str">
        <f>"0000"</f>
        <v>0000</v>
      </c>
      <c r="I377" t="s">
        <v>83</v>
      </c>
      <c r="J377">
        <v>0</v>
      </c>
      <c r="K377">
        <v>1</v>
      </c>
      <c r="L377">
        <v>3</v>
      </c>
      <c r="M377">
        <v>300</v>
      </c>
      <c r="N377">
        <v>209</v>
      </c>
      <c r="O377">
        <v>4</v>
      </c>
      <c r="P377">
        <v>209</v>
      </c>
      <c r="Q377">
        <v>77</v>
      </c>
      <c r="R377">
        <v>19</v>
      </c>
      <c r="S377">
        <v>1</v>
      </c>
      <c r="T377">
        <v>26</v>
      </c>
      <c r="U377">
        <v>34</v>
      </c>
      <c r="V377">
        <v>2</v>
      </c>
      <c r="W377">
        <v>1</v>
      </c>
      <c r="X377">
        <v>34</v>
      </c>
      <c r="Y377">
        <v>6</v>
      </c>
      <c r="Z377">
        <v>0</v>
      </c>
      <c r="AA377">
        <v>1</v>
      </c>
      <c r="AB377">
        <v>4</v>
      </c>
      <c r="AO377">
        <v>2</v>
      </c>
      <c r="AW377">
        <v>0</v>
      </c>
      <c r="AX377">
        <v>2</v>
      </c>
      <c r="AY377">
        <v>209</v>
      </c>
      <c r="AZ377">
        <v>209</v>
      </c>
      <c r="BA377">
        <v>465</v>
      </c>
      <c r="BB377">
        <v>44</v>
      </c>
      <c r="BD377">
        <v>1</v>
      </c>
      <c r="BF377" t="s">
        <v>486</v>
      </c>
      <c r="BG377" s="1">
        <v>44354.106944444444</v>
      </c>
      <c r="BH377" s="1">
        <v>44354.112939814811</v>
      </c>
      <c r="BI377" s="1">
        <v>44354.113738425927</v>
      </c>
      <c r="BJ377" t="s">
        <v>85</v>
      </c>
      <c r="BK377" t="s">
        <v>86</v>
      </c>
      <c r="BL377" t="s">
        <v>87</v>
      </c>
    </row>
    <row r="378" spans="1:64" x14ac:dyDescent="0.3">
      <c r="A378" t="str">
        <f>"200227C0100"</f>
        <v>200227C0100</v>
      </c>
      <c r="B378" t="str">
        <f>"200227C01003"</f>
        <v>200227C01003</v>
      </c>
      <c r="C378" t="str">
        <f t="shared" si="21"/>
        <v>20</v>
      </c>
      <c r="D378" t="s">
        <v>81</v>
      </c>
      <c r="E378" t="str">
        <f t="shared" si="23"/>
        <v>037</v>
      </c>
      <c r="F378" t="s">
        <v>400</v>
      </c>
      <c r="G378" t="str">
        <f>"0227"</f>
        <v>0227</v>
      </c>
      <c r="H378" t="str">
        <f>"0001"</f>
        <v>0001</v>
      </c>
      <c r="I378" t="s">
        <v>89</v>
      </c>
      <c r="J378">
        <v>0</v>
      </c>
      <c r="K378">
        <v>1</v>
      </c>
      <c r="L378">
        <v>3</v>
      </c>
      <c r="M378">
        <v>295</v>
      </c>
      <c r="N378">
        <v>214</v>
      </c>
      <c r="O378">
        <v>2</v>
      </c>
      <c r="P378">
        <v>214</v>
      </c>
      <c r="Q378">
        <v>66</v>
      </c>
      <c r="R378">
        <v>16</v>
      </c>
      <c r="S378">
        <v>6</v>
      </c>
      <c r="T378">
        <v>27</v>
      </c>
      <c r="U378">
        <v>35</v>
      </c>
      <c r="V378">
        <v>2</v>
      </c>
      <c r="W378">
        <v>1</v>
      </c>
      <c r="X378">
        <v>33</v>
      </c>
      <c r="Y378">
        <v>12</v>
      </c>
      <c r="Z378">
        <v>0</v>
      </c>
      <c r="AA378">
        <v>0</v>
      </c>
      <c r="AB378">
        <v>7</v>
      </c>
      <c r="AO378">
        <v>2</v>
      </c>
      <c r="AW378">
        <v>0</v>
      </c>
      <c r="AX378">
        <v>7</v>
      </c>
      <c r="AY378">
        <v>214</v>
      </c>
      <c r="AZ378">
        <v>214</v>
      </c>
      <c r="BA378">
        <v>465</v>
      </c>
      <c r="BB378">
        <v>44</v>
      </c>
      <c r="BD378">
        <v>1</v>
      </c>
      <c r="BF378" t="s">
        <v>487</v>
      </c>
      <c r="BG378" s="1">
        <v>44354.102777777778</v>
      </c>
      <c r="BH378" s="1">
        <v>44354.112604166665</v>
      </c>
      <c r="BI378" s="1">
        <v>44354.113287037035</v>
      </c>
      <c r="BJ378" t="s">
        <v>85</v>
      </c>
      <c r="BK378" t="s">
        <v>86</v>
      </c>
      <c r="BL378" t="s">
        <v>87</v>
      </c>
    </row>
    <row r="379" spans="1:64" x14ac:dyDescent="0.3">
      <c r="A379" t="str">
        <f>"200229B0000"</f>
        <v>200229B0000</v>
      </c>
      <c r="B379" t="str">
        <f>"200229B00003"</f>
        <v>200229B00003</v>
      </c>
      <c r="C379" t="str">
        <f t="shared" si="21"/>
        <v>20</v>
      </c>
      <c r="D379" t="s">
        <v>81</v>
      </c>
      <c r="E379" t="str">
        <f t="shared" si="23"/>
        <v>037</v>
      </c>
      <c r="F379" t="s">
        <v>400</v>
      </c>
      <c r="G379" t="str">
        <f>"0229"</f>
        <v>0229</v>
      </c>
      <c r="H379" t="str">
        <f>"0000"</f>
        <v>0000</v>
      </c>
      <c r="I379" t="s">
        <v>83</v>
      </c>
      <c r="J379">
        <v>0</v>
      </c>
      <c r="K379">
        <v>1</v>
      </c>
      <c r="L379">
        <v>3</v>
      </c>
      <c r="M379">
        <v>79</v>
      </c>
      <c r="N379">
        <v>73</v>
      </c>
      <c r="O379">
        <v>3</v>
      </c>
      <c r="P379" t="s">
        <v>92</v>
      </c>
      <c r="Q379">
        <v>11</v>
      </c>
      <c r="R379">
        <v>40</v>
      </c>
      <c r="S379">
        <v>0</v>
      </c>
      <c r="T379">
        <v>5</v>
      </c>
      <c r="U379">
        <v>0</v>
      </c>
      <c r="V379">
        <v>0</v>
      </c>
      <c r="W379">
        <v>1</v>
      </c>
      <c r="X379">
        <v>13</v>
      </c>
      <c r="Y379">
        <v>0</v>
      </c>
      <c r="Z379">
        <v>1</v>
      </c>
      <c r="AA379">
        <v>0</v>
      </c>
      <c r="AB379">
        <v>0</v>
      </c>
      <c r="AO379">
        <v>0</v>
      </c>
      <c r="AW379">
        <v>0</v>
      </c>
      <c r="AX379">
        <v>2</v>
      </c>
      <c r="AY379">
        <v>73</v>
      </c>
      <c r="AZ379">
        <v>73</v>
      </c>
      <c r="BA379">
        <v>108</v>
      </c>
      <c r="BB379">
        <v>44</v>
      </c>
      <c r="BD379">
        <v>1</v>
      </c>
      <c r="BF379" t="s">
        <v>488</v>
      </c>
      <c r="BG379" s="1">
        <v>44354.025000000001</v>
      </c>
      <c r="BH379" s="1">
        <v>44354.038252314815</v>
      </c>
      <c r="BI379" s="1">
        <v>44354.038773148146</v>
      </c>
      <c r="BJ379" t="s">
        <v>85</v>
      </c>
      <c r="BK379" t="s">
        <v>86</v>
      </c>
      <c r="BL379" t="s">
        <v>87</v>
      </c>
    </row>
    <row r="380" spans="1:64" x14ac:dyDescent="0.3">
      <c r="A380" t="str">
        <f>"200230B0000"</f>
        <v>200230B0000</v>
      </c>
      <c r="B380" t="str">
        <f>"200230B00003"</f>
        <v>200230B00003</v>
      </c>
      <c r="C380" t="str">
        <f t="shared" si="21"/>
        <v>20</v>
      </c>
      <c r="D380" t="s">
        <v>81</v>
      </c>
      <c r="E380" t="str">
        <f t="shared" si="23"/>
        <v>037</v>
      </c>
      <c r="F380" t="s">
        <v>400</v>
      </c>
      <c r="G380" t="str">
        <f>"0230"</f>
        <v>0230</v>
      </c>
      <c r="H380" t="str">
        <f>"0000"</f>
        <v>0000</v>
      </c>
      <c r="I380" t="s">
        <v>83</v>
      </c>
      <c r="J380">
        <v>0</v>
      </c>
      <c r="K380">
        <v>1</v>
      </c>
      <c r="L380">
        <v>3</v>
      </c>
      <c r="M380">
        <v>127</v>
      </c>
      <c r="N380">
        <v>156</v>
      </c>
      <c r="O380">
        <v>4</v>
      </c>
      <c r="P380">
        <v>156</v>
      </c>
      <c r="Q380">
        <v>65</v>
      </c>
      <c r="R380">
        <v>22</v>
      </c>
      <c r="S380">
        <v>0</v>
      </c>
      <c r="T380">
        <v>20</v>
      </c>
      <c r="U380">
        <v>1</v>
      </c>
      <c r="V380">
        <v>0</v>
      </c>
      <c r="W380">
        <v>0</v>
      </c>
      <c r="X380">
        <v>32</v>
      </c>
      <c r="Y380">
        <v>2</v>
      </c>
      <c r="Z380">
        <v>0</v>
      </c>
      <c r="AA380">
        <v>5</v>
      </c>
      <c r="AB380">
        <v>2</v>
      </c>
      <c r="AO380">
        <v>4</v>
      </c>
      <c r="AW380">
        <v>0</v>
      </c>
      <c r="AX380">
        <v>3</v>
      </c>
      <c r="AY380">
        <v>156</v>
      </c>
      <c r="AZ380">
        <v>156</v>
      </c>
      <c r="BA380">
        <v>239</v>
      </c>
      <c r="BB380">
        <v>44</v>
      </c>
      <c r="BD380">
        <v>1</v>
      </c>
      <c r="BF380" t="s">
        <v>489</v>
      </c>
      <c r="BG380" s="1">
        <v>44354.03125</v>
      </c>
      <c r="BH380" s="1">
        <v>44354.039525462962</v>
      </c>
      <c r="BI380" s="1">
        <v>44354.04010416667</v>
      </c>
      <c r="BJ380" t="s">
        <v>85</v>
      </c>
      <c r="BK380" t="s">
        <v>86</v>
      </c>
      <c r="BL380" t="s">
        <v>87</v>
      </c>
    </row>
    <row r="381" spans="1:64" x14ac:dyDescent="0.3">
      <c r="A381" t="str">
        <f>"200231B0000"</f>
        <v>200231B0000</v>
      </c>
      <c r="B381" t="str">
        <f>"200231B00003"</f>
        <v>200231B00003</v>
      </c>
      <c r="C381" t="str">
        <f t="shared" si="21"/>
        <v>20</v>
      </c>
      <c r="D381" t="s">
        <v>81</v>
      </c>
      <c r="E381" t="str">
        <f t="shared" si="23"/>
        <v>037</v>
      </c>
      <c r="F381" t="s">
        <v>400</v>
      </c>
      <c r="G381" t="str">
        <f>"0231"</f>
        <v>0231</v>
      </c>
      <c r="H381" t="str">
        <f>"0000"</f>
        <v>0000</v>
      </c>
      <c r="I381" t="s">
        <v>83</v>
      </c>
      <c r="J381">
        <v>0</v>
      </c>
      <c r="K381">
        <v>1</v>
      </c>
      <c r="L381">
        <v>3</v>
      </c>
      <c r="M381">
        <v>407</v>
      </c>
      <c r="N381">
        <v>289</v>
      </c>
      <c r="O381">
        <v>2</v>
      </c>
      <c r="P381">
        <v>289</v>
      </c>
      <c r="Q381">
        <v>78</v>
      </c>
      <c r="R381">
        <v>19</v>
      </c>
      <c r="S381">
        <v>5</v>
      </c>
      <c r="T381">
        <v>22</v>
      </c>
      <c r="U381">
        <v>39</v>
      </c>
      <c r="V381">
        <v>3</v>
      </c>
      <c r="W381">
        <v>2</v>
      </c>
      <c r="X381">
        <v>55</v>
      </c>
      <c r="Y381">
        <v>26</v>
      </c>
      <c r="Z381">
        <v>2</v>
      </c>
      <c r="AA381">
        <v>19</v>
      </c>
      <c r="AB381">
        <v>10</v>
      </c>
      <c r="AO381">
        <v>2</v>
      </c>
      <c r="AW381" t="s">
        <v>95</v>
      </c>
      <c r="AX381">
        <v>7</v>
      </c>
      <c r="AY381">
        <v>289</v>
      </c>
      <c r="AZ381">
        <v>289</v>
      </c>
      <c r="BA381">
        <v>652</v>
      </c>
      <c r="BB381">
        <v>44</v>
      </c>
      <c r="BC381" t="s">
        <v>96</v>
      </c>
      <c r="BD381">
        <v>1</v>
      </c>
      <c r="BF381" t="s">
        <v>490</v>
      </c>
      <c r="BG381" s="1">
        <v>44353.967314814814</v>
      </c>
      <c r="BH381" s="1">
        <v>44353.968472222223</v>
      </c>
      <c r="BI381" s="1">
        <v>44353.969050925924</v>
      </c>
      <c r="BJ381" t="s">
        <v>197</v>
      </c>
      <c r="BK381" t="s">
        <v>198</v>
      </c>
      <c r="BL381" t="s">
        <v>87</v>
      </c>
    </row>
    <row r="382" spans="1:64" x14ac:dyDescent="0.3">
      <c r="A382" t="str">
        <f>"200231C0100"</f>
        <v>200231C0100</v>
      </c>
      <c r="B382" t="str">
        <f>"200231C01003"</f>
        <v>200231C01003</v>
      </c>
      <c r="C382" t="str">
        <f t="shared" si="21"/>
        <v>20</v>
      </c>
      <c r="D382" t="s">
        <v>81</v>
      </c>
      <c r="E382" t="str">
        <f t="shared" si="23"/>
        <v>037</v>
      </c>
      <c r="F382" t="s">
        <v>400</v>
      </c>
      <c r="G382" t="str">
        <f>"0231"</f>
        <v>0231</v>
      </c>
      <c r="H382" t="str">
        <f>"0001"</f>
        <v>0001</v>
      </c>
      <c r="I382" t="s">
        <v>89</v>
      </c>
      <c r="J382">
        <v>0</v>
      </c>
      <c r="K382">
        <v>1</v>
      </c>
      <c r="L382">
        <v>3</v>
      </c>
      <c r="M382">
        <v>389</v>
      </c>
      <c r="N382">
        <v>307</v>
      </c>
      <c r="O382">
        <v>2</v>
      </c>
      <c r="P382">
        <v>307</v>
      </c>
      <c r="Q382">
        <v>58</v>
      </c>
      <c r="R382">
        <v>19</v>
      </c>
      <c r="S382">
        <v>5</v>
      </c>
      <c r="T382">
        <v>36</v>
      </c>
      <c r="U382">
        <v>29</v>
      </c>
      <c r="V382">
        <v>0</v>
      </c>
      <c r="W382">
        <v>2</v>
      </c>
      <c r="X382">
        <v>63</v>
      </c>
      <c r="Y382">
        <v>31</v>
      </c>
      <c r="Z382">
        <v>1</v>
      </c>
      <c r="AA382">
        <v>41</v>
      </c>
      <c r="AB382">
        <v>5</v>
      </c>
      <c r="AO382">
        <v>7</v>
      </c>
      <c r="AW382">
        <v>0</v>
      </c>
      <c r="AX382">
        <v>10</v>
      </c>
      <c r="AY382">
        <v>307</v>
      </c>
      <c r="AZ382">
        <v>307</v>
      </c>
      <c r="BA382">
        <v>652</v>
      </c>
      <c r="BB382">
        <v>44</v>
      </c>
      <c r="BD382">
        <v>1</v>
      </c>
      <c r="BF382" t="s">
        <v>491</v>
      </c>
      <c r="BG382" s="1">
        <v>44353.965960648151</v>
      </c>
      <c r="BH382" s="1">
        <v>44353.967569444445</v>
      </c>
      <c r="BI382" s="1">
        <v>44353.968530092592</v>
      </c>
      <c r="BJ382" t="s">
        <v>197</v>
      </c>
      <c r="BK382" t="s">
        <v>198</v>
      </c>
      <c r="BL382" t="s">
        <v>87</v>
      </c>
    </row>
    <row r="383" spans="1:64" x14ac:dyDescent="0.3">
      <c r="A383" t="str">
        <f>"200231C0200"</f>
        <v>200231C0200</v>
      </c>
      <c r="B383" t="str">
        <f>"200231C02003"</f>
        <v>200231C02003</v>
      </c>
      <c r="C383" t="str">
        <f t="shared" si="21"/>
        <v>20</v>
      </c>
      <c r="D383" t="s">
        <v>81</v>
      </c>
      <c r="E383" t="str">
        <f t="shared" si="23"/>
        <v>037</v>
      </c>
      <c r="F383" t="s">
        <v>400</v>
      </c>
      <c r="G383" t="str">
        <f>"0231"</f>
        <v>0231</v>
      </c>
      <c r="H383" t="str">
        <f>"0002"</f>
        <v>0002</v>
      </c>
      <c r="I383" t="s">
        <v>89</v>
      </c>
      <c r="J383">
        <v>0</v>
      </c>
      <c r="K383">
        <v>1</v>
      </c>
      <c r="L383">
        <v>3</v>
      </c>
      <c r="M383">
        <v>395</v>
      </c>
      <c r="N383">
        <v>300</v>
      </c>
      <c r="O383">
        <v>7</v>
      </c>
      <c r="P383">
        <v>300</v>
      </c>
      <c r="Q383">
        <v>97</v>
      </c>
      <c r="R383">
        <v>28</v>
      </c>
      <c r="S383">
        <v>3</v>
      </c>
      <c r="T383">
        <v>27</v>
      </c>
      <c r="U383">
        <v>18</v>
      </c>
      <c r="V383">
        <v>1</v>
      </c>
      <c r="W383">
        <v>0</v>
      </c>
      <c r="X383">
        <v>51</v>
      </c>
      <c r="Y383">
        <v>19</v>
      </c>
      <c r="Z383">
        <v>1</v>
      </c>
      <c r="AA383">
        <v>39</v>
      </c>
      <c r="AB383">
        <v>4</v>
      </c>
      <c r="AO383">
        <v>6</v>
      </c>
      <c r="AW383">
        <v>0</v>
      </c>
      <c r="AX383">
        <v>6</v>
      </c>
      <c r="AY383">
        <v>300</v>
      </c>
      <c r="AZ383">
        <v>300</v>
      </c>
      <c r="BA383">
        <v>651</v>
      </c>
      <c r="BB383">
        <v>44</v>
      </c>
      <c r="BD383">
        <v>1</v>
      </c>
      <c r="BF383" t="s">
        <v>492</v>
      </c>
      <c r="BG383" s="1">
        <v>44354.081944444442</v>
      </c>
      <c r="BH383" s="1">
        <v>44354.090196759258</v>
      </c>
      <c r="BI383" s="1">
        <v>44354.09101851852</v>
      </c>
      <c r="BJ383" t="s">
        <v>85</v>
      </c>
      <c r="BK383" t="s">
        <v>86</v>
      </c>
      <c r="BL383" t="s">
        <v>87</v>
      </c>
    </row>
    <row r="384" spans="1:64" x14ac:dyDescent="0.3">
      <c r="A384" t="str">
        <f>"200231C0300"</f>
        <v>200231C0300</v>
      </c>
      <c r="B384" t="str">
        <f>"200231C03003"</f>
        <v>200231C03003</v>
      </c>
      <c r="C384" t="str">
        <f t="shared" si="21"/>
        <v>20</v>
      </c>
      <c r="D384" t="s">
        <v>81</v>
      </c>
      <c r="E384" t="str">
        <f t="shared" si="23"/>
        <v>037</v>
      </c>
      <c r="F384" t="s">
        <v>400</v>
      </c>
      <c r="G384" t="str">
        <f>"0231"</f>
        <v>0231</v>
      </c>
      <c r="H384" t="str">
        <f>"0003"</f>
        <v>0003</v>
      </c>
      <c r="I384" t="s">
        <v>89</v>
      </c>
      <c r="J384">
        <v>0</v>
      </c>
      <c r="K384">
        <v>1</v>
      </c>
      <c r="L384">
        <v>3</v>
      </c>
      <c r="M384">
        <v>389</v>
      </c>
      <c r="N384">
        <v>306</v>
      </c>
      <c r="O384">
        <v>0</v>
      </c>
      <c r="P384">
        <v>306</v>
      </c>
      <c r="Q384">
        <v>69</v>
      </c>
      <c r="R384">
        <v>24</v>
      </c>
      <c r="S384">
        <v>2</v>
      </c>
      <c r="T384">
        <v>30</v>
      </c>
      <c r="U384">
        <v>34</v>
      </c>
      <c r="V384">
        <v>3</v>
      </c>
      <c r="W384">
        <v>0</v>
      </c>
      <c r="X384">
        <v>57</v>
      </c>
      <c r="Y384">
        <v>22</v>
      </c>
      <c r="Z384">
        <v>0</v>
      </c>
      <c r="AA384">
        <v>42</v>
      </c>
      <c r="AB384">
        <v>13</v>
      </c>
      <c r="AO384">
        <v>2</v>
      </c>
      <c r="AW384">
        <v>0</v>
      </c>
      <c r="AX384">
        <v>8</v>
      </c>
      <c r="AY384">
        <v>306</v>
      </c>
      <c r="AZ384">
        <v>306</v>
      </c>
      <c r="BA384">
        <v>651</v>
      </c>
      <c r="BB384">
        <v>44</v>
      </c>
      <c r="BD384">
        <v>1</v>
      </c>
      <c r="BF384" t="s">
        <v>493</v>
      </c>
      <c r="BG384" s="1">
        <v>44353.954259259262</v>
      </c>
      <c r="BH384" s="1">
        <v>44353.955937500003</v>
      </c>
      <c r="BI384" s="1">
        <v>44353.95652777778</v>
      </c>
      <c r="BJ384" t="s">
        <v>197</v>
      </c>
      <c r="BK384" t="s">
        <v>198</v>
      </c>
      <c r="BL384" t="s">
        <v>87</v>
      </c>
    </row>
    <row r="385" spans="1:64" x14ac:dyDescent="0.3">
      <c r="A385" t="str">
        <f>"200231S0100"</f>
        <v>200231S0100</v>
      </c>
      <c r="B385" t="str">
        <f>"200231S01003E"</f>
        <v>200231S01003E</v>
      </c>
      <c r="C385" t="str">
        <f t="shared" si="21"/>
        <v>20</v>
      </c>
      <c r="D385" t="s">
        <v>81</v>
      </c>
      <c r="E385" t="str">
        <f t="shared" si="23"/>
        <v>037</v>
      </c>
      <c r="F385" t="s">
        <v>400</v>
      </c>
      <c r="G385" t="str">
        <f>"0231"</f>
        <v>0231</v>
      </c>
      <c r="H385" t="str">
        <f>"0001"</f>
        <v>0001</v>
      </c>
      <c r="I385" t="s">
        <v>99</v>
      </c>
      <c r="J385">
        <v>0</v>
      </c>
      <c r="K385">
        <v>1</v>
      </c>
      <c r="L385" t="s">
        <v>100</v>
      </c>
      <c r="M385">
        <v>964</v>
      </c>
      <c r="N385">
        <v>36</v>
      </c>
      <c r="O385">
        <v>0</v>
      </c>
      <c r="P385" t="s">
        <v>92</v>
      </c>
      <c r="Q385">
        <v>5</v>
      </c>
      <c r="R385">
        <v>1</v>
      </c>
      <c r="S385">
        <v>1</v>
      </c>
      <c r="T385">
        <v>6</v>
      </c>
      <c r="U385">
        <v>3</v>
      </c>
      <c r="V385" t="s">
        <v>95</v>
      </c>
      <c r="W385">
        <v>1</v>
      </c>
      <c r="X385">
        <v>5</v>
      </c>
      <c r="Y385">
        <v>4</v>
      </c>
      <c r="Z385" t="s">
        <v>95</v>
      </c>
      <c r="AA385">
        <v>8</v>
      </c>
      <c r="AB385" t="s">
        <v>95</v>
      </c>
      <c r="AO385">
        <v>2</v>
      </c>
      <c r="AW385" t="s">
        <v>95</v>
      </c>
      <c r="AX385" t="s">
        <v>95</v>
      </c>
      <c r="AY385">
        <v>36</v>
      </c>
      <c r="AZ385">
        <v>36</v>
      </c>
      <c r="BA385">
        <v>0</v>
      </c>
      <c r="BB385">
        <v>44</v>
      </c>
      <c r="BC385" t="s">
        <v>96</v>
      </c>
      <c r="BD385">
        <v>1</v>
      </c>
      <c r="BF385" t="s">
        <v>494</v>
      </c>
      <c r="BG385" s="1">
        <v>44353.874479166669</v>
      </c>
      <c r="BH385" s="1">
        <v>44353.876736111109</v>
      </c>
      <c r="BI385" s="1">
        <v>44353.878206018519</v>
      </c>
      <c r="BJ385" t="s">
        <v>197</v>
      </c>
      <c r="BK385" t="s">
        <v>198</v>
      </c>
      <c r="BL385" t="s">
        <v>87</v>
      </c>
    </row>
    <row r="386" spans="1:64" x14ac:dyDescent="0.3">
      <c r="A386" t="str">
        <f>"200926B0000"</f>
        <v>200926B0000</v>
      </c>
      <c r="B386" t="str">
        <f>"200926B00003"</f>
        <v>200926B00003</v>
      </c>
      <c r="C386" t="str">
        <f t="shared" si="21"/>
        <v>20</v>
      </c>
      <c r="D386" t="s">
        <v>81</v>
      </c>
      <c r="E386" t="str">
        <f t="shared" si="23"/>
        <v>037</v>
      </c>
      <c r="F386" t="s">
        <v>400</v>
      </c>
      <c r="G386" t="str">
        <f>"0926"</f>
        <v>0926</v>
      </c>
      <c r="H386" t="str">
        <f>"0000"</f>
        <v>0000</v>
      </c>
      <c r="I386" t="s">
        <v>83</v>
      </c>
      <c r="J386">
        <v>0</v>
      </c>
      <c r="K386">
        <v>1</v>
      </c>
      <c r="L386">
        <v>3</v>
      </c>
      <c r="M386">
        <v>250</v>
      </c>
      <c r="N386">
        <v>202</v>
      </c>
      <c r="O386">
        <v>9</v>
      </c>
      <c r="P386">
        <v>202</v>
      </c>
      <c r="Q386">
        <v>102</v>
      </c>
      <c r="R386">
        <v>19</v>
      </c>
      <c r="S386">
        <v>2</v>
      </c>
      <c r="T386">
        <v>6</v>
      </c>
      <c r="U386">
        <v>10</v>
      </c>
      <c r="V386">
        <v>1</v>
      </c>
      <c r="W386">
        <v>18</v>
      </c>
      <c r="X386">
        <v>18</v>
      </c>
      <c r="Y386">
        <v>20</v>
      </c>
      <c r="Z386">
        <v>3</v>
      </c>
      <c r="AA386">
        <v>3</v>
      </c>
      <c r="AB386">
        <v>4</v>
      </c>
      <c r="AO386">
        <v>6</v>
      </c>
      <c r="AW386">
        <v>0</v>
      </c>
      <c r="AX386">
        <v>8</v>
      </c>
      <c r="AY386">
        <v>202</v>
      </c>
      <c r="AZ386">
        <v>220</v>
      </c>
      <c r="BA386">
        <v>408</v>
      </c>
      <c r="BB386">
        <v>44</v>
      </c>
      <c r="BD386">
        <v>1</v>
      </c>
      <c r="BF386" t="s">
        <v>495</v>
      </c>
      <c r="BG386" s="1">
        <v>44353.980034722219</v>
      </c>
      <c r="BH386" s="1">
        <v>44354.094594907408</v>
      </c>
      <c r="BI386" s="1">
        <v>44354.095486111109</v>
      </c>
      <c r="BJ386" t="s">
        <v>197</v>
      </c>
      <c r="BK386" t="s">
        <v>198</v>
      </c>
      <c r="BL386" t="s">
        <v>87</v>
      </c>
    </row>
    <row r="387" spans="1:64" x14ac:dyDescent="0.3">
      <c r="A387" t="str">
        <f>"201280B0000"</f>
        <v>201280B0000</v>
      </c>
      <c r="B387" t="str">
        <f>"201280B00003"</f>
        <v>201280B00003</v>
      </c>
      <c r="C387" t="str">
        <f t="shared" si="21"/>
        <v>20</v>
      </c>
      <c r="D387" t="s">
        <v>81</v>
      </c>
      <c r="E387" t="str">
        <f t="shared" si="23"/>
        <v>037</v>
      </c>
      <c r="F387" t="s">
        <v>400</v>
      </c>
      <c r="G387" t="str">
        <f>"1280"</f>
        <v>1280</v>
      </c>
      <c r="H387" t="str">
        <f>"0000"</f>
        <v>0000</v>
      </c>
      <c r="I387" t="s">
        <v>83</v>
      </c>
      <c r="J387">
        <v>0</v>
      </c>
      <c r="K387">
        <v>1</v>
      </c>
      <c r="L387">
        <v>3</v>
      </c>
      <c r="M387">
        <v>347</v>
      </c>
      <c r="N387">
        <v>296</v>
      </c>
      <c r="O387">
        <v>3</v>
      </c>
      <c r="P387">
        <v>297</v>
      </c>
      <c r="Q387">
        <v>79</v>
      </c>
      <c r="R387">
        <v>25</v>
      </c>
      <c r="S387">
        <v>4</v>
      </c>
      <c r="T387">
        <v>36</v>
      </c>
      <c r="U387">
        <v>26</v>
      </c>
      <c r="V387">
        <v>2</v>
      </c>
      <c r="W387">
        <v>2</v>
      </c>
      <c r="X387">
        <v>54</v>
      </c>
      <c r="Y387">
        <v>34</v>
      </c>
      <c r="Z387">
        <v>1</v>
      </c>
      <c r="AA387">
        <v>22</v>
      </c>
      <c r="AB387">
        <v>0</v>
      </c>
      <c r="AO387">
        <v>5</v>
      </c>
      <c r="AW387">
        <v>0</v>
      </c>
      <c r="AX387">
        <v>7</v>
      </c>
      <c r="AY387">
        <v>297</v>
      </c>
      <c r="AZ387">
        <v>297</v>
      </c>
      <c r="BA387">
        <v>600</v>
      </c>
      <c r="BB387">
        <v>44</v>
      </c>
      <c r="BD387">
        <v>1</v>
      </c>
      <c r="BF387" t="s">
        <v>496</v>
      </c>
      <c r="BG387" s="1">
        <v>44354.029861111114</v>
      </c>
      <c r="BH387" s="1">
        <v>44354.038865740738</v>
      </c>
      <c r="BI387" s="1">
        <v>44354.039363425924</v>
      </c>
      <c r="BJ387" t="s">
        <v>85</v>
      </c>
      <c r="BK387" t="s">
        <v>86</v>
      </c>
      <c r="BL387" t="s">
        <v>87</v>
      </c>
    </row>
    <row r="388" spans="1:64" x14ac:dyDescent="0.3">
      <c r="A388" t="str">
        <f>"202451B0000"</f>
        <v>202451B0000</v>
      </c>
      <c r="B388" t="str">
        <f>"202451B00003"</f>
        <v>202451B00003</v>
      </c>
      <c r="C388" t="str">
        <f t="shared" si="21"/>
        <v>20</v>
      </c>
      <c r="D388" t="s">
        <v>81</v>
      </c>
      <c r="E388" t="str">
        <f t="shared" ref="E388:E394" si="25">"037"</f>
        <v>037</v>
      </c>
      <c r="F388" t="s">
        <v>400</v>
      </c>
      <c r="G388" t="str">
        <f>"2451"</f>
        <v>2451</v>
      </c>
      <c r="H388" t="str">
        <f>"0000"</f>
        <v>0000</v>
      </c>
      <c r="I388" t="s">
        <v>83</v>
      </c>
      <c r="J388">
        <v>0</v>
      </c>
      <c r="K388">
        <v>1</v>
      </c>
      <c r="L388">
        <v>3</v>
      </c>
      <c r="M388">
        <v>199</v>
      </c>
      <c r="N388">
        <v>285</v>
      </c>
      <c r="O388">
        <v>0</v>
      </c>
      <c r="P388">
        <v>285</v>
      </c>
      <c r="Q388">
        <v>126</v>
      </c>
      <c r="R388">
        <v>88</v>
      </c>
      <c r="S388">
        <v>0</v>
      </c>
      <c r="T388">
        <v>4</v>
      </c>
      <c r="U388">
        <v>12</v>
      </c>
      <c r="V388">
        <v>2</v>
      </c>
      <c r="W388">
        <v>1</v>
      </c>
      <c r="X388">
        <v>22</v>
      </c>
      <c r="Y388">
        <v>23</v>
      </c>
      <c r="Z388">
        <v>0</v>
      </c>
      <c r="AA388">
        <v>1</v>
      </c>
      <c r="AB388">
        <v>0</v>
      </c>
      <c r="AO388">
        <v>2</v>
      </c>
      <c r="AW388">
        <v>0</v>
      </c>
      <c r="AX388">
        <v>4</v>
      </c>
      <c r="AY388">
        <v>285</v>
      </c>
      <c r="AZ388">
        <v>285</v>
      </c>
      <c r="BA388">
        <v>440</v>
      </c>
      <c r="BB388">
        <v>44</v>
      </c>
      <c r="BD388">
        <v>1</v>
      </c>
      <c r="BF388" t="s">
        <v>497</v>
      </c>
      <c r="BG388" s="1">
        <v>44353.870648148149</v>
      </c>
      <c r="BH388" s="1">
        <v>44353.929594907408</v>
      </c>
      <c r="BI388" s="1">
        <v>44353.930127314816</v>
      </c>
      <c r="BJ388" t="s">
        <v>197</v>
      </c>
      <c r="BK388" t="s">
        <v>198</v>
      </c>
      <c r="BL388" t="s">
        <v>87</v>
      </c>
    </row>
    <row r="389" spans="1:64" x14ac:dyDescent="0.3">
      <c r="A389" t="str">
        <f>"202459B0000"</f>
        <v>202459B0000</v>
      </c>
      <c r="B389" t="str">
        <f>"202459B00003"</f>
        <v>202459B00003</v>
      </c>
      <c r="C389" t="str">
        <f t="shared" si="21"/>
        <v>20</v>
      </c>
      <c r="D389" t="s">
        <v>81</v>
      </c>
      <c r="E389" t="str">
        <f t="shared" si="25"/>
        <v>037</v>
      </c>
      <c r="F389" t="s">
        <v>400</v>
      </c>
      <c r="G389" t="str">
        <f>"2459"</f>
        <v>2459</v>
      </c>
      <c r="H389" t="str">
        <f>"0000"</f>
        <v>0000</v>
      </c>
      <c r="I389" t="s">
        <v>83</v>
      </c>
      <c r="J389">
        <v>0</v>
      </c>
      <c r="K389">
        <v>1</v>
      </c>
      <c r="L389">
        <v>3</v>
      </c>
      <c r="M389">
        <v>366</v>
      </c>
      <c r="N389">
        <v>256</v>
      </c>
      <c r="O389">
        <v>9</v>
      </c>
      <c r="P389" t="s">
        <v>92</v>
      </c>
      <c r="Q389">
        <v>67</v>
      </c>
      <c r="R389">
        <v>20</v>
      </c>
      <c r="S389">
        <v>1</v>
      </c>
      <c r="T389">
        <v>40</v>
      </c>
      <c r="U389">
        <v>11</v>
      </c>
      <c r="V389">
        <v>2</v>
      </c>
      <c r="W389">
        <v>2</v>
      </c>
      <c r="X389">
        <v>57</v>
      </c>
      <c r="Y389">
        <v>20</v>
      </c>
      <c r="Z389">
        <v>1</v>
      </c>
      <c r="AA389">
        <v>13</v>
      </c>
      <c r="AB389">
        <v>7</v>
      </c>
      <c r="AO389">
        <v>5</v>
      </c>
      <c r="AW389">
        <v>0</v>
      </c>
      <c r="AX389">
        <v>10</v>
      </c>
      <c r="AY389">
        <v>256</v>
      </c>
      <c r="AZ389">
        <v>256</v>
      </c>
      <c r="BA389">
        <v>578</v>
      </c>
      <c r="BB389">
        <v>44</v>
      </c>
      <c r="BD389">
        <v>1</v>
      </c>
      <c r="BF389" t="s">
        <v>498</v>
      </c>
      <c r="BG389" s="1">
        <v>44353.97859953704</v>
      </c>
      <c r="BH389" s="1">
        <v>44353.980034722219</v>
      </c>
      <c r="BI389" s="1">
        <v>44353.980671296296</v>
      </c>
      <c r="BJ389" t="s">
        <v>197</v>
      </c>
      <c r="BK389" t="s">
        <v>198</v>
      </c>
      <c r="BL389" t="s">
        <v>87</v>
      </c>
    </row>
    <row r="390" spans="1:64" x14ac:dyDescent="0.3">
      <c r="A390" t="str">
        <f>"202459C0100"</f>
        <v>202459C0100</v>
      </c>
      <c r="B390" t="str">
        <f>"202459C01003"</f>
        <v>202459C01003</v>
      </c>
      <c r="C390" t="str">
        <f t="shared" si="21"/>
        <v>20</v>
      </c>
      <c r="D390" t="s">
        <v>81</v>
      </c>
      <c r="E390" t="str">
        <f t="shared" si="25"/>
        <v>037</v>
      </c>
      <c r="F390" t="s">
        <v>400</v>
      </c>
      <c r="G390" t="str">
        <f>"2459"</f>
        <v>2459</v>
      </c>
      <c r="H390" t="str">
        <f>"0001"</f>
        <v>0001</v>
      </c>
      <c r="I390" t="s">
        <v>89</v>
      </c>
      <c r="J390">
        <v>0</v>
      </c>
      <c r="K390">
        <v>1</v>
      </c>
      <c r="L390">
        <v>3</v>
      </c>
      <c r="M390">
        <v>371</v>
      </c>
      <c r="N390">
        <v>251</v>
      </c>
      <c r="O390">
        <v>7</v>
      </c>
      <c r="P390">
        <v>251</v>
      </c>
      <c r="Q390">
        <v>93</v>
      </c>
      <c r="R390">
        <v>31</v>
      </c>
      <c r="S390">
        <v>0</v>
      </c>
      <c r="T390">
        <v>22</v>
      </c>
      <c r="U390">
        <v>4</v>
      </c>
      <c r="V390">
        <v>0</v>
      </c>
      <c r="W390">
        <v>0</v>
      </c>
      <c r="X390">
        <v>62</v>
      </c>
      <c r="Y390">
        <v>16</v>
      </c>
      <c r="Z390">
        <v>1</v>
      </c>
      <c r="AA390">
        <v>0</v>
      </c>
      <c r="AB390">
        <v>9</v>
      </c>
      <c r="AO390">
        <v>1</v>
      </c>
      <c r="AW390">
        <v>0</v>
      </c>
      <c r="AX390">
        <v>2</v>
      </c>
      <c r="AY390">
        <v>251</v>
      </c>
      <c r="AZ390">
        <v>241</v>
      </c>
      <c r="BA390">
        <v>578</v>
      </c>
      <c r="BB390">
        <v>44</v>
      </c>
      <c r="BD390">
        <v>1</v>
      </c>
      <c r="BF390" t="s">
        <v>499</v>
      </c>
      <c r="BG390" s="1">
        <v>44353.895613425928</v>
      </c>
      <c r="BH390" s="1">
        <v>44353.905856481484</v>
      </c>
      <c r="BI390" s="1">
        <v>44353.922511574077</v>
      </c>
      <c r="BJ390" t="s">
        <v>197</v>
      </c>
      <c r="BK390" t="s">
        <v>198</v>
      </c>
      <c r="BL390" t="s">
        <v>87</v>
      </c>
    </row>
    <row r="391" spans="1:64" x14ac:dyDescent="0.3">
      <c r="A391" t="str">
        <f>"202459C0200"</f>
        <v>202459C0200</v>
      </c>
      <c r="B391" t="str">
        <f>"202459C02003"</f>
        <v>202459C02003</v>
      </c>
      <c r="C391" t="str">
        <f t="shared" ref="C391:C454" si="26">"20"</f>
        <v>20</v>
      </c>
      <c r="D391" t="s">
        <v>81</v>
      </c>
      <c r="E391" t="str">
        <f t="shared" si="25"/>
        <v>037</v>
      </c>
      <c r="F391" t="s">
        <v>400</v>
      </c>
      <c r="G391" t="str">
        <f>"2459"</f>
        <v>2459</v>
      </c>
      <c r="H391" t="str">
        <f>"0002"</f>
        <v>0002</v>
      </c>
      <c r="I391" t="s">
        <v>89</v>
      </c>
      <c r="J391">
        <v>0</v>
      </c>
      <c r="K391">
        <v>1</v>
      </c>
      <c r="L391">
        <v>3</v>
      </c>
      <c r="M391">
        <v>398</v>
      </c>
      <c r="N391">
        <v>223</v>
      </c>
      <c r="O391">
        <v>2</v>
      </c>
      <c r="P391">
        <v>23</v>
      </c>
      <c r="Q391">
        <v>98</v>
      </c>
      <c r="R391">
        <v>35</v>
      </c>
      <c r="S391">
        <v>0</v>
      </c>
      <c r="T391">
        <v>16</v>
      </c>
      <c r="U391">
        <v>5</v>
      </c>
      <c r="V391">
        <v>1</v>
      </c>
      <c r="W391">
        <v>1</v>
      </c>
      <c r="X391">
        <v>41</v>
      </c>
      <c r="Y391">
        <v>7</v>
      </c>
      <c r="Z391">
        <v>0</v>
      </c>
      <c r="AA391">
        <v>6</v>
      </c>
      <c r="AB391">
        <v>5</v>
      </c>
      <c r="AO391">
        <v>2</v>
      </c>
      <c r="AW391">
        <v>0</v>
      </c>
      <c r="AX391">
        <v>6</v>
      </c>
      <c r="AY391">
        <v>23</v>
      </c>
      <c r="AZ391">
        <v>223</v>
      </c>
      <c r="BA391">
        <v>577</v>
      </c>
      <c r="BB391">
        <v>44</v>
      </c>
      <c r="BD391">
        <v>1</v>
      </c>
      <c r="BF391" t="s">
        <v>500</v>
      </c>
      <c r="BG391" s="1">
        <v>44353.904641203706</v>
      </c>
      <c r="BH391" s="1">
        <v>44353.906817129631</v>
      </c>
      <c r="BI391" s="1">
        <v>44353.907696759263</v>
      </c>
      <c r="BJ391" t="s">
        <v>197</v>
      </c>
      <c r="BK391" t="s">
        <v>198</v>
      </c>
      <c r="BL391" t="s">
        <v>87</v>
      </c>
    </row>
    <row r="392" spans="1:64" x14ac:dyDescent="0.3">
      <c r="A392" t="str">
        <f>"202460B0000"</f>
        <v>202460B0000</v>
      </c>
      <c r="B392" t="str">
        <f>"202460B00003"</f>
        <v>202460B00003</v>
      </c>
      <c r="C392" t="str">
        <f t="shared" si="26"/>
        <v>20</v>
      </c>
      <c r="D392" t="s">
        <v>81</v>
      </c>
      <c r="E392" t="str">
        <f t="shared" si="25"/>
        <v>037</v>
      </c>
      <c r="F392" t="s">
        <v>400</v>
      </c>
      <c r="G392" t="str">
        <f>"2460"</f>
        <v>2460</v>
      </c>
      <c r="H392" t="str">
        <f>"0000"</f>
        <v>0000</v>
      </c>
      <c r="I392" t="s">
        <v>83</v>
      </c>
      <c r="J392">
        <v>0</v>
      </c>
      <c r="K392">
        <v>1</v>
      </c>
      <c r="L392">
        <v>3</v>
      </c>
      <c r="M392">
        <v>365</v>
      </c>
      <c r="N392">
        <v>270</v>
      </c>
      <c r="O392">
        <v>6</v>
      </c>
      <c r="P392">
        <v>270</v>
      </c>
      <c r="Q392">
        <v>71</v>
      </c>
      <c r="R392">
        <v>23</v>
      </c>
      <c r="S392">
        <v>1</v>
      </c>
      <c r="T392">
        <v>38</v>
      </c>
      <c r="U392">
        <v>6</v>
      </c>
      <c r="V392">
        <v>1</v>
      </c>
      <c r="W392">
        <v>0</v>
      </c>
      <c r="X392">
        <v>91</v>
      </c>
      <c r="Y392">
        <v>16</v>
      </c>
      <c r="Z392">
        <v>0</v>
      </c>
      <c r="AA392">
        <v>9</v>
      </c>
      <c r="AB392">
        <v>8</v>
      </c>
      <c r="AO392">
        <v>1</v>
      </c>
      <c r="AW392">
        <v>0</v>
      </c>
      <c r="AX392">
        <v>5</v>
      </c>
      <c r="AY392">
        <v>270</v>
      </c>
      <c r="AZ392">
        <v>270</v>
      </c>
      <c r="BA392">
        <v>591</v>
      </c>
      <c r="BB392">
        <v>44</v>
      </c>
      <c r="BD392">
        <v>1</v>
      </c>
      <c r="BF392" t="s">
        <v>501</v>
      </c>
      <c r="BG392" s="1">
        <v>44353.927627314813</v>
      </c>
      <c r="BH392" s="1">
        <v>44353.92895833333</v>
      </c>
      <c r="BI392" s="1">
        <v>44353.929791666669</v>
      </c>
      <c r="BJ392" t="s">
        <v>197</v>
      </c>
      <c r="BK392" t="s">
        <v>198</v>
      </c>
      <c r="BL392" t="s">
        <v>87</v>
      </c>
    </row>
    <row r="393" spans="1:64" x14ac:dyDescent="0.3">
      <c r="A393" t="str">
        <f>"202460C0100"</f>
        <v>202460C0100</v>
      </c>
      <c r="B393" t="str">
        <f>"202460C01003"</f>
        <v>202460C01003</v>
      </c>
      <c r="C393" t="str">
        <f t="shared" si="26"/>
        <v>20</v>
      </c>
      <c r="D393" t="s">
        <v>81</v>
      </c>
      <c r="E393" t="str">
        <f t="shared" si="25"/>
        <v>037</v>
      </c>
      <c r="F393" t="s">
        <v>400</v>
      </c>
      <c r="G393" t="str">
        <f>"2460"</f>
        <v>2460</v>
      </c>
      <c r="H393" t="str">
        <f>"0001"</f>
        <v>0001</v>
      </c>
      <c r="I393" t="s">
        <v>89</v>
      </c>
      <c r="J393">
        <v>0</v>
      </c>
      <c r="K393">
        <v>1</v>
      </c>
      <c r="L393">
        <v>3</v>
      </c>
      <c r="M393">
        <v>369</v>
      </c>
      <c r="N393">
        <v>266</v>
      </c>
      <c r="O393">
        <v>3</v>
      </c>
      <c r="P393">
        <v>266</v>
      </c>
      <c r="Q393">
        <v>94</v>
      </c>
      <c r="R393">
        <v>29</v>
      </c>
      <c r="S393">
        <v>1</v>
      </c>
      <c r="T393">
        <v>21</v>
      </c>
      <c r="U393">
        <v>7</v>
      </c>
      <c r="V393">
        <v>3</v>
      </c>
      <c r="W393">
        <v>0</v>
      </c>
      <c r="X393">
        <v>69</v>
      </c>
      <c r="Y393">
        <v>9</v>
      </c>
      <c r="Z393">
        <v>3</v>
      </c>
      <c r="AA393">
        <v>12</v>
      </c>
      <c r="AB393">
        <v>9</v>
      </c>
      <c r="AO393">
        <v>1</v>
      </c>
      <c r="AW393">
        <v>0</v>
      </c>
      <c r="AX393">
        <v>8</v>
      </c>
      <c r="AY393">
        <v>266</v>
      </c>
      <c r="AZ393">
        <v>266</v>
      </c>
      <c r="BA393">
        <v>591</v>
      </c>
      <c r="BB393">
        <v>44</v>
      </c>
      <c r="BD393">
        <v>1</v>
      </c>
      <c r="BF393" t="s">
        <v>502</v>
      </c>
      <c r="BG393" s="1">
        <v>44354.03402777778</v>
      </c>
      <c r="BH393" s="1">
        <v>44354.042731481481</v>
      </c>
      <c r="BI393" s="1">
        <v>44354.043136574073</v>
      </c>
      <c r="BJ393" t="s">
        <v>85</v>
      </c>
      <c r="BK393" t="s">
        <v>86</v>
      </c>
      <c r="BL393" t="s">
        <v>87</v>
      </c>
    </row>
    <row r="394" spans="1:64" x14ac:dyDescent="0.3">
      <c r="A394" t="str">
        <f>"202460C0200"</f>
        <v>202460C0200</v>
      </c>
      <c r="B394" t="str">
        <f>"202460C02003"</f>
        <v>202460C02003</v>
      </c>
      <c r="C394" t="str">
        <f t="shared" si="26"/>
        <v>20</v>
      </c>
      <c r="D394" t="s">
        <v>81</v>
      </c>
      <c r="E394" t="str">
        <f t="shared" si="25"/>
        <v>037</v>
      </c>
      <c r="F394" t="s">
        <v>400</v>
      </c>
      <c r="G394" t="str">
        <f>"2460"</f>
        <v>2460</v>
      </c>
      <c r="H394" t="str">
        <f>"0002"</f>
        <v>0002</v>
      </c>
      <c r="I394" t="s">
        <v>89</v>
      </c>
      <c r="J394">
        <v>0</v>
      </c>
      <c r="K394">
        <v>1</v>
      </c>
      <c r="L394">
        <v>3</v>
      </c>
      <c r="M394">
        <v>363</v>
      </c>
      <c r="N394">
        <v>272</v>
      </c>
      <c r="O394">
        <v>7</v>
      </c>
      <c r="P394">
        <v>272</v>
      </c>
      <c r="Q394">
        <v>119</v>
      </c>
      <c r="R394">
        <v>26</v>
      </c>
      <c r="S394">
        <v>0</v>
      </c>
      <c r="T394">
        <v>17</v>
      </c>
      <c r="U394">
        <v>3</v>
      </c>
      <c r="V394">
        <v>1</v>
      </c>
      <c r="W394">
        <v>2</v>
      </c>
      <c r="X394">
        <v>67</v>
      </c>
      <c r="Y394">
        <v>9</v>
      </c>
      <c r="Z394">
        <v>0</v>
      </c>
      <c r="AA394">
        <v>10</v>
      </c>
      <c r="AB394">
        <v>11</v>
      </c>
      <c r="AO394">
        <v>1</v>
      </c>
      <c r="AW394">
        <v>0</v>
      </c>
      <c r="AX394">
        <v>6</v>
      </c>
      <c r="AY394">
        <v>272</v>
      </c>
      <c r="AZ394">
        <v>272</v>
      </c>
      <c r="BA394">
        <v>591</v>
      </c>
      <c r="BB394">
        <v>44</v>
      </c>
      <c r="BD394">
        <v>1</v>
      </c>
      <c r="BF394" t="s">
        <v>503</v>
      </c>
      <c r="BG394" s="1">
        <v>44354.036111111112</v>
      </c>
      <c r="BH394" s="1">
        <v>44354.045312499999</v>
      </c>
      <c r="BI394" s="1">
        <v>44354.045868055553</v>
      </c>
      <c r="BJ394" t="s">
        <v>85</v>
      </c>
      <c r="BK394" t="s">
        <v>86</v>
      </c>
      <c r="BL394" t="s">
        <v>87</v>
      </c>
    </row>
    <row r="395" spans="1:64" x14ac:dyDescent="0.3">
      <c r="A395" t="str">
        <f>"200232B0000"</f>
        <v>200232B0000</v>
      </c>
      <c r="B395" t="str">
        <f>"200232B00003"</f>
        <v>200232B00003</v>
      </c>
      <c r="C395" t="str">
        <f t="shared" si="26"/>
        <v>20</v>
      </c>
      <c r="D395" t="s">
        <v>81</v>
      </c>
      <c r="E395" t="str">
        <f t="shared" ref="E395:E402" si="27">"038"</f>
        <v>038</v>
      </c>
      <c r="F395" t="s">
        <v>504</v>
      </c>
      <c r="G395" t="str">
        <f>"0232"</f>
        <v>0232</v>
      </c>
      <c r="H395" t="str">
        <f>"0000"</f>
        <v>0000</v>
      </c>
      <c r="I395" t="s">
        <v>83</v>
      </c>
      <c r="J395">
        <v>0</v>
      </c>
      <c r="K395">
        <v>1</v>
      </c>
      <c r="L395">
        <v>3</v>
      </c>
      <c r="M395">
        <v>136</v>
      </c>
      <c r="N395">
        <v>486</v>
      </c>
      <c r="O395">
        <v>0</v>
      </c>
      <c r="P395">
        <v>486</v>
      </c>
      <c r="Q395">
        <v>1</v>
      </c>
      <c r="R395">
        <v>145</v>
      </c>
      <c r="S395">
        <v>2</v>
      </c>
      <c r="U395">
        <v>6</v>
      </c>
      <c r="V395">
        <v>2</v>
      </c>
      <c r="W395">
        <v>7</v>
      </c>
      <c r="X395">
        <v>277</v>
      </c>
      <c r="Y395">
        <v>2</v>
      </c>
      <c r="Z395">
        <v>3</v>
      </c>
      <c r="AA395">
        <v>26</v>
      </c>
      <c r="AF395">
        <v>0</v>
      </c>
      <c r="AG395">
        <v>0</v>
      </c>
      <c r="AH395">
        <v>0</v>
      </c>
      <c r="AI395">
        <v>0</v>
      </c>
      <c r="AW395">
        <v>0</v>
      </c>
      <c r="AX395">
        <v>11</v>
      </c>
      <c r="AY395">
        <v>486</v>
      </c>
      <c r="AZ395">
        <v>482</v>
      </c>
      <c r="BA395">
        <v>578</v>
      </c>
      <c r="BB395">
        <v>44</v>
      </c>
      <c r="BD395">
        <v>1</v>
      </c>
      <c r="BF395" t="s">
        <v>505</v>
      </c>
      <c r="BG395" s="1">
        <v>44354.085416666669</v>
      </c>
      <c r="BH395" s="1">
        <v>44354.092048611114</v>
      </c>
      <c r="BI395" s="1">
        <v>44354.093009259261</v>
      </c>
      <c r="BJ395" t="s">
        <v>85</v>
      </c>
      <c r="BK395" t="s">
        <v>86</v>
      </c>
      <c r="BL395" t="s">
        <v>87</v>
      </c>
    </row>
    <row r="396" spans="1:64" x14ac:dyDescent="0.3">
      <c r="A396" t="str">
        <f>"200232C0100"</f>
        <v>200232C0100</v>
      </c>
      <c r="B396" t="str">
        <f>"200232C01003"</f>
        <v>200232C01003</v>
      </c>
      <c r="C396" t="str">
        <f t="shared" si="26"/>
        <v>20</v>
      </c>
      <c r="D396" t="s">
        <v>81</v>
      </c>
      <c r="E396" t="str">
        <f t="shared" si="27"/>
        <v>038</v>
      </c>
      <c r="F396" t="s">
        <v>504</v>
      </c>
      <c r="G396" t="str">
        <f>"0232"</f>
        <v>0232</v>
      </c>
      <c r="H396" t="str">
        <f>"0001"</f>
        <v>0001</v>
      </c>
      <c r="I396" t="s">
        <v>89</v>
      </c>
      <c r="J396">
        <v>0</v>
      </c>
      <c r="K396">
        <v>1</v>
      </c>
      <c r="L396">
        <v>3</v>
      </c>
      <c r="M396">
        <v>141</v>
      </c>
      <c r="N396" t="s">
        <v>92</v>
      </c>
      <c r="O396">
        <v>0</v>
      </c>
      <c r="P396" t="s">
        <v>92</v>
      </c>
      <c r="Q396">
        <v>1</v>
      </c>
      <c r="R396">
        <v>145</v>
      </c>
      <c r="S396">
        <v>2</v>
      </c>
      <c r="U396">
        <v>1</v>
      </c>
      <c r="V396">
        <v>0</v>
      </c>
      <c r="W396">
        <v>2</v>
      </c>
      <c r="X396">
        <v>279</v>
      </c>
      <c r="Y396">
        <v>1</v>
      </c>
      <c r="Z396">
        <v>2</v>
      </c>
      <c r="AA396">
        <v>39</v>
      </c>
      <c r="AF396">
        <v>0</v>
      </c>
      <c r="AG396">
        <v>0</v>
      </c>
      <c r="AH396">
        <v>0</v>
      </c>
      <c r="AI396">
        <v>0</v>
      </c>
      <c r="AW396">
        <v>0</v>
      </c>
      <c r="AX396">
        <v>0</v>
      </c>
      <c r="AY396">
        <v>0</v>
      </c>
      <c r="AZ396">
        <v>472</v>
      </c>
      <c r="BA396">
        <v>578</v>
      </c>
      <c r="BB396">
        <v>44</v>
      </c>
      <c r="BD396">
        <v>1</v>
      </c>
      <c r="BF396" t="s">
        <v>506</v>
      </c>
      <c r="BG396" s="1">
        <v>44354.063888888886</v>
      </c>
      <c r="BH396" s="1">
        <v>44354.068993055553</v>
      </c>
      <c r="BI396" s="1">
        <v>44354.069780092592</v>
      </c>
      <c r="BJ396" t="s">
        <v>85</v>
      </c>
      <c r="BK396" t="s">
        <v>86</v>
      </c>
      <c r="BL396" t="s">
        <v>87</v>
      </c>
    </row>
    <row r="397" spans="1:64" x14ac:dyDescent="0.3">
      <c r="A397" t="str">
        <f>"200232C0200"</f>
        <v>200232C0200</v>
      </c>
      <c r="B397" t="str">
        <f>"200232C02003"</f>
        <v>200232C02003</v>
      </c>
      <c r="C397" t="str">
        <f t="shared" si="26"/>
        <v>20</v>
      </c>
      <c r="D397" t="s">
        <v>81</v>
      </c>
      <c r="E397" t="str">
        <f t="shared" si="27"/>
        <v>038</v>
      </c>
      <c r="F397" t="s">
        <v>504</v>
      </c>
      <c r="G397" t="str">
        <f>"0232"</f>
        <v>0232</v>
      </c>
      <c r="H397" t="str">
        <f>"0002"</f>
        <v>0002</v>
      </c>
      <c r="I397" t="s">
        <v>89</v>
      </c>
      <c r="J397">
        <v>0</v>
      </c>
      <c r="K397">
        <v>1</v>
      </c>
      <c r="L397">
        <v>3</v>
      </c>
      <c r="M397">
        <v>135</v>
      </c>
      <c r="N397">
        <v>486</v>
      </c>
      <c r="O397">
        <v>0</v>
      </c>
      <c r="P397">
        <v>486</v>
      </c>
      <c r="Q397">
        <v>0</v>
      </c>
      <c r="R397">
        <v>125</v>
      </c>
      <c r="S397">
        <v>1</v>
      </c>
      <c r="U397">
        <v>3</v>
      </c>
      <c r="V397">
        <v>1</v>
      </c>
      <c r="W397">
        <v>1</v>
      </c>
      <c r="X397">
        <v>297</v>
      </c>
      <c r="Y397">
        <v>1</v>
      </c>
      <c r="Z397">
        <v>2</v>
      </c>
      <c r="AA397">
        <v>43</v>
      </c>
      <c r="AF397">
        <v>1</v>
      </c>
      <c r="AG397">
        <v>0</v>
      </c>
      <c r="AH397">
        <v>0</v>
      </c>
      <c r="AI397">
        <v>0</v>
      </c>
      <c r="AW397">
        <v>0</v>
      </c>
      <c r="AX397" t="s">
        <v>95</v>
      </c>
      <c r="AY397">
        <v>486</v>
      </c>
      <c r="AZ397">
        <v>475</v>
      </c>
      <c r="BA397">
        <v>578</v>
      </c>
      <c r="BB397">
        <v>44</v>
      </c>
      <c r="BC397" t="s">
        <v>96</v>
      </c>
      <c r="BD397">
        <v>1</v>
      </c>
      <c r="BF397" t="s">
        <v>507</v>
      </c>
      <c r="BG397" s="1">
        <v>44354.223611111112</v>
      </c>
      <c r="BH397" s="1">
        <v>44354.225324074076</v>
      </c>
      <c r="BI397" s="1">
        <v>44354.225659722222</v>
      </c>
      <c r="BJ397" t="s">
        <v>85</v>
      </c>
      <c r="BK397" t="s">
        <v>86</v>
      </c>
      <c r="BL397" t="s">
        <v>87</v>
      </c>
    </row>
    <row r="398" spans="1:64" x14ac:dyDescent="0.3">
      <c r="A398" t="str">
        <f>"200233B0000"</f>
        <v>200233B0000</v>
      </c>
      <c r="B398" t="str">
        <f>"200233B00003"</f>
        <v>200233B00003</v>
      </c>
      <c r="C398" t="str">
        <f t="shared" si="26"/>
        <v>20</v>
      </c>
      <c r="D398" t="s">
        <v>81</v>
      </c>
      <c r="E398" t="str">
        <f t="shared" si="27"/>
        <v>038</v>
      </c>
      <c r="F398" t="s">
        <v>504</v>
      </c>
      <c r="G398" t="str">
        <f>"0233"</f>
        <v>0233</v>
      </c>
      <c r="H398" t="str">
        <f>"0000"</f>
        <v>0000</v>
      </c>
      <c r="I398" t="s">
        <v>83</v>
      </c>
      <c r="J398">
        <v>0</v>
      </c>
      <c r="K398">
        <v>1</v>
      </c>
      <c r="L398">
        <v>3</v>
      </c>
      <c r="M398">
        <v>104</v>
      </c>
      <c r="N398">
        <v>437</v>
      </c>
      <c r="O398">
        <v>7</v>
      </c>
      <c r="P398">
        <v>434</v>
      </c>
      <c r="Q398" t="s">
        <v>95</v>
      </c>
      <c r="R398">
        <v>192</v>
      </c>
      <c r="S398">
        <v>2</v>
      </c>
      <c r="U398">
        <v>4</v>
      </c>
      <c r="V398">
        <v>1</v>
      </c>
      <c r="W398">
        <v>4</v>
      </c>
      <c r="X398">
        <v>199</v>
      </c>
      <c r="Y398">
        <v>2</v>
      </c>
      <c r="Z398">
        <v>1</v>
      </c>
      <c r="AA398">
        <v>25</v>
      </c>
      <c r="AF398" t="s">
        <v>95</v>
      </c>
      <c r="AG398" t="s">
        <v>95</v>
      </c>
      <c r="AH398" t="s">
        <v>95</v>
      </c>
      <c r="AI398" t="s">
        <v>95</v>
      </c>
      <c r="AW398" t="s">
        <v>95</v>
      </c>
      <c r="AX398">
        <v>6</v>
      </c>
      <c r="AY398">
        <v>434</v>
      </c>
      <c r="AZ398">
        <v>436</v>
      </c>
      <c r="BA398">
        <v>494</v>
      </c>
      <c r="BB398">
        <v>44</v>
      </c>
      <c r="BC398" t="s">
        <v>96</v>
      </c>
      <c r="BD398">
        <v>1</v>
      </c>
      <c r="BF398" t="s">
        <v>508</v>
      </c>
      <c r="BG398" s="1">
        <v>44354.23541666667</v>
      </c>
      <c r="BH398" s="1">
        <v>44354.23777777778</v>
      </c>
      <c r="BI398" s="1">
        <v>44354.238703703704</v>
      </c>
      <c r="BJ398" t="s">
        <v>85</v>
      </c>
      <c r="BK398" t="s">
        <v>86</v>
      </c>
      <c r="BL398" t="s">
        <v>87</v>
      </c>
    </row>
    <row r="399" spans="1:64" x14ac:dyDescent="0.3">
      <c r="A399" t="str">
        <f>"200234B0000"</f>
        <v>200234B0000</v>
      </c>
      <c r="B399" t="str">
        <f>"200234B00003"</f>
        <v>200234B00003</v>
      </c>
      <c r="C399" t="str">
        <f t="shared" si="26"/>
        <v>20</v>
      </c>
      <c r="D399" t="s">
        <v>81</v>
      </c>
      <c r="E399" t="str">
        <f t="shared" si="27"/>
        <v>038</v>
      </c>
      <c r="F399" t="s">
        <v>504</v>
      </c>
      <c r="G399" t="str">
        <f>"0234"</f>
        <v>0234</v>
      </c>
      <c r="H399" t="str">
        <f>"0000"</f>
        <v>0000</v>
      </c>
      <c r="I399" t="s">
        <v>83</v>
      </c>
      <c r="J399">
        <v>0</v>
      </c>
      <c r="K399">
        <v>1</v>
      </c>
      <c r="L399">
        <v>3</v>
      </c>
      <c r="M399">
        <v>153</v>
      </c>
      <c r="N399">
        <v>348</v>
      </c>
      <c r="O399">
        <v>348</v>
      </c>
      <c r="P399">
        <v>348</v>
      </c>
      <c r="Q399">
        <v>0</v>
      </c>
      <c r="R399">
        <v>136</v>
      </c>
      <c r="S399">
        <v>3</v>
      </c>
      <c r="U399">
        <v>2</v>
      </c>
      <c r="V399">
        <v>5</v>
      </c>
      <c r="W399">
        <v>2</v>
      </c>
      <c r="X399">
        <v>163</v>
      </c>
      <c r="Y399">
        <v>1</v>
      </c>
      <c r="Z399">
        <v>1</v>
      </c>
      <c r="AA399">
        <v>12</v>
      </c>
      <c r="AF399">
        <v>1</v>
      </c>
      <c r="AG399">
        <v>0</v>
      </c>
      <c r="AH399">
        <v>0</v>
      </c>
      <c r="AI399">
        <v>0</v>
      </c>
      <c r="AW399">
        <v>0</v>
      </c>
      <c r="AX399">
        <v>12</v>
      </c>
      <c r="AY399">
        <v>348</v>
      </c>
      <c r="AZ399">
        <v>338</v>
      </c>
      <c r="BA399">
        <v>457</v>
      </c>
      <c r="BB399">
        <v>44</v>
      </c>
      <c r="BD399">
        <v>1</v>
      </c>
      <c r="BF399" t="s">
        <v>509</v>
      </c>
      <c r="BG399" s="1">
        <v>44354.18472222222</v>
      </c>
      <c r="BH399" s="1">
        <v>44354.185949074075</v>
      </c>
      <c r="BI399" s="1">
        <v>44354.186898148146</v>
      </c>
      <c r="BJ399" t="s">
        <v>85</v>
      </c>
      <c r="BK399" t="s">
        <v>86</v>
      </c>
      <c r="BL399" t="s">
        <v>87</v>
      </c>
    </row>
    <row r="400" spans="1:64" x14ac:dyDescent="0.3">
      <c r="A400" t="str">
        <f>"200234C0100"</f>
        <v>200234C0100</v>
      </c>
      <c r="B400" t="str">
        <f>"200234C01003"</f>
        <v>200234C01003</v>
      </c>
      <c r="C400" t="str">
        <f t="shared" si="26"/>
        <v>20</v>
      </c>
      <c r="D400" t="s">
        <v>81</v>
      </c>
      <c r="E400" t="str">
        <f t="shared" si="27"/>
        <v>038</v>
      </c>
      <c r="F400" t="s">
        <v>504</v>
      </c>
      <c r="G400" t="str">
        <f>"0234"</f>
        <v>0234</v>
      </c>
      <c r="H400" t="str">
        <f>"0001"</f>
        <v>0001</v>
      </c>
      <c r="I400" t="s">
        <v>89</v>
      </c>
      <c r="J400">
        <v>0</v>
      </c>
      <c r="K400">
        <v>1</v>
      </c>
      <c r="L400">
        <v>3</v>
      </c>
      <c r="M400">
        <v>129</v>
      </c>
      <c r="N400">
        <v>372</v>
      </c>
      <c r="O400">
        <v>0</v>
      </c>
      <c r="P400">
        <v>372</v>
      </c>
      <c r="Q400">
        <v>0</v>
      </c>
      <c r="R400">
        <v>169</v>
      </c>
      <c r="S400">
        <v>1</v>
      </c>
      <c r="U400">
        <v>2</v>
      </c>
      <c r="V400">
        <v>2</v>
      </c>
      <c r="W400">
        <v>0</v>
      </c>
      <c r="X400">
        <v>159</v>
      </c>
      <c r="Y400">
        <v>1</v>
      </c>
      <c r="Z400">
        <v>2</v>
      </c>
      <c r="AA400">
        <v>23</v>
      </c>
      <c r="AF400">
        <v>0</v>
      </c>
      <c r="AG400">
        <v>0</v>
      </c>
      <c r="AH400">
        <v>0</v>
      </c>
      <c r="AI400">
        <v>0</v>
      </c>
      <c r="AW400">
        <v>0</v>
      </c>
      <c r="AX400">
        <v>13</v>
      </c>
      <c r="AY400">
        <v>372</v>
      </c>
      <c r="AZ400">
        <v>372</v>
      </c>
      <c r="BA400">
        <v>457</v>
      </c>
      <c r="BB400">
        <v>44</v>
      </c>
      <c r="BD400">
        <v>1</v>
      </c>
      <c r="BF400" t="s">
        <v>510</v>
      </c>
      <c r="BG400" s="1">
        <v>44354.19027777778</v>
      </c>
      <c r="BH400" s="1">
        <v>44354.191863425927</v>
      </c>
      <c r="BI400" s="1">
        <v>44354.192523148151</v>
      </c>
      <c r="BJ400" t="s">
        <v>85</v>
      </c>
      <c r="BK400" t="s">
        <v>86</v>
      </c>
      <c r="BL400" t="s">
        <v>87</v>
      </c>
    </row>
    <row r="401" spans="1:64" x14ac:dyDescent="0.3">
      <c r="A401" t="str">
        <f>"200235B0000"</f>
        <v>200235B0000</v>
      </c>
      <c r="B401" t="str">
        <f>"200235B00003"</f>
        <v>200235B00003</v>
      </c>
      <c r="C401" t="str">
        <f t="shared" si="26"/>
        <v>20</v>
      </c>
      <c r="D401" t="s">
        <v>81</v>
      </c>
      <c r="E401" t="str">
        <f t="shared" si="27"/>
        <v>038</v>
      </c>
      <c r="F401" t="s">
        <v>504</v>
      </c>
      <c r="G401" t="str">
        <f>"0235"</f>
        <v>0235</v>
      </c>
      <c r="H401" t="str">
        <f>"0000"</f>
        <v>0000</v>
      </c>
      <c r="I401" t="s">
        <v>83</v>
      </c>
      <c r="J401">
        <v>0</v>
      </c>
      <c r="K401">
        <v>1</v>
      </c>
      <c r="L401">
        <v>3</v>
      </c>
      <c r="M401">
        <v>165</v>
      </c>
      <c r="N401">
        <v>475</v>
      </c>
      <c r="O401">
        <v>1</v>
      </c>
      <c r="P401" t="s">
        <v>92</v>
      </c>
      <c r="Q401">
        <v>0</v>
      </c>
      <c r="R401">
        <v>129</v>
      </c>
      <c r="S401">
        <v>0</v>
      </c>
      <c r="U401">
        <v>5</v>
      </c>
      <c r="V401">
        <v>3</v>
      </c>
      <c r="W401">
        <v>1</v>
      </c>
      <c r="X401">
        <v>265</v>
      </c>
      <c r="Y401">
        <v>2</v>
      </c>
      <c r="Z401">
        <v>2</v>
      </c>
      <c r="AA401">
        <v>58</v>
      </c>
      <c r="AF401" t="s">
        <v>95</v>
      </c>
      <c r="AG401" t="s">
        <v>95</v>
      </c>
      <c r="AH401" t="s">
        <v>95</v>
      </c>
      <c r="AI401" t="s">
        <v>95</v>
      </c>
      <c r="AW401" t="s">
        <v>95</v>
      </c>
      <c r="AX401">
        <v>9</v>
      </c>
      <c r="AY401">
        <v>474</v>
      </c>
      <c r="AZ401">
        <v>474</v>
      </c>
      <c r="BA401">
        <v>594</v>
      </c>
      <c r="BB401">
        <v>44</v>
      </c>
      <c r="BC401" t="s">
        <v>96</v>
      </c>
      <c r="BD401">
        <v>1</v>
      </c>
      <c r="BF401" t="s">
        <v>511</v>
      </c>
      <c r="BG401" s="1">
        <v>44354.20208333333</v>
      </c>
      <c r="BH401" s="1">
        <v>44354.203634259262</v>
      </c>
      <c r="BI401" s="1">
        <v>44354.204328703701</v>
      </c>
      <c r="BJ401" t="s">
        <v>85</v>
      </c>
      <c r="BK401" t="s">
        <v>86</v>
      </c>
      <c r="BL401" t="s">
        <v>87</v>
      </c>
    </row>
    <row r="402" spans="1:64" x14ac:dyDescent="0.3">
      <c r="A402" t="str">
        <f>"200235C0100"</f>
        <v>200235C0100</v>
      </c>
      <c r="B402" t="str">
        <f>"200235C01003"</f>
        <v>200235C01003</v>
      </c>
      <c r="C402" t="str">
        <f t="shared" si="26"/>
        <v>20</v>
      </c>
      <c r="D402" t="s">
        <v>81</v>
      </c>
      <c r="E402" t="str">
        <f t="shared" si="27"/>
        <v>038</v>
      </c>
      <c r="F402" t="s">
        <v>504</v>
      </c>
      <c r="G402" t="str">
        <f>"0235"</f>
        <v>0235</v>
      </c>
      <c r="H402" t="str">
        <f>"0001"</f>
        <v>0001</v>
      </c>
      <c r="I402" t="s">
        <v>89</v>
      </c>
      <c r="J402">
        <v>0</v>
      </c>
      <c r="K402">
        <v>1</v>
      </c>
      <c r="L402">
        <v>3</v>
      </c>
      <c r="M402">
        <v>152</v>
      </c>
      <c r="N402">
        <v>484</v>
      </c>
      <c r="O402">
        <v>0</v>
      </c>
      <c r="P402">
        <v>484</v>
      </c>
      <c r="Q402">
        <v>2</v>
      </c>
      <c r="R402">
        <v>135</v>
      </c>
      <c r="S402">
        <v>0</v>
      </c>
      <c r="U402">
        <v>7</v>
      </c>
      <c r="V402">
        <v>4</v>
      </c>
      <c r="W402">
        <v>1</v>
      </c>
      <c r="X402">
        <v>268</v>
      </c>
      <c r="Y402">
        <v>0</v>
      </c>
      <c r="Z402">
        <v>3</v>
      </c>
      <c r="AA402">
        <v>57</v>
      </c>
      <c r="AF402">
        <v>0</v>
      </c>
      <c r="AG402">
        <v>0</v>
      </c>
      <c r="AH402">
        <v>0</v>
      </c>
      <c r="AI402">
        <v>0</v>
      </c>
      <c r="AW402">
        <v>0</v>
      </c>
      <c r="AX402">
        <v>7</v>
      </c>
      <c r="AY402">
        <v>484</v>
      </c>
      <c r="AZ402">
        <v>484</v>
      </c>
      <c r="BA402">
        <v>593</v>
      </c>
      <c r="BB402">
        <v>44</v>
      </c>
      <c r="BD402">
        <v>1</v>
      </c>
      <c r="BF402" t="s">
        <v>512</v>
      </c>
      <c r="BG402" s="1">
        <v>44354.098611111112</v>
      </c>
      <c r="BH402" s="1">
        <v>44354.100324074076</v>
      </c>
      <c r="BI402" s="1">
        <v>44354.100717592592</v>
      </c>
      <c r="BJ402" t="s">
        <v>85</v>
      </c>
      <c r="BK402" t="s">
        <v>86</v>
      </c>
      <c r="BL402" t="s">
        <v>87</v>
      </c>
    </row>
    <row r="403" spans="1:64" x14ac:dyDescent="0.3">
      <c r="A403" t="str">
        <f>"200236B0000"</f>
        <v>200236B0000</v>
      </c>
      <c r="B403" t="str">
        <f>"200236B00003"</f>
        <v>200236B00003</v>
      </c>
      <c r="C403" t="str">
        <f t="shared" si="26"/>
        <v>20</v>
      </c>
      <c r="D403" t="s">
        <v>81</v>
      </c>
      <c r="E403" t="str">
        <f t="shared" ref="E403:E444" si="28">"039"</f>
        <v>039</v>
      </c>
      <c r="F403" t="s">
        <v>513</v>
      </c>
      <c r="G403" t="str">
        <f>"0236"</f>
        <v>0236</v>
      </c>
      <c r="H403" t="str">
        <f>"0000"</f>
        <v>0000</v>
      </c>
      <c r="I403" t="s">
        <v>83</v>
      </c>
      <c r="J403">
        <v>0</v>
      </c>
      <c r="K403">
        <v>1</v>
      </c>
      <c r="L403">
        <v>3</v>
      </c>
      <c r="M403">
        <v>197</v>
      </c>
      <c r="N403">
        <v>478</v>
      </c>
      <c r="O403">
        <v>9</v>
      </c>
      <c r="P403" t="s">
        <v>92</v>
      </c>
      <c r="Q403">
        <v>30</v>
      </c>
      <c r="R403">
        <v>25</v>
      </c>
      <c r="S403">
        <v>160</v>
      </c>
      <c r="T403">
        <v>1</v>
      </c>
      <c r="U403">
        <v>23</v>
      </c>
      <c r="V403">
        <v>1</v>
      </c>
      <c r="W403">
        <v>2</v>
      </c>
      <c r="X403">
        <v>197</v>
      </c>
      <c r="Y403">
        <v>28</v>
      </c>
      <c r="Z403">
        <v>0</v>
      </c>
      <c r="AT403">
        <v>1</v>
      </c>
      <c r="AW403">
        <v>0</v>
      </c>
      <c r="AX403">
        <v>10</v>
      </c>
      <c r="AY403">
        <v>478</v>
      </c>
      <c r="AZ403">
        <v>478</v>
      </c>
      <c r="BA403">
        <v>631</v>
      </c>
      <c r="BB403">
        <v>44</v>
      </c>
      <c r="BD403">
        <v>1</v>
      </c>
      <c r="BF403" t="s">
        <v>514</v>
      </c>
      <c r="BG403" s="1">
        <v>44354.1</v>
      </c>
      <c r="BH403" s="1">
        <v>44354.102546296293</v>
      </c>
      <c r="BI403" s="1">
        <v>44354.103182870371</v>
      </c>
      <c r="BJ403" t="s">
        <v>85</v>
      </c>
      <c r="BK403" t="s">
        <v>86</v>
      </c>
      <c r="BL403" t="s">
        <v>87</v>
      </c>
    </row>
    <row r="404" spans="1:64" x14ac:dyDescent="0.3">
      <c r="A404" t="str">
        <f>"200236C0100"</f>
        <v>200236C0100</v>
      </c>
      <c r="B404" t="str">
        <f>"200236C01003"</f>
        <v>200236C01003</v>
      </c>
      <c r="C404" t="str">
        <f t="shared" si="26"/>
        <v>20</v>
      </c>
      <c r="D404" t="s">
        <v>81</v>
      </c>
      <c r="E404" t="str">
        <f t="shared" si="28"/>
        <v>039</v>
      </c>
      <c r="F404" t="s">
        <v>513</v>
      </c>
      <c r="G404" t="str">
        <f>"0236"</f>
        <v>0236</v>
      </c>
      <c r="H404" t="str">
        <f>"0001"</f>
        <v>0001</v>
      </c>
      <c r="I404" t="s">
        <v>89</v>
      </c>
      <c r="J404">
        <v>0</v>
      </c>
      <c r="K404">
        <v>1</v>
      </c>
      <c r="L404">
        <v>3</v>
      </c>
      <c r="M404">
        <v>206</v>
      </c>
      <c r="N404">
        <v>468</v>
      </c>
      <c r="O404">
        <v>6</v>
      </c>
      <c r="P404" t="s">
        <v>92</v>
      </c>
      <c r="Q404">
        <v>9</v>
      </c>
      <c r="R404">
        <v>45</v>
      </c>
      <c r="S404">
        <v>167</v>
      </c>
      <c r="T404">
        <v>1</v>
      </c>
      <c r="U404">
        <v>49</v>
      </c>
      <c r="V404">
        <v>6</v>
      </c>
      <c r="W404">
        <v>1</v>
      </c>
      <c r="X404">
        <v>167</v>
      </c>
      <c r="Y404">
        <v>11</v>
      </c>
      <c r="Z404">
        <v>1</v>
      </c>
      <c r="AT404">
        <v>3</v>
      </c>
      <c r="AW404">
        <v>1</v>
      </c>
      <c r="AX404">
        <v>7</v>
      </c>
      <c r="AY404">
        <v>468</v>
      </c>
      <c r="AZ404">
        <v>468</v>
      </c>
      <c r="BA404">
        <v>630</v>
      </c>
      <c r="BB404">
        <v>44</v>
      </c>
      <c r="BD404">
        <v>1</v>
      </c>
      <c r="BF404" t="s">
        <v>515</v>
      </c>
      <c r="BG404" s="1">
        <v>44354.11041666667</v>
      </c>
      <c r="BH404" s="1">
        <v>44354.114988425928</v>
      </c>
      <c r="BI404" s="1">
        <v>44354.115879629629</v>
      </c>
      <c r="BJ404" t="s">
        <v>85</v>
      </c>
      <c r="BK404" t="s">
        <v>86</v>
      </c>
      <c r="BL404" t="s">
        <v>87</v>
      </c>
    </row>
    <row r="405" spans="1:64" x14ac:dyDescent="0.3">
      <c r="A405" t="str">
        <f>"200236C0200"</f>
        <v>200236C0200</v>
      </c>
      <c r="B405" t="str">
        <f>"200236C02003"</f>
        <v>200236C02003</v>
      </c>
      <c r="C405" t="str">
        <f t="shared" si="26"/>
        <v>20</v>
      </c>
      <c r="D405" t="s">
        <v>81</v>
      </c>
      <c r="E405" t="str">
        <f t="shared" si="28"/>
        <v>039</v>
      </c>
      <c r="F405" t="s">
        <v>513</v>
      </c>
      <c r="G405" t="str">
        <f>"0236"</f>
        <v>0236</v>
      </c>
      <c r="H405" t="str">
        <f>"0002"</f>
        <v>0002</v>
      </c>
      <c r="I405" t="s">
        <v>89</v>
      </c>
      <c r="J405">
        <v>0</v>
      </c>
      <c r="K405">
        <v>1</v>
      </c>
      <c r="L405">
        <v>3</v>
      </c>
      <c r="M405">
        <v>199</v>
      </c>
      <c r="N405">
        <v>475</v>
      </c>
      <c r="O405">
        <v>7</v>
      </c>
      <c r="P405" t="s">
        <v>92</v>
      </c>
      <c r="Q405">
        <v>17</v>
      </c>
      <c r="R405">
        <v>20</v>
      </c>
      <c r="S405">
        <v>179</v>
      </c>
      <c r="T405">
        <v>0</v>
      </c>
      <c r="U405">
        <v>53</v>
      </c>
      <c r="V405">
        <v>12</v>
      </c>
      <c r="W405">
        <v>0</v>
      </c>
      <c r="X405">
        <v>164</v>
      </c>
      <c r="Y405">
        <v>20</v>
      </c>
      <c r="Z405">
        <v>1</v>
      </c>
      <c r="AT405">
        <v>0</v>
      </c>
      <c r="AW405">
        <v>0</v>
      </c>
      <c r="AX405">
        <v>9</v>
      </c>
      <c r="AY405">
        <v>475</v>
      </c>
      <c r="AZ405">
        <v>475</v>
      </c>
      <c r="BA405">
        <v>630</v>
      </c>
      <c r="BB405">
        <v>44</v>
      </c>
      <c r="BD405">
        <v>1</v>
      </c>
      <c r="BF405" t="s">
        <v>516</v>
      </c>
      <c r="BG405" s="1">
        <v>44354.11041666667</v>
      </c>
      <c r="BH405" s="1">
        <v>44354.113449074073</v>
      </c>
      <c r="BI405" s="1">
        <v>44354.114641203705</v>
      </c>
      <c r="BJ405" t="s">
        <v>85</v>
      </c>
      <c r="BK405" t="s">
        <v>86</v>
      </c>
      <c r="BL405" t="s">
        <v>87</v>
      </c>
    </row>
    <row r="406" spans="1:64" x14ac:dyDescent="0.3">
      <c r="A406" t="str">
        <f>"200237B0000"</f>
        <v>200237B0000</v>
      </c>
      <c r="B406" t="str">
        <f>"200237B00003"</f>
        <v>200237B00003</v>
      </c>
      <c r="C406" t="str">
        <f t="shared" si="26"/>
        <v>20</v>
      </c>
      <c r="D406" t="s">
        <v>81</v>
      </c>
      <c r="E406" t="str">
        <f t="shared" si="28"/>
        <v>039</v>
      </c>
      <c r="F406" t="s">
        <v>513</v>
      </c>
      <c r="G406" t="str">
        <f>"0237"</f>
        <v>0237</v>
      </c>
      <c r="H406" t="str">
        <f>"0000"</f>
        <v>0000</v>
      </c>
      <c r="I406" t="s">
        <v>83</v>
      </c>
      <c r="J406">
        <v>0</v>
      </c>
      <c r="K406">
        <v>1</v>
      </c>
      <c r="L406">
        <v>3</v>
      </c>
      <c r="M406">
        <v>181</v>
      </c>
      <c r="N406">
        <v>588</v>
      </c>
      <c r="O406">
        <v>8</v>
      </c>
      <c r="P406">
        <v>407</v>
      </c>
      <c r="Q406">
        <v>10</v>
      </c>
      <c r="R406">
        <v>49</v>
      </c>
      <c r="S406">
        <v>152</v>
      </c>
      <c r="T406">
        <v>1</v>
      </c>
      <c r="U406">
        <v>16</v>
      </c>
      <c r="V406">
        <v>3</v>
      </c>
      <c r="W406">
        <v>1</v>
      </c>
      <c r="X406">
        <v>140</v>
      </c>
      <c r="Y406">
        <v>9</v>
      </c>
      <c r="Z406">
        <v>3</v>
      </c>
      <c r="AT406">
        <v>3</v>
      </c>
      <c r="AW406">
        <v>0</v>
      </c>
      <c r="AX406">
        <v>20</v>
      </c>
      <c r="AY406">
        <v>407</v>
      </c>
      <c r="AZ406">
        <v>407</v>
      </c>
      <c r="BA406">
        <v>544</v>
      </c>
      <c r="BB406">
        <v>44</v>
      </c>
      <c r="BD406">
        <v>1</v>
      </c>
      <c r="BF406" t="s">
        <v>517</v>
      </c>
      <c r="BG406" s="1">
        <v>44354.114583333336</v>
      </c>
      <c r="BH406" s="1">
        <v>44354.117928240739</v>
      </c>
      <c r="BI406" s="1">
        <v>44354.118703703702</v>
      </c>
      <c r="BJ406" t="s">
        <v>85</v>
      </c>
      <c r="BK406" t="s">
        <v>86</v>
      </c>
      <c r="BL406" t="s">
        <v>87</v>
      </c>
    </row>
    <row r="407" spans="1:64" x14ac:dyDescent="0.3">
      <c r="A407" t="str">
        <f>"200237C0100"</f>
        <v>200237C0100</v>
      </c>
      <c r="B407" t="str">
        <f>"200237C01003"</f>
        <v>200237C01003</v>
      </c>
      <c r="C407" t="str">
        <f t="shared" si="26"/>
        <v>20</v>
      </c>
      <c r="D407" t="s">
        <v>81</v>
      </c>
      <c r="E407" t="str">
        <f t="shared" si="28"/>
        <v>039</v>
      </c>
      <c r="F407" t="s">
        <v>513</v>
      </c>
      <c r="G407" t="str">
        <f>"0237"</f>
        <v>0237</v>
      </c>
      <c r="H407" t="str">
        <f>"0001"</f>
        <v>0001</v>
      </c>
      <c r="I407" t="s">
        <v>89</v>
      </c>
      <c r="J407">
        <v>0</v>
      </c>
      <c r="K407">
        <v>1</v>
      </c>
      <c r="L407">
        <v>3</v>
      </c>
      <c r="M407">
        <v>191</v>
      </c>
      <c r="N407">
        <v>397</v>
      </c>
      <c r="O407">
        <v>4</v>
      </c>
      <c r="P407">
        <v>397</v>
      </c>
      <c r="Q407">
        <v>9</v>
      </c>
      <c r="R407">
        <v>47</v>
      </c>
      <c r="S407">
        <v>137</v>
      </c>
      <c r="T407">
        <v>1</v>
      </c>
      <c r="U407">
        <v>22</v>
      </c>
      <c r="V407">
        <v>10</v>
      </c>
      <c r="W407">
        <v>2</v>
      </c>
      <c r="X407">
        <v>129</v>
      </c>
      <c r="Y407">
        <v>16</v>
      </c>
      <c r="Z407">
        <v>7</v>
      </c>
      <c r="AT407">
        <v>3</v>
      </c>
      <c r="AW407">
        <v>0</v>
      </c>
      <c r="AX407">
        <v>14</v>
      </c>
      <c r="AY407">
        <v>397</v>
      </c>
      <c r="AZ407">
        <v>397</v>
      </c>
      <c r="BA407">
        <v>544</v>
      </c>
      <c r="BB407">
        <v>44</v>
      </c>
      <c r="BD407">
        <v>1</v>
      </c>
      <c r="BF407" t="s">
        <v>518</v>
      </c>
      <c r="BG407" s="1">
        <v>44354.128472222219</v>
      </c>
      <c r="BH407" s="1">
        <v>44354.130914351852</v>
      </c>
      <c r="BI407" s="1">
        <v>44354.131504629629</v>
      </c>
      <c r="BJ407" t="s">
        <v>85</v>
      </c>
      <c r="BK407" t="s">
        <v>86</v>
      </c>
      <c r="BL407" t="s">
        <v>87</v>
      </c>
    </row>
    <row r="408" spans="1:64" x14ac:dyDescent="0.3">
      <c r="A408" t="str">
        <f>"200237C0200"</f>
        <v>200237C0200</v>
      </c>
      <c r="B408" t="str">
        <f>"200237C02003"</f>
        <v>200237C02003</v>
      </c>
      <c r="C408" t="str">
        <f t="shared" si="26"/>
        <v>20</v>
      </c>
      <c r="D408" t="s">
        <v>81</v>
      </c>
      <c r="E408" t="str">
        <f t="shared" si="28"/>
        <v>039</v>
      </c>
      <c r="F408" t="s">
        <v>513</v>
      </c>
      <c r="G408" t="str">
        <f>"0237"</f>
        <v>0237</v>
      </c>
      <c r="H408" t="str">
        <f>"0002"</f>
        <v>0002</v>
      </c>
      <c r="I408" t="s">
        <v>89</v>
      </c>
      <c r="J408">
        <v>0</v>
      </c>
      <c r="K408">
        <v>1</v>
      </c>
      <c r="L408">
        <v>3</v>
      </c>
      <c r="M408">
        <v>221</v>
      </c>
      <c r="N408">
        <v>367</v>
      </c>
      <c r="O408">
        <v>5</v>
      </c>
      <c r="P408">
        <v>367</v>
      </c>
      <c r="Q408">
        <v>5</v>
      </c>
      <c r="R408">
        <v>33</v>
      </c>
      <c r="S408">
        <v>138</v>
      </c>
      <c r="T408">
        <v>1</v>
      </c>
      <c r="U408">
        <v>21</v>
      </c>
      <c r="V408">
        <v>4</v>
      </c>
      <c r="W408">
        <v>0</v>
      </c>
      <c r="X408">
        <v>117</v>
      </c>
      <c r="Y408">
        <v>24</v>
      </c>
      <c r="Z408">
        <v>5</v>
      </c>
      <c r="AT408">
        <v>4</v>
      </c>
      <c r="AW408">
        <v>0</v>
      </c>
      <c r="AX408">
        <v>15</v>
      </c>
      <c r="AY408">
        <v>367</v>
      </c>
      <c r="AZ408">
        <v>367</v>
      </c>
      <c r="BA408">
        <v>544</v>
      </c>
      <c r="BB408">
        <v>44</v>
      </c>
      <c r="BD408">
        <v>1</v>
      </c>
      <c r="BF408" t="s">
        <v>519</v>
      </c>
      <c r="BG408" s="1">
        <v>44354.125</v>
      </c>
      <c r="BH408" s="1">
        <v>44354.127685185187</v>
      </c>
      <c r="BI408" s="1">
        <v>44354.128437500003</v>
      </c>
      <c r="BJ408" t="s">
        <v>85</v>
      </c>
      <c r="BK408" t="s">
        <v>86</v>
      </c>
      <c r="BL408" t="s">
        <v>87</v>
      </c>
    </row>
    <row r="409" spans="1:64" x14ac:dyDescent="0.3">
      <c r="A409" t="str">
        <f>"200238B0000"</f>
        <v>200238B0000</v>
      </c>
      <c r="B409" t="str">
        <f>"200238B00003"</f>
        <v>200238B00003</v>
      </c>
      <c r="C409" t="str">
        <f t="shared" si="26"/>
        <v>20</v>
      </c>
      <c r="D409" t="s">
        <v>81</v>
      </c>
      <c r="E409" t="str">
        <f t="shared" si="28"/>
        <v>039</v>
      </c>
      <c r="F409" t="s">
        <v>513</v>
      </c>
      <c r="G409" t="str">
        <f>"0238"</f>
        <v>0238</v>
      </c>
      <c r="H409" t="str">
        <f>"0000"</f>
        <v>0000</v>
      </c>
      <c r="I409" t="s">
        <v>83</v>
      </c>
      <c r="J409">
        <v>0</v>
      </c>
      <c r="K409">
        <v>1</v>
      </c>
      <c r="L409">
        <v>3</v>
      </c>
      <c r="M409">
        <v>199</v>
      </c>
      <c r="N409">
        <v>518</v>
      </c>
      <c r="O409">
        <v>6</v>
      </c>
      <c r="P409">
        <v>518</v>
      </c>
      <c r="Q409">
        <v>11</v>
      </c>
      <c r="R409">
        <v>53</v>
      </c>
      <c r="S409">
        <v>175</v>
      </c>
      <c r="T409">
        <v>1</v>
      </c>
      <c r="U409">
        <v>42</v>
      </c>
      <c r="V409">
        <v>9</v>
      </c>
      <c r="W409">
        <v>1</v>
      </c>
      <c r="X409">
        <v>190</v>
      </c>
      <c r="Y409">
        <v>19</v>
      </c>
      <c r="Z409">
        <v>5</v>
      </c>
      <c r="AT409">
        <v>0</v>
      </c>
      <c r="AW409">
        <v>0</v>
      </c>
      <c r="AX409">
        <v>12</v>
      </c>
      <c r="AY409">
        <v>518</v>
      </c>
      <c r="AZ409">
        <v>518</v>
      </c>
      <c r="BA409">
        <v>673</v>
      </c>
      <c r="BB409">
        <v>44</v>
      </c>
      <c r="BD409">
        <v>1</v>
      </c>
      <c r="BF409" t="s">
        <v>520</v>
      </c>
      <c r="BG409" s="1">
        <v>44354.038194444445</v>
      </c>
      <c r="BH409" s="1">
        <v>44354.047905092593</v>
      </c>
      <c r="BI409" s="1">
        <v>44354.048437500001</v>
      </c>
      <c r="BJ409" t="s">
        <v>85</v>
      </c>
      <c r="BK409" t="s">
        <v>86</v>
      </c>
      <c r="BL409" t="s">
        <v>87</v>
      </c>
    </row>
    <row r="410" spans="1:64" x14ac:dyDescent="0.3">
      <c r="A410" t="str">
        <f>"200238C0100"</f>
        <v>200238C0100</v>
      </c>
      <c r="B410" t="str">
        <f>"200238C01003"</f>
        <v>200238C01003</v>
      </c>
      <c r="C410" t="str">
        <f t="shared" si="26"/>
        <v>20</v>
      </c>
      <c r="D410" t="s">
        <v>81</v>
      </c>
      <c r="E410" t="str">
        <f t="shared" si="28"/>
        <v>039</v>
      </c>
      <c r="F410" t="s">
        <v>513</v>
      </c>
      <c r="G410" t="str">
        <f>"0238"</f>
        <v>0238</v>
      </c>
      <c r="H410" t="str">
        <f>"0001"</f>
        <v>0001</v>
      </c>
      <c r="I410" t="s">
        <v>89</v>
      </c>
      <c r="J410">
        <v>0</v>
      </c>
      <c r="K410">
        <v>1</v>
      </c>
      <c r="L410">
        <v>3</v>
      </c>
      <c r="M410">
        <v>186</v>
      </c>
      <c r="N410">
        <v>531</v>
      </c>
      <c r="O410">
        <v>3</v>
      </c>
      <c r="P410">
        <v>531</v>
      </c>
      <c r="Q410">
        <v>8</v>
      </c>
      <c r="R410">
        <v>33</v>
      </c>
      <c r="S410">
        <v>161</v>
      </c>
      <c r="T410">
        <v>1</v>
      </c>
      <c r="U410">
        <v>45</v>
      </c>
      <c r="V410">
        <v>15</v>
      </c>
      <c r="W410">
        <v>0</v>
      </c>
      <c r="X410">
        <v>213</v>
      </c>
      <c r="Y410">
        <v>38</v>
      </c>
      <c r="Z410">
        <v>0</v>
      </c>
      <c r="AT410">
        <v>5</v>
      </c>
      <c r="AW410">
        <v>0</v>
      </c>
      <c r="AX410">
        <v>12</v>
      </c>
      <c r="AY410">
        <v>531</v>
      </c>
      <c r="AZ410">
        <v>531</v>
      </c>
      <c r="BA410">
        <v>673</v>
      </c>
      <c r="BB410">
        <v>44</v>
      </c>
      <c r="BD410">
        <v>1</v>
      </c>
      <c r="BF410" t="s">
        <v>521</v>
      </c>
      <c r="BG410" s="1">
        <v>44354.056250000001</v>
      </c>
      <c r="BH410" s="1">
        <v>44354.062314814815</v>
      </c>
      <c r="BI410" s="1">
        <v>44354.062916666669</v>
      </c>
      <c r="BJ410" t="s">
        <v>85</v>
      </c>
      <c r="BK410" t="s">
        <v>86</v>
      </c>
      <c r="BL410" t="s">
        <v>87</v>
      </c>
    </row>
    <row r="411" spans="1:64" x14ac:dyDescent="0.3">
      <c r="A411" t="str">
        <f>"200239B0000"</f>
        <v>200239B0000</v>
      </c>
      <c r="B411" t="str">
        <f>"200239B00003"</f>
        <v>200239B00003</v>
      </c>
      <c r="C411" t="str">
        <f t="shared" si="26"/>
        <v>20</v>
      </c>
      <c r="D411" t="s">
        <v>81</v>
      </c>
      <c r="E411" t="str">
        <f t="shared" si="28"/>
        <v>039</v>
      </c>
      <c r="F411" t="s">
        <v>513</v>
      </c>
      <c r="G411" t="str">
        <f>"0239"</f>
        <v>0239</v>
      </c>
      <c r="H411" t="str">
        <f>"0000"</f>
        <v>0000</v>
      </c>
      <c r="I411" t="s">
        <v>83</v>
      </c>
      <c r="J411">
        <v>0</v>
      </c>
      <c r="K411">
        <v>1</v>
      </c>
      <c r="L411">
        <v>3</v>
      </c>
      <c r="M411">
        <v>181</v>
      </c>
      <c r="N411">
        <v>471</v>
      </c>
      <c r="O411">
        <v>4</v>
      </c>
      <c r="P411">
        <v>471</v>
      </c>
      <c r="Q411">
        <v>15</v>
      </c>
      <c r="R411">
        <v>34</v>
      </c>
      <c r="S411">
        <v>129</v>
      </c>
      <c r="T411">
        <v>0</v>
      </c>
      <c r="U411">
        <v>84</v>
      </c>
      <c r="V411">
        <v>12</v>
      </c>
      <c r="W411">
        <v>0</v>
      </c>
      <c r="X411">
        <v>164</v>
      </c>
      <c r="Y411">
        <v>18</v>
      </c>
      <c r="Z411">
        <v>2</v>
      </c>
      <c r="AT411">
        <v>2</v>
      </c>
      <c r="AW411">
        <v>0</v>
      </c>
      <c r="AX411">
        <v>11</v>
      </c>
      <c r="AY411">
        <v>471</v>
      </c>
      <c r="AZ411">
        <v>471</v>
      </c>
      <c r="BA411">
        <v>608</v>
      </c>
      <c r="BB411">
        <v>44</v>
      </c>
      <c r="BD411">
        <v>1</v>
      </c>
      <c r="BF411" t="s">
        <v>522</v>
      </c>
      <c r="BG411" s="1">
        <v>44354.006944444445</v>
      </c>
      <c r="BH411" s="1">
        <v>44354.013726851852</v>
      </c>
      <c r="BI411" s="1">
        <v>44354.014247685183</v>
      </c>
      <c r="BJ411" t="s">
        <v>85</v>
      </c>
      <c r="BK411" t="s">
        <v>86</v>
      </c>
      <c r="BL411" t="s">
        <v>87</v>
      </c>
    </row>
    <row r="412" spans="1:64" x14ac:dyDescent="0.3">
      <c r="A412" t="str">
        <f>"200239C0100"</f>
        <v>200239C0100</v>
      </c>
      <c r="B412" t="str">
        <f>"200239C01003"</f>
        <v>200239C01003</v>
      </c>
      <c r="C412" t="str">
        <f t="shared" si="26"/>
        <v>20</v>
      </c>
      <c r="D412" t="s">
        <v>81</v>
      </c>
      <c r="E412" t="str">
        <f t="shared" si="28"/>
        <v>039</v>
      </c>
      <c r="F412" t="s">
        <v>513</v>
      </c>
      <c r="G412" t="str">
        <f>"0239"</f>
        <v>0239</v>
      </c>
      <c r="H412" t="str">
        <f>"0001"</f>
        <v>0001</v>
      </c>
      <c r="I412" t="s">
        <v>89</v>
      </c>
      <c r="J412">
        <v>0</v>
      </c>
      <c r="K412">
        <v>1</v>
      </c>
      <c r="L412">
        <v>3</v>
      </c>
      <c r="M412">
        <v>197</v>
      </c>
      <c r="N412">
        <v>454</v>
      </c>
      <c r="O412">
        <v>4</v>
      </c>
      <c r="P412">
        <v>454</v>
      </c>
      <c r="Q412">
        <v>12</v>
      </c>
      <c r="R412">
        <v>41</v>
      </c>
      <c r="S412">
        <v>158</v>
      </c>
      <c r="T412">
        <v>0</v>
      </c>
      <c r="U412">
        <v>45</v>
      </c>
      <c r="V412">
        <v>13</v>
      </c>
      <c r="W412">
        <v>0</v>
      </c>
      <c r="X412">
        <v>148</v>
      </c>
      <c r="Y412">
        <v>21</v>
      </c>
      <c r="Z412">
        <v>2</v>
      </c>
      <c r="AT412">
        <v>1</v>
      </c>
      <c r="AW412">
        <v>0</v>
      </c>
      <c r="AX412">
        <v>13</v>
      </c>
      <c r="AY412">
        <v>454</v>
      </c>
      <c r="AZ412">
        <v>454</v>
      </c>
      <c r="BA412">
        <v>607</v>
      </c>
      <c r="BB412">
        <v>44</v>
      </c>
      <c r="BD412">
        <v>1</v>
      </c>
      <c r="BF412" t="s">
        <v>523</v>
      </c>
      <c r="BG412" s="1">
        <v>44354.00277777778</v>
      </c>
      <c r="BH412" s="1">
        <v>44354.011550925927</v>
      </c>
      <c r="BI412" s="1">
        <v>44354.012303240743</v>
      </c>
      <c r="BJ412" t="s">
        <v>85</v>
      </c>
      <c r="BK412" t="s">
        <v>86</v>
      </c>
      <c r="BL412" t="s">
        <v>87</v>
      </c>
    </row>
    <row r="413" spans="1:64" x14ac:dyDescent="0.3">
      <c r="A413" t="str">
        <f>"200239C0200"</f>
        <v>200239C0200</v>
      </c>
      <c r="B413" t="str">
        <f>"200239C02003"</f>
        <v>200239C02003</v>
      </c>
      <c r="C413" t="str">
        <f t="shared" si="26"/>
        <v>20</v>
      </c>
      <c r="D413" t="s">
        <v>81</v>
      </c>
      <c r="E413" t="str">
        <f t="shared" si="28"/>
        <v>039</v>
      </c>
      <c r="F413" t="s">
        <v>513</v>
      </c>
      <c r="G413" t="str">
        <f>"0239"</f>
        <v>0239</v>
      </c>
      <c r="H413" t="str">
        <f>"0002"</f>
        <v>0002</v>
      </c>
      <c r="I413" t="s">
        <v>89</v>
      </c>
      <c r="J413">
        <v>0</v>
      </c>
      <c r="K413">
        <v>1</v>
      </c>
      <c r="L413">
        <v>3</v>
      </c>
      <c r="M413">
        <v>226</v>
      </c>
      <c r="N413">
        <v>425</v>
      </c>
      <c r="O413">
        <v>6</v>
      </c>
      <c r="P413">
        <v>425</v>
      </c>
      <c r="Q413">
        <v>9</v>
      </c>
      <c r="R413">
        <v>22</v>
      </c>
      <c r="S413">
        <v>185</v>
      </c>
      <c r="T413">
        <v>0</v>
      </c>
      <c r="U413">
        <v>30</v>
      </c>
      <c r="V413">
        <v>18</v>
      </c>
      <c r="W413">
        <v>1</v>
      </c>
      <c r="X413">
        <v>131</v>
      </c>
      <c r="Y413">
        <v>8</v>
      </c>
      <c r="Z413">
        <v>4</v>
      </c>
      <c r="AT413">
        <v>4</v>
      </c>
      <c r="AW413">
        <v>0</v>
      </c>
      <c r="AX413">
        <v>13</v>
      </c>
      <c r="AY413">
        <v>425</v>
      </c>
      <c r="AZ413">
        <v>425</v>
      </c>
      <c r="BA413">
        <v>607</v>
      </c>
      <c r="BB413">
        <v>44</v>
      </c>
      <c r="BD413">
        <v>1</v>
      </c>
      <c r="BF413" t="s">
        <v>524</v>
      </c>
      <c r="BG413" s="1">
        <v>44354.009722222225</v>
      </c>
      <c r="BH413" s="1">
        <v>44354.015694444446</v>
      </c>
      <c r="BI413" s="1">
        <v>44354.016168981485</v>
      </c>
      <c r="BJ413" t="s">
        <v>85</v>
      </c>
      <c r="BK413" t="s">
        <v>86</v>
      </c>
      <c r="BL413" t="s">
        <v>87</v>
      </c>
    </row>
    <row r="414" spans="1:64" x14ac:dyDescent="0.3">
      <c r="A414" t="str">
        <f>"200240B0000"</f>
        <v>200240B0000</v>
      </c>
      <c r="B414" t="str">
        <f>"200240B00003"</f>
        <v>200240B00003</v>
      </c>
      <c r="C414" t="str">
        <f t="shared" si="26"/>
        <v>20</v>
      </c>
      <c r="D414" t="s">
        <v>81</v>
      </c>
      <c r="E414" t="str">
        <f t="shared" si="28"/>
        <v>039</v>
      </c>
      <c r="F414" t="s">
        <v>513</v>
      </c>
      <c r="G414" t="str">
        <f>"0240"</f>
        <v>0240</v>
      </c>
      <c r="H414" t="str">
        <f>"0000"</f>
        <v>0000</v>
      </c>
      <c r="I414" t="s">
        <v>83</v>
      </c>
      <c r="J414">
        <v>0</v>
      </c>
      <c r="K414">
        <v>1</v>
      </c>
      <c r="L414">
        <v>3</v>
      </c>
      <c r="M414">
        <v>194</v>
      </c>
      <c r="N414">
        <v>430</v>
      </c>
      <c r="O414">
        <v>424</v>
      </c>
      <c r="P414" t="s">
        <v>92</v>
      </c>
      <c r="Q414">
        <v>12</v>
      </c>
      <c r="R414">
        <v>32</v>
      </c>
      <c r="S414">
        <v>167</v>
      </c>
      <c r="T414">
        <v>0</v>
      </c>
      <c r="U414">
        <v>39</v>
      </c>
      <c r="V414">
        <v>8</v>
      </c>
      <c r="W414">
        <v>0</v>
      </c>
      <c r="X414">
        <v>145</v>
      </c>
      <c r="Y414">
        <v>18</v>
      </c>
      <c r="Z414">
        <v>1</v>
      </c>
      <c r="AT414">
        <v>1</v>
      </c>
      <c r="AW414">
        <v>0</v>
      </c>
      <c r="AX414">
        <v>7</v>
      </c>
      <c r="AY414">
        <v>430</v>
      </c>
      <c r="AZ414">
        <v>430</v>
      </c>
      <c r="BA414">
        <v>580</v>
      </c>
      <c r="BB414">
        <v>44</v>
      </c>
      <c r="BD414">
        <v>1</v>
      </c>
      <c r="BF414" t="s">
        <v>525</v>
      </c>
      <c r="BG414" s="1">
        <v>44354.069444444445</v>
      </c>
      <c r="BH414" s="1">
        <v>44354.076435185183</v>
      </c>
      <c r="BI414" s="1">
        <v>44354.077187499999</v>
      </c>
      <c r="BJ414" t="s">
        <v>85</v>
      </c>
      <c r="BK414" t="s">
        <v>86</v>
      </c>
      <c r="BL414" t="s">
        <v>87</v>
      </c>
    </row>
    <row r="415" spans="1:64" x14ac:dyDescent="0.3">
      <c r="A415" t="str">
        <f>"200240C0100"</f>
        <v>200240C0100</v>
      </c>
      <c r="B415" t="str">
        <f>"200240C01003"</f>
        <v>200240C01003</v>
      </c>
      <c r="C415" t="str">
        <f t="shared" si="26"/>
        <v>20</v>
      </c>
      <c r="D415" t="s">
        <v>81</v>
      </c>
      <c r="E415" t="str">
        <f t="shared" si="28"/>
        <v>039</v>
      </c>
      <c r="F415" t="s">
        <v>513</v>
      </c>
      <c r="G415" t="str">
        <f>"0240"</f>
        <v>0240</v>
      </c>
      <c r="H415" t="str">
        <f>"0001"</f>
        <v>0001</v>
      </c>
      <c r="I415" t="s">
        <v>89</v>
      </c>
      <c r="J415">
        <v>0</v>
      </c>
      <c r="K415">
        <v>1</v>
      </c>
      <c r="L415">
        <v>3</v>
      </c>
      <c r="M415">
        <v>177</v>
      </c>
      <c r="N415">
        <v>447</v>
      </c>
      <c r="O415">
        <v>8</v>
      </c>
      <c r="P415">
        <v>447</v>
      </c>
      <c r="Q415">
        <v>14</v>
      </c>
      <c r="R415">
        <v>25</v>
      </c>
      <c r="S415">
        <v>136</v>
      </c>
      <c r="T415">
        <v>0</v>
      </c>
      <c r="U415">
        <v>45</v>
      </c>
      <c r="V415">
        <v>6</v>
      </c>
      <c r="W415">
        <v>1</v>
      </c>
      <c r="X415">
        <v>195</v>
      </c>
      <c r="Y415">
        <v>14</v>
      </c>
      <c r="Z415">
        <v>2</v>
      </c>
      <c r="AT415">
        <v>0</v>
      </c>
      <c r="AW415">
        <v>0</v>
      </c>
      <c r="AX415">
        <v>9</v>
      </c>
      <c r="AY415">
        <v>447</v>
      </c>
      <c r="AZ415">
        <v>447</v>
      </c>
      <c r="BA415">
        <v>580</v>
      </c>
      <c r="BB415">
        <v>44</v>
      </c>
      <c r="BD415">
        <v>1</v>
      </c>
      <c r="BF415" t="s">
        <v>526</v>
      </c>
      <c r="BG415" s="1">
        <v>44354.05972222222</v>
      </c>
      <c r="BH415" s="1">
        <v>44354.065891203703</v>
      </c>
      <c r="BI415" s="1">
        <v>44354.066365740742</v>
      </c>
      <c r="BJ415" t="s">
        <v>85</v>
      </c>
      <c r="BK415" t="s">
        <v>86</v>
      </c>
      <c r="BL415" t="s">
        <v>87</v>
      </c>
    </row>
    <row r="416" spans="1:64" x14ac:dyDescent="0.3">
      <c r="A416" t="str">
        <f>"200240S0100"</f>
        <v>200240S0100</v>
      </c>
      <c r="B416" t="str">
        <f>"200240S01003E"</f>
        <v>200240S01003E</v>
      </c>
      <c r="C416" t="str">
        <f t="shared" si="26"/>
        <v>20</v>
      </c>
      <c r="D416" t="s">
        <v>81</v>
      </c>
      <c r="E416" t="str">
        <f t="shared" si="28"/>
        <v>039</v>
      </c>
      <c r="F416" t="s">
        <v>513</v>
      </c>
      <c r="G416" t="str">
        <f>"0240"</f>
        <v>0240</v>
      </c>
      <c r="H416" t="str">
        <f>"0001"</f>
        <v>0001</v>
      </c>
      <c r="I416" t="s">
        <v>99</v>
      </c>
      <c r="J416">
        <v>0</v>
      </c>
      <c r="K416">
        <v>1</v>
      </c>
      <c r="L416" t="s">
        <v>100</v>
      </c>
      <c r="M416">
        <v>976</v>
      </c>
      <c r="N416">
        <v>24</v>
      </c>
      <c r="O416">
        <v>0</v>
      </c>
      <c r="P416">
        <v>24</v>
      </c>
      <c r="Q416">
        <v>1</v>
      </c>
      <c r="R416">
        <v>2</v>
      </c>
      <c r="S416">
        <v>8</v>
      </c>
      <c r="T416">
        <v>0</v>
      </c>
      <c r="U416">
        <v>6</v>
      </c>
      <c r="V416">
        <v>1</v>
      </c>
      <c r="W416">
        <v>0</v>
      </c>
      <c r="X416">
        <v>6</v>
      </c>
      <c r="Y416">
        <v>0</v>
      </c>
      <c r="Z416">
        <v>0</v>
      </c>
      <c r="AT416">
        <v>0</v>
      </c>
      <c r="AW416">
        <v>0</v>
      </c>
      <c r="AX416">
        <v>0</v>
      </c>
      <c r="AY416">
        <v>24</v>
      </c>
      <c r="AZ416">
        <v>24</v>
      </c>
      <c r="BA416">
        <v>0</v>
      </c>
      <c r="BB416">
        <v>44</v>
      </c>
      <c r="BD416">
        <v>1</v>
      </c>
      <c r="BF416" t="s">
        <v>527</v>
      </c>
      <c r="BG416" s="1">
        <v>44354.013194444444</v>
      </c>
      <c r="BH416" s="1">
        <v>44354.020532407405</v>
      </c>
      <c r="BI416" s="1">
        <v>44354.020879629628</v>
      </c>
      <c r="BJ416" t="s">
        <v>85</v>
      </c>
      <c r="BK416" t="s">
        <v>86</v>
      </c>
      <c r="BL416" t="s">
        <v>87</v>
      </c>
    </row>
    <row r="417" spans="1:64" x14ac:dyDescent="0.3">
      <c r="A417" t="str">
        <f>"200241B0000"</f>
        <v>200241B0000</v>
      </c>
      <c r="B417" t="str">
        <f>"200241B00003"</f>
        <v>200241B00003</v>
      </c>
      <c r="C417" t="str">
        <f t="shared" si="26"/>
        <v>20</v>
      </c>
      <c r="D417" t="s">
        <v>81</v>
      </c>
      <c r="E417" t="str">
        <f t="shared" si="28"/>
        <v>039</v>
      </c>
      <c r="F417" t="s">
        <v>513</v>
      </c>
      <c r="G417" t="str">
        <f>"0241"</f>
        <v>0241</v>
      </c>
      <c r="H417" t="str">
        <f>"0000"</f>
        <v>0000</v>
      </c>
      <c r="I417" t="s">
        <v>83</v>
      </c>
      <c r="J417">
        <v>0</v>
      </c>
      <c r="K417">
        <v>1</v>
      </c>
      <c r="L417">
        <v>3</v>
      </c>
      <c r="M417" t="s">
        <v>92</v>
      </c>
      <c r="N417" t="s">
        <v>92</v>
      </c>
      <c r="O417" t="s">
        <v>92</v>
      </c>
      <c r="P417" t="s">
        <v>92</v>
      </c>
      <c r="Q417">
        <v>11</v>
      </c>
      <c r="R417">
        <v>73</v>
      </c>
      <c r="S417">
        <v>158</v>
      </c>
      <c r="T417">
        <v>1</v>
      </c>
      <c r="U417">
        <v>33</v>
      </c>
      <c r="V417">
        <v>5</v>
      </c>
      <c r="W417">
        <v>1</v>
      </c>
      <c r="X417">
        <v>203</v>
      </c>
      <c r="Y417">
        <v>14</v>
      </c>
      <c r="Z417">
        <v>2</v>
      </c>
      <c r="AT417">
        <v>3</v>
      </c>
      <c r="AW417" t="s">
        <v>95</v>
      </c>
      <c r="AX417">
        <v>24</v>
      </c>
      <c r="AY417">
        <v>528</v>
      </c>
      <c r="AZ417">
        <v>528</v>
      </c>
      <c r="BA417">
        <v>715</v>
      </c>
      <c r="BB417">
        <v>44</v>
      </c>
      <c r="BC417" t="s">
        <v>96</v>
      </c>
      <c r="BD417">
        <v>1</v>
      </c>
      <c r="BF417" t="s">
        <v>528</v>
      </c>
      <c r="BG417" s="1">
        <v>44354.04791666667</v>
      </c>
      <c r="BH417" s="1">
        <v>44354.058391203704</v>
      </c>
      <c r="BI417" s="1">
        <v>44354.059317129628</v>
      </c>
      <c r="BJ417" t="s">
        <v>85</v>
      </c>
      <c r="BK417" t="s">
        <v>86</v>
      </c>
      <c r="BL417" t="s">
        <v>87</v>
      </c>
    </row>
    <row r="418" spans="1:64" x14ac:dyDescent="0.3">
      <c r="A418" t="str">
        <f>"200241C0100"</f>
        <v>200241C0100</v>
      </c>
      <c r="B418" t="str">
        <f>"200241C01003"</f>
        <v>200241C01003</v>
      </c>
      <c r="C418" t="str">
        <f t="shared" si="26"/>
        <v>20</v>
      </c>
      <c r="D418" t="s">
        <v>81</v>
      </c>
      <c r="E418" t="str">
        <f t="shared" si="28"/>
        <v>039</v>
      </c>
      <c r="F418" t="s">
        <v>513</v>
      </c>
      <c r="G418" t="str">
        <f>"0241"</f>
        <v>0241</v>
      </c>
      <c r="H418" t="str">
        <f>"0001"</f>
        <v>0001</v>
      </c>
      <c r="I418" t="s">
        <v>89</v>
      </c>
      <c r="J418">
        <v>0</v>
      </c>
      <c r="K418">
        <v>1</v>
      </c>
      <c r="L418">
        <v>3</v>
      </c>
      <c r="M418">
        <v>261</v>
      </c>
      <c r="N418">
        <v>497</v>
      </c>
      <c r="O418">
        <v>6</v>
      </c>
      <c r="P418">
        <v>497</v>
      </c>
      <c r="Q418">
        <v>9</v>
      </c>
      <c r="R418">
        <v>53</v>
      </c>
      <c r="S418">
        <v>168</v>
      </c>
      <c r="T418">
        <v>0</v>
      </c>
      <c r="U418">
        <v>30</v>
      </c>
      <c r="V418">
        <v>12</v>
      </c>
      <c r="W418">
        <v>0</v>
      </c>
      <c r="X418">
        <v>201</v>
      </c>
      <c r="Y418">
        <v>8</v>
      </c>
      <c r="Z418">
        <v>5</v>
      </c>
      <c r="AT418">
        <v>1</v>
      </c>
      <c r="AW418">
        <v>0</v>
      </c>
      <c r="AX418">
        <v>10</v>
      </c>
      <c r="AY418">
        <v>497</v>
      </c>
      <c r="AZ418">
        <v>497</v>
      </c>
      <c r="BA418">
        <v>714</v>
      </c>
      <c r="BB418">
        <v>44</v>
      </c>
      <c r="BD418">
        <v>1</v>
      </c>
      <c r="BF418" t="s">
        <v>529</v>
      </c>
      <c r="BG418" s="1">
        <v>44354.054166666669</v>
      </c>
      <c r="BH418" s="1">
        <v>44354.060706018521</v>
      </c>
      <c r="BI418" s="1">
        <v>44354.061701388891</v>
      </c>
      <c r="BJ418" t="s">
        <v>85</v>
      </c>
      <c r="BK418" t="s">
        <v>86</v>
      </c>
      <c r="BL418" t="s">
        <v>87</v>
      </c>
    </row>
    <row r="419" spans="1:64" x14ac:dyDescent="0.3">
      <c r="A419" t="str">
        <f>"200242B0000"</f>
        <v>200242B0000</v>
      </c>
      <c r="B419" t="str">
        <f>"200242B00003"</f>
        <v>200242B00003</v>
      </c>
      <c r="C419" t="str">
        <f t="shared" si="26"/>
        <v>20</v>
      </c>
      <c r="D419" t="s">
        <v>81</v>
      </c>
      <c r="E419" t="str">
        <f t="shared" si="28"/>
        <v>039</v>
      </c>
      <c r="F419" t="s">
        <v>513</v>
      </c>
      <c r="G419" t="str">
        <f>"0242"</f>
        <v>0242</v>
      </c>
      <c r="H419" t="str">
        <f>"0000"</f>
        <v>0000</v>
      </c>
      <c r="I419" t="s">
        <v>83</v>
      </c>
      <c r="J419">
        <v>0</v>
      </c>
      <c r="K419">
        <v>1</v>
      </c>
      <c r="L419">
        <v>3</v>
      </c>
      <c r="M419">
        <v>136</v>
      </c>
      <c r="N419">
        <v>276</v>
      </c>
      <c r="O419">
        <v>8</v>
      </c>
      <c r="P419">
        <v>276</v>
      </c>
      <c r="Q419">
        <v>7</v>
      </c>
      <c r="R419">
        <v>73</v>
      </c>
      <c r="S419">
        <v>45</v>
      </c>
      <c r="T419">
        <v>0</v>
      </c>
      <c r="U419">
        <v>9</v>
      </c>
      <c r="V419">
        <v>3</v>
      </c>
      <c r="W419">
        <v>0</v>
      </c>
      <c r="X419">
        <v>102</v>
      </c>
      <c r="Y419">
        <v>19</v>
      </c>
      <c r="Z419">
        <v>4</v>
      </c>
      <c r="AT419">
        <v>0</v>
      </c>
      <c r="AW419">
        <v>0</v>
      </c>
      <c r="AX419">
        <v>14</v>
      </c>
      <c r="AY419">
        <v>276</v>
      </c>
      <c r="AZ419">
        <v>276</v>
      </c>
      <c r="BA419">
        <v>368</v>
      </c>
      <c r="BB419">
        <v>44</v>
      </c>
      <c r="BD419">
        <v>1</v>
      </c>
      <c r="BF419" t="s">
        <v>530</v>
      </c>
      <c r="BG419" s="1">
        <v>44354.099305555559</v>
      </c>
      <c r="BH419" s="1">
        <v>44354.101817129631</v>
      </c>
      <c r="BI419" s="1">
        <v>44354.102546296293</v>
      </c>
      <c r="BJ419" t="s">
        <v>85</v>
      </c>
      <c r="BK419" t="s">
        <v>86</v>
      </c>
      <c r="BL419" t="s">
        <v>87</v>
      </c>
    </row>
    <row r="420" spans="1:64" x14ac:dyDescent="0.3">
      <c r="A420" t="str">
        <f>"200243B0000"</f>
        <v>200243B0000</v>
      </c>
      <c r="B420" t="str">
        <f>"200243B00003"</f>
        <v>200243B00003</v>
      </c>
      <c r="C420" t="str">
        <f t="shared" si="26"/>
        <v>20</v>
      </c>
      <c r="D420" t="s">
        <v>81</v>
      </c>
      <c r="E420" t="str">
        <f t="shared" si="28"/>
        <v>039</v>
      </c>
      <c r="F420" t="s">
        <v>513</v>
      </c>
      <c r="G420" t="str">
        <f>"0243"</f>
        <v>0243</v>
      </c>
      <c r="H420" t="str">
        <f>"0000"</f>
        <v>0000</v>
      </c>
      <c r="I420" t="s">
        <v>83</v>
      </c>
      <c r="J420">
        <v>0</v>
      </c>
      <c r="K420">
        <v>1</v>
      </c>
      <c r="L420">
        <v>3</v>
      </c>
      <c r="M420" t="s">
        <v>92</v>
      </c>
      <c r="N420" t="s">
        <v>92</v>
      </c>
      <c r="O420" t="s">
        <v>92</v>
      </c>
      <c r="P420">
        <v>251</v>
      </c>
      <c r="Q420">
        <v>5</v>
      </c>
      <c r="R420">
        <v>47</v>
      </c>
      <c r="S420">
        <v>46</v>
      </c>
      <c r="T420">
        <v>0</v>
      </c>
      <c r="U420">
        <v>20</v>
      </c>
      <c r="V420">
        <v>6</v>
      </c>
      <c r="W420">
        <v>1</v>
      </c>
      <c r="X420">
        <v>96</v>
      </c>
      <c r="Y420">
        <v>13</v>
      </c>
      <c r="Z420">
        <v>5</v>
      </c>
      <c r="AT420">
        <v>0</v>
      </c>
      <c r="AW420">
        <v>0</v>
      </c>
      <c r="AX420">
        <v>12</v>
      </c>
      <c r="AY420">
        <v>251</v>
      </c>
      <c r="AZ420">
        <v>251</v>
      </c>
      <c r="BA420">
        <v>386</v>
      </c>
      <c r="BB420">
        <v>44</v>
      </c>
      <c r="BD420">
        <v>1</v>
      </c>
      <c r="BF420" t="s">
        <v>531</v>
      </c>
      <c r="BG420" s="1">
        <v>44354.104166666664</v>
      </c>
      <c r="BH420" s="1">
        <v>44354.107291666667</v>
      </c>
      <c r="BI420" s="1">
        <v>44354.107627314814</v>
      </c>
      <c r="BJ420" t="s">
        <v>85</v>
      </c>
      <c r="BK420" t="s">
        <v>86</v>
      </c>
      <c r="BL420" t="s">
        <v>87</v>
      </c>
    </row>
    <row r="421" spans="1:64" x14ac:dyDescent="0.3">
      <c r="A421" t="str">
        <f>"200243C0100"</f>
        <v>200243C0100</v>
      </c>
      <c r="B421" t="str">
        <f>"200243C01003"</f>
        <v>200243C01003</v>
      </c>
      <c r="C421" t="str">
        <f t="shared" si="26"/>
        <v>20</v>
      </c>
      <c r="D421" t="s">
        <v>81</v>
      </c>
      <c r="E421" t="str">
        <f t="shared" si="28"/>
        <v>039</v>
      </c>
      <c r="F421" t="s">
        <v>513</v>
      </c>
      <c r="G421" t="str">
        <f>"0243"</f>
        <v>0243</v>
      </c>
      <c r="H421" t="str">
        <f>"0001"</f>
        <v>0001</v>
      </c>
      <c r="I421" t="s">
        <v>89</v>
      </c>
      <c r="J421">
        <v>0</v>
      </c>
      <c r="K421">
        <v>1</v>
      </c>
      <c r="L421">
        <v>3</v>
      </c>
      <c r="M421">
        <v>152</v>
      </c>
      <c r="N421">
        <v>278</v>
      </c>
      <c r="O421">
        <v>7</v>
      </c>
      <c r="P421">
        <v>278</v>
      </c>
      <c r="Q421">
        <v>6</v>
      </c>
      <c r="R421">
        <v>52</v>
      </c>
      <c r="S421">
        <v>41</v>
      </c>
      <c r="T421">
        <v>0</v>
      </c>
      <c r="U421">
        <v>34</v>
      </c>
      <c r="V421">
        <v>0</v>
      </c>
      <c r="W421">
        <v>2</v>
      </c>
      <c r="X421">
        <v>104</v>
      </c>
      <c r="Y421">
        <v>17</v>
      </c>
      <c r="Z421">
        <v>5</v>
      </c>
      <c r="AT421">
        <v>2</v>
      </c>
      <c r="AW421">
        <v>0</v>
      </c>
      <c r="AX421">
        <v>15</v>
      </c>
      <c r="AY421">
        <v>278</v>
      </c>
      <c r="AZ421">
        <v>278</v>
      </c>
      <c r="BA421">
        <v>386</v>
      </c>
      <c r="BB421">
        <v>44</v>
      </c>
      <c r="BD421">
        <v>1</v>
      </c>
      <c r="BF421" t="s">
        <v>532</v>
      </c>
      <c r="BG421" s="1">
        <v>44354.111111111109</v>
      </c>
      <c r="BH421" s="1">
        <v>44354.116319444445</v>
      </c>
      <c r="BI421" s="1">
        <v>44354.116701388892</v>
      </c>
      <c r="BJ421" t="s">
        <v>85</v>
      </c>
      <c r="BK421" t="s">
        <v>86</v>
      </c>
      <c r="BL421" t="s">
        <v>87</v>
      </c>
    </row>
    <row r="422" spans="1:64" x14ac:dyDescent="0.3">
      <c r="A422" t="str">
        <f>"200244B0000"</f>
        <v>200244B0000</v>
      </c>
      <c r="B422" t="str">
        <f>"200244B00003"</f>
        <v>200244B00003</v>
      </c>
      <c r="C422" t="str">
        <f t="shared" si="26"/>
        <v>20</v>
      </c>
      <c r="D422" t="s">
        <v>81</v>
      </c>
      <c r="E422" t="str">
        <f t="shared" si="28"/>
        <v>039</v>
      </c>
      <c r="F422" t="s">
        <v>513</v>
      </c>
      <c r="G422" t="str">
        <f>"0244"</f>
        <v>0244</v>
      </c>
      <c r="H422" t="str">
        <f>"0000"</f>
        <v>0000</v>
      </c>
      <c r="I422" t="s">
        <v>83</v>
      </c>
      <c r="J422">
        <v>0</v>
      </c>
      <c r="K422">
        <v>1</v>
      </c>
      <c r="L422">
        <v>3</v>
      </c>
      <c r="M422">
        <v>251</v>
      </c>
      <c r="N422">
        <v>507</v>
      </c>
      <c r="O422">
        <v>3</v>
      </c>
      <c r="P422">
        <v>507</v>
      </c>
      <c r="Q422">
        <v>1</v>
      </c>
      <c r="R422">
        <v>176</v>
      </c>
      <c r="S422">
        <v>46</v>
      </c>
      <c r="T422">
        <v>1</v>
      </c>
      <c r="U422">
        <v>47</v>
      </c>
      <c r="V422">
        <v>8</v>
      </c>
      <c r="W422">
        <v>2</v>
      </c>
      <c r="X422">
        <v>186</v>
      </c>
      <c r="Y422">
        <v>10</v>
      </c>
      <c r="Z422">
        <v>11</v>
      </c>
      <c r="AT422">
        <v>0</v>
      </c>
      <c r="AW422">
        <v>0</v>
      </c>
      <c r="AX422">
        <v>19</v>
      </c>
      <c r="AY422">
        <v>507</v>
      </c>
      <c r="AZ422">
        <v>507</v>
      </c>
      <c r="BA422">
        <v>714</v>
      </c>
      <c r="BB422">
        <v>44</v>
      </c>
      <c r="BD422">
        <v>1</v>
      </c>
      <c r="BF422" t="s">
        <v>533</v>
      </c>
      <c r="BG422" s="1">
        <v>44354.107638888891</v>
      </c>
      <c r="BH422" s="1">
        <v>44354.11</v>
      </c>
      <c r="BI422" s="1">
        <v>44354.110358796293</v>
      </c>
      <c r="BJ422" t="s">
        <v>85</v>
      </c>
      <c r="BK422" t="s">
        <v>86</v>
      </c>
      <c r="BL422" t="s">
        <v>87</v>
      </c>
    </row>
    <row r="423" spans="1:64" x14ac:dyDescent="0.3">
      <c r="A423" t="str">
        <f>"200244E0100"</f>
        <v>200244E0100</v>
      </c>
      <c r="B423" t="str">
        <f>"200244E01003"</f>
        <v>200244E01003</v>
      </c>
      <c r="C423" t="str">
        <f t="shared" si="26"/>
        <v>20</v>
      </c>
      <c r="D423" t="s">
        <v>81</v>
      </c>
      <c r="E423" t="str">
        <f t="shared" si="28"/>
        <v>039</v>
      </c>
      <c r="F423" t="s">
        <v>513</v>
      </c>
      <c r="G423" t="str">
        <f>"0244"</f>
        <v>0244</v>
      </c>
      <c r="H423" t="str">
        <f>"0001"</f>
        <v>0001</v>
      </c>
      <c r="I423" t="s">
        <v>122</v>
      </c>
      <c r="J423">
        <v>0</v>
      </c>
      <c r="K423">
        <v>1</v>
      </c>
      <c r="L423">
        <v>3</v>
      </c>
      <c r="M423">
        <v>171</v>
      </c>
      <c r="N423">
        <v>229</v>
      </c>
      <c r="O423">
        <v>7</v>
      </c>
      <c r="P423" t="s">
        <v>92</v>
      </c>
      <c r="Q423">
        <v>1</v>
      </c>
      <c r="R423">
        <v>79</v>
      </c>
      <c r="S423">
        <v>60</v>
      </c>
      <c r="T423">
        <v>1</v>
      </c>
      <c r="U423">
        <v>17</v>
      </c>
      <c r="V423">
        <v>1</v>
      </c>
      <c r="W423">
        <v>0</v>
      </c>
      <c r="X423">
        <v>53</v>
      </c>
      <c r="Y423">
        <v>1</v>
      </c>
      <c r="Z423">
        <v>6</v>
      </c>
      <c r="AT423">
        <v>0</v>
      </c>
      <c r="AW423">
        <v>0</v>
      </c>
      <c r="AX423">
        <v>11</v>
      </c>
      <c r="AY423">
        <v>230</v>
      </c>
      <c r="AZ423">
        <v>230</v>
      </c>
      <c r="BA423">
        <v>357</v>
      </c>
      <c r="BB423">
        <v>44</v>
      </c>
      <c r="BD423">
        <v>1</v>
      </c>
      <c r="BF423" t="s">
        <v>534</v>
      </c>
      <c r="BG423" s="1">
        <v>44354.0625</v>
      </c>
      <c r="BH423" s="1">
        <v>44354.068298611113</v>
      </c>
      <c r="BI423" s="1">
        <v>44354.068969907406</v>
      </c>
      <c r="BJ423" t="s">
        <v>85</v>
      </c>
      <c r="BK423" t="s">
        <v>86</v>
      </c>
      <c r="BL423" t="s">
        <v>87</v>
      </c>
    </row>
    <row r="424" spans="1:64" x14ac:dyDescent="0.3">
      <c r="A424" t="str">
        <f>"200245B0000"</f>
        <v>200245B0000</v>
      </c>
      <c r="B424" t="str">
        <f>"200245B00003"</f>
        <v>200245B00003</v>
      </c>
      <c r="C424" t="str">
        <f t="shared" si="26"/>
        <v>20</v>
      </c>
      <c r="D424" t="s">
        <v>81</v>
      </c>
      <c r="E424" t="str">
        <f t="shared" si="28"/>
        <v>039</v>
      </c>
      <c r="F424" t="s">
        <v>513</v>
      </c>
      <c r="G424" t="str">
        <f>"0245"</f>
        <v>0245</v>
      </c>
      <c r="H424" t="str">
        <f>"0000"</f>
        <v>0000</v>
      </c>
      <c r="I424" t="s">
        <v>83</v>
      </c>
      <c r="J424">
        <v>0</v>
      </c>
      <c r="K424">
        <v>1</v>
      </c>
      <c r="L424">
        <v>3</v>
      </c>
      <c r="M424">
        <v>133</v>
      </c>
      <c r="N424">
        <v>223</v>
      </c>
      <c r="O424">
        <v>8</v>
      </c>
      <c r="P424">
        <v>223</v>
      </c>
      <c r="Q424">
        <v>1</v>
      </c>
      <c r="R424">
        <v>30</v>
      </c>
      <c r="S424">
        <v>38</v>
      </c>
      <c r="T424">
        <v>1</v>
      </c>
      <c r="U424">
        <v>4</v>
      </c>
      <c r="V424">
        <v>5</v>
      </c>
      <c r="W424">
        <v>0</v>
      </c>
      <c r="X424">
        <v>61</v>
      </c>
      <c r="Y424">
        <v>70</v>
      </c>
      <c r="Z424">
        <v>5</v>
      </c>
      <c r="AT424">
        <v>7</v>
      </c>
      <c r="AW424" t="s">
        <v>95</v>
      </c>
      <c r="AX424">
        <v>1</v>
      </c>
      <c r="AY424">
        <v>223</v>
      </c>
      <c r="AZ424">
        <v>223</v>
      </c>
      <c r="BA424">
        <v>312</v>
      </c>
      <c r="BB424">
        <v>44</v>
      </c>
      <c r="BC424" t="s">
        <v>96</v>
      </c>
      <c r="BD424">
        <v>1</v>
      </c>
      <c r="BF424" t="s">
        <v>535</v>
      </c>
      <c r="BG424" s="1">
        <v>44354.092361111114</v>
      </c>
      <c r="BH424" s="1">
        <v>44354.09716435185</v>
      </c>
      <c r="BI424" s="1">
        <v>44354.097430555557</v>
      </c>
      <c r="BJ424" t="s">
        <v>85</v>
      </c>
      <c r="BK424" t="s">
        <v>86</v>
      </c>
      <c r="BL424" t="s">
        <v>87</v>
      </c>
    </row>
    <row r="425" spans="1:64" x14ac:dyDescent="0.3">
      <c r="A425" t="str">
        <f>"200246B0000"</f>
        <v>200246B0000</v>
      </c>
      <c r="B425" t="str">
        <f>"200246B00003"</f>
        <v>200246B00003</v>
      </c>
      <c r="C425" t="str">
        <f t="shared" si="26"/>
        <v>20</v>
      </c>
      <c r="D425" t="s">
        <v>81</v>
      </c>
      <c r="E425" t="str">
        <f t="shared" si="28"/>
        <v>039</v>
      </c>
      <c r="F425" t="s">
        <v>513</v>
      </c>
      <c r="G425" t="str">
        <f>"0246"</f>
        <v>0246</v>
      </c>
      <c r="H425" t="str">
        <f>"0000"</f>
        <v>0000</v>
      </c>
      <c r="I425" t="s">
        <v>83</v>
      </c>
      <c r="J425">
        <v>0</v>
      </c>
      <c r="K425">
        <v>1</v>
      </c>
      <c r="L425">
        <v>3</v>
      </c>
      <c r="M425">
        <v>260</v>
      </c>
      <c r="N425">
        <v>531</v>
      </c>
      <c r="O425">
        <v>9</v>
      </c>
      <c r="P425">
        <v>531</v>
      </c>
      <c r="Q425">
        <v>3</v>
      </c>
      <c r="R425">
        <v>26</v>
      </c>
      <c r="S425">
        <v>51</v>
      </c>
      <c r="T425">
        <v>3</v>
      </c>
      <c r="U425">
        <v>7</v>
      </c>
      <c r="V425">
        <v>8</v>
      </c>
      <c r="W425">
        <v>3</v>
      </c>
      <c r="X425">
        <v>121</v>
      </c>
      <c r="Y425">
        <v>272</v>
      </c>
      <c r="Z425">
        <v>9</v>
      </c>
      <c r="AT425">
        <v>14</v>
      </c>
      <c r="AW425" t="s">
        <v>95</v>
      </c>
      <c r="AX425">
        <v>14</v>
      </c>
      <c r="AY425">
        <v>531</v>
      </c>
      <c r="AZ425">
        <v>531</v>
      </c>
      <c r="BA425">
        <v>747</v>
      </c>
      <c r="BB425">
        <v>44</v>
      </c>
      <c r="BC425" t="s">
        <v>96</v>
      </c>
      <c r="BD425">
        <v>1</v>
      </c>
      <c r="BF425" t="s">
        <v>536</v>
      </c>
      <c r="BG425" s="1">
        <v>44354.229861111111</v>
      </c>
      <c r="BH425" s="1">
        <v>44354.232881944445</v>
      </c>
      <c r="BI425" s="1">
        <v>44354.233437499999</v>
      </c>
      <c r="BJ425" t="s">
        <v>85</v>
      </c>
      <c r="BK425" t="s">
        <v>86</v>
      </c>
      <c r="BL425" t="s">
        <v>87</v>
      </c>
    </row>
    <row r="426" spans="1:64" x14ac:dyDescent="0.3">
      <c r="A426" t="str">
        <f>"200246E0100"</f>
        <v>200246E0100</v>
      </c>
      <c r="B426" t="str">
        <f>"200246E01003"</f>
        <v>200246E01003</v>
      </c>
      <c r="C426" t="str">
        <f t="shared" si="26"/>
        <v>20</v>
      </c>
      <c r="D426" t="s">
        <v>81</v>
      </c>
      <c r="E426" t="str">
        <f t="shared" si="28"/>
        <v>039</v>
      </c>
      <c r="F426" t="s">
        <v>513</v>
      </c>
      <c r="G426" t="str">
        <f>"0246"</f>
        <v>0246</v>
      </c>
      <c r="H426" t="str">
        <f>"0001"</f>
        <v>0001</v>
      </c>
      <c r="I426" t="s">
        <v>122</v>
      </c>
      <c r="J426">
        <v>0</v>
      </c>
      <c r="K426">
        <v>1</v>
      </c>
      <c r="L426">
        <v>3</v>
      </c>
      <c r="M426">
        <v>105</v>
      </c>
      <c r="N426">
        <v>150</v>
      </c>
      <c r="O426">
        <v>7</v>
      </c>
      <c r="P426">
        <v>150</v>
      </c>
      <c r="Q426">
        <v>1</v>
      </c>
      <c r="R426">
        <v>77</v>
      </c>
      <c r="S426">
        <v>19</v>
      </c>
      <c r="T426">
        <v>2</v>
      </c>
      <c r="U426">
        <v>5</v>
      </c>
      <c r="V426">
        <v>1</v>
      </c>
      <c r="W426">
        <v>1</v>
      </c>
      <c r="X426">
        <v>19</v>
      </c>
      <c r="Y426">
        <v>16</v>
      </c>
      <c r="Z426">
        <v>2</v>
      </c>
      <c r="AT426">
        <v>1</v>
      </c>
      <c r="AW426">
        <v>0</v>
      </c>
      <c r="AX426">
        <v>6</v>
      </c>
      <c r="AY426">
        <v>150</v>
      </c>
      <c r="AZ426">
        <v>150</v>
      </c>
      <c r="BA426">
        <v>211</v>
      </c>
      <c r="BB426">
        <v>44</v>
      </c>
      <c r="BD426">
        <v>1</v>
      </c>
      <c r="BF426" t="s">
        <v>537</v>
      </c>
      <c r="BG426" s="1">
        <v>44354.228472222225</v>
      </c>
      <c r="BH426" s="1">
        <v>44354.231423611112</v>
      </c>
      <c r="BI426" s="1">
        <v>44354.232141203705</v>
      </c>
      <c r="BJ426" t="s">
        <v>85</v>
      </c>
      <c r="BK426" t="s">
        <v>86</v>
      </c>
      <c r="BL426" t="s">
        <v>87</v>
      </c>
    </row>
    <row r="427" spans="1:64" x14ac:dyDescent="0.3">
      <c r="A427" t="str">
        <f>"200247B0000"</f>
        <v>200247B0000</v>
      </c>
      <c r="B427" t="str">
        <f>"200247B00003"</f>
        <v>200247B00003</v>
      </c>
      <c r="C427" t="str">
        <f t="shared" si="26"/>
        <v>20</v>
      </c>
      <c r="D427" t="s">
        <v>81</v>
      </c>
      <c r="E427" t="str">
        <f t="shared" si="28"/>
        <v>039</v>
      </c>
      <c r="F427" t="s">
        <v>513</v>
      </c>
      <c r="G427" t="str">
        <f>"0247"</f>
        <v>0247</v>
      </c>
      <c r="H427" t="str">
        <f>"0000"</f>
        <v>0000</v>
      </c>
      <c r="I427" t="s">
        <v>83</v>
      </c>
      <c r="J427">
        <v>0</v>
      </c>
      <c r="K427">
        <v>1</v>
      </c>
      <c r="L427">
        <v>3</v>
      </c>
      <c r="M427">
        <v>254</v>
      </c>
      <c r="N427">
        <v>480</v>
      </c>
      <c r="O427">
        <v>6</v>
      </c>
      <c r="P427">
        <v>480</v>
      </c>
      <c r="Q427">
        <v>5</v>
      </c>
      <c r="R427">
        <v>177</v>
      </c>
      <c r="S427">
        <v>84</v>
      </c>
      <c r="T427">
        <v>0</v>
      </c>
      <c r="U427">
        <v>20</v>
      </c>
      <c r="V427">
        <v>13</v>
      </c>
      <c r="W427">
        <v>2</v>
      </c>
      <c r="X427">
        <v>150</v>
      </c>
      <c r="Y427">
        <v>2</v>
      </c>
      <c r="Z427">
        <v>12</v>
      </c>
      <c r="AT427">
        <v>0</v>
      </c>
      <c r="AW427">
        <v>0</v>
      </c>
      <c r="AX427">
        <v>15</v>
      </c>
      <c r="AY427">
        <v>480</v>
      </c>
      <c r="AZ427">
        <v>480</v>
      </c>
      <c r="BA427">
        <v>690</v>
      </c>
      <c r="BB427">
        <v>44</v>
      </c>
      <c r="BD427">
        <v>1</v>
      </c>
      <c r="BF427" t="s">
        <v>538</v>
      </c>
      <c r="BG427" s="1">
        <v>44354.368750000001</v>
      </c>
      <c r="BH427" s="1">
        <v>44354.371944444443</v>
      </c>
      <c r="BI427" s="1">
        <v>44354.372488425928</v>
      </c>
      <c r="BJ427" t="s">
        <v>85</v>
      </c>
      <c r="BK427" t="s">
        <v>86</v>
      </c>
      <c r="BL427" t="s">
        <v>87</v>
      </c>
    </row>
    <row r="428" spans="1:64" x14ac:dyDescent="0.3">
      <c r="A428" t="str">
        <f>"200247E0100"</f>
        <v>200247E0100</v>
      </c>
      <c r="B428" t="str">
        <f>"200247E01003"</f>
        <v>200247E01003</v>
      </c>
      <c r="C428" t="str">
        <f t="shared" si="26"/>
        <v>20</v>
      </c>
      <c r="D428" t="s">
        <v>81</v>
      </c>
      <c r="E428" t="str">
        <f t="shared" si="28"/>
        <v>039</v>
      </c>
      <c r="F428" t="s">
        <v>513</v>
      </c>
      <c r="G428" t="str">
        <f>"0247"</f>
        <v>0247</v>
      </c>
      <c r="H428" t="str">
        <f>"0001"</f>
        <v>0001</v>
      </c>
      <c r="I428" t="s">
        <v>122</v>
      </c>
      <c r="J428">
        <v>0</v>
      </c>
      <c r="K428">
        <v>1</v>
      </c>
      <c r="L428">
        <v>3</v>
      </c>
      <c r="M428">
        <v>269</v>
      </c>
      <c r="N428">
        <v>507</v>
      </c>
      <c r="O428">
        <v>2</v>
      </c>
      <c r="P428">
        <v>507</v>
      </c>
      <c r="Q428">
        <v>7</v>
      </c>
      <c r="R428">
        <v>64</v>
      </c>
      <c r="S428">
        <v>168</v>
      </c>
      <c r="T428">
        <v>4</v>
      </c>
      <c r="U428">
        <v>9</v>
      </c>
      <c r="V428">
        <v>6</v>
      </c>
      <c r="W428">
        <v>2</v>
      </c>
      <c r="X428">
        <v>181</v>
      </c>
      <c r="Y428">
        <v>41</v>
      </c>
      <c r="Z428">
        <v>0</v>
      </c>
      <c r="AT428" t="s">
        <v>95</v>
      </c>
      <c r="AW428" t="s">
        <v>95</v>
      </c>
      <c r="AX428">
        <v>17</v>
      </c>
      <c r="AY428">
        <v>507</v>
      </c>
      <c r="AZ428">
        <v>499</v>
      </c>
      <c r="BA428">
        <v>732</v>
      </c>
      <c r="BB428">
        <v>44</v>
      </c>
      <c r="BC428" t="s">
        <v>96</v>
      </c>
      <c r="BD428">
        <v>1</v>
      </c>
      <c r="BF428" t="s">
        <v>539</v>
      </c>
      <c r="BG428" s="1">
        <v>44354.362500000003</v>
      </c>
      <c r="BH428" s="1">
        <v>44354.36550925926</v>
      </c>
      <c r="BI428" s="1">
        <v>44354.365983796299</v>
      </c>
      <c r="BJ428" t="s">
        <v>85</v>
      </c>
      <c r="BK428" t="s">
        <v>86</v>
      </c>
      <c r="BL428" t="s">
        <v>87</v>
      </c>
    </row>
    <row r="429" spans="1:64" x14ac:dyDescent="0.3">
      <c r="A429" t="str">
        <f>"200247E0200"</f>
        <v>200247E0200</v>
      </c>
      <c r="B429" t="str">
        <f>"200247E02003"</f>
        <v>200247E02003</v>
      </c>
      <c r="C429" t="str">
        <f t="shared" si="26"/>
        <v>20</v>
      </c>
      <c r="D429" t="s">
        <v>81</v>
      </c>
      <c r="E429" t="str">
        <f t="shared" si="28"/>
        <v>039</v>
      </c>
      <c r="F429" t="s">
        <v>513</v>
      </c>
      <c r="G429" t="str">
        <f>"0247"</f>
        <v>0247</v>
      </c>
      <c r="H429" t="str">
        <f>"0002"</f>
        <v>0002</v>
      </c>
      <c r="I429" t="s">
        <v>122</v>
      </c>
      <c r="J429">
        <v>0</v>
      </c>
      <c r="K429">
        <v>1</v>
      </c>
      <c r="L429">
        <v>3</v>
      </c>
      <c r="M429">
        <v>197</v>
      </c>
      <c r="N429">
        <v>344</v>
      </c>
      <c r="O429">
        <v>8</v>
      </c>
      <c r="P429">
        <v>344</v>
      </c>
      <c r="Q429">
        <v>4</v>
      </c>
      <c r="R429">
        <v>61</v>
      </c>
      <c r="S429">
        <v>85</v>
      </c>
      <c r="T429">
        <v>3</v>
      </c>
      <c r="U429">
        <v>10</v>
      </c>
      <c r="V429">
        <v>8</v>
      </c>
      <c r="W429">
        <v>3</v>
      </c>
      <c r="X429">
        <v>108</v>
      </c>
      <c r="Y429">
        <v>48</v>
      </c>
      <c r="Z429">
        <v>3</v>
      </c>
      <c r="AT429">
        <v>0</v>
      </c>
      <c r="AW429">
        <v>0</v>
      </c>
      <c r="AX429">
        <v>11</v>
      </c>
      <c r="AY429">
        <v>344</v>
      </c>
      <c r="AZ429">
        <v>344</v>
      </c>
      <c r="BA429">
        <v>497</v>
      </c>
      <c r="BB429">
        <v>44</v>
      </c>
      <c r="BD429">
        <v>1</v>
      </c>
      <c r="BF429" t="s">
        <v>540</v>
      </c>
      <c r="BG429" s="1">
        <v>44354.363888888889</v>
      </c>
      <c r="BH429" s="1">
        <v>44354.366643518515</v>
      </c>
      <c r="BI429" s="1">
        <v>44354.367118055554</v>
      </c>
      <c r="BJ429" t="s">
        <v>85</v>
      </c>
      <c r="BK429" t="s">
        <v>86</v>
      </c>
      <c r="BL429" t="s">
        <v>87</v>
      </c>
    </row>
    <row r="430" spans="1:64" x14ac:dyDescent="0.3">
      <c r="A430" t="str">
        <f>"200248B0000"</f>
        <v>200248B0000</v>
      </c>
      <c r="B430" t="str">
        <f>"200248B00003"</f>
        <v>200248B00003</v>
      </c>
      <c r="C430" t="str">
        <f t="shared" si="26"/>
        <v>20</v>
      </c>
      <c r="D430" t="s">
        <v>81</v>
      </c>
      <c r="E430" t="str">
        <f t="shared" si="28"/>
        <v>039</v>
      </c>
      <c r="F430" t="s">
        <v>513</v>
      </c>
      <c r="G430" t="str">
        <f>"0248"</f>
        <v>0248</v>
      </c>
      <c r="H430" t="str">
        <f>"0000"</f>
        <v>0000</v>
      </c>
      <c r="I430" t="s">
        <v>83</v>
      </c>
      <c r="J430">
        <v>0</v>
      </c>
      <c r="K430">
        <v>1</v>
      </c>
      <c r="L430">
        <v>3</v>
      </c>
      <c r="M430">
        <v>218</v>
      </c>
      <c r="N430">
        <v>438</v>
      </c>
      <c r="O430">
        <v>5</v>
      </c>
      <c r="P430">
        <v>438</v>
      </c>
      <c r="Q430">
        <v>5</v>
      </c>
      <c r="R430">
        <v>118</v>
      </c>
      <c r="S430">
        <v>179</v>
      </c>
      <c r="T430">
        <v>2</v>
      </c>
      <c r="U430">
        <v>10</v>
      </c>
      <c r="V430">
        <v>8</v>
      </c>
      <c r="W430">
        <v>2</v>
      </c>
      <c r="X430">
        <v>86</v>
      </c>
      <c r="Y430">
        <v>9</v>
      </c>
      <c r="Z430">
        <v>10</v>
      </c>
      <c r="AT430">
        <v>0</v>
      </c>
      <c r="AW430">
        <v>0</v>
      </c>
      <c r="AX430">
        <v>9</v>
      </c>
      <c r="AY430">
        <v>438</v>
      </c>
      <c r="AZ430">
        <v>438</v>
      </c>
      <c r="BA430">
        <v>612</v>
      </c>
      <c r="BB430">
        <v>44</v>
      </c>
      <c r="BD430">
        <v>1</v>
      </c>
      <c r="BF430" t="s">
        <v>541</v>
      </c>
      <c r="BG430" s="1">
        <v>44354.091666666667</v>
      </c>
      <c r="BH430" s="1">
        <v>44354.09715277778</v>
      </c>
      <c r="BI430" s="1">
        <v>44354.097650462965</v>
      </c>
      <c r="BJ430" t="s">
        <v>85</v>
      </c>
      <c r="BK430" t="s">
        <v>86</v>
      </c>
      <c r="BL430" t="s">
        <v>87</v>
      </c>
    </row>
    <row r="431" spans="1:64" x14ac:dyDescent="0.3">
      <c r="A431" t="str">
        <f>"200248C0100"</f>
        <v>200248C0100</v>
      </c>
      <c r="B431" t="str">
        <f>"200248C01003"</f>
        <v>200248C01003</v>
      </c>
      <c r="C431" t="str">
        <f t="shared" si="26"/>
        <v>20</v>
      </c>
      <c r="D431" t="s">
        <v>81</v>
      </c>
      <c r="E431" t="str">
        <f t="shared" si="28"/>
        <v>039</v>
      </c>
      <c r="F431" t="s">
        <v>513</v>
      </c>
      <c r="G431" t="str">
        <f>"0248"</f>
        <v>0248</v>
      </c>
      <c r="H431" t="str">
        <f>"0001"</f>
        <v>0001</v>
      </c>
      <c r="I431" t="s">
        <v>89</v>
      </c>
      <c r="J431">
        <v>0</v>
      </c>
      <c r="K431">
        <v>1</v>
      </c>
      <c r="L431">
        <v>3</v>
      </c>
      <c r="M431">
        <v>237</v>
      </c>
      <c r="N431">
        <v>411</v>
      </c>
      <c r="O431">
        <v>5</v>
      </c>
      <c r="P431">
        <v>418</v>
      </c>
      <c r="Q431">
        <v>2</v>
      </c>
      <c r="R431">
        <v>104</v>
      </c>
      <c r="S431">
        <v>167</v>
      </c>
      <c r="T431">
        <v>0</v>
      </c>
      <c r="U431">
        <v>8</v>
      </c>
      <c r="V431">
        <v>4</v>
      </c>
      <c r="W431">
        <v>3</v>
      </c>
      <c r="X431">
        <v>100</v>
      </c>
      <c r="Y431">
        <v>12</v>
      </c>
      <c r="Z431">
        <v>6</v>
      </c>
      <c r="AT431" t="s">
        <v>95</v>
      </c>
      <c r="AW431" t="s">
        <v>95</v>
      </c>
      <c r="AX431">
        <v>12</v>
      </c>
      <c r="AY431" t="s">
        <v>95</v>
      </c>
      <c r="AZ431">
        <v>418</v>
      </c>
      <c r="BA431">
        <v>611</v>
      </c>
      <c r="BB431">
        <v>44</v>
      </c>
      <c r="BC431" t="s">
        <v>96</v>
      </c>
      <c r="BD431">
        <v>1</v>
      </c>
      <c r="BF431" t="s">
        <v>542</v>
      </c>
      <c r="BG431" s="1">
        <v>44354.093055555553</v>
      </c>
      <c r="BH431" s="1">
        <v>44354.098622685182</v>
      </c>
      <c r="BI431" s="1">
        <v>44354.099432870367</v>
      </c>
      <c r="BJ431" t="s">
        <v>85</v>
      </c>
      <c r="BK431" t="s">
        <v>86</v>
      </c>
      <c r="BL431" t="s">
        <v>87</v>
      </c>
    </row>
    <row r="432" spans="1:64" x14ac:dyDescent="0.3">
      <c r="A432" t="str">
        <f>"200249B0000"</f>
        <v>200249B0000</v>
      </c>
      <c r="B432" t="str">
        <f>"200249B00003"</f>
        <v>200249B00003</v>
      </c>
      <c r="C432" t="str">
        <f t="shared" si="26"/>
        <v>20</v>
      </c>
      <c r="D432" t="s">
        <v>81</v>
      </c>
      <c r="E432" t="str">
        <f t="shared" si="28"/>
        <v>039</v>
      </c>
      <c r="F432" t="s">
        <v>513</v>
      </c>
      <c r="G432" t="str">
        <f>"0249"</f>
        <v>0249</v>
      </c>
      <c r="H432" t="str">
        <f>"0000"</f>
        <v>0000</v>
      </c>
      <c r="I432" t="s">
        <v>83</v>
      </c>
      <c r="J432">
        <v>0</v>
      </c>
      <c r="K432">
        <v>1</v>
      </c>
      <c r="L432">
        <v>3</v>
      </c>
      <c r="M432">
        <v>168</v>
      </c>
      <c r="N432">
        <v>295</v>
      </c>
      <c r="O432">
        <v>7</v>
      </c>
      <c r="P432">
        <v>295</v>
      </c>
      <c r="Q432">
        <v>6</v>
      </c>
      <c r="R432">
        <v>63</v>
      </c>
      <c r="S432">
        <v>87</v>
      </c>
      <c r="T432">
        <v>0</v>
      </c>
      <c r="U432">
        <v>8</v>
      </c>
      <c r="V432">
        <v>4</v>
      </c>
      <c r="W432">
        <v>0</v>
      </c>
      <c r="X432">
        <v>89</v>
      </c>
      <c r="Y432">
        <v>23</v>
      </c>
      <c r="Z432">
        <v>2</v>
      </c>
      <c r="AT432">
        <v>1</v>
      </c>
      <c r="AW432">
        <v>0</v>
      </c>
      <c r="AX432">
        <v>12</v>
      </c>
      <c r="AY432">
        <v>295</v>
      </c>
      <c r="AZ432">
        <v>295</v>
      </c>
      <c r="BA432">
        <v>419</v>
      </c>
      <c r="BB432">
        <v>44</v>
      </c>
      <c r="BD432">
        <v>1</v>
      </c>
      <c r="BF432" t="s">
        <v>543</v>
      </c>
      <c r="BG432" s="1">
        <v>44354.026388888888</v>
      </c>
      <c r="BH432" s="1">
        <v>44354.034583333334</v>
      </c>
      <c r="BI432" s="1">
        <v>44354.035405092596</v>
      </c>
      <c r="BJ432" t="s">
        <v>85</v>
      </c>
      <c r="BK432" t="s">
        <v>86</v>
      </c>
      <c r="BL432" t="s">
        <v>87</v>
      </c>
    </row>
    <row r="433" spans="1:64" x14ac:dyDescent="0.3">
      <c r="A433" t="str">
        <f>"200249C0100"</f>
        <v>200249C0100</v>
      </c>
      <c r="B433" t="str">
        <f>"200249C01003"</f>
        <v>200249C01003</v>
      </c>
      <c r="C433" t="str">
        <f t="shared" si="26"/>
        <v>20</v>
      </c>
      <c r="D433" t="s">
        <v>81</v>
      </c>
      <c r="E433" t="str">
        <f t="shared" si="28"/>
        <v>039</v>
      </c>
      <c r="F433" t="s">
        <v>513</v>
      </c>
      <c r="G433" t="str">
        <f>"0249"</f>
        <v>0249</v>
      </c>
      <c r="H433" t="str">
        <f>"0001"</f>
        <v>0001</v>
      </c>
      <c r="I433" t="s">
        <v>89</v>
      </c>
      <c r="J433">
        <v>0</v>
      </c>
      <c r="K433">
        <v>1</v>
      </c>
      <c r="L433">
        <v>3</v>
      </c>
      <c r="M433">
        <v>180</v>
      </c>
      <c r="N433">
        <v>290</v>
      </c>
      <c r="O433" t="s">
        <v>131</v>
      </c>
      <c r="P433">
        <v>283</v>
      </c>
      <c r="Q433">
        <v>6</v>
      </c>
      <c r="R433">
        <v>77</v>
      </c>
      <c r="S433">
        <v>62</v>
      </c>
      <c r="T433">
        <v>3</v>
      </c>
      <c r="U433">
        <v>9</v>
      </c>
      <c r="V433">
        <v>4</v>
      </c>
      <c r="W433">
        <v>5</v>
      </c>
      <c r="X433">
        <v>96</v>
      </c>
      <c r="Y433">
        <v>7</v>
      </c>
      <c r="Z433">
        <v>1</v>
      </c>
      <c r="AT433">
        <v>2</v>
      </c>
      <c r="AW433">
        <v>0</v>
      </c>
      <c r="AX433">
        <v>11</v>
      </c>
      <c r="AY433">
        <v>283</v>
      </c>
      <c r="AZ433">
        <v>283</v>
      </c>
      <c r="BA433">
        <v>419</v>
      </c>
      <c r="BB433">
        <v>44</v>
      </c>
      <c r="BD433">
        <v>1</v>
      </c>
      <c r="BF433" t="s">
        <v>544</v>
      </c>
      <c r="BG433" s="1">
        <v>44354.021527777775</v>
      </c>
      <c r="BH433" s="1">
        <v>44354.029317129629</v>
      </c>
      <c r="BI433" s="1">
        <v>44354.029861111114</v>
      </c>
      <c r="BJ433" t="s">
        <v>85</v>
      </c>
      <c r="BK433" t="s">
        <v>86</v>
      </c>
      <c r="BL433" t="s">
        <v>87</v>
      </c>
    </row>
    <row r="434" spans="1:64" x14ac:dyDescent="0.3">
      <c r="A434" t="str">
        <f>"200250B0000"</f>
        <v>200250B0000</v>
      </c>
      <c r="B434" t="str">
        <f>"200250B00003"</f>
        <v>200250B00003</v>
      </c>
      <c r="C434" t="str">
        <f t="shared" si="26"/>
        <v>20</v>
      </c>
      <c r="D434" t="s">
        <v>81</v>
      </c>
      <c r="E434" t="str">
        <f t="shared" si="28"/>
        <v>039</v>
      </c>
      <c r="F434" t="s">
        <v>513</v>
      </c>
      <c r="G434" t="str">
        <f>"0250"</f>
        <v>0250</v>
      </c>
      <c r="H434" t="str">
        <f>"0000"</f>
        <v>0000</v>
      </c>
      <c r="I434" t="s">
        <v>83</v>
      </c>
      <c r="J434">
        <v>0</v>
      </c>
      <c r="K434">
        <v>1</v>
      </c>
      <c r="L434">
        <v>3</v>
      </c>
      <c r="M434">
        <v>138</v>
      </c>
      <c r="N434">
        <v>264</v>
      </c>
      <c r="O434">
        <v>9</v>
      </c>
      <c r="P434">
        <v>264</v>
      </c>
      <c r="Q434">
        <v>12</v>
      </c>
      <c r="R434">
        <v>62</v>
      </c>
      <c r="S434">
        <v>95</v>
      </c>
      <c r="T434">
        <v>2</v>
      </c>
      <c r="U434">
        <v>15</v>
      </c>
      <c r="V434">
        <v>1</v>
      </c>
      <c r="W434">
        <v>2</v>
      </c>
      <c r="X434">
        <v>60</v>
      </c>
      <c r="Y434">
        <v>1</v>
      </c>
      <c r="Z434">
        <v>4</v>
      </c>
      <c r="AT434">
        <v>0</v>
      </c>
      <c r="AW434">
        <v>0</v>
      </c>
      <c r="AX434">
        <v>10</v>
      </c>
      <c r="AY434">
        <v>264</v>
      </c>
      <c r="AZ434">
        <v>264</v>
      </c>
      <c r="BA434">
        <v>358</v>
      </c>
      <c r="BB434">
        <v>44</v>
      </c>
      <c r="BD434">
        <v>1</v>
      </c>
      <c r="BF434" t="s">
        <v>545</v>
      </c>
      <c r="BG434" s="1">
        <v>44354.072916666664</v>
      </c>
      <c r="BH434" s="1">
        <v>44354.081226851849</v>
      </c>
      <c r="BI434" s="1">
        <v>44354.081932870373</v>
      </c>
      <c r="BJ434" t="s">
        <v>85</v>
      </c>
      <c r="BK434" t="s">
        <v>86</v>
      </c>
      <c r="BL434" t="s">
        <v>87</v>
      </c>
    </row>
    <row r="435" spans="1:64" x14ac:dyDescent="0.3">
      <c r="A435" t="str">
        <f>"200250E0100"</f>
        <v>200250E0100</v>
      </c>
      <c r="B435" t="str">
        <f>"200250E01003"</f>
        <v>200250E01003</v>
      </c>
      <c r="C435" t="str">
        <f t="shared" si="26"/>
        <v>20</v>
      </c>
      <c r="D435" t="s">
        <v>81</v>
      </c>
      <c r="E435" t="str">
        <f t="shared" si="28"/>
        <v>039</v>
      </c>
      <c r="F435" t="s">
        <v>513</v>
      </c>
      <c r="G435" t="str">
        <f>"0250"</f>
        <v>0250</v>
      </c>
      <c r="H435" t="str">
        <f>"0001"</f>
        <v>0001</v>
      </c>
      <c r="I435" t="s">
        <v>122</v>
      </c>
      <c r="J435">
        <v>0</v>
      </c>
      <c r="K435">
        <v>1</v>
      </c>
      <c r="L435">
        <v>3</v>
      </c>
      <c r="M435">
        <v>202</v>
      </c>
      <c r="N435">
        <v>403</v>
      </c>
      <c r="O435">
        <v>10</v>
      </c>
      <c r="P435">
        <v>403</v>
      </c>
      <c r="Q435">
        <v>29</v>
      </c>
      <c r="R435">
        <v>41</v>
      </c>
      <c r="S435">
        <v>152</v>
      </c>
      <c r="T435">
        <v>1</v>
      </c>
      <c r="U435">
        <v>23</v>
      </c>
      <c r="V435">
        <v>2</v>
      </c>
      <c r="W435">
        <v>1</v>
      </c>
      <c r="X435">
        <v>122</v>
      </c>
      <c r="Y435">
        <v>24</v>
      </c>
      <c r="Z435">
        <v>2</v>
      </c>
      <c r="AT435">
        <v>1</v>
      </c>
      <c r="AW435">
        <v>0</v>
      </c>
      <c r="AX435">
        <v>5</v>
      </c>
      <c r="AY435">
        <v>403</v>
      </c>
      <c r="AZ435">
        <v>403</v>
      </c>
      <c r="BA435">
        <v>561</v>
      </c>
      <c r="BB435">
        <v>44</v>
      </c>
      <c r="BD435">
        <v>1</v>
      </c>
      <c r="BF435" t="s">
        <v>546</v>
      </c>
      <c r="BG435" s="1">
        <v>44354.063888888886</v>
      </c>
      <c r="BH435" s="1">
        <v>44354.069849537038</v>
      </c>
      <c r="BI435" s="1">
        <v>44354.070335648146</v>
      </c>
      <c r="BJ435" t="s">
        <v>85</v>
      </c>
      <c r="BK435" t="s">
        <v>86</v>
      </c>
      <c r="BL435" t="s">
        <v>87</v>
      </c>
    </row>
    <row r="436" spans="1:64" x14ac:dyDescent="0.3">
      <c r="A436" t="str">
        <f>"200250E0101"</f>
        <v>200250E0101</v>
      </c>
      <c r="B436" t="str">
        <f>"200250E01013"</f>
        <v>200250E01013</v>
      </c>
      <c r="C436" t="str">
        <f t="shared" si="26"/>
        <v>20</v>
      </c>
      <c r="D436" t="s">
        <v>81</v>
      </c>
      <c r="E436" t="str">
        <f t="shared" si="28"/>
        <v>039</v>
      </c>
      <c r="F436" t="s">
        <v>513</v>
      </c>
      <c r="G436" t="str">
        <f>"0250"</f>
        <v>0250</v>
      </c>
      <c r="H436" t="str">
        <f>"0001"</f>
        <v>0001</v>
      </c>
      <c r="I436" t="s">
        <v>122</v>
      </c>
      <c r="J436">
        <v>1</v>
      </c>
      <c r="K436">
        <v>1</v>
      </c>
      <c r="L436">
        <v>3</v>
      </c>
      <c r="M436">
        <v>192</v>
      </c>
      <c r="N436">
        <v>413</v>
      </c>
      <c r="O436">
        <v>10</v>
      </c>
      <c r="P436">
        <v>413</v>
      </c>
      <c r="Q436">
        <v>34</v>
      </c>
      <c r="R436">
        <v>48</v>
      </c>
      <c r="S436">
        <v>111</v>
      </c>
      <c r="T436">
        <v>2</v>
      </c>
      <c r="U436">
        <v>32</v>
      </c>
      <c r="V436">
        <v>4</v>
      </c>
      <c r="W436">
        <v>4</v>
      </c>
      <c r="X436">
        <v>141</v>
      </c>
      <c r="Y436">
        <v>19</v>
      </c>
      <c r="Z436">
        <v>9</v>
      </c>
      <c r="AT436">
        <v>0</v>
      </c>
      <c r="AW436" t="s">
        <v>95</v>
      </c>
      <c r="AX436">
        <v>9</v>
      </c>
      <c r="AY436">
        <v>413</v>
      </c>
      <c r="AZ436">
        <v>413</v>
      </c>
      <c r="BA436">
        <v>561</v>
      </c>
      <c r="BB436">
        <v>44</v>
      </c>
      <c r="BC436" t="s">
        <v>96</v>
      </c>
      <c r="BD436">
        <v>1</v>
      </c>
      <c r="BF436" t="s">
        <v>547</v>
      </c>
      <c r="BG436" s="1">
        <v>44354.053472222222</v>
      </c>
      <c r="BH436" s="1">
        <v>44354.060706018521</v>
      </c>
      <c r="BI436" s="1">
        <v>44354.061168981483</v>
      </c>
      <c r="BJ436" t="s">
        <v>85</v>
      </c>
      <c r="BK436" t="s">
        <v>86</v>
      </c>
      <c r="BL436" t="s">
        <v>87</v>
      </c>
    </row>
    <row r="437" spans="1:64" x14ac:dyDescent="0.3">
      <c r="A437" t="str">
        <f>"200251B0000"</f>
        <v>200251B0000</v>
      </c>
      <c r="B437" t="str">
        <f>"200251B00003"</f>
        <v>200251B00003</v>
      </c>
      <c r="C437" t="str">
        <f t="shared" si="26"/>
        <v>20</v>
      </c>
      <c r="D437" t="s">
        <v>81</v>
      </c>
      <c r="E437" t="str">
        <f t="shared" si="28"/>
        <v>039</v>
      </c>
      <c r="F437" t="s">
        <v>513</v>
      </c>
      <c r="G437" t="str">
        <f>"0251"</f>
        <v>0251</v>
      </c>
      <c r="H437" t="str">
        <f>"0000"</f>
        <v>0000</v>
      </c>
      <c r="I437" t="s">
        <v>83</v>
      </c>
      <c r="J437">
        <v>0</v>
      </c>
      <c r="K437">
        <v>1</v>
      </c>
      <c r="L437">
        <v>3</v>
      </c>
      <c r="M437">
        <v>172</v>
      </c>
      <c r="N437">
        <v>404</v>
      </c>
      <c r="O437">
        <v>7</v>
      </c>
      <c r="P437">
        <v>404</v>
      </c>
      <c r="Q437">
        <v>3</v>
      </c>
      <c r="R437">
        <v>12</v>
      </c>
      <c r="S437">
        <v>219</v>
      </c>
      <c r="T437">
        <v>3</v>
      </c>
      <c r="U437">
        <v>14</v>
      </c>
      <c r="V437">
        <v>13</v>
      </c>
      <c r="W437">
        <v>2</v>
      </c>
      <c r="X437">
        <v>108</v>
      </c>
      <c r="Y437">
        <v>16</v>
      </c>
      <c r="Z437">
        <v>4</v>
      </c>
      <c r="AT437">
        <v>0</v>
      </c>
      <c r="AW437">
        <v>0</v>
      </c>
      <c r="AX437">
        <v>10</v>
      </c>
      <c r="AY437">
        <v>404</v>
      </c>
      <c r="AZ437">
        <v>404</v>
      </c>
      <c r="BA437">
        <v>532</v>
      </c>
      <c r="BB437">
        <v>44</v>
      </c>
      <c r="BD437">
        <v>1</v>
      </c>
      <c r="BF437" t="s">
        <v>548</v>
      </c>
      <c r="BG437" s="1">
        <v>44354.04583333333</v>
      </c>
      <c r="BH437" s="1">
        <v>44354.053449074076</v>
      </c>
      <c r="BI437" s="1">
        <v>44354.054143518515</v>
      </c>
      <c r="BJ437" t="s">
        <v>85</v>
      </c>
      <c r="BK437" t="s">
        <v>86</v>
      </c>
      <c r="BL437" t="s">
        <v>87</v>
      </c>
    </row>
    <row r="438" spans="1:64" x14ac:dyDescent="0.3">
      <c r="A438" t="str">
        <f>"200251C0100"</f>
        <v>200251C0100</v>
      </c>
      <c r="B438" t="str">
        <f>"200251C01003"</f>
        <v>200251C01003</v>
      </c>
      <c r="C438" t="str">
        <f t="shared" si="26"/>
        <v>20</v>
      </c>
      <c r="D438" t="s">
        <v>81</v>
      </c>
      <c r="E438" t="str">
        <f t="shared" si="28"/>
        <v>039</v>
      </c>
      <c r="F438" t="s">
        <v>513</v>
      </c>
      <c r="G438" t="str">
        <f>"0251"</f>
        <v>0251</v>
      </c>
      <c r="H438" t="str">
        <f>"0001"</f>
        <v>0001</v>
      </c>
      <c r="I438" t="s">
        <v>89</v>
      </c>
      <c r="J438">
        <v>0</v>
      </c>
      <c r="K438">
        <v>1</v>
      </c>
      <c r="L438">
        <v>3</v>
      </c>
      <c r="M438">
        <v>172</v>
      </c>
      <c r="N438">
        <v>404</v>
      </c>
      <c r="O438">
        <v>8</v>
      </c>
      <c r="P438">
        <v>404</v>
      </c>
      <c r="Q438">
        <v>5</v>
      </c>
      <c r="R438">
        <v>18</v>
      </c>
      <c r="S438">
        <v>209</v>
      </c>
      <c r="T438">
        <v>0</v>
      </c>
      <c r="U438">
        <v>13</v>
      </c>
      <c r="V438">
        <v>9</v>
      </c>
      <c r="W438">
        <v>1</v>
      </c>
      <c r="X438">
        <v>129</v>
      </c>
      <c r="Y438">
        <v>9</v>
      </c>
      <c r="Z438">
        <v>1</v>
      </c>
      <c r="AT438">
        <v>3</v>
      </c>
      <c r="AW438">
        <v>0</v>
      </c>
      <c r="AX438">
        <v>7</v>
      </c>
      <c r="AY438">
        <v>404</v>
      </c>
      <c r="AZ438">
        <v>404</v>
      </c>
      <c r="BA438">
        <v>532</v>
      </c>
      <c r="BB438">
        <v>44</v>
      </c>
      <c r="BD438">
        <v>1</v>
      </c>
      <c r="BF438" t="s">
        <v>549</v>
      </c>
      <c r="BG438" s="1">
        <v>44354.042361111111</v>
      </c>
      <c r="BH438" s="1">
        <v>44354.050937499997</v>
      </c>
      <c r="BI438" s="1">
        <v>44354.051307870373</v>
      </c>
      <c r="BJ438" t="s">
        <v>85</v>
      </c>
      <c r="BK438" t="s">
        <v>86</v>
      </c>
      <c r="BL438" t="s">
        <v>87</v>
      </c>
    </row>
    <row r="439" spans="1:64" x14ac:dyDescent="0.3">
      <c r="A439" t="str">
        <f>"200251E0100"</f>
        <v>200251E0100</v>
      </c>
      <c r="B439" t="str">
        <f>"200251E01003"</f>
        <v>200251E01003</v>
      </c>
      <c r="C439" t="str">
        <f t="shared" si="26"/>
        <v>20</v>
      </c>
      <c r="D439" t="s">
        <v>81</v>
      </c>
      <c r="E439" t="str">
        <f t="shared" si="28"/>
        <v>039</v>
      </c>
      <c r="F439" t="s">
        <v>513</v>
      </c>
      <c r="G439" t="str">
        <f>"0251"</f>
        <v>0251</v>
      </c>
      <c r="H439" t="str">
        <f>"0001"</f>
        <v>0001</v>
      </c>
      <c r="I439" t="s">
        <v>122</v>
      </c>
      <c r="J439">
        <v>0</v>
      </c>
      <c r="K439">
        <v>1</v>
      </c>
      <c r="L439">
        <v>3</v>
      </c>
      <c r="M439">
        <v>90</v>
      </c>
      <c r="N439">
        <v>199</v>
      </c>
      <c r="O439">
        <v>8</v>
      </c>
      <c r="P439">
        <v>199</v>
      </c>
      <c r="Q439">
        <v>4</v>
      </c>
      <c r="R439">
        <v>50</v>
      </c>
      <c r="S439">
        <v>86</v>
      </c>
      <c r="T439">
        <v>1</v>
      </c>
      <c r="U439">
        <v>4</v>
      </c>
      <c r="V439">
        <v>3</v>
      </c>
      <c r="W439">
        <v>1</v>
      </c>
      <c r="X439">
        <v>35</v>
      </c>
      <c r="Y439">
        <v>8</v>
      </c>
      <c r="Z439">
        <v>0</v>
      </c>
      <c r="AT439">
        <v>0</v>
      </c>
      <c r="AW439">
        <v>0</v>
      </c>
      <c r="AX439">
        <v>7</v>
      </c>
      <c r="AY439">
        <v>199</v>
      </c>
      <c r="AZ439">
        <v>199</v>
      </c>
      <c r="BA439">
        <v>245</v>
      </c>
      <c r="BB439">
        <v>44</v>
      </c>
      <c r="BD439">
        <v>1</v>
      </c>
      <c r="BF439" t="s">
        <v>550</v>
      </c>
      <c r="BG439" s="1">
        <v>44353.943055555559</v>
      </c>
      <c r="BH439" s="1">
        <v>44353.945937500001</v>
      </c>
      <c r="BI439" s="1">
        <v>44353.946562500001</v>
      </c>
      <c r="BJ439" t="s">
        <v>85</v>
      </c>
      <c r="BK439" t="s">
        <v>86</v>
      </c>
      <c r="BL439" t="s">
        <v>87</v>
      </c>
    </row>
    <row r="440" spans="1:64" x14ac:dyDescent="0.3">
      <c r="A440" t="str">
        <f>"200252B0000"</f>
        <v>200252B0000</v>
      </c>
      <c r="B440" t="str">
        <f>"200252B00003"</f>
        <v>200252B00003</v>
      </c>
      <c r="C440" t="str">
        <f t="shared" si="26"/>
        <v>20</v>
      </c>
      <c r="D440" t="s">
        <v>81</v>
      </c>
      <c r="E440" t="str">
        <f t="shared" si="28"/>
        <v>039</v>
      </c>
      <c r="F440" t="s">
        <v>513</v>
      </c>
      <c r="G440" t="str">
        <f>"0252"</f>
        <v>0252</v>
      </c>
      <c r="H440" t="str">
        <f>"0000"</f>
        <v>0000</v>
      </c>
      <c r="I440" t="s">
        <v>83</v>
      </c>
      <c r="J440">
        <v>0</v>
      </c>
      <c r="K440">
        <v>1</v>
      </c>
      <c r="L440">
        <v>3</v>
      </c>
      <c r="M440">
        <v>191</v>
      </c>
      <c r="N440">
        <v>417</v>
      </c>
      <c r="O440">
        <v>1</v>
      </c>
      <c r="P440">
        <v>477</v>
      </c>
      <c r="Q440">
        <v>5</v>
      </c>
      <c r="R440">
        <v>58</v>
      </c>
      <c r="S440">
        <v>144</v>
      </c>
      <c r="T440">
        <v>2</v>
      </c>
      <c r="U440">
        <v>20</v>
      </c>
      <c r="V440">
        <v>3</v>
      </c>
      <c r="W440">
        <v>4</v>
      </c>
      <c r="X440">
        <v>112</v>
      </c>
      <c r="Y440">
        <v>50</v>
      </c>
      <c r="Z440">
        <v>5</v>
      </c>
      <c r="AT440">
        <v>1</v>
      </c>
      <c r="AW440" t="s">
        <v>95</v>
      </c>
      <c r="AX440">
        <v>13</v>
      </c>
      <c r="AY440">
        <v>417</v>
      </c>
      <c r="AZ440">
        <v>417</v>
      </c>
      <c r="BA440">
        <v>564</v>
      </c>
      <c r="BB440">
        <v>44</v>
      </c>
      <c r="BC440" t="s">
        <v>96</v>
      </c>
      <c r="BD440">
        <v>1</v>
      </c>
      <c r="BF440" t="s">
        <v>551</v>
      </c>
      <c r="BG440" s="1">
        <v>44354.084027777775</v>
      </c>
      <c r="BH440" s="1">
        <v>44354.09101851852</v>
      </c>
      <c r="BI440" s="1">
        <v>44354.091481481482</v>
      </c>
      <c r="BJ440" t="s">
        <v>85</v>
      </c>
      <c r="BK440" t="s">
        <v>86</v>
      </c>
      <c r="BL440" t="s">
        <v>87</v>
      </c>
    </row>
    <row r="441" spans="1:64" x14ac:dyDescent="0.3">
      <c r="A441" t="str">
        <f>"200252C0100"</f>
        <v>200252C0100</v>
      </c>
      <c r="B441" t="str">
        <f>"200252C01003"</f>
        <v>200252C01003</v>
      </c>
      <c r="C441" t="str">
        <f t="shared" si="26"/>
        <v>20</v>
      </c>
      <c r="D441" t="s">
        <v>81</v>
      </c>
      <c r="E441" t="str">
        <f t="shared" si="28"/>
        <v>039</v>
      </c>
      <c r="F441" t="s">
        <v>513</v>
      </c>
      <c r="G441" t="str">
        <f>"0252"</f>
        <v>0252</v>
      </c>
      <c r="H441" t="str">
        <f>"0001"</f>
        <v>0001</v>
      </c>
      <c r="I441" t="s">
        <v>89</v>
      </c>
      <c r="J441">
        <v>0</v>
      </c>
      <c r="K441">
        <v>1</v>
      </c>
      <c r="L441">
        <v>3</v>
      </c>
      <c r="M441">
        <v>199</v>
      </c>
      <c r="N441">
        <v>407</v>
      </c>
      <c r="O441">
        <v>1</v>
      </c>
      <c r="P441">
        <v>407</v>
      </c>
      <c r="Q441">
        <v>3</v>
      </c>
      <c r="R441">
        <v>48</v>
      </c>
      <c r="S441">
        <v>117</v>
      </c>
      <c r="T441">
        <v>2</v>
      </c>
      <c r="U441">
        <v>12</v>
      </c>
      <c r="V441">
        <v>5</v>
      </c>
      <c r="W441">
        <v>6</v>
      </c>
      <c r="X441">
        <v>120</v>
      </c>
      <c r="Y441">
        <v>56</v>
      </c>
      <c r="Z441">
        <v>6</v>
      </c>
      <c r="AT441">
        <v>8</v>
      </c>
      <c r="AW441">
        <v>0</v>
      </c>
      <c r="AX441">
        <v>24</v>
      </c>
      <c r="AY441">
        <v>407</v>
      </c>
      <c r="AZ441">
        <v>407</v>
      </c>
      <c r="BA441">
        <v>563</v>
      </c>
      <c r="BB441">
        <v>44</v>
      </c>
      <c r="BD441">
        <v>1</v>
      </c>
      <c r="BF441" t="s">
        <v>552</v>
      </c>
      <c r="BG441" s="1">
        <v>44354.075694444444</v>
      </c>
      <c r="BH441" s="1">
        <v>44354.082233796296</v>
      </c>
      <c r="BI441" s="1">
        <v>44354.082546296297</v>
      </c>
      <c r="BJ441" t="s">
        <v>85</v>
      </c>
      <c r="BK441" t="s">
        <v>86</v>
      </c>
      <c r="BL441" t="s">
        <v>87</v>
      </c>
    </row>
    <row r="442" spans="1:64" x14ac:dyDescent="0.3">
      <c r="A442" t="str">
        <f>"200253B0000"</f>
        <v>200253B0000</v>
      </c>
      <c r="B442" t="str">
        <f>"200253B00003"</f>
        <v>200253B00003</v>
      </c>
      <c r="C442" t="str">
        <f t="shared" si="26"/>
        <v>20</v>
      </c>
      <c r="D442" t="s">
        <v>81</v>
      </c>
      <c r="E442" t="str">
        <f t="shared" si="28"/>
        <v>039</v>
      </c>
      <c r="F442" t="s">
        <v>513</v>
      </c>
      <c r="G442" t="str">
        <f>"0253"</f>
        <v>0253</v>
      </c>
      <c r="H442" t="str">
        <f>"0000"</f>
        <v>0000</v>
      </c>
      <c r="I442" t="s">
        <v>83</v>
      </c>
      <c r="J442">
        <v>0</v>
      </c>
      <c r="K442">
        <v>1</v>
      </c>
      <c r="L442">
        <v>3</v>
      </c>
      <c r="M442">
        <v>156</v>
      </c>
      <c r="N442">
        <v>392</v>
      </c>
      <c r="O442">
        <v>3</v>
      </c>
      <c r="P442">
        <v>392</v>
      </c>
      <c r="Q442">
        <v>1</v>
      </c>
      <c r="R442">
        <v>41</v>
      </c>
      <c r="S442">
        <v>119</v>
      </c>
      <c r="T442">
        <v>2</v>
      </c>
      <c r="U442">
        <v>8</v>
      </c>
      <c r="V442">
        <v>1</v>
      </c>
      <c r="W442">
        <v>4</v>
      </c>
      <c r="X442">
        <v>129</v>
      </c>
      <c r="Y442">
        <v>61</v>
      </c>
      <c r="Z442">
        <v>3</v>
      </c>
      <c r="AT442">
        <v>6</v>
      </c>
      <c r="AW442">
        <v>0</v>
      </c>
      <c r="AX442">
        <v>17</v>
      </c>
      <c r="AY442">
        <v>392</v>
      </c>
      <c r="AZ442">
        <v>392</v>
      </c>
      <c r="BA442">
        <v>504</v>
      </c>
      <c r="BB442">
        <v>44</v>
      </c>
      <c r="BD442">
        <v>1</v>
      </c>
      <c r="BF442" t="s">
        <v>553</v>
      </c>
      <c r="BG442" s="1">
        <v>44354.079861111109</v>
      </c>
      <c r="BH442" s="1">
        <v>44354.088043981479</v>
      </c>
      <c r="BI442" s="1">
        <v>44354.088877314818</v>
      </c>
      <c r="BJ442" t="s">
        <v>85</v>
      </c>
      <c r="BK442" t="s">
        <v>86</v>
      </c>
      <c r="BL442" t="s">
        <v>87</v>
      </c>
    </row>
    <row r="443" spans="1:64" x14ac:dyDescent="0.3">
      <c r="A443" t="str">
        <f>"200253C0100"</f>
        <v>200253C0100</v>
      </c>
      <c r="B443" t="str">
        <f>"200253C01003"</f>
        <v>200253C01003</v>
      </c>
      <c r="C443" t="str">
        <f t="shared" si="26"/>
        <v>20</v>
      </c>
      <c r="D443" t="s">
        <v>81</v>
      </c>
      <c r="E443" t="str">
        <f t="shared" si="28"/>
        <v>039</v>
      </c>
      <c r="F443" t="s">
        <v>513</v>
      </c>
      <c r="G443" t="str">
        <f>"0253"</f>
        <v>0253</v>
      </c>
      <c r="H443" t="str">
        <f>"0001"</f>
        <v>0001</v>
      </c>
      <c r="I443" t="s">
        <v>89</v>
      </c>
      <c r="J443">
        <v>0</v>
      </c>
      <c r="K443">
        <v>1</v>
      </c>
      <c r="L443">
        <v>3</v>
      </c>
      <c r="M443">
        <v>159</v>
      </c>
      <c r="N443">
        <v>388</v>
      </c>
      <c r="O443">
        <v>4</v>
      </c>
      <c r="P443">
        <v>388</v>
      </c>
      <c r="Q443">
        <v>3</v>
      </c>
      <c r="R443">
        <v>54</v>
      </c>
      <c r="S443">
        <v>91</v>
      </c>
      <c r="T443">
        <v>2</v>
      </c>
      <c r="U443">
        <v>11</v>
      </c>
      <c r="V443">
        <v>4</v>
      </c>
      <c r="W443">
        <v>7</v>
      </c>
      <c r="X443">
        <v>104</v>
      </c>
      <c r="Y443">
        <v>83</v>
      </c>
      <c r="Z443">
        <v>2</v>
      </c>
      <c r="AT443">
        <v>11</v>
      </c>
      <c r="AW443">
        <v>0</v>
      </c>
      <c r="AX443">
        <v>16</v>
      </c>
      <c r="AY443">
        <v>388</v>
      </c>
      <c r="AZ443">
        <v>388</v>
      </c>
      <c r="BA443">
        <v>503</v>
      </c>
      <c r="BB443">
        <v>44</v>
      </c>
      <c r="BD443">
        <v>1</v>
      </c>
      <c r="BF443" t="s">
        <v>554</v>
      </c>
      <c r="BG443" s="1">
        <v>44354.088194444441</v>
      </c>
      <c r="BH443" s="1">
        <v>44354.095266203702</v>
      </c>
      <c r="BI443" s="1">
        <v>44354.095659722225</v>
      </c>
      <c r="BJ443" t="s">
        <v>85</v>
      </c>
      <c r="BK443" t="s">
        <v>86</v>
      </c>
      <c r="BL443" t="s">
        <v>87</v>
      </c>
    </row>
    <row r="444" spans="1:64" x14ac:dyDescent="0.3">
      <c r="A444" t="str">
        <f>"200254B0000"</f>
        <v>200254B0000</v>
      </c>
      <c r="B444" t="str">
        <f>"200254B00003"</f>
        <v>200254B00003</v>
      </c>
      <c r="C444" t="str">
        <f t="shared" si="26"/>
        <v>20</v>
      </c>
      <c r="D444" t="s">
        <v>81</v>
      </c>
      <c r="E444" t="str">
        <f t="shared" si="28"/>
        <v>039</v>
      </c>
      <c r="F444" t="s">
        <v>513</v>
      </c>
      <c r="G444" t="str">
        <f>"0254"</f>
        <v>0254</v>
      </c>
      <c r="H444" t="str">
        <f>"0000"</f>
        <v>0000</v>
      </c>
      <c r="I444" t="s">
        <v>83</v>
      </c>
      <c r="J444">
        <v>0</v>
      </c>
      <c r="K444">
        <v>1</v>
      </c>
      <c r="L444">
        <v>3</v>
      </c>
      <c r="M444">
        <v>181</v>
      </c>
      <c r="N444" t="s">
        <v>92</v>
      </c>
      <c r="O444">
        <v>5</v>
      </c>
      <c r="P444">
        <v>371</v>
      </c>
      <c r="Q444">
        <v>16</v>
      </c>
      <c r="R444">
        <v>14</v>
      </c>
      <c r="S444">
        <v>133</v>
      </c>
      <c r="T444">
        <v>2</v>
      </c>
      <c r="U444">
        <v>15</v>
      </c>
      <c r="V444">
        <v>4</v>
      </c>
      <c r="W444">
        <v>0</v>
      </c>
      <c r="X444">
        <v>153</v>
      </c>
      <c r="Y444">
        <v>14</v>
      </c>
      <c r="Z444">
        <v>5</v>
      </c>
      <c r="AT444">
        <v>0</v>
      </c>
      <c r="AW444">
        <v>0</v>
      </c>
      <c r="AX444">
        <v>15</v>
      </c>
      <c r="AY444">
        <v>371</v>
      </c>
      <c r="AZ444">
        <v>371</v>
      </c>
      <c r="BA444">
        <v>508</v>
      </c>
      <c r="BB444">
        <v>44</v>
      </c>
      <c r="BD444">
        <v>1</v>
      </c>
      <c r="BF444" t="s">
        <v>555</v>
      </c>
      <c r="BG444" s="1">
        <v>44354.059444444443</v>
      </c>
      <c r="BH444" s="1">
        <v>44354.087094907409</v>
      </c>
      <c r="BI444" s="1">
        <v>44354.087650462963</v>
      </c>
      <c r="BJ444" t="s">
        <v>197</v>
      </c>
      <c r="BK444" t="s">
        <v>198</v>
      </c>
      <c r="BL444" t="s">
        <v>87</v>
      </c>
    </row>
    <row r="445" spans="1:64" x14ac:dyDescent="0.3">
      <c r="A445" t="str">
        <f>"200258B0000"</f>
        <v>200258B0000</v>
      </c>
      <c r="B445" t="str">
        <f>"200258B00003"</f>
        <v>200258B00003</v>
      </c>
      <c r="C445" t="str">
        <f t="shared" si="26"/>
        <v>20</v>
      </c>
      <c r="D445" t="s">
        <v>81</v>
      </c>
      <c r="E445" t="str">
        <f t="shared" ref="E445:E487" si="29">"041"</f>
        <v>041</v>
      </c>
      <c r="F445" t="s">
        <v>556</v>
      </c>
      <c r="G445" t="str">
        <f>"0258"</f>
        <v>0258</v>
      </c>
      <c r="H445" t="str">
        <f>"0000"</f>
        <v>0000</v>
      </c>
      <c r="I445" t="s">
        <v>83</v>
      </c>
      <c r="J445">
        <v>0</v>
      </c>
      <c r="K445">
        <v>1</v>
      </c>
      <c r="L445">
        <v>3</v>
      </c>
      <c r="BA445">
        <v>650</v>
      </c>
      <c r="BB445">
        <v>46</v>
      </c>
      <c r="BC445" t="s">
        <v>381</v>
      </c>
      <c r="BD445">
        <v>0</v>
      </c>
      <c r="BF445" t="s">
        <v>557</v>
      </c>
      <c r="BG445" s="1">
        <v>44354.513194444444</v>
      </c>
      <c r="BH445" s="1">
        <v>44354.514224537037</v>
      </c>
      <c r="BI445" s="1">
        <v>44354.514224537037</v>
      </c>
      <c r="BJ445" t="s">
        <v>85</v>
      </c>
      <c r="BK445" t="s">
        <v>86</v>
      </c>
      <c r="BL445" t="s">
        <v>87</v>
      </c>
    </row>
    <row r="446" spans="1:64" x14ac:dyDescent="0.3">
      <c r="A446" t="str">
        <f>"200258C0100"</f>
        <v>200258C0100</v>
      </c>
      <c r="B446" t="str">
        <f>"200258C01003"</f>
        <v>200258C01003</v>
      </c>
      <c r="C446" t="str">
        <f t="shared" si="26"/>
        <v>20</v>
      </c>
      <c r="D446" t="s">
        <v>81</v>
      </c>
      <c r="E446" t="str">
        <f t="shared" si="29"/>
        <v>041</v>
      </c>
      <c r="F446" t="s">
        <v>556</v>
      </c>
      <c r="G446" t="str">
        <f>"0258"</f>
        <v>0258</v>
      </c>
      <c r="H446" t="str">
        <f>"0001"</f>
        <v>0001</v>
      </c>
      <c r="I446" t="s">
        <v>89</v>
      </c>
      <c r="J446">
        <v>0</v>
      </c>
      <c r="K446">
        <v>1</v>
      </c>
      <c r="L446">
        <v>3</v>
      </c>
      <c r="M446">
        <v>233</v>
      </c>
      <c r="N446">
        <v>462</v>
      </c>
      <c r="O446">
        <v>1</v>
      </c>
      <c r="P446" t="s">
        <v>92</v>
      </c>
      <c r="Q446">
        <v>4</v>
      </c>
      <c r="R446">
        <v>112</v>
      </c>
      <c r="S446">
        <v>1</v>
      </c>
      <c r="T446">
        <v>2</v>
      </c>
      <c r="U446">
        <v>106</v>
      </c>
      <c r="V446">
        <v>8</v>
      </c>
      <c r="W446">
        <v>7</v>
      </c>
      <c r="X446">
        <v>138</v>
      </c>
      <c r="Y446">
        <v>2</v>
      </c>
      <c r="Z446">
        <v>1</v>
      </c>
      <c r="AA446">
        <v>3</v>
      </c>
      <c r="AB446">
        <v>16</v>
      </c>
      <c r="AC446">
        <v>49</v>
      </c>
      <c r="AF446">
        <v>2</v>
      </c>
      <c r="AG446">
        <v>0</v>
      </c>
      <c r="AH446">
        <v>0</v>
      </c>
      <c r="AI446">
        <v>0</v>
      </c>
      <c r="AW446">
        <v>0</v>
      </c>
      <c r="AX446">
        <v>9</v>
      </c>
      <c r="AY446">
        <v>460</v>
      </c>
      <c r="AZ446">
        <v>460</v>
      </c>
      <c r="BA446">
        <v>649</v>
      </c>
      <c r="BB446">
        <v>46</v>
      </c>
      <c r="BD446">
        <v>1</v>
      </c>
      <c r="BF446" t="s">
        <v>558</v>
      </c>
      <c r="BG446" s="1">
        <v>44354.052083333336</v>
      </c>
      <c r="BH446" s="1">
        <v>44354.069456018522</v>
      </c>
      <c r="BI446" s="1">
        <v>44354.070104166669</v>
      </c>
      <c r="BJ446" t="s">
        <v>85</v>
      </c>
      <c r="BK446" t="s">
        <v>86</v>
      </c>
      <c r="BL446" t="s">
        <v>87</v>
      </c>
    </row>
    <row r="447" spans="1:64" x14ac:dyDescent="0.3">
      <c r="A447" t="str">
        <f>"200258C0200"</f>
        <v>200258C0200</v>
      </c>
      <c r="B447" t="str">
        <f>"200258C02003"</f>
        <v>200258C02003</v>
      </c>
      <c r="C447" t="str">
        <f t="shared" si="26"/>
        <v>20</v>
      </c>
      <c r="D447" t="s">
        <v>81</v>
      </c>
      <c r="E447" t="str">
        <f t="shared" si="29"/>
        <v>041</v>
      </c>
      <c r="F447" t="s">
        <v>556</v>
      </c>
      <c r="G447" t="str">
        <f>"0258"</f>
        <v>0258</v>
      </c>
      <c r="H447" t="str">
        <f>"0002"</f>
        <v>0002</v>
      </c>
      <c r="I447" t="s">
        <v>89</v>
      </c>
      <c r="J447">
        <v>0</v>
      </c>
      <c r="K447">
        <v>1</v>
      </c>
      <c r="L447">
        <v>3</v>
      </c>
      <c r="M447">
        <v>470</v>
      </c>
      <c r="N447">
        <v>471</v>
      </c>
      <c r="O447">
        <v>1</v>
      </c>
      <c r="P447" t="s">
        <v>92</v>
      </c>
      <c r="Q447">
        <v>2</v>
      </c>
      <c r="R447">
        <v>118</v>
      </c>
      <c r="S447">
        <v>1</v>
      </c>
      <c r="T447">
        <v>3</v>
      </c>
      <c r="U447">
        <v>114</v>
      </c>
      <c r="V447">
        <v>6</v>
      </c>
      <c r="W447">
        <v>2</v>
      </c>
      <c r="X447">
        <v>151</v>
      </c>
      <c r="Y447">
        <v>1</v>
      </c>
      <c r="Z447">
        <v>1</v>
      </c>
      <c r="AA447">
        <v>3</v>
      </c>
      <c r="AB447">
        <v>19</v>
      </c>
      <c r="AC447">
        <v>40</v>
      </c>
      <c r="AF447">
        <v>0</v>
      </c>
      <c r="AG447">
        <v>1</v>
      </c>
      <c r="AH447">
        <v>0</v>
      </c>
      <c r="AI447">
        <v>1</v>
      </c>
      <c r="AW447">
        <v>0</v>
      </c>
      <c r="AX447">
        <v>7</v>
      </c>
      <c r="AY447">
        <v>470</v>
      </c>
      <c r="AZ447">
        <v>470</v>
      </c>
      <c r="BA447">
        <v>649</v>
      </c>
      <c r="BB447">
        <v>46</v>
      </c>
      <c r="BD447">
        <v>1</v>
      </c>
      <c r="BF447" t="s">
        <v>559</v>
      </c>
      <c r="BG447" s="1">
        <v>44354.055555555555</v>
      </c>
      <c r="BH447" s="1">
        <v>44354.069548611114</v>
      </c>
      <c r="BI447" s="1">
        <v>44354.070034722223</v>
      </c>
      <c r="BJ447" t="s">
        <v>85</v>
      </c>
      <c r="BK447" t="s">
        <v>86</v>
      </c>
      <c r="BL447" t="s">
        <v>87</v>
      </c>
    </row>
    <row r="448" spans="1:64" x14ac:dyDescent="0.3">
      <c r="A448" t="str">
        <f>"200259B0000"</f>
        <v>200259B0000</v>
      </c>
      <c r="B448" t="str">
        <f>"200259B00003"</f>
        <v>200259B00003</v>
      </c>
      <c r="C448" t="str">
        <f t="shared" si="26"/>
        <v>20</v>
      </c>
      <c r="D448" t="s">
        <v>81</v>
      </c>
      <c r="E448" t="str">
        <f t="shared" si="29"/>
        <v>041</v>
      </c>
      <c r="F448" t="s">
        <v>556</v>
      </c>
      <c r="G448" t="str">
        <f>"0259"</f>
        <v>0259</v>
      </c>
      <c r="H448" t="str">
        <f>"0000"</f>
        <v>0000</v>
      </c>
      <c r="I448" t="s">
        <v>83</v>
      </c>
      <c r="J448">
        <v>0</v>
      </c>
      <c r="K448">
        <v>1</v>
      </c>
      <c r="L448">
        <v>3</v>
      </c>
      <c r="M448">
        <v>177</v>
      </c>
      <c r="N448">
        <v>363</v>
      </c>
      <c r="O448">
        <v>8</v>
      </c>
      <c r="P448">
        <v>363</v>
      </c>
      <c r="Q448">
        <v>8</v>
      </c>
      <c r="R448">
        <v>105</v>
      </c>
      <c r="S448">
        <v>0</v>
      </c>
      <c r="T448">
        <v>0</v>
      </c>
      <c r="U448">
        <v>62</v>
      </c>
      <c r="V448">
        <v>2</v>
      </c>
      <c r="W448">
        <v>6</v>
      </c>
      <c r="X448">
        <v>149</v>
      </c>
      <c r="Y448">
        <v>0</v>
      </c>
      <c r="Z448">
        <v>0</v>
      </c>
      <c r="AA448">
        <v>5</v>
      </c>
      <c r="AB448">
        <v>9</v>
      </c>
      <c r="AC448">
        <v>13</v>
      </c>
      <c r="AF448">
        <v>1</v>
      </c>
      <c r="AG448">
        <v>0</v>
      </c>
      <c r="AH448">
        <v>0</v>
      </c>
      <c r="AI448">
        <v>0</v>
      </c>
      <c r="AW448">
        <v>1</v>
      </c>
      <c r="AX448">
        <v>2</v>
      </c>
      <c r="AY448">
        <v>363</v>
      </c>
      <c r="AZ448">
        <v>363</v>
      </c>
      <c r="BA448">
        <v>494</v>
      </c>
      <c r="BB448">
        <v>46</v>
      </c>
      <c r="BD448">
        <v>1</v>
      </c>
      <c r="BF448" t="s">
        <v>560</v>
      </c>
      <c r="BG448" s="1">
        <v>44354.050694444442</v>
      </c>
      <c r="BH448" s="1">
        <v>44354.067210648151</v>
      </c>
      <c r="BI448" s="1">
        <v>44354.067870370367</v>
      </c>
      <c r="BJ448" t="s">
        <v>85</v>
      </c>
      <c r="BK448" t="s">
        <v>86</v>
      </c>
      <c r="BL448" t="s">
        <v>87</v>
      </c>
    </row>
    <row r="449" spans="1:64" x14ac:dyDescent="0.3">
      <c r="A449" t="str">
        <f>"200259C0100"</f>
        <v>200259C0100</v>
      </c>
      <c r="B449" t="str">
        <f>"200259C01003"</f>
        <v>200259C01003</v>
      </c>
      <c r="C449" t="str">
        <f t="shared" si="26"/>
        <v>20</v>
      </c>
      <c r="D449" t="s">
        <v>81</v>
      </c>
      <c r="E449" t="str">
        <f t="shared" si="29"/>
        <v>041</v>
      </c>
      <c r="F449" t="s">
        <v>556</v>
      </c>
      <c r="G449" t="str">
        <f>"0259"</f>
        <v>0259</v>
      </c>
      <c r="H449" t="str">
        <f>"0001"</f>
        <v>0001</v>
      </c>
      <c r="I449" t="s">
        <v>89</v>
      </c>
      <c r="J449">
        <v>0</v>
      </c>
      <c r="K449">
        <v>1</v>
      </c>
      <c r="L449">
        <v>3</v>
      </c>
      <c r="M449">
        <v>198</v>
      </c>
      <c r="N449">
        <v>341</v>
      </c>
      <c r="O449">
        <v>2</v>
      </c>
      <c r="P449">
        <v>323</v>
      </c>
      <c r="Q449">
        <v>1</v>
      </c>
      <c r="R449">
        <v>91</v>
      </c>
      <c r="S449">
        <v>2</v>
      </c>
      <c r="T449">
        <v>0</v>
      </c>
      <c r="U449">
        <v>65</v>
      </c>
      <c r="V449">
        <v>4</v>
      </c>
      <c r="W449">
        <v>3</v>
      </c>
      <c r="X449">
        <v>145</v>
      </c>
      <c r="Y449">
        <v>1</v>
      </c>
      <c r="Z449">
        <v>1</v>
      </c>
      <c r="AA449">
        <v>1</v>
      </c>
      <c r="AB449">
        <v>7</v>
      </c>
      <c r="AC449">
        <v>2</v>
      </c>
      <c r="AF449">
        <v>1</v>
      </c>
      <c r="AG449">
        <v>1</v>
      </c>
      <c r="AH449">
        <v>0</v>
      </c>
      <c r="AI449">
        <v>0</v>
      </c>
      <c r="AW449">
        <v>0</v>
      </c>
      <c r="AX449">
        <v>6</v>
      </c>
      <c r="AY449">
        <v>323</v>
      </c>
      <c r="AZ449">
        <v>331</v>
      </c>
      <c r="BA449">
        <v>493</v>
      </c>
      <c r="BB449">
        <v>46</v>
      </c>
      <c r="BD449">
        <v>1</v>
      </c>
      <c r="BF449" t="s">
        <v>561</v>
      </c>
      <c r="BG449" s="1">
        <v>44354.047222222223</v>
      </c>
      <c r="BH449" s="1">
        <v>44354.063750000001</v>
      </c>
      <c r="BI449" s="1">
        <v>44354.064351851855</v>
      </c>
      <c r="BJ449" t="s">
        <v>85</v>
      </c>
      <c r="BK449" t="s">
        <v>86</v>
      </c>
      <c r="BL449" t="s">
        <v>87</v>
      </c>
    </row>
    <row r="450" spans="1:64" x14ac:dyDescent="0.3">
      <c r="A450" t="str">
        <f>"200260B0000"</f>
        <v>200260B0000</v>
      </c>
      <c r="B450" t="str">
        <f>"200260B00003"</f>
        <v>200260B00003</v>
      </c>
      <c r="C450" t="str">
        <f t="shared" si="26"/>
        <v>20</v>
      </c>
      <c r="D450" t="s">
        <v>81</v>
      </c>
      <c r="E450" t="str">
        <f t="shared" si="29"/>
        <v>041</v>
      </c>
      <c r="F450" t="s">
        <v>556</v>
      </c>
      <c r="G450" t="str">
        <f>"0260"</f>
        <v>0260</v>
      </c>
      <c r="H450" t="str">
        <f>"0000"</f>
        <v>0000</v>
      </c>
      <c r="I450" t="s">
        <v>83</v>
      </c>
      <c r="J450">
        <v>0</v>
      </c>
      <c r="K450">
        <v>1</v>
      </c>
      <c r="L450">
        <v>3</v>
      </c>
      <c r="M450">
        <v>148</v>
      </c>
      <c r="N450">
        <v>290</v>
      </c>
      <c r="O450">
        <v>12</v>
      </c>
      <c r="P450">
        <v>290</v>
      </c>
      <c r="Q450">
        <v>3</v>
      </c>
      <c r="R450">
        <v>61</v>
      </c>
      <c r="S450">
        <v>1</v>
      </c>
      <c r="T450">
        <v>2</v>
      </c>
      <c r="U450">
        <v>43</v>
      </c>
      <c r="V450">
        <v>3</v>
      </c>
      <c r="W450">
        <v>2</v>
      </c>
      <c r="X450">
        <v>136</v>
      </c>
      <c r="Y450">
        <v>1</v>
      </c>
      <c r="Z450">
        <v>0</v>
      </c>
      <c r="AA450">
        <v>3</v>
      </c>
      <c r="AB450">
        <v>21</v>
      </c>
      <c r="AC450">
        <v>5</v>
      </c>
      <c r="AF450">
        <v>1</v>
      </c>
      <c r="AG450">
        <v>0</v>
      </c>
      <c r="AH450">
        <v>0</v>
      </c>
      <c r="AI450">
        <v>0</v>
      </c>
      <c r="AW450">
        <v>1</v>
      </c>
      <c r="AX450">
        <v>7</v>
      </c>
      <c r="AY450">
        <v>290</v>
      </c>
      <c r="AZ450">
        <v>290</v>
      </c>
      <c r="BA450">
        <v>392</v>
      </c>
      <c r="BB450">
        <v>46</v>
      </c>
      <c r="BD450">
        <v>1</v>
      </c>
      <c r="BF450" t="s">
        <v>562</v>
      </c>
      <c r="BG450" s="1">
        <v>44353.802083333336</v>
      </c>
      <c r="BH450" s="1">
        <v>44354.065682870372</v>
      </c>
      <c r="BI450" s="1">
        <v>44354.066203703704</v>
      </c>
      <c r="BJ450" t="s">
        <v>85</v>
      </c>
      <c r="BK450" t="s">
        <v>86</v>
      </c>
      <c r="BL450" t="s">
        <v>87</v>
      </c>
    </row>
    <row r="451" spans="1:64" x14ac:dyDescent="0.3">
      <c r="A451" t="str">
        <f>"200260C0100"</f>
        <v>200260C0100</v>
      </c>
      <c r="B451" t="str">
        <f>"200260C01003"</f>
        <v>200260C01003</v>
      </c>
      <c r="C451" t="str">
        <f t="shared" si="26"/>
        <v>20</v>
      </c>
      <c r="D451" t="s">
        <v>81</v>
      </c>
      <c r="E451" t="str">
        <f t="shared" si="29"/>
        <v>041</v>
      </c>
      <c r="F451" t="s">
        <v>556</v>
      </c>
      <c r="G451" t="str">
        <f>"0260"</f>
        <v>0260</v>
      </c>
      <c r="H451" t="str">
        <f>"0001"</f>
        <v>0001</v>
      </c>
      <c r="I451" t="s">
        <v>89</v>
      </c>
      <c r="J451">
        <v>0</v>
      </c>
      <c r="K451">
        <v>1</v>
      </c>
      <c r="L451">
        <v>3</v>
      </c>
      <c r="M451">
        <v>168</v>
      </c>
      <c r="N451">
        <v>270</v>
      </c>
      <c r="O451">
        <v>8</v>
      </c>
      <c r="P451" t="s">
        <v>92</v>
      </c>
      <c r="Q451">
        <v>0</v>
      </c>
      <c r="R451">
        <v>64</v>
      </c>
      <c r="S451">
        <v>0</v>
      </c>
      <c r="T451">
        <v>1</v>
      </c>
      <c r="U451">
        <v>40</v>
      </c>
      <c r="V451">
        <v>2</v>
      </c>
      <c r="W451">
        <v>2</v>
      </c>
      <c r="X451">
        <v>122</v>
      </c>
      <c r="Y451">
        <v>0</v>
      </c>
      <c r="Z451">
        <v>3</v>
      </c>
      <c r="AA451">
        <v>1</v>
      </c>
      <c r="AB451">
        <v>12</v>
      </c>
      <c r="AC451">
        <v>15</v>
      </c>
      <c r="AF451">
        <v>0</v>
      </c>
      <c r="AG451">
        <v>0</v>
      </c>
      <c r="AH451">
        <v>0</v>
      </c>
      <c r="AI451">
        <v>0</v>
      </c>
      <c r="AW451">
        <v>0</v>
      </c>
      <c r="AX451">
        <v>8</v>
      </c>
      <c r="AY451">
        <v>270</v>
      </c>
      <c r="AZ451">
        <v>270</v>
      </c>
      <c r="BA451">
        <v>392</v>
      </c>
      <c r="BB451">
        <v>46</v>
      </c>
      <c r="BD451">
        <v>1</v>
      </c>
      <c r="BF451" t="s">
        <v>563</v>
      </c>
      <c r="BG451" s="1">
        <v>44354.042361111111</v>
      </c>
      <c r="BH451" s="1">
        <v>44354.059398148151</v>
      </c>
      <c r="BI451" s="1">
        <v>44354.059618055559</v>
      </c>
      <c r="BJ451" t="s">
        <v>85</v>
      </c>
      <c r="BK451" t="s">
        <v>86</v>
      </c>
      <c r="BL451" t="s">
        <v>87</v>
      </c>
    </row>
    <row r="452" spans="1:64" x14ac:dyDescent="0.3">
      <c r="A452" t="str">
        <f>"200261B0000"</f>
        <v>200261B0000</v>
      </c>
      <c r="B452" t="str">
        <f>"200261B00003"</f>
        <v>200261B00003</v>
      </c>
      <c r="C452" t="str">
        <f t="shared" si="26"/>
        <v>20</v>
      </c>
      <c r="D452" t="s">
        <v>81</v>
      </c>
      <c r="E452" t="str">
        <f t="shared" si="29"/>
        <v>041</v>
      </c>
      <c r="F452" t="s">
        <v>556</v>
      </c>
      <c r="G452" t="str">
        <f>"0261"</f>
        <v>0261</v>
      </c>
      <c r="H452" t="str">
        <f>"0000"</f>
        <v>0000</v>
      </c>
      <c r="I452" t="s">
        <v>83</v>
      </c>
      <c r="J452">
        <v>0</v>
      </c>
      <c r="K452">
        <v>1</v>
      </c>
      <c r="L452">
        <v>3</v>
      </c>
      <c r="M452" t="s">
        <v>131</v>
      </c>
      <c r="N452" t="s">
        <v>131</v>
      </c>
      <c r="O452" t="s">
        <v>131</v>
      </c>
      <c r="P452" t="s">
        <v>131</v>
      </c>
      <c r="Q452">
        <v>2</v>
      </c>
      <c r="R452">
        <v>123</v>
      </c>
      <c r="S452">
        <v>4</v>
      </c>
      <c r="T452" t="s">
        <v>131</v>
      </c>
      <c r="U452">
        <v>70</v>
      </c>
      <c r="V452" t="s">
        <v>95</v>
      </c>
      <c r="W452" t="s">
        <v>95</v>
      </c>
      <c r="X452">
        <v>197</v>
      </c>
      <c r="Y452" t="s">
        <v>95</v>
      </c>
      <c r="Z452" t="s">
        <v>131</v>
      </c>
      <c r="AA452" t="s">
        <v>95</v>
      </c>
      <c r="AB452" t="s">
        <v>131</v>
      </c>
      <c r="AC452">
        <v>51</v>
      </c>
      <c r="AF452" t="s">
        <v>95</v>
      </c>
      <c r="AG452">
        <v>1</v>
      </c>
      <c r="AH452">
        <v>0</v>
      </c>
      <c r="AI452">
        <v>0</v>
      </c>
      <c r="AW452">
        <v>1</v>
      </c>
      <c r="AX452" t="s">
        <v>95</v>
      </c>
      <c r="AY452" t="s">
        <v>131</v>
      </c>
      <c r="AZ452">
        <v>449</v>
      </c>
      <c r="BA452">
        <v>616</v>
      </c>
      <c r="BB452">
        <v>46</v>
      </c>
      <c r="BC452" t="s">
        <v>96</v>
      </c>
      <c r="BD452">
        <v>1</v>
      </c>
      <c r="BF452" t="s">
        <v>564</v>
      </c>
      <c r="BG452" s="1">
        <v>44354.071527777778</v>
      </c>
      <c r="BH452" s="1">
        <v>44354.100763888891</v>
      </c>
      <c r="BI452" s="1">
        <v>44354.103622685187</v>
      </c>
      <c r="BJ452" t="s">
        <v>85</v>
      </c>
      <c r="BK452" t="s">
        <v>86</v>
      </c>
      <c r="BL452" t="s">
        <v>87</v>
      </c>
    </row>
    <row r="453" spans="1:64" x14ac:dyDescent="0.3">
      <c r="A453" t="str">
        <f>"200261C0100"</f>
        <v>200261C0100</v>
      </c>
      <c r="B453" t="str">
        <f>"200261C01003"</f>
        <v>200261C01003</v>
      </c>
      <c r="C453" t="str">
        <f t="shared" si="26"/>
        <v>20</v>
      </c>
      <c r="D453" t="s">
        <v>81</v>
      </c>
      <c r="E453" t="str">
        <f t="shared" si="29"/>
        <v>041</v>
      </c>
      <c r="F453" t="s">
        <v>556</v>
      </c>
      <c r="G453" t="str">
        <f>"0261"</f>
        <v>0261</v>
      </c>
      <c r="H453" t="str">
        <f>"0001"</f>
        <v>0001</v>
      </c>
      <c r="I453" t="s">
        <v>89</v>
      </c>
      <c r="J453">
        <v>0</v>
      </c>
      <c r="K453">
        <v>1</v>
      </c>
      <c r="L453">
        <v>3</v>
      </c>
      <c r="M453">
        <v>185</v>
      </c>
      <c r="N453">
        <v>477</v>
      </c>
      <c r="O453">
        <v>2</v>
      </c>
      <c r="P453">
        <v>475</v>
      </c>
      <c r="Q453">
        <v>4</v>
      </c>
      <c r="R453">
        <v>112</v>
      </c>
      <c r="S453">
        <v>2</v>
      </c>
      <c r="T453">
        <v>0</v>
      </c>
      <c r="U453">
        <v>77</v>
      </c>
      <c r="V453">
        <v>2</v>
      </c>
      <c r="W453">
        <v>2</v>
      </c>
      <c r="X453">
        <v>213</v>
      </c>
      <c r="Y453">
        <v>0</v>
      </c>
      <c r="Z453">
        <v>2</v>
      </c>
      <c r="AA453">
        <v>3</v>
      </c>
      <c r="AB453">
        <v>8</v>
      </c>
      <c r="AC453">
        <v>41</v>
      </c>
      <c r="AF453">
        <v>3</v>
      </c>
      <c r="AG453">
        <v>0</v>
      </c>
      <c r="AH453">
        <v>0</v>
      </c>
      <c r="AI453">
        <v>0</v>
      </c>
      <c r="AW453">
        <v>0</v>
      </c>
      <c r="AX453">
        <v>8</v>
      </c>
      <c r="AY453">
        <v>475</v>
      </c>
      <c r="AZ453">
        <v>477</v>
      </c>
      <c r="BA453">
        <v>616</v>
      </c>
      <c r="BB453">
        <v>46</v>
      </c>
      <c r="BD453">
        <v>1</v>
      </c>
      <c r="BF453" t="s">
        <v>565</v>
      </c>
      <c r="BG453" s="1">
        <v>44354.085416666669</v>
      </c>
      <c r="BH453" s="1">
        <v>44354.092673611114</v>
      </c>
      <c r="BI453" s="1">
        <v>44354.093321759261</v>
      </c>
      <c r="BJ453" t="s">
        <v>85</v>
      </c>
      <c r="BK453" t="s">
        <v>86</v>
      </c>
      <c r="BL453" t="s">
        <v>87</v>
      </c>
    </row>
    <row r="454" spans="1:64" x14ac:dyDescent="0.3">
      <c r="A454" t="str">
        <f>"200262B0000"</f>
        <v>200262B0000</v>
      </c>
      <c r="B454" t="str">
        <f>"200262B00003"</f>
        <v>200262B00003</v>
      </c>
      <c r="C454" t="str">
        <f t="shared" si="26"/>
        <v>20</v>
      </c>
      <c r="D454" t="s">
        <v>81</v>
      </c>
      <c r="E454" t="str">
        <f t="shared" si="29"/>
        <v>041</v>
      </c>
      <c r="F454" t="s">
        <v>556</v>
      </c>
      <c r="G454" t="str">
        <f>"0262"</f>
        <v>0262</v>
      </c>
      <c r="H454" t="str">
        <f>"0000"</f>
        <v>0000</v>
      </c>
      <c r="I454" t="s">
        <v>83</v>
      </c>
      <c r="J454">
        <v>0</v>
      </c>
      <c r="K454">
        <v>1</v>
      </c>
      <c r="L454">
        <v>3</v>
      </c>
      <c r="M454">
        <v>206</v>
      </c>
      <c r="N454">
        <v>396</v>
      </c>
      <c r="O454">
        <v>5</v>
      </c>
      <c r="P454">
        <v>396</v>
      </c>
      <c r="Q454">
        <v>1</v>
      </c>
      <c r="R454">
        <v>109</v>
      </c>
      <c r="S454">
        <v>0</v>
      </c>
      <c r="T454">
        <v>0</v>
      </c>
      <c r="U454">
        <v>52</v>
      </c>
      <c r="V454">
        <v>1</v>
      </c>
      <c r="W454">
        <v>4</v>
      </c>
      <c r="X454">
        <v>160</v>
      </c>
      <c r="Y454">
        <v>1</v>
      </c>
      <c r="Z454">
        <v>1</v>
      </c>
      <c r="AA454">
        <v>2</v>
      </c>
      <c r="AB454">
        <v>21</v>
      </c>
      <c r="AC454">
        <v>37</v>
      </c>
      <c r="AF454" t="s">
        <v>95</v>
      </c>
      <c r="AG454" t="s">
        <v>95</v>
      </c>
      <c r="AH454" t="s">
        <v>95</v>
      </c>
      <c r="AI454" t="s">
        <v>95</v>
      </c>
      <c r="AW454" t="s">
        <v>95</v>
      </c>
      <c r="AX454">
        <v>7</v>
      </c>
      <c r="AY454">
        <v>396</v>
      </c>
      <c r="AZ454">
        <v>396</v>
      </c>
      <c r="BA454">
        <v>556</v>
      </c>
      <c r="BB454">
        <v>46</v>
      </c>
      <c r="BC454" t="s">
        <v>96</v>
      </c>
      <c r="BD454">
        <v>1</v>
      </c>
      <c r="BF454" t="s">
        <v>566</v>
      </c>
      <c r="BG454" s="1">
        <v>44354.071527777778</v>
      </c>
      <c r="BH454" s="1">
        <v>44354.082152777781</v>
      </c>
      <c r="BI454" s="1">
        <v>44354.083425925928</v>
      </c>
      <c r="BJ454" t="s">
        <v>85</v>
      </c>
      <c r="BK454" t="s">
        <v>86</v>
      </c>
      <c r="BL454" t="s">
        <v>87</v>
      </c>
    </row>
    <row r="455" spans="1:64" x14ac:dyDescent="0.3">
      <c r="A455" t="str">
        <f>"200262C0100"</f>
        <v>200262C0100</v>
      </c>
      <c r="B455" t="str">
        <f>"200262C01003"</f>
        <v>200262C01003</v>
      </c>
      <c r="C455" t="str">
        <f t="shared" ref="C455:C518" si="30">"20"</f>
        <v>20</v>
      </c>
      <c r="D455" t="s">
        <v>81</v>
      </c>
      <c r="E455" t="str">
        <f t="shared" si="29"/>
        <v>041</v>
      </c>
      <c r="F455" t="s">
        <v>556</v>
      </c>
      <c r="G455" t="str">
        <f>"0262"</f>
        <v>0262</v>
      </c>
      <c r="H455" t="str">
        <f>"0001"</f>
        <v>0001</v>
      </c>
      <c r="I455" t="s">
        <v>89</v>
      </c>
      <c r="J455">
        <v>0</v>
      </c>
      <c r="K455">
        <v>1</v>
      </c>
      <c r="L455">
        <v>3</v>
      </c>
      <c r="M455">
        <v>212</v>
      </c>
      <c r="N455">
        <v>390</v>
      </c>
      <c r="O455">
        <v>5</v>
      </c>
      <c r="P455">
        <v>390</v>
      </c>
      <c r="Q455">
        <v>0</v>
      </c>
      <c r="R455">
        <v>112</v>
      </c>
      <c r="S455">
        <v>3</v>
      </c>
      <c r="T455">
        <v>1</v>
      </c>
      <c r="U455">
        <v>61</v>
      </c>
      <c r="V455">
        <v>2</v>
      </c>
      <c r="W455">
        <v>4</v>
      </c>
      <c r="X455">
        <v>137</v>
      </c>
      <c r="Y455">
        <v>3</v>
      </c>
      <c r="Z455">
        <v>2</v>
      </c>
      <c r="AA455">
        <v>2</v>
      </c>
      <c r="AB455">
        <v>11</v>
      </c>
      <c r="AC455">
        <v>37</v>
      </c>
      <c r="AF455">
        <v>2</v>
      </c>
      <c r="AG455" t="s">
        <v>95</v>
      </c>
      <c r="AH455" t="s">
        <v>95</v>
      </c>
      <c r="AI455" t="s">
        <v>95</v>
      </c>
      <c r="AW455">
        <v>2</v>
      </c>
      <c r="AX455">
        <v>11</v>
      </c>
      <c r="AY455">
        <v>390</v>
      </c>
      <c r="AZ455">
        <v>390</v>
      </c>
      <c r="BA455">
        <v>556</v>
      </c>
      <c r="BB455">
        <v>46</v>
      </c>
      <c r="BC455" t="s">
        <v>96</v>
      </c>
      <c r="BD455">
        <v>1</v>
      </c>
      <c r="BF455" t="s">
        <v>567</v>
      </c>
      <c r="BG455" s="1">
        <v>44354.070833333331</v>
      </c>
      <c r="BH455" s="1">
        <v>44354.080625000002</v>
      </c>
      <c r="BI455" s="1">
        <v>44354.08116898148</v>
      </c>
      <c r="BJ455" t="s">
        <v>85</v>
      </c>
      <c r="BK455" t="s">
        <v>86</v>
      </c>
      <c r="BL455" t="s">
        <v>87</v>
      </c>
    </row>
    <row r="456" spans="1:64" x14ac:dyDescent="0.3">
      <c r="A456" t="str">
        <f>"200262C0200"</f>
        <v>200262C0200</v>
      </c>
      <c r="B456" t="str">
        <f>"200262C02003"</f>
        <v>200262C02003</v>
      </c>
      <c r="C456" t="str">
        <f t="shared" si="30"/>
        <v>20</v>
      </c>
      <c r="D456" t="s">
        <v>81</v>
      </c>
      <c r="E456" t="str">
        <f t="shared" si="29"/>
        <v>041</v>
      </c>
      <c r="F456" t="s">
        <v>556</v>
      </c>
      <c r="G456" t="str">
        <f>"0262"</f>
        <v>0262</v>
      </c>
      <c r="H456" t="str">
        <f>"0002"</f>
        <v>0002</v>
      </c>
      <c r="I456" t="s">
        <v>89</v>
      </c>
      <c r="J456">
        <v>0</v>
      </c>
      <c r="K456">
        <v>1</v>
      </c>
      <c r="L456">
        <v>3</v>
      </c>
      <c r="M456">
        <v>196</v>
      </c>
      <c r="N456">
        <v>406</v>
      </c>
      <c r="O456">
        <v>5</v>
      </c>
      <c r="P456">
        <v>406</v>
      </c>
      <c r="Q456">
        <v>2</v>
      </c>
      <c r="R456">
        <v>97</v>
      </c>
      <c r="S456">
        <v>4</v>
      </c>
      <c r="T456">
        <v>0</v>
      </c>
      <c r="U456">
        <v>63</v>
      </c>
      <c r="V456">
        <v>1</v>
      </c>
      <c r="W456">
        <v>4</v>
      </c>
      <c r="X456">
        <v>153</v>
      </c>
      <c r="Y456">
        <v>0</v>
      </c>
      <c r="Z456">
        <v>1</v>
      </c>
      <c r="AA456">
        <v>3</v>
      </c>
      <c r="AB456">
        <v>23</v>
      </c>
      <c r="AC456">
        <v>41</v>
      </c>
      <c r="AF456">
        <v>0</v>
      </c>
      <c r="AG456">
        <v>0</v>
      </c>
      <c r="AH456">
        <v>0</v>
      </c>
      <c r="AI456">
        <v>0</v>
      </c>
      <c r="AW456">
        <v>0</v>
      </c>
      <c r="AX456">
        <v>14</v>
      </c>
      <c r="AY456">
        <v>406</v>
      </c>
      <c r="AZ456">
        <v>406</v>
      </c>
      <c r="BA456">
        <v>556</v>
      </c>
      <c r="BB456">
        <v>46</v>
      </c>
      <c r="BD456">
        <v>1</v>
      </c>
      <c r="BF456" t="s">
        <v>568</v>
      </c>
      <c r="BG456" s="1">
        <v>44354.086805555555</v>
      </c>
      <c r="BH456" s="1">
        <v>44354.094259259262</v>
      </c>
      <c r="BI456" s="1">
        <v>44354.094548611109</v>
      </c>
      <c r="BJ456" t="s">
        <v>85</v>
      </c>
      <c r="BK456" t="s">
        <v>86</v>
      </c>
      <c r="BL456" t="s">
        <v>87</v>
      </c>
    </row>
    <row r="457" spans="1:64" x14ac:dyDescent="0.3">
      <c r="A457" t="str">
        <f>"200263B0000"</f>
        <v>200263B0000</v>
      </c>
      <c r="B457" t="str">
        <f>"200263B00003"</f>
        <v>200263B00003</v>
      </c>
      <c r="C457" t="str">
        <f t="shared" si="30"/>
        <v>20</v>
      </c>
      <c r="D457" t="s">
        <v>81</v>
      </c>
      <c r="E457" t="str">
        <f t="shared" si="29"/>
        <v>041</v>
      </c>
      <c r="F457" t="s">
        <v>556</v>
      </c>
      <c r="G457" t="str">
        <f>"0263"</f>
        <v>0263</v>
      </c>
      <c r="H457" t="str">
        <f>"0000"</f>
        <v>0000</v>
      </c>
      <c r="I457" t="s">
        <v>83</v>
      </c>
      <c r="J457">
        <v>0</v>
      </c>
      <c r="K457">
        <v>1</v>
      </c>
      <c r="L457">
        <v>3</v>
      </c>
      <c r="M457">
        <v>168</v>
      </c>
      <c r="N457">
        <v>272</v>
      </c>
      <c r="O457">
        <v>4</v>
      </c>
      <c r="P457">
        <v>272</v>
      </c>
      <c r="Q457">
        <v>5</v>
      </c>
      <c r="R457">
        <v>79</v>
      </c>
      <c r="S457">
        <v>3</v>
      </c>
      <c r="T457">
        <v>0</v>
      </c>
      <c r="U457">
        <v>37</v>
      </c>
      <c r="V457">
        <v>3</v>
      </c>
      <c r="W457">
        <v>2</v>
      </c>
      <c r="X457">
        <v>120</v>
      </c>
      <c r="Y457">
        <v>0</v>
      </c>
      <c r="Z457">
        <v>1</v>
      </c>
      <c r="AA457">
        <v>0</v>
      </c>
      <c r="AB457">
        <v>8</v>
      </c>
      <c r="AC457">
        <v>5</v>
      </c>
      <c r="AF457">
        <v>2</v>
      </c>
      <c r="AG457">
        <v>1</v>
      </c>
      <c r="AH457">
        <v>0</v>
      </c>
      <c r="AI457">
        <v>0</v>
      </c>
      <c r="AW457">
        <v>0</v>
      </c>
      <c r="AX457">
        <v>6</v>
      </c>
      <c r="AY457">
        <v>272</v>
      </c>
      <c r="AZ457">
        <v>272</v>
      </c>
      <c r="BA457">
        <v>394</v>
      </c>
      <c r="BB457">
        <v>46</v>
      </c>
      <c r="BD457">
        <v>1</v>
      </c>
      <c r="BF457" t="s">
        <v>569</v>
      </c>
      <c r="BG457" s="1">
        <v>44354.019444444442</v>
      </c>
      <c r="BH457" s="1">
        <v>44354.045347222222</v>
      </c>
      <c r="BI457" s="1">
        <v>44354.045937499999</v>
      </c>
      <c r="BJ457" t="s">
        <v>85</v>
      </c>
      <c r="BK457" t="s">
        <v>86</v>
      </c>
      <c r="BL457" t="s">
        <v>87</v>
      </c>
    </row>
    <row r="458" spans="1:64" x14ac:dyDescent="0.3">
      <c r="A458" t="str">
        <f>"200263C0100"</f>
        <v>200263C0100</v>
      </c>
      <c r="B458" t="str">
        <f>"200263C01003"</f>
        <v>200263C01003</v>
      </c>
      <c r="C458" t="str">
        <f t="shared" si="30"/>
        <v>20</v>
      </c>
      <c r="D458" t="s">
        <v>81</v>
      </c>
      <c r="E458" t="str">
        <f t="shared" si="29"/>
        <v>041</v>
      </c>
      <c r="F458" t="s">
        <v>556</v>
      </c>
      <c r="G458" t="str">
        <f>"0263"</f>
        <v>0263</v>
      </c>
      <c r="H458" t="str">
        <f>"0001"</f>
        <v>0001</v>
      </c>
      <c r="I458" t="s">
        <v>89</v>
      </c>
      <c r="J458">
        <v>0</v>
      </c>
      <c r="K458">
        <v>1</v>
      </c>
      <c r="L458">
        <v>3</v>
      </c>
      <c r="M458">
        <v>161</v>
      </c>
      <c r="N458">
        <v>278</v>
      </c>
      <c r="O458">
        <v>2</v>
      </c>
      <c r="P458">
        <v>278</v>
      </c>
      <c r="Q458">
        <v>2</v>
      </c>
      <c r="R458">
        <v>77</v>
      </c>
      <c r="S458">
        <v>7</v>
      </c>
      <c r="T458">
        <v>6</v>
      </c>
      <c r="U458">
        <v>47</v>
      </c>
      <c r="V458">
        <v>4</v>
      </c>
      <c r="W458">
        <v>2</v>
      </c>
      <c r="X458">
        <v>109</v>
      </c>
      <c r="Y458">
        <v>1</v>
      </c>
      <c r="Z458">
        <v>0</v>
      </c>
      <c r="AA458">
        <v>1</v>
      </c>
      <c r="AB458">
        <v>8</v>
      </c>
      <c r="AC458">
        <v>6</v>
      </c>
      <c r="AF458">
        <v>1</v>
      </c>
      <c r="AG458">
        <v>0</v>
      </c>
      <c r="AH458">
        <v>0</v>
      </c>
      <c r="AI458">
        <v>0</v>
      </c>
      <c r="AW458">
        <v>1</v>
      </c>
      <c r="AX458">
        <v>6</v>
      </c>
      <c r="AY458">
        <v>278</v>
      </c>
      <c r="AZ458">
        <v>278</v>
      </c>
      <c r="BA458">
        <v>393</v>
      </c>
      <c r="BB458">
        <v>46</v>
      </c>
      <c r="BD458">
        <v>1</v>
      </c>
      <c r="BF458" t="s">
        <v>570</v>
      </c>
      <c r="BG458" s="1">
        <v>44354.017361111109</v>
      </c>
      <c r="BH458" s="1">
        <v>44354.030393518522</v>
      </c>
      <c r="BI458" s="1">
        <v>44354.031018518515</v>
      </c>
      <c r="BJ458" t="s">
        <v>85</v>
      </c>
      <c r="BK458" t="s">
        <v>86</v>
      </c>
      <c r="BL458" t="s">
        <v>87</v>
      </c>
    </row>
    <row r="459" spans="1:64" x14ac:dyDescent="0.3">
      <c r="A459" t="str">
        <f>"200264B0000"</f>
        <v>200264B0000</v>
      </c>
      <c r="B459" t="str">
        <f>"200264B00003"</f>
        <v>200264B00003</v>
      </c>
      <c r="C459" t="str">
        <f t="shared" si="30"/>
        <v>20</v>
      </c>
      <c r="D459" t="s">
        <v>81</v>
      </c>
      <c r="E459" t="str">
        <f t="shared" si="29"/>
        <v>041</v>
      </c>
      <c r="F459" t="s">
        <v>556</v>
      </c>
      <c r="G459" t="str">
        <f>"0264"</f>
        <v>0264</v>
      </c>
      <c r="H459" t="str">
        <f>"0000"</f>
        <v>0000</v>
      </c>
      <c r="I459" t="s">
        <v>83</v>
      </c>
      <c r="J459">
        <v>0</v>
      </c>
      <c r="K459">
        <v>1</v>
      </c>
      <c r="L459">
        <v>3</v>
      </c>
      <c r="BA459">
        <v>508</v>
      </c>
      <c r="BB459">
        <v>46</v>
      </c>
      <c r="BC459" t="s">
        <v>381</v>
      </c>
      <c r="BD459">
        <v>0</v>
      </c>
      <c r="BF459" t="s">
        <v>571</v>
      </c>
      <c r="BG459" s="1">
        <v>44354.511805555558</v>
      </c>
      <c r="BH459" s="1">
        <v>44354.513182870367</v>
      </c>
      <c r="BI459" s="1">
        <v>44354.513182870367</v>
      </c>
      <c r="BJ459" t="s">
        <v>85</v>
      </c>
      <c r="BK459" t="s">
        <v>86</v>
      </c>
      <c r="BL459" t="s">
        <v>87</v>
      </c>
    </row>
    <row r="460" spans="1:64" x14ac:dyDescent="0.3">
      <c r="A460" t="str">
        <f>"200264C0100"</f>
        <v>200264C0100</v>
      </c>
      <c r="B460" t="str">
        <f>"200264C01003"</f>
        <v>200264C01003</v>
      </c>
      <c r="C460" t="str">
        <f t="shared" si="30"/>
        <v>20</v>
      </c>
      <c r="D460" t="s">
        <v>81</v>
      </c>
      <c r="E460" t="str">
        <f t="shared" si="29"/>
        <v>041</v>
      </c>
      <c r="F460" t="s">
        <v>556</v>
      </c>
      <c r="G460" t="str">
        <f>"0264"</f>
        <v>0264</v>
      </c>
      <c r="H460" t="str">
        <f>"0001"</f>
        <v>0001</v>
      </c>
      <c r="I460" t="s">
        <v>89</v>
      </c>
      <c r="J460">
        <v>0</v>
      </c>
      <c r="K460">
        <v>1</v>
      </c>
      <c r="L460">
        <v>3</v>
      </c>
      <c r="M460">
        <v>209</v>
      </c>
      <c r="N460">
        <v>345</v>
      </c>
      <c r="O460">
        <v>6</v>
      </c>
      <c r="P460">
        <v>345</v>
      </c>
      <c r="Q460">
        <v>3</v>
      </c>
      <c r="R460">
        <v>81</v>
      </c>
      <c r="S460">
        <v>1</v>
      </c>
      <c r="T460">
        <v>3</v>
      </c>
      <c r="U460">
        <v>79</v>
      </c>
      <c r="V460">
        <v>1</v>
      </c>
      <c r="W460">
        <v>1</v>
      </c>
      <c r="X460">
        <v>143</v>
      </c>
      <c r="Y460">
        <v>0</v>
      </c>
      <c r="Z460">
        <v>1</v>
      </c>
      <c r="AA460">
        <v>2</v>
      </c>
      <c r="AB460">
        <v>7</v>
      </c>
      <c r="AC460">
        <v>13</v>
      </c>
      <c r="AF460">
        <v>1</v>
      </c>
      <c r="AG460">
        <v>0</v>
      </c>
      <c r="AH460">
        <v>0</v>
      </c>
      <c r="AI460">
        <v>0</v>
      </c>
      <c r="AW460">
        <v>0</v>
      </c>
      <c r="AX460">
        <v>9</v>
      </c>
      <c r="AY460">
        <v>345</v>
      </c>
      <c r="AZ460">
        <v>345</v>
      </c>
      <c r="BA460">
        <v>508</v>
      </c>
      <c r="BB460">
        <v>46</v>
      </c>
      <c r="BD460">
        <v>1</v>
      </c>
      <c r="BF460" t="s">
        <v>572</v>
      </c>
      <c r="BG460" s="1">
        <v>44354.025694444441</v>
      </c>
      <c r="BH460" s="1">
        <v>44354.048587962963</v>
      </c>
      <c r="BI460" s="1">
        <v>44354.049201388887</v>
      </c>
      <c r="BJ460" t="s">
        <v>85</v>
      </c>
      <c r="BK460" t="s">
        <v>86</v>
      </c>
      <c r="BL460" t="s">
        <v>87</v>
      </c>
    </row>
    <row r="461" spans="1:64" x14ac:dyDescent="0.3">
      <c r="A461" t="str">
        <f>"200265B0000"</f>
        <v>200265B0000</v>
      </c>
      <c r="B461" t="str">
        <f>"200265B00003"</f>
        <v>200265B00003</v>
      </c>
      <c r="C461" t="str">
        <f t="shared" si="30"/>
        <v>20</v>
      </c>
      <c r="D461" t="s">
        <v>81</v>
      </c>
      <c r="E461" t="str">
        <f t="shared" si="29"/>
        <v>041</v>
      </c>
      <c r="F461" t="s">
        <v>556</v>
      </c>
      <c r="G461" t="str">
        <f>"0265"</f>
        <v>0265</v>
      </c>
      <c r="H461" t="str">
        <f>"0000"</f>
        <v>0000</v>
      </c>
      <c r="I461" t="s">
        <v>83</v>
      </c>
      <c r="J461">
        <v>0</v>
      </c>
      <c r="K461">
        <v>1</v>
      </c>
      <c r="L461">
        <v>3</v>
      </c>
      <c r="M461">
        <v>317</v>
      </c>
      <c r="N461">
        <v>356</v>
      </c>
      <c r="O461">
        <v>1</v>
      </c>
      <c r="P461">
        <v>356</v>
      </c>
      <c r="Q461">
        <v>3</v>
      </c>
      <c r="R461">
        <v>85</v>
      </c>
      <c r="S461">
        <v>2</v>
      </c>
      <c r="T461">
        <v>1</v>
      </c>
      <c r="U461">
        <v>76</v>
      </c>
      <c r="V461">
        <v>2</v>
      </c>
      <c r="W461">
        <v>11</v>
      </c>
      <c r="X461">
        <v>121</v>
      </c>
      <c r="Y461">
        <v>0</v>
      </c>
      <c r="Z461">
        <v>0</v>
      </c>
      <c r="AA461">
        <v>3</v>
      </c>
      <c r="AB461">
        <v>21</v>
      </c>
      <c r="AC461">
        <v>22</v>
      </c>
      <c r="AF461">
        <v>1</v>
      </c>
      <c r="AG461">
        <v>0</v>
      </c>
      <c r="AH461">
        <v>0</v>
      </c>
      <c r="AI461">
        <v>0</v>
      </c>
      <c r="AW461">
        <v>0</v>
      </c>
      <c r="AX461">
        <v>8</v>
      </c>
      <c r="AY461">
        <v>356</v>
      </c>
      <c r="AZ461">
        <v>356</v>
      </c>
      <c r="BA461">
        <v>627</v>
      </c>
      <c r="BB461">
        <v>46</v>
      </c>
      <c r="BD461">
        <v>1</v>
      </c>
      <c r="BF461" t="s">
        <v>573</v>
      </c>
      <c r="BG461" s="1">
        <v>44354.091666666667</v>
      </c>
      <c r="BH461" s="1">
        <v>44354.097581018519</v>
      </c>
      <c r="BI461" s="1">
        <v>44354.098113425927</v>
      </c>
      <c r="BJ461" t="s">
        <v>85</v>
      </c>
      <c r="BK461" t="s">
        <v>86</v>
      </c>
      <c r="BL461" t="s">
        <v>87</v>
      </c>
    </row>
    <row r="462" spans="1:64" x14ac:dyDescent="0.3">
      <c r="A462" t="str">
        <f>"200265C0100"</f>
        <v>200265C0100</v>
      </c>
      <c r="B462" t="str">
        <f>"200265C01003"</f>
        <v>200265C01003</v>
      </c>
      <c r="C462" t="str">
        <f t="shared" si="30"/>
        <v>20</v>
      </c>
      <c r="D462" t="s">
        <v>81</v>
      </c>
      <c r="E462" t="str">
        <f t="shared" si="29"/>
        <v>041</v>
      </c>
      <c r="F462" t="s">
        <v>556</v>
      </c>
      <c r="G462" t="str">
        <f>"0265"</f>
        <v>0265</v>
      </c>
      <c r="H462" t="str">
        <f>"0001"</f>
        <v>0001</v>
      </c>
      <c r="I462" t="s">
        <v>89</v>
      </c>
      <c r="J462">
        <v>0</v>
      </c>
      <c r="K462">
        <v>1</v>
      </c>
      <c r="L462">
        <v>3</v>
      </c>
      <c r="M462">
        <v>291</v>
      </c>
      <c r="N462">
        <v>382</v>
      </c>
      <c r="O462">
        <v>9</v>
      </c>
      <c r="P462">
        <v>382</v>
      </c>
      <c r="Q462">
        <v>3</v>
      </c>
      <c r="R462">
        <v>88</v>
      </c>
      <c r="S462">
        <v>1</v>
      </c>
      <c r="T462">
        <v>4</v>
      </c>
      <c r="U462">
        <v>88</v>
      </c>
      <c r="V462">
        <v>2</v>
      </c>
      <c r="W462">
        <v>6</v>
      </c>
      <c r="X462">
        <v>138</v>
      </c>
      <c r="Y462">
        <v>2</v>
      </c>
      <c r="Z462">
        <v>1</v>
      </c>
      <c r="AA462">
        <v>1</v>
      </c>
      <c r="AB462">
        <v>11</v>
      </c>
      <c r="AC462">
        <v>19</v>
      </c>
      <c r="AF462">
        <v>8</v>
      </c>
      <c r="AG462">
        <v>0</v>
      </c>
      <c r="AH462">
        <v>0</v>
      </c>
      <c r="AI462">
        <v>0</v>
      </c>
      <c r="AW462">
        <v>0</v>
      </c>
      <c r="AX462">
        <v>10</v>
      </c>
      <c r="AY462">
        <v>382</v>
      </c>
      <c r="AZ462">
        <v>382</v>
      </c>
      <c r="BA462">
        <v>627</v>
      </c>
      <c r="BB462">
        <v>46</v>
      </c>
      <c r="BD462">
        <v>1</v>
      </c>
      <c r="BF462" t="s">
        <v>574</v>
      </c>
      <c r="BG462" s="1">
        <v>44354.089583333334</v>
      </c>
      <c r="BH462" s="1">
        <v>44354.095995370371</v>
      </c>
      <c r="BI462" s="1">
        <v>44354.096493055556</v>
      </c>
      <c r="BJ462" t="s">
        <v>85</v>
      </c>
      <c r="BK462" t="s">
        <v>86</v>
      </c>
      <c r="BL462" t="s">
        <v>87</v>
      </c>
    </row>
    <row r="463" spans="1:64" x14ac:dyDescent="0.3">
      <c r="A463" t="str">
        <f>"200265C0200"</f>
        <v>200265C0200</v>
      </c>
      <c r="B463" t="str">
        <f>"200265C02003"</f>
        <v>200265C02003</v>
      </c>
      <c r="C463" t="str">
        <f t="shared" si="30"/>
        <v>20</v>
      </c>
      <c r="D463" t="s">
        <v>81</v>
      </c>
      <c r="E463" t="str">
        <f t="shared" si="29"/>
        <v>041</v>
      </c>
      <c r="F463" t="s">
        <v>556</v>
      </c>
      <c r="G463" t="str">
        <f>"0265"</f>
        <v>0265</v>
      </c>
      <c r="H463" t="str">
        <f>"0002"</f>
        <v>0002</v>
      </c>
      <c r="I463" t="s">
        <v>89</v>
      </c>
      <c r="J463">
        <v>0</v>
      </c>
      <c r="K463">
        <v>1</v>
      </c>
      <c r="L463">
        <v>3</v>
      </c>
      <c r="M463">
        <v>303</v>
      </c>
      <c r="N463">
        <v>369</v>
      </c>
      <c r="O463">
        <v>0</v>
      </c>
      <c r="P463">
        <v>369</v>
      </c>
      <c r="Q463">
        <v>4</v>
      </c>
      <c r="R463">
        <v>87</v>
      </c>
      <c r="S463">
        <v>1</v>
      </c>
      <c r="T463">
        <v>1</v>
      </c>
      <c r="U463">
        <v>88</v>
      </c>
      <c r="V463">
        <v>4</v>
      </c>
      <c r="W463">
        <v>3</v>
      </c>
      <c r="X463">
        <v>134</v>
      </c>
      <c r="Y463">
        <v>1</v>
      </c>
      <c r="Z463">
        <v>0</v>
      </c>
      <c r="AA463">
        <v>0</v>
      </c>
      <c r="AB463">
        <v>18</v>
      </c>
      <c r="AC463">
        <v>16</v>
      </c>
      <c r="AF463">
        <v>0</v>
      </c>
      <c r="AG463">
        <v>0</v>
      </c>
      <c r="AH463">
        <v>1</v>
      </c>
      <c r="AI463">
        <v>0</v>
      </c>
      <c r="AW463">
        <v>1</v>
      </c>
      <c r="AX463">
        <v>12</v>
      </c>
      <c r="AY463">
        <v>369</v>
      </c>
      <c r="AZ463">
        <v>371</v>
      </c>
      <c r="BA463">
        <v>626</v>
      </c>
      <c r="BB463">
        <v>46</v>
      </c>
      <c r="BD463">
        <v>1</v>
      </c>
      <c r="BF463" t="s">
        <v>575</v>
      </c>
      <c r="BG463" s="1">
        <v>44354.09375</v>
      </c>
      <c r="BH463" s="1">
        <v>44354.098576388889</v>
      </c>
      <c r="BI463" s="1">
        <v>44354.09946759259</v>
      </c>
      <c r="BJ463" t="s">
        <v>85</v>
      </c>
      <c r="BK463" t="s">
        <v>86</v>
      </c>
      <c r="BL463" t="s">
        <v>87</v>
      </c>
    </row>
    <row r="464" spans="1:64" x14ac:dyDescent="0.3">
      <c r="A464" t="str">
        <f>"200265C0300"</f>
        <v>200265C0300</v>
      </c>
      <c r="B464" t="str">
        <f>"200265C03003"</f>
        <v>200265C03003</v>
      </c>
      <c r="C464" t="str">
        <f t="shared" si="30"/>
        <v>20</v>
      </c>
      <c r="D464" t="s">
        <v>81</v>
      </c>
      <c r="E464" t="str">
        <f t="shared" si="29"/>
        <v>041</v>
      </c>
      <c r="F464" t="s">
        <v>556</v>
      </c>
      <c r="G464" t="str">
        <f>"0265"</f>
        <v>0265</v>
      </c>
      <c r="H464" t="str">
        <f>"0003"</f>
        <v>0003</v>
      </c>
      <c r="I464" t="s">
        <v>89</v>
      </c>
      <c r="J464">
        <v>0</v>
      </c>
      <c r="K464">
        <v>1</v>
      </c>
      <c r="L464">
        <v>3</v>
      </c>
      <c r="M464">
        <v>276</v>
      </c>
      <c r="N464">
        <v>396</v>
      </c>
      <c r="O464">
        <v>1</v>
      </c>
      <c r="P464">
        <v>396</v>
      </c>
      <c r="Q464">
        <v>2</v>
      </c>
      <c r="R464">
        <v>86</v>
      </c>
      <c r="S464">
        <v>1</v>
      </c>
      <c r="T464">
        <v>2</v>
      </c>
      <c r="U464">
        <v>95</v>
      </c>
      <c r="V464">
        <v>2</v>
      </c>
      <c r="W464">
        <v>5</v>
      </c>
      <c r="X464">
        <v>160</v>
      </c>
      <c r="Y464">
        <v>0</v>
      </c>
      <c r="Z464">
        <v>2</v>
      </c>
      <c r="AA464">
        <v>0</v>
      </c>
      <c r="AB464">
        <v>16</v>
      </c>
      <c r="AC464">
        <v>14</v>
      </c>
      <c r="AF464">
        <v>2</v>
      </c>
      <c r="AG464">
        <v>0</v>
      </c>
      <c r="AH464">
        <v>0</v>
      </c>
      <c r="AI464">
        <v>1</v>
      </c>
      <c r="AW464">
        <v>0</v>
      </c>
      <c r="AX464">
        <v>8</v>
      </c>
      <c r="AY464">
        <v>396</v>
      </c>
      <c r="AZ464">
        <v>396</v>
      </c>
      <c r="BA464">
        <v>626</v>
      </c>
      <c r="BB464">
        <v>46</v>
      </c>
      <c r="BD464">
        <v>1</v>
      </c>
      <c r="BF464" t="s">
        <v>576</v>
      </c>
      <c r="BG464" s="1">
        <v>44354.095833333333</v>
      </c>
      <c r="BH464" s="1">
        <v>44354.10052083333</v>
      </c>
      <c r="BI464" s="1">
        <v>44354.100891203707</v>
      </c>
      <c r="BJ464" t="s">
        <v>85</v>
      </c>
      <c r="BK464" t="s">
        <v>86</v>
      </c>
      <c r="BL464" t="s">
        <v>87</v>
      </c>
    </row>
    <row r="465" spans="1:64" x14ac:dyDescent="0.3">
      <c r="A465" t="str">
        <f>"200266B0000"</f>
        <v>200266B0000</v>
      </c>
      <c r="B465" t="str">
        <f>"200266B00003"</f>
        <v>200266B00003</v>
      </c>
      <c r="C465" t="str">
        <f t="shared" si="30"/>
        <v>20</v>
      </c>
      <c r="D465" t="s">
        <v>81</v>
      </c>
      <c r="E465" t="str">
        <f t="shared" si="29"/>
        <v>041</v>
      </c>
      <c r="F465" t="s">
        <v>556</v>
      </c>
      <c r="G465" t="str">
        <f>"0266"</f>
        <v>0266</v>
      </c>
      <c r="H465" t="str">
        <f>"0000"</f>
        <v>0000</v>
      </c>
      <c r="I465" t="s">
        <v>83</v>
      </c>
      <c r="J465">
        <v>0</v>
      </c>
      <c r="K465">
        <v>1</v>
      </c>
      <c r="L465">
        <v>3</v>
      </c>
      <c r="M465">
        <v>249</v>
      </c>
      <c r="N465">
        <v>422</v>
      </c>
      <c r="O465">
        <v>6</v>
      </c>
      <c r="P465">
        <v>422</v>
      </c>
      <c r="Q465">
        <v>3</v>
      </c>
      <c r="R465">
        <v>90</v>
      </c>
      <c r="S465">
        <v>0</v>
      </c>
      <c r="T465">
        <v>1</v>
      </c>
      <c r="U465">
        <v>81</v>
      </c>
      <c r="V465">
        <v>15</v>
      </c>
      <c r="W465">
        <v>2</v>
      </c>
      <c r="X465">
        <v>188</v>
      </c>
      <c r="Y465">
        <v>1</v>
      </c>
      <c r="Z465">
        <v>2</v>
      </c>
      <c r="AA465">
        <v>0</v>
      </c>
      <c r="AB465">
        <v>17</v>
      </c>
      <c r="AC465">
        <v>8</v>
      </c>
      <c r="AF465">
        <v>2</v>
      </c>
      <c r="AG465">
        <v>0</v>
      </c>
      <c r="AH465">
        <v>0</v>
      </c>
      <c r="AI465">
        <v>0</v>
      </c>
      <c r="AW465">
        <v>1</v>
      </c>
      <c r="AX465">
        <v>11</v>
      </c>
      <c r="AY465">
        <v>422</v>
      </c>
      <c r="AZ465">
        <v>422</v>
      </c>
      <c r="BA465">
        <v>625</v>
      </c>
      <c r="BB465">
        <v>46</v>
      </c>
      <c r="BD465">
        <v>1</v>
      </c>
      <c r="BF465" t="s">
        <v>577</v>
      </c>
      <c r="BG465" s="1">
        <v>44354.032638888886</v>
      </c>
      <c r="BH465" s="1">
        <v>44354.051874999997</v>
      </c>
      <c r="BI465" s="1">
        <v>44354.052673611113</v>
      </c>
      <c r="BJ465" t="s">
        <v>85</v>
      </c>
      <c r="BK465" t="s">
        <v>86</v>
      </c>
      <c r="BL465" t="s">
        <v>87</v>
      </c>
    </row>
    <row r="466" spans="1:64" x14ac:dyDescent="0.3">
      <c r="A466" t="str">
        <f>"200267B0000"</f>
        <v>200267B0000</v>
      </c>
      <c r="B466" t="str">
        <f>"200267B00003"</f>
        <v>200267B00003</v>
      </c>
      <c r="C466" t="str">
        <f t="shared" si="30"/>
        <v>20</v>
      </c>
      <c r="D466" t="s">
        <v>81</v>
      </c>
      <c r="E466" t="str">
        <f t="shared" si="29"/>
        <v>041</v>
      </c>
      <c r="F466" t="s">
        <v>556</v>
      </c>
      <c r="G466" t="str">
        <f>"0267"</f>
        <v>0267</v>
      </c>
      <c r="H466" t="str">
        <f>"0000"</f>
        <v>0000</v>
      </c>
      <c r="I466" t="s">
        <v>83</v>
      </c>
      <c r="J466">
        <v>0</v>
      </c>
      <c r="K466">
        <v>1</v>
      </c>
      <c r="L466">
        <v>3</v>
      </c>
      <c r="M466">
        <v>244</v>
      </c>
      <c r="N466">
        <v>225</v>
      </c>
      <c r="O466">
        <v>9</v>
      </c>
      <c r="P466">
        <v>225</v>
      </c>
      <c r="Q466">
        <v>5</v>
      </c>
      <c r="R466">
        <v>52</v>
      </c>
      <c r="S466">
        <v>1</v>
      </c>
      <c r="T466">
        <v>2</v>
      </c>
      <c r="U466">
        <v>40</v>
      </c>
      <c r="V466">
        <v>4</v>
      </c>
      <c r="W466">
        <v>0</v>
      </c>
      <c r="X466">
        <v>99</v>
      </c>
      <c r="Y466">
        <v>0</v>
      </c>
      <c r="Z466">
        <v>1</v>
      </c>
      <c r="AA466">
        <v>0</v>
      </c>
      <c r="AB466">
        <v>5</v>
      </c>
      <c r="AC466">
        <v>13</v>
      </c>
      <c r="AF466">
        <v>0</v>
      </c>
      <c r="AG466">
        <v>0</v>
      </c>
      <c r="AH466">
        <v>0</v>
      </c>
      <c r="AI466">
        <v>0</v>
      </c>
      <c r="AW466">
        <v>0</v>
      </c>
      <c r="AX466">
        <v>3</v>
      </c>
      <c r="AY466">
        <v>225</v>
      </c>
      <c r="AZ466">
        <v>225</v>
      </c>
      <c r="BA466">
        <v>423</v>
      </c>
      <c r="BB466">
        <v>46</v>
      </c>
      <c r="BD466">
        <v>1</v>
      </c>
      <c r="BF466" t="s">
        <v>578</v>
      </c>
      <c r="BG466" s="1">
        <v>44354.027777777781</v>
      </c>
      <c r="BH466" s="1">
        <v>44354.050023148149</v>
      </c>
      <c r="BI466" s="1">
        <v>44354.050856481481</v>
      </c>
      <c r="BJ466" t="s">
        <v>85</v>
      </c>
      <c r="BK466" t="s">
        <v>86</v>
      </c>
      <c r="BL466" t="s">
        <v>87</v>
      </c>
    </row>
    <row r="467" spans="1:64" x14ac:dyDescent="0.3">
      <c r="A467" t="str">
        <f>"200267C0100"</f>
        <v>200267C0100</v>
      </c>
      <c r="B467" t="str">
        <f>"200267C01003"</f>
        <v>200267C01003</v>
      </c>
      <c r="C467" t="str">
        <f t="shared" si="30"/>
        <v>20</v>
      </c>
      <c r="D467" t="s">
        <v>81</v>
      </c>
      <c r="E467" t="str">
        <f t="shared" si="29"/>
        <v>041</v>
      </c>
      <c r="F467" t="s">
        <v>556</v>
      </c>
      <c r="G467" t="str">
        <f>"0267"</f>
        <v>0267</v>
      </c>
      <c r="H467" t="str">
        <f>"0001"</f>
        <v>0001</v>
      </c>
      <c r="I467" t="s">
        <v>89</v>
      </c>
      <c r="J467">
        <v>0</v>
      </c>
      <c r="K467">
        <v>1</v>
      </c>
      <c r="L467">
        <v>3</v>
      </c>
      <c r="M467">
        <v>221</v>
      </c>
      <c r="N467">
        <v>247</v>
      </c>
      <c r="O467">
        <v>7</v>
      </c>
      <c r="P467" t="s">
        <v>92</v>
      </c>
      <c r="Q467">
        <v>8</v>
      </c>
      <c r="R467">
        <v>81</v>
      </c>
      <c r="S467">
        <v>3</v>
      </c>
      <c r="T467">
        <v>2</v>
      </c>
      <c r="U467">
        <v>32</v>
      </c>
      <c r="V467">
        <v>7</v>
      </c>
      <c r="W467">
        <v>2</v>
      </c>
      <c r="X467">
        <v>81</v>
      </c>
      <c r="Y467">
        <v>0</v>
      </c>
      <c r="Z467">
        <v>1</v>
      </c>
      <c r="AA467">
        <v>0</v>
      </c>
      <c r="AB467">
        <v>14</v>
      </c>
      <c r="AC467">
        <v>7</v>
      </c>
      <c r="AF467">
        <v>2</v>
      </c>
      <c r="AG467">
        <v>0</v>
      </c>
      <c r="AH467">
        <v>0</v>
      </c>
      <c r="AI467">
        <v>0</v>
      </c>
      <c r="AW467">
        <v>0</v>
      </c>
      <c r="AX467">
        <v>7</v>
      </c>
      <c r="AY467">
        <v>247</v>
      </c>
      <c r="AZ467">
        <v>247</v>
      </c>
      <c r="BA467">
        <v>422</v>
      </c>
      <c r="BB467">
        <v>46</v>
      </c>
      <c r="BD467">
        <v>1</v>
      </c>
      <c r="BF467" t="s">
        <v>579</v>
      </c>
      <c r="BG467" s="1">
        <v>44354.034722222219</v>
      </c>
      <c r="BH467" s="1">
        <v>44354.057372685187</v>
      </c>
      <c r="BI467" s="1">
        <v>44354.059108796297</v>
      </c>
      <c r="BJ467" t="s">
        <v>85</v>
      </c>
      <c r="BK467" t="s">
        <v>86</v>
      </c>
      <c r="BL467" t="s">
        <v>87</v>
      </c>
    </row>
    <row r="468" spans="1:64" x14ac:dyDescent="0.3">
      <c r="A468" t="str">
        <f>"200267S0100"</f>
        <v>200267S0100</v>
      </c>
      <c r="B468" t="str">
        <f>"200267S01003E"</f>
        <v>200267S01003E</v>
      </c>
      <c r="C468" t="str">
        <f t="shared" si="30"/>
        <v>20</v>
      </c>
      <c r="D468" t="s">
        <v>81</v>
      </c>
      <c r="E468" t="str">
        <f t="shared" si="29"/>
        <v>041</v>
      </c>
      <c r="F468" t="s">
        <v>556</v>
      </c>
      <c r="G468" t="str">
        <f>"0267"</f>
        <v>0267</v>
      </c>
      <c r="H468" t="str">
        <f>"0001"</f>
        <v>0001</v>
      </c>
      <c r="I468" t="s">
        <v>99</v>
      </c>
      <c r="J468">
        <v>0</v>
      </c>
      <c r="K468">
        <v>1</v>
      </c>
      <c r="L468" t="s">
        <v>100</v>
      </c>
      <c r="M468">
        <v>986</v>
      </c>
      <c r="N468">
        <v>14</v>
      </c>
      <c r="O468">
        <v>0</v>
      </c>
      <c r="P468">
        <v>14</v>
      </c>
      <c r="Q468">
        <v>0</v>
      </c>
      <c r="R468">
        <v>2</v>
      </c>
      <c r="S468">
        <v>0</v>
      </c>
      <c r="T468">
        <v>1</v>
      </c>
      <c r="U468">
        <v>3</v>
      </c>
      <c r="V468">
        <v>0</v>
      </c>
      <c r="W468">
        <v>0</v>
      </c>
      <c r="X468">
        <v>6</v>
      </c>
      <c r="Y468">
        <v>1</v>
      </c>
      <c r="Z468">
        <v>0</v>
      </c>
      <c r="AA468">
        <v>0</v>
      </c>
      <c r="AB468">
        <v>1</v>
      </c>
      <c r="AC468">
        <v>0</v>
      </c>
      <c r="AF468">
        <v>0</v>
      </c>
      <c r="AG468">
        <v>0</v>
      </c>
      <c r="AH468">
        <v>0</v>
      </c>
      <c r="AI468">
        <v>0</v>
      </c>
      <c r="AW468">
        <v>0</v>
      </c>
      <c r="AX468">
        <v>0</v>
      </c>
      <c r="AY468">
        <v>14</v>
      </c>
      <c r="AZ468">
        <v>14</v>
      </c>
      <c r="BA468">
        <v>0</v>
      </c>
      <c r="BB468">
        <v>46</v>
      </c>
      <c r="BD468">
        <v>1</v>
      </c>
      <c r="BF468" s="2" t="s">
        <v>580</v>
      </c>
      <c r="BG468" s="1">
        <v>44354.036805555559</v>
      </c>
      <c r="BH468" s="1">
        <v>44354.059351851851</v>
      </c>
      <c r="BI468" s="1">
        <v>44354.05978009259</v>
      </c>
      <c r="BJ468" t="s">
        <v>85</v>
      </c>
      <c r="BK468" t="s">
        <v>86</v>
      </c>
      <c r="BL468" t="s">
        <v>87</v>
      </c>
    </row>
    <row r="469" spans="1:64" x14ac:dyDescent="0.3">
      <c r="A469" t="str">
        <f>"200268B0000"</f>
        <v>200268B0000</v>
      </c>
      <c r="B469" t="str">
        <f>"200268B00003"</f>
        <v>200268B00003</v>
      </c>
      <c r="C469" t="str">
        <f t="shared" si="30"/>
        <v>20</v>
      </c>
      <c r="D469" t="s">
        <v>81</v>
      </c>
      <c r="E469" t="str">
        <f t="shared" si="29"/>
        <v>041</v>
      </c>
      <c r="F469" t="s">
        <v>556</v>
      </c>
      <c r="G469" t="str">
        <f>"0268"</f>
        <v>0268</v>
      </c>
      <c r="H469" t="str">
        <f>"0000"</f>
        <v>0000</v>
      </c>
      <c r="I469" t="s">
        <v>83</v>
      </c>
      <c r="J469">
        <v>0</v>
      </c>
      <c r="K469">
        <v>1</v>
      </c>
      <c r="L469">
        <v>3</v>
      </c>
      <c r="M469">
        <v>162</v>
      </c>
      <c r="N469">
        <v>290</v>
      </c>
      <c r="O469">
        <v>6</v>
      </c>
      <c r="P469">
        <v>290</v>
      </c>
      <c r="Q469">
        <v>4</v>
      </c>
      <c r="R469">
        <v>75</v>
      </c>
      <c r="S469">
        <v>1</v>
      </c>
      <c r="T469">
        <v>2</v>
      </c>
      <c r="U469">
        <v>66</v>
      </c>
      <c r="V469">
        <v>0</v>
      </c>
      <c r="W469">
        <v>4</v>
      </c>
      <c r="X469">
        <v>113</v>
      </c>
      <c r="Y469">
        <v>0</v>
      </c>
      <c r="Z469">
        <v>0</v>
      </c>
      <c r="AA469">
        <v>0</v>
      </c>
      <c r="AB469">
        <v>11</v>
      </c>
      <c r="AC469">
        <v>5</v>
      </c>
      <c r="AF469">
        <v>0</v>
      </c>
      <c r="AG469">
        <v>0</v>
      </c>
      <c r="AH469">
        <v>0</v>
      </c>
      <c r="AI469">
        <v>0</v>
      </c>
      <c r="AW469">
        <v>0</v>
      </c>
      <c r="AX469">
        <v>8</v>
      </c>
      <c r="AY469">
        <v>290</v>
      </c>
      <c r="AZ469">
        <v>289</v>
      </c>
      <c r="BA469">
        <v>406</v>
      </c>
      <c r="BB469">
        <v>46</v>
      </c>
      <c r="BD469">
        <v>1</v>
      </c>
      <c r="BF469" t="s">
        <v>581</v>
      </c>
      <c r="BG469" s="1">
        <v>44353.861111111109</v>
      </c>
      <c r="BH469" s="1">
        <v>44353.983425925922</v>
      </c>
      <c r="BI469" s="1">
        <v>44353.983819444446</v>
      </c>
      <c r="BJ469" t="s">
        <v>85</v>
      </c>
      <c r="BK469" t="s">
        <v>86</v>
      </c>
      <c r="BL469" t="s">
        <v>87</v>
      </c>
    </row>
    <row r="470" spans="1:64" x14ac:dyDescent="0.3">
      <c r="A470" t="str">
        <f>"200268C0100"</f>
        <v>200268C0100</v>
      </c>
      <c r="B470" t="str">
        <f>"200268C01003"</f>
        <v>200268C01003</v>
      </c>
      <c r="C470" t="str">
        <f t="shared" si="30"/>
        <v>20</v>
      </c>
      <c r="D470" t="s">
        <v>81</v>
      </c>
      <c r="E470" t="str">
        <f t="shared" si="29"/>
        <v>041</v>
      </c>
      <c r="F470" t="s">
        <v>556</v>
      </c>
      <c r="G470" t="str">
        <f>"0268"</f>
        <v>0268</v>
      </c>
      <c r="H470" t="str">
        <f>"0001"</f>
        <v>0001</v>
      </c>
      <c r="I470" t="s">
        <v>89</v>
      </c>
      <c r="J470">
        <v>0</v>
      </c>
      <c r="K470">
        <v>1</v>
      </c>
      <c r="L470">
        <v>3</v>
      </c>
      <c r="M470">
        <v>170</v>
      </c>
      <c r="N470">
        <v>282</v>
      </c>
      <c r="O470">
        <v>5</v>
      </c>
      <c r="P470">
        <v>282</v>
      </c>
      <c r="Q470">
        <v>4</v>
      </c>
      <c r="R470">
        <v>90</v>
      </c>
      <c r="S470">
        <v>2</v>
      </c>
      <c r="T470">
        <v>1</v>
      </c>
      <c r="U470">
        <v>46</v>
      </c>
      <c r="V470">
        <v>3</v>
      </c>
      <c r="W470">
        <v>1</v>
      </c>
      <c r="X470">
        <v>113</v>
      </c>
      <c r="Y470">
        <v>0</v>
      </c>
      <c r="Z470">
        <v>0</v>
      </c>
      <c r="AA470">
        <v>0</v>
      </c>
      <c r="AB470">
        <v>3</v>
      </c>
      <c r="AC470">
        <v>11</v>
      </c>
      <c r="AF470">
        <v>1</v>
      </c>
      <c r="AG470">
        <v>0</v>
      </c>
      <c r="AH470">
        <v>0</v>
      </c>
      <c r="AI470">
        <v>0</v>
      </c>
      <c r="AW470">
        <v>0</v>
      </c>
      <c r="AX470">
        <v>7</v>
      </c>
      <c r="AY470">
        <v>282</v>
      </c>
      <c r="AZ470">
        <v>282</v>
      </c>
      <c r="BA470">
        <v>406</v>
      </c>
      <c r="BB470">
        <v>46</v>
      </c>
      <c r="BD470">
        <v>1</v>
      </c>
      <c r="BF470" t="s">
        <v>582</v>
      </c>
      <c r="BG470" s="1">
        <v>44353.833333333336</v>
      </c>
      <c r="BH470" s="1">
        <v>44353.982604166667</v>
      </c>
      <c r="BI470" s="1">
        <v>44353.982974537037</v>
      </c>
      <c r="BJ470" t="s">
        <v>85</v>
      </c>
      <c r="BK470" t="s">
        <v>86</v>
      </c>
      <c r="BL470" t="s">
        <v>87</v>
      </c>
    </row>
    <row r="471" spans="1:64" x14ac:dyDescent="0.3">
      <c r="A471" t="str">
        <f>"200269B0000"</f>
        <v>200269B0000</v>
      </c>
      <c r="B471" t="str">
        <f>"200269B00003"</f>
        <v>200269B00003</v>
      </c>
      <c r="C471" t="str">
        <f t="shared" si="30"/>
        <v>20</v>
      </c>
      <c r="D471" t="s">
        <v>81</v>
      </c>
      <c r="E471" t="str">
        <f t="shared" si="29"/>
        <v>041</v>
      </c>
      <c r="F471" t="s">
        <v>556</v>
      </c>
      <c r="G471" t="str">
        <f>"0269"</f>
        <v>0269</v>
      </c>
      <c r="H471" t="str">
        <f>"0000"</f>
        <v>0000</v>
      </c>
      <c r="I471" t="s">
        <v>83</v>
      </c>
      <c r="J471">
        <v>0</v>
      </c>
      <c r="K471">
        <v>1</v>
      </c>
      <c r="L471">
        <v>3</v>
      </c>
      <c r="M471">
        <v>314</v>
      </c>
      <c r="N471">
        <v>453</v>
      </c>
      <c r="O471">
        <v>2</v>
      </c>
      <c r="P471">
        <v>453</v>
      </c>
      <c r="Q471">
        <v>2</v>
      </c>
      <c r="R471">
        <v>96</v>
      </c>
      <c r="S471">
        <v>2</v>
      </c>
      <c r="T471">
        <v>1</v>
      </c>
      <c r="U471">
        <v>101</v>
      </c>
      <c r="V471">
        <v>9</v>
      </c>
      <c r="W471">
        <v>2</v>
      </c>
      <c r="X471">
        <v>199</v>
      </c>
      <c r="Y471">
        <v>1</v>
      </c>
      <c r="Z471">
        <v>1</v>
      </c>
      <c r="AA471">
        <v>2</v>
      </c>
      <c r="AB471">
        <v>12</v>
      </c>
      <c r="AC471">
        <v>11</v>
      </c>
      <c r="AF471">
        <v>3</v>
      </c>
      <c r="AG471" t="s">
        <v>95</v>
      </c>
      <c r="AH471" t="s">
        <v>95</v>
      </c>
      <c r="AI471" t="s">
        <v>95</v>
      </c>
      <c r="AW471" t="s">
        <v>95</v>
      </c>
      <c r="AX471">
        <v>11</v>
      </c>
      <c r="AY471">
        <v>453</v>
      </c>
      <c r="AZ471">
        <v>453</v>
      </c>
      <c r="BA471">
        <v>721</v>
      </c>
      <c r="BB471">
        <v>46</v>
      </c>
      <c r="BC471" t="s">
        <v>96</v>
      </c>
      <c r="BD471">
        <v>1</v>
      </c>
      <c r="BF471" t="s">
        <v>583</v>
      </c>
      <c r="BG471" s="1">
        <v>44354.106944444444</v>
      </c>
      <c r="BH471" s="1">
        <v>44354.111006944448</v>
      </c>
      <c r="BI471" s="1">
        <v>44354.111875000002</v>
      </c>
      <c r="BJ471" t="s">
        <v>85</v>
      </c>
      <c r="BK471" t="s">
        <v>86</v>
      </c>
      <c r="BL471" t="s">
        <v>87</v>
      </c>
    </row>
    <row r="472" spans="1:64" x14ac:dyDescent="0.3">
      <c r="A472" t="str">
        <f>"200269C0100"</f>
        <v>200269C0100</v>
      </c>
      <c r="B472" t="str">
        <f>"200269C01003"</f>
        <v>200269C01003</v>
      </c>
      <c r="C472" t="str">
        <f t="shared" si="30"/>
        <v>20</v>
      </c>
      <c r="D472" t="s">
        <v>81</v>
      </c>
      <c r="E472" t="str">
        <f t="shared" si="29"/>
        <v>041</v>
      </c>
      <c r="F472" t="s">
        <v>556</v>
      </c>
      <c r="G472" t="str">
        <f>"0269"</f>
        <v>0269</v>
      </c>
      <c r="H472" t="str">
        <f>"0001"</f>
        <v>0001</v>
      </c>
      <c r="I472" t="s">
        <v>89</v>
      </c>
      <c r="J472">
        <v>0</v>
      </c>
      <c r="K472">
        <v>1</v>
      </c>
      <c r="L472">
        <v>3</v>
      </c>
      <c r="M472">
        <v>336</v>
      </c>
      <c r="N472">
        <v>430</v>
      </c>
      <c r="O472">
        <v>2</v>
      </c>
      <c r="P472">
        <v>430</v>
      </c>
      <c r="Q472">
        <v>4</v>
      </c>
      <c r="R472">
        <v>97</v>
      </c>
      <c r="S472">
        <v>1</v>
      </c>
      <c r="T472">
        <v>2</v>
      </c>
      <c r="U472">
        <v>115</v>
      </c>
      <c r="V472">
        <v>6</v>
      </c>
      <c r="W472">
        <v>1</v>
      </c>
      <c r="X472">
        <v>160</v>
      </c>
      <c r="Y472">
        <v>1</v>
      </c>
      <c r="Z472">
        <v>3</v>
      </c>
      <c r="AA472">
        <v>1</v>
      </c>
      <c r="AB472">
        <v>3</v>
      </c>
      <c r="AC472">
        <v>9</v>
      </c>
      <c r="AF472">
        <v>4</v>
      </c>
      <c r="AG472">
        <v>2</v>
      </c>
      <c r="AH472">
        <v>0</v>
      </c>
      <c r="AI472">
        <v>0</v>
      </c>
      <c r="AW472">
        <v>0</v>
      </c>
      <c r="AX472">
        <v>11</v>
      </c>
      <c r="AY472">
        <v>430</v>
      </c>
      <c r="AZ472">
        <v>420</v>
      </c>
      <c r="BA472">
        <v>720</v>
      </c>
      <c r="BB472">
        <v>46</v>
      </c>
      <c r="BD472">
        <v>1</v>
      </c>
      <c r="BF472" t="s">
        <v>584</v>
      </c>
      <c r="BG472" s="1">
        <v>44354.107638888891</v>
      </c>
      <c r="BH472" s="1">
        <v>44354.112175925926</v>
      </c>
      <c r="BI472" s="1">
        <v>44354.113136574073</v>
      </c>
      <c r="BJ472" t="s">
        <v>85</v>
      </c>
      <c r="BK472" t="s">
        <v>86</v>
      </c>
      <c r="BL472" t="s">
        <v>87</v>
      </c>
    </row>
    <row r="473" spans="1:64" x14ac:dyDescent="0.3">
      <c r="A473" t="str">
        <f>"200270B0000"</f>
        <v>200270B0000</v>
      </c>
      <c r="B473" t="str">
        <f>"200270B00003"</f>
        <v>200270B00003</v>
      </c>
      <c r="C473" t="str">
        <f t="shared" si="30"/>
        <v>20</v>
      </c>
      <c r="D473" t="s">
        <v>81</v>
      </c>
      <c r="E473" t="str">
        <f t="shared" si="29"/>
        <v>041</v>
      </c>
      <c r="F473" t="s">
        <v>556</v>
      </c>
      <c r="G473" t="str">
        <f>"0270"</f>
        <v>0270</v>
      </c>
      <c r="H473" t="str">
        <f>"0000"</f>
        <v>0000</v>
      </c>
      <c r="I473" t="s">
        <v>83</v>
      </c>
      <c r="J473">
        <v>0</v>
      </c>
      <c r="K473">
        <v>1</v>
      </c>
      <c r="L473">
        <v>3</v>
      </c>
      <c r="M473">
        <v>331</v>
      </c>
      <c r="N473">
        <v>365</v>
      </c>
      <c r="O473">
        <v>1</v>
      </c>
      <c r="P473">
        <v>364</v>
      </c>
      <c r="Q473">
        <v>0</v>
      </c>
      <c r="R473">
        <v>72</v>
      </c>
      <c r="S473">
        <v>2</v>
      </c>
      <c r="T473">
        <v>3</v>
      </c>
      <c r="U473">
        <v>79</v>
      </c>
      <c r="V473">
        <v>4</v>
      </c>
      <c r="W473">
        <v>2</v>
      </c>
      <c r="X473">
        <v>152</v>
      </c>
      <c r="Y473">
        <v>4</v>
      </c>
      <c r="Z473">
        <v>2</v>
      </c>
      <c r="AA473">
        <v>2</v>
      </c>
      <c r="AB473">
        <v>13</v>
      </c>
      <c r="AC473">
        <v>20</v>
      </c>
      <c r="AF473">
        <v>1</v>
      </c>
      <c r="AG473">
        <v>0</v>
      </c>
      <c r="AH473">
        <v>0</v>
      </c>
      <c r="AI473">
        <v>0</v>
      </c>
      <c r="AW473">
        <v>0</v>
      </c>
      <c r="AX473">
        <v>8</v>
      </c>
      <c r="AY473">
        <v>364</v>
      </c>
      <c r="AZ473">
        <v>364</v>
      </c>
      <c r="BA473">
        <v>650</v>
      </c>
      <c r="BB473">
        <v>46</v>
      </c>
      <c r="BD473">
        <v>1</v>
      </c>
      <c r="BF473" t="s">
        <v>585</v>
      </c>
      <c r="BG473" s="1">
        <v>44353.975694444445</v>
      </c>
      <c r="BH473" s="1">
        <v>44353.984293981484</v>
      </c>
      <c r="BI473" s="1">
        <v>44353.985243055555</v>
      </c>
      <c r="BJ473" t="s">
        <v>85</v>
      </c>
      <c r="BK473" t="s">
        <v>86</v>
      </c>
      <c r="BL473" t="s">
        <v>87</v>
      </c>
    </row>
    <row r="474" spans="1:64" x14ac:dyDescent="0.3">
      <c r="A474" t="str">
        <f>"200270C0100"</f>
        <v>200270C0100</v>
      </c>
      <c r="B474" t="str">
        <f>"200270C01003"</f>
        <v>200270C01003</v>
      </c>
      <c r="C474" t="str">
        <f t="shared" si="30"/>
        <v>20</v>
      </c>
      <c r="D474" t="s">
        <v>81</v>
      </c>
      <c r="E474" t="str">
        <f t="shared" si="29"/>
        <v>041</v>
      </c>
      <c r="F474" t="s">
        <v>556</v>
      </c>
      <c r="G474" t="str">
        <f>"0270"</f>
        <v>0270</v>
      </c>
      <c r="H474" t="str">
        <f>"0001"</f>
        <v>0001</v>
      </c>
      <c r="I474" t="s">
        <v>89</v>
      </c>
      <c r="J474">
        <v>0</v>
      </c>
      <c r="K474">
        <v>1</v>
      </c>
      <c r="L474">
        <v>3</v>
      </c>
      <c r="M474">
        <v>321</v>
      </c>
      <c r="N474">
        <v>374</v>
      </c>
      <c r="O474">
        <v>1</v>
      </c>
      <c r="P474">
        <v>374</v>
      </c>
      <c r="Q474">
        <v>2</v>
      </c>
      <c r="R474">
        <v>54</v>
      </c>
      <c r="S474">
        <v>1</v>
      </c>
      <c r="T474">
        <v>2</v>
      </c>
      <c r="U474">
        <v>94</v>
      </c>
      <c r="V474">
        <v>5</v>
      </c>
      <c r="W474">
        <v>3</v>
      </c>
      <c r="X474">
        <v>159</v>
      </c>
      <c r="Y474">
        <v>3</v>
      </c>
      <c r="Z474">
        <v>3</v>
      </c>
      <c r="AA474">
        <v>1</v>
      </c>
      <c r="AB474">
        <v>18</v>
      </c>
      <c r="AC474">
        <v>20</v>
      </c>
      <c r="AF474">
        <v>1</v>
      </c>
      <c r="AG474">
        <v>0</v>
      </c>
      <c r="AH474">
        <v>0</v>
      </c>
      <c r="AI474">
        <v>0</v>
      </c>
      <c r="AW474">
        <v>0</v>
      </c>
      <c r="AX474">
        <v>10</v>
      </c>
      <c r="AY474">
        <v>374</v>
      </c>
      <c r="AZ474">
        <v>376</v>
      </c>
      <c r="BA474">
        <v>649</v>
      </c>
      <c r="BB474">
        <v>46</v>
      </c>
      <c r="BD474">
        <v>1</v>
      </c>
      <c r="BF474" t="s">
        <v>586</v>
      </c>
      <c r="BG474" s="1">
        <v>44353.976388888892</v>
      </c>
      <c r="BH474" s="1">
        <v>44353.985231481478</v>
      </c>
      <c r="BI474" s="1">
        <v>44353.986030092594</v>
      </c>
      <c r="BJ474" t="s">
        <v>85</v>
      </c>
      <c r="BK474" t="s">
        <v>86</v>
      </c>
      <c r="BL474" t="s">
        <v>87</v>
      </c>
    </row>
    <row r="475" spans="1:64" x14ac:dyDescent="0.3">
      <c r="A475" t="str">
        <f>"200270C0200"</f>
        <v>200270C0200</v>
      </c>
      <c r="B475" t="str">
        <f>"200270C02003"</f>
        <v>200270C02003</v>
      </c>
      <c r="C475" t="str">
        <f t="shared" si="30"/>
        <v>20</v>
      </c>
      <c r="D475" t="s">
        <v>81</v>
      </c>
      <c r="E475" t="str">
        <f t="shared" si="29"/>
        <v>041</v>
      </c>
      <c r="F475" t="s">
        <v>556</v>
      </c>
      <c r="G475" t="str">
        <f>"0270"</f>
        <v>0270</v>
      </c>
      <c r="H475" t="str">
        <f>"0002"</f>
        <v>0002</v>
      </c>
      <c r="I475" t="s">
        <v>89</v>
      </c>
      <c r="J475">
        <v>0</v>
      </c>
      <c r="K475">
        <v>1</v>
      </c>
      <c r="L475">
        <v>3</v>
      </c>
      <c r="M475">
        <v>335</v>
      </c>
      <c r="N475">
        <v>359</v>
      </c>
      <c r="O475">
        <v>0</v>
      </c>
      <c r="P475">
        <v>359</v>
      </c>
      <c r="Q475">
        <v>3</v>
      </c>
      <c r="R475">
        <v>61</v>
      </c>
      <c r="S475">
        <v>0</v>
      </c>
      <c r="T475">
        <v>5</v>
      </c>
      <c r="U475">
        <v>87</v>
      </c>
      <c r="V475">
        <v>2</v>
      </c>
      <c r="W475">
        <v>2</v>
      </c>
      <c r="X475">
        <v>157</v>
      </c>
      <c r="Y475">
        <v>4</v>
      </c>
      <c r="Z475">
        <v>1</v>
      </c>
      <c r="AA475">
        <v>1</v>
      </c>
      <c r="AB475">
        <v>14</v>
      </c>
      <c r="AC475">
        <v>13</v>
      </c>
      <c r="AF475">
        <v>2</v>
      </c>
      <c r="AG475">
        <v>0</v>
      </c>
      <c r="AH475">
        <v>0</v>
      </c>
      <c r="AI475">
        <v>0</v>
      </c>
      <c r="AW475">
        <v>0</v>
      </c>
      <c r="AX475">
        <v>7</v>
      </c>
      <c r="AY475">
        <v>359</v>
      </c>
      <c r="AZ475">
        <v>359</v>
      </c>
      <c r="BA475">
        <v>649</v>
      </c>
      <c r="BB475">
        <v>46</v>
      </c>
      <c r="BD475">
        <v>1</v>
      </c>
      <c r="BF475" t="s">
        <v>587</v>
      </c>
      <c r="BG475" s="1">
        <v>44353.977083333331</v>
      </c>
      <c r="BH475" s="1">
        <v>44353.988391203704</v>
      </c>
      <c r="BI475" s="1">
        <v>44353.989340277774</v>
      </c>
      <c r="BJ475" t="s">
        <v>85</v>
      </c>
      <c r="BK475" t="s">
        <v>86</v>
      </c>
      <c r="BL475" t="s">
        <v>87</v>
      </c>
    </row>
    <row r="476" spans="1:64" x14ac:dyDescent="0.3">
      <c r="A476" t="str">
        <f>"200270S0100"</f>
        <v>200270S0100</v>
      </c>
      <c r="B476" t="str">
        <f>"200270S01003E"</f>
        <v>200270S01003E</v>
      </c>
      <c r="C476" t="str">
        <f t="shared" si="30"/>
        <v>20</v>
      </c>
      <c r="D476" t="s">
        <v>81</v>
      </c>
      <c r="E476" t="str">
        <f t="shared" si="29"/>
        <v>041</v>
      </c>
      <c r="F476" t="s">
        <v>556</v>
      </c>
      <c r="G476" t="str">
        <f>"0270"</f>
        <v>0270</v>
      </c>
      <c r="H476" t="str">
        <f>"0001"</f>
        <v>0001</v>
      </c>
      <c r="I476" t="s">
        <v>99</v>
      </c>
      <c r="J476">
        <v>0</v>
      </c>
      <c r="K476">
        <v>1</v>
      </c>
      <c r="L476" t="s">
        <v>100</v>
      </c>
      <c r="M476">
        <v>976</v>
      </c>
      <c r="N476">
        <v>24</v>
      </c>
      <c r="O476">
        <v>0</v>
      </c>
      <c r="P476">
        <v>24</v>
      </c>
      <c r="Q476" t="s">
        <v>95</v>
      </c>
      <c r="R476">
        <v>7</v>
      </c>
      <c r="S476" t="s">
        <v>95</v>
      </c>
      <c r="T476" t="s">
        <v>95</v>
      </c>
      <c r="U476">
        <v>7</v>
      </c>
      <c r="V476">
        <v>1</v>
      </c>
      <c r="W476" t="s">
        <v>95</v>
      </c>
      <c r="X476">
        <v>7</v>
      </c>
      <c r="Y476" t="s">
        <v>95</v>
      </c>
      <c r="Z476" t="s">
        <v>95</v>
      </c>
      <c r="AA476" t="s">
        <v>95</v>
      </c>
      <c r="AB476" t="s">
        <v>95</v>
      </c>
      <c r="AC476">
        <v>1</v>
      </c>
      <c r="AF476" t="s">
        <v>95</v>
      </c>
      <c r="AG476" t="s">
        <v>95</v>
      </c>
      <c r="AH476" t="s">
        <v>95</v>
      </c>
      <c r="AI476" t="s">
        <v>95</v>
      </c>
      <c r="AW476" t="s">
        <v>95</v>
      </c>
      <c r="AX476">
        <v>1</v>
      </c>
      <c r="AY476">
        <v>24</v>
      </c>
      <c r="AZ476">
        <v>24</v>
      </c>
      <c r="BA476">
        <v>0</v>
      </c>
      <c r="BB476">
        <v>46</v>
      </c>
      <c r="BC476" t="s">
        <v>96</v>
      </c>
      <c r="BD476">
        <v>1</v>
      </c>
      <c r="BF476" t="s">
        <v>588</v>
      </c>
      <c r="BG476" s="1">
        <v>44354.004861111112</v>
      </c>
      <c r="BH476" s="1">
        <v>44354.012106481481</v>
      </c>
      <c r="BI476" s="1">
        <v>44354.012743055559</v>
      </c>
      <c r="BJ476" t="s">
        <v>85</v>
      </c>
      <c r="BK476" t="s">
        <v>86</v>
      </c>
      <c r="BL476" t="s">
        <v>87</v>
      </c>
    </row>
    <row r="477" spans="1:64" x14ac:dyDescent="0.3">
      <c r="A477" t="str">
        <f>"200271B0000"</f>
        <v>200271B0000</v>
      </c>
      <c r="B477" t="str">
        <f>"200271B00003"</f>
        <v>200271B00003</v>
      </c>
      <c r="C477" t="str">
        <f t="shared" si="30"/>
        <v>20</v>
      </c>
      <c r="D477" t="s">
        <v>81</v>
      </c>
      <c r="E477" t="str">
        <f t="shared" si="29"/>
        <v>041</v>
      </c>
      <c r="F477" t="s">
        <v>556</v>
      </c>
      <c r="G477" t="str">
        <f>"0271"</f>
        <v>0271</v>
      </c>
      <c r="H477" t="str">
        <f>"0000"</f>
        <v>0000</v>
      </c>
      <c r="I477" t="s">
        <v>83</v>
      </c>
      <c r="J477">
        <v>0</v>
      </c>
      <c r="K477">
        <v>1</v>
      </c>
      <c r="L477">
        <v>3</v>
      </c>
      <c r="BA477">
        <v>558</v>
      </c>
      <c r="BB477">
        <v>46</v>
      </c>
      <c r="BC477" t="s">
        <v>381</v>
      </c>
      <c r="BD477">
        <v>0</v>
      </c>
      <c r="BF477" t="s">
        <v>589</v>
      </c>
      <c r="BG477" s="1">
        <v>44354.511805555558</v>
      </c>
      <c r="BH477" s="1">
        <v>44354.51253472222</v>
      </c>
      <c r="BI477" s="1">
        <v>44354.51253472222</v>
      </c>
      <c r="BJ477" t="s">
        <v>85</v>
      </c>
      <c r="BK477" t="s">
        <v>86</v>
      </c>
      <c r="BL477" t="s">
        <v>87</v>
      </c>
    </row>
    <row r="478" spans="1:64" x14ac:dyDescent="0.3">
      <c r="A478" t="str">
        <f>"200271C0100"</f>
        <v>200271C0100</v>
      </c>
      <c r="B478" t="str">
        <f>"200271C01003"</f>
        <v>200271C01003</v>
      </c>
      <c r="C478" t="str">
        <f t="shared" si="30"/>
        <v>20</v>
      </c>
      <c r="D478" t="s">
        <v>81</v>
      </c>
      <c r="E478" t="str">
        <f t="shared" si="29"/>
        <v>041</v>
      </c>
      <c r="F478" t="s">
        <v>556</v>
      </c>
      <c r="G478" t="str">
        <f>"0271"</f>
        <v>0271</v>
      </c>
      <c r="H478" t="str">
        <f>"0001"</f>
        <v>0001</v>
      </c>
      <c r="I478" t="s">
        <v>89</v>
      </c>
      <c r="J478">
        <v>0</v>
      </c>
      <c r="K478">
        <v>1</v>
      </c>
      <c r="L478">
        <v>3</v>
      </c>
      <c r="BA478">
        <v>558</v>
      </c>
      <c r="BB478">
        <v>46</v>
      </c>
      <c r="BC478" t="s">
        <v>381</v>
      </c>
      <c r="BD478">
        <v>0</v>
      </c>
      <c r="BF478" t="s">
        <v>590</v>
      </c>
      <c r="BG478" s="1">
        <v>44354.511111111111</v>
      </c>
      <c r="BH478" s="1">
        <v>44354.512349537035</v>
      </c>
      <c r="BI478" s="1">
        <v>44354.512349537035</v>
      </c>
      <c r="BJ478" t="s">
        <v>85</v>
      </c>
      <c r="BK478" t="s">
        <v>86</v>
      </c>
      <c r="BL478" t="s">
        <v>87</v>
      </c>
    </row>
    <row r="479" spans="1:64" x14ac:dyDescent="0.3">
      <c r="A479" t="str">
        <f>"200272B0000"</f>
        <v>200272B0000</v>
      </c>
      <c r="B479" t="str">
        <f>"200272B00003"</f>
        <v>200272B00003</v>
      </c>
      <c r="C479" t="str">
        <f t="shared" si="30"/>
        <v>20</v>
      </c>
      <c r="D479" t="s">
        <v>81</v>
      </c>
      <c r="E479" t="str">
        <f t="shared" si="29"/>
        <v>041</v>
      </c>
      <c r="F479" t="s">
        <v>556</v>
      </c>
      <c r="G479" t="str">
        <f>"0272"</f>
        <v>0272</v>
      </c>
      <c r="H479" t="str">
        <f>"0000"</f>
        <v>0000</v>
      </c>
      <c r="I479" t="s">
        <v>83</v>
      </c>
      <c r="J479">
        <v>0</v>
      </c>
      <c r="K479">
        <v>1</v>
      </c>
      <c r="L479">
        <v>3</v>
      </c>
      <c r="M479">
        <v>247</v>
      </c>
      <c r="N479">
        <v>416</v>
      </c>
      <c r="O479">
        <v>0</v>
      </c>
      <c r="P479">
        <v>416</v>
      </c>
      <c r="Q479">
        <v>1</v>
      </c>
      <c r="R479">
        <v>103</v>
      </c>
      <c r="S479">
        <v>4</v>
      </c>
      <c r="T479">
        <v>0</v>
      </c>
      <c r="U479">
        <v>74</v>
      </c>
      <c r="V479">
        <v>2</v>
      </c>
      <c r="W479">
        <v>0</v>
      </c>
      <c r="X479">
        <v>182</v>
      </c>
      <c r="Y479">
        <v>7</v>
      </c>
      <c r="Z479">
        <v>0</v>
      </c>
      <c r="AA479">
        <v>1</v>
      </c>
      <c r="AB479">
        <v>9</v>
      </c>
      <c r="AC479">
        <v>17</v>
      </c>
      <c r="AF479">
        <v>3</v>
      </c>
      <c r="AG479">
        <v>0</v>
      </c>
      <c r="AH479">
        <v>0</v>
      </c>
      <c r="AI479">
        <v>0</v>
      </c>
      <c r="AW479">
        <v>1</v>
      </c>
      <c r="AX479">
        <v>12</v>
      </c>
      <c r="AY479">
        <v>416</v>
      </c>
      <c r="AZ479">
        <v>416</v>
      </c>
      <c r="BA479">
        <v>617</v>
      </c>
      <c r="BB479">
        <v>46</v>
      </c>
      <c r="BD479">
        <v>1</v>
      </c>
      <c r="BF479" t="s">
        <v>591</v>
      </c>
      <c r="BG479" s="1">
        <v>44353.995138888888</v>
      </c>
      <c r="BH479" s="1">
        <v>44354.002488425926</v>
      </c>
      <c r="BI479" s="1">
        <v>44354.003877314812</v>
      </c>
      <c r="BJ479" t="s">
        <v>85</v>
      </c>
      <c r="BK479" t="s">
        <v>86</v>
      </c>
      <c r="BL479" t="s">
        <v>87</v>
      </c>
    </row>
    <row r="480" spans="1:64" x14ac:dyDescent="0.3">
      <c r="A480" t="str">
        <f>"200272C0100"</f>
        <v>200272C0100</v>
      </c>
      <c r="B480" t="str">
        <f>"200272C01003"</f>
        <v>200272C01003</v>
      </c>
      <c r="C480" t="str">
        <f t="shared" si="30"/>
        <v>20</v>
      </c>
      <c r="D480" t="s">
        <v>81</v>
      </c>
      <c r="E480" t="str">
        <f t="shared" si="29"/>
        <v>041</v>
      </c>
      <c r="F480" t="s">
        <v>556</v>
      </c>
      <c r="G480" t="str">
        <f>"0272"</f>
        <v>0272</v>
      </c>
      <c r="H480" t="str">
        <f>"0001"</f>
        <v>0001</v>
      </c>
      <c r="I480" t="s">
        <v>89</v>
      </c>
      <c r="J480">
        <v>0</v>
      </c>
      <c r="K480">
        <v>1</v>
      </c>
      <c r="L480">
        <v>3</v>
      </c>
      <c r="M480">
        <v>269</v>
      </c>
      <c r="N480">
        <v>393</v>
      </c>
      <c r="O480">
        <v>1</v>
      </c>
      <c r="P480">
        <v>393</v>
      </c>
      <c r="Q480">
        <v>0</v>
      </c>
      <c r="R480">
        <v>84</v>
      </c>
      <c r="S480">
        <v>0</v>
      </c>
      <c r="T480">
        <v>0</v>
      </c>
      <c r="U480">
        <v>66</v>
      </c>
      <c r="V480">
        <v>3</v>
      </c>
      <c r="W480">
        <v>0</v>
      </c>
      <c r="X480">
        <v>189</v>
      </c>
      <c r="Y480">
        <v>6</v>
      </c>
      <c r="Z480">
        <v>3</v>
      </c>
      <c r="AA480">
        <v>1</v>
      </c>
      <c r="AB480">
        <v>16</v>
      </c>
      <c r="AC480">
        <v>13</v>
      </c>
      <c r="AF480">
        <v>0</v>
      </c>
      <c r="AG480">
        <v>0</v>
      </c>
      <c r="AH480">
        <v>0</v>
      </c>
      <c r="AI480">
        <v>0</v>
      </c>
      <c r="AW480">
        <v>0</v>
      </c>
      <c r="AX480">
        <v>12</v>
      </c>
      <c r="AY480">
        <v>393</v>
      </c>
      <c r="AZ480">
        <v>393</v>
      </c>
      <c r="BA480">
        <v>616</v>
      </c>
      <c r="BB480">
        <v>46</v>
      </c>
      <c r="BD480">
        <v>1</v>
      </c>
      <c r="BF480" t="s">
        <v>592</v>
      </c>
      <c r="BG480" s="1">
        <v>44353.993055555555</v>
      </c>
      <c r="BH480" s="1">
        <v>44353.999710648146</v>
      </c>
      <c r="BI480" s="1">
        <v>44354.000613425924</v>
      </c>
      <c r="BJ480" t="s">
        <v>85</v>
      </c>
      <c r="BK480" t="s">
        <v>86</v>
      </c>
      <c r="BL480" t="s">
        <v>87</v>
      </c>
    </row>
    <row r="481" spans="1:64" x14ac:dyDescent="0.3">
      <c r="A481" t="str">
        <f>"200273B0000"</f>
        <v>200273B0000</v>
      </c>
      <c r="B481" t="str">
        <f>"200273B00003"</f>
        <v>200273B00003</v>
      </c>
      <c r="C481" t="str">
        <f t="shared" si="30"/>
        <v>20</v>
      </c>
      <c r="D481" t="s">
        <v>81</v>
      </c>
      <c r="E481" t="str">
        <f t="shared" si="29"/>
        <v>041</v>
      </c>
      <c r="F481" t="s">
        <v>556</v>
      </c>
      <c r="G481" t="str">
        <f>"0273"</f>
        <v>0273</v>
      </c>
      <c r="H481" t="str">
        <f>"0000"</f>
        <v>0000</v>
      </c>
      <c r="I481" t="s">
        <v>83</v>
      </c>
      <c r="J481">
        <v>0</v>
      </c>
      <c r="K481">
        <v>1</v>
      </c>
      <c r="L481">
        <v>3</v>
      </c>
      <c r="M481">
        <v>286</v>
      </c>
      <c r="N481">
        <v>347</v>
      </c>
      <c r="O481">
        <v>3</v>
      </c>
      <c r="P481">
        <v>347</v>
      </c>
      <c r="Q481">
        <v>3</v>
      </c>
      <c r="R481">
        <v>104</v>
      </c>
      <c r="S481">
        <v>0</v>
      </c>
      <c r="T481">
        <v>2</v>
      </c>
      <c r="U481">
        <v>91</v>
      </c>
      <c r="V481">
        <v>6</v>
      </c>
      <c r="W481">
        <v>1</v>
      </c>
      <c r="X481">
        <v>108</v>
      </c>
      <c r="Y481">
        <v>6</v>
      </c>
      <c r="Z481">
        <v>2</v>
      </c>
      <c r="AA481">
        <v>2</v>
      </c>
      <c r="AB481">
        <v>9</v>
      </c>
      <c r="AC481">
        <v>7</v>
      </c>
      <c r="AF481">
        <v>1</v>
      </c>
      <c r="AG481" t="s">
        <v>95</v>
      </c>
      <c r="AH481" t="s">
        <v>95</v>
      </c>
      <c r="AI481" t="s">
        <v>95</v>
      </c>
      <c r="AW481" t="s">
        <v>95</v>
      </c>
      <c r="AX481">
        <v>5</v>
      </c>
      <c r="AY481">
        <v>342</v>
      </c>
      <c r="AZ481">
        <v>347</v>
      </c>
      <c r="BA481">
        <v>587</v>
      </c>
      <c r="BB481">
        <v>46</v>
      </c>
      <c r="BC481" t="s">
        <v>96</v>
      </c>
      <c r="BD481">
        <v>1</v>
      </c>
      <c r="BF481" t="s">
        <v>593</v>
      </c>
      <c r="BG481" s="1">
        <v>44353.915277777778</v>
      </c>
      <c r="BH481" s="1">
        <v>44353.922962962963</v>
      </c>
      <c r="BI481" s="1">
        <v>44353.923761574071</v>
      </c>
      <c r="BJ481" t="s">
        <v>85</v>
      </c>
      <c r="BK481" t="s">
        <v>86</v>
      </c>
      <c r="BL481" t="s">
        <v>87</v>
      </c>
    </row>
    <row r="482" spans="1:64" x14ac:dyDescent="0.3">
      <c r="A482" t="str">
        <f>"200273C0100"</f>
        <v>200273C0100</v>
      </c>
      <c r="B482" t="str">
        <f>"200273C01003"</f>
        <v>200273C01003</v>
      </c>
      <c r="C482" t="str">
        <f t="shared" si="30"/>
        <v>20</v>
      </c>
      <c r="D482" t="s">
        <v>81</v>
      </c>
      <c r="E482" t="str">
        <f t="shared" si="29"/>
        <v>041</v>
      </c>
      <c r="F482" t="s">
        <v>556</v>
      </c>
      <c r="G482" t="str">
        <f>"0273"</f>
        <v>0273</v>
      </c>
      <c r="H482" t="str">
        <f>"0001"</f>
        <v>0001</v>
      </c>
      <c r="I482" t="s">
        <v>89</v>
      </c>
      <c r="J482">
        <v>0</v>
      </c>
      <c r="K482">
        <v>1</v>
      </c>
      <c r="L482">
        <v>3</v>
      </c>
      <c r="M482">
        <v>252</v>
      </c>
      <c r="N482">
        <v>378</v>
      </c>
      <c r="O482">
        <v>2</v>
      </c>
      <c r="P482">
        <v>380</v>
      </c>
      <c r="Q482">
        <v>2</v>
      </c>
      <c r="R482">
        <v>111</v>
      </c>
      <c r="S482">
        <v>2</v>
      </c>
      <c r="T482">
        <v>2</v>
      </c>
      <c r="U482">
        <v>72</v>
      </c>
      <c r="V482">
        <v>8</v>
      </c>
      <c r="W482">
        <v>1</v>
      </c>
      <c r="X482">
        <v>139</v>
      </c>
      <c r="Y482">
        <v>14</v>
      </c>
      <c r="Z482">
        <v>0</v>
      </c>
      <c r="AA482">
        <v>1</v>
      </c>
      <c r="AB482">
        <v>10</v>
      </c>
      <c r="AC482">
        <v>11</v>
      </c>
      <c r="AF482">
        <v>2</v>
      </c>
      <c r="AG482">
        <v>1</v>
      </c>
      <c r="AH482">
        <v>0</v>
      </c>
      <c r="AI482">
        <v>0</v>
      </c>
      <c r="AW482">
        <v>0</v>
      </c>
      <c r="AX482">
        <v>5</v>
      </c>
      <c r="AY482">
        <v>380</v>
      </c>
      <c r="AZ482">
        <v>381</v>
      </c>
      <c r="BA482">
        <v>586</v>
      </c>
      <c r="BB482">
        <v>46</v>
      </c>
      <c r="BD482">
        <v>1</v>
      </c>
      <c r="BF482" t="s">
        <v>594</v>
      </c>
      <c r="BG482" s="1">
        <v>44353.915277777778</v>
      </c>
      <c r="BH482" s="1">
        <v>44353.928969907407</v>
      </c>
      <c r="BI482" s="1">
        <v>44353.9297337963</v>
      </c>
      <c r="BJ482" t="s">
        <v>85</v>
      </c>
      <c r="BK482" t="s">
        <v>86</v>
      </c>
      <c r="BL482" t="s">
        <v>87</v>
      </c>
    </row>
    <row r="483" spans="1:64" x14ac:dyDescent="0.3">
      <c r="A483" t="str">
        <f>"200274B0000"</f>
        <v>200274B0000</v>
      </c>
      <c r="B483" t="str">
        <f>"200274B00003"</f>
        <v>200274B00003</v>
      </c>
      <c r="C483" t="str">
        <f t="shared" si="30"/>
        <v>20</v>
      </c>
      <c r="D483" t="s">
        <v>81</v>
      </c>
      <c r="E483" t="str">
        <f t="shared" si="29"/>
        <v>041</v>
      </c>
      <c r="F483" t="s">
        <v>556</v>
      </c>
      <c r="G483" t="str">
        <f>"0274"</f>
        <v>0274</v>
      </c>
      <c r="H483" t="str">
        <f>"0000"</f>
        <v>0000</v>
      </c>
      <c r="I483" t="s">
        <v>83</v>
      </c>
      <c r="J483">
        <v>0</v>
      </c>
      <c r="K483">
        <v>1</v>
      </c>
      <c r="L483">
        <v>3</v>
      </c>
      <c r="M483">
        <v>297</v>
      </c>
      <c r="N483">
        <v>320</v>
      </c>
      <c r="O483">
        <v>3</v>
      </c>
      <c r="P483">
        <v>320</v>
      </c>
      <c r="Q483">
        <v>3</v>
      </c>
      <c r="R483">
        <v>58</v>
      </c>
      <c r="S483" t="s">
        <v>95</v>
      </c>
      <c r="T483">
        <v>3</v>
      </c>
      <c r="U483">
        <v>78</v>
      </c>
      <c r="V483">
        <v>5</v>
      </c>
      <c r="W483">
        <v>11</v>
      </c>
      <c r="X483">
        <v>112</v>
      </c>
      <c r="Y483">
        <v>4</v>
      </c>
      <c r="Z483">
        <v>1</v>
      </c>
      <c r="AA483">
        <v>2</v>
      </c>
      <c r="AB483">
        <v>2</v>
      </c>
      <c r="AC483">
        <v>30</v>
      </c>
      <c r="AF483">
        <v>3</v>
      </c>
      <c r="AG483" t="s">
        <v>95</v>
      </c>
      <c r="AH483" t="s">
        <v>95</v>
      </c>
      <c r="AI483" t="s">
        <v>95</v>
      </c>
      <c r="AW483" t="s">
        <v>95</v>
      </c>
      <c r="AX483">
        <v>8</v>
      </c>
      <c r="AY483">
        <v>320</v>
      </c>
      <c r="AZ483">
        <v>320</v>
      </c>
      <c r="BA483">
        <v>571</v>
      </c>
      <c r="BB483">
        <v>46</v>
      </c>
      <c r="BC483" t="s">
        <v>96</v>
      </c>
      <c r="BD483">
        <v>1</v>
      </c>
      <c r="BF483" t="s">
        <v>595</v>
      </c>
      <c r="BG483" s="1">
        <v>44354.023611111108</v>
      </c>
      <c r="BH483" s="1">
        <v>44354.047511574077</v>
      </c>
      <c r="BI483" s="1">
        <v>44354.048067129632</v>
      </c>
      <c r="BJ483" t="s">
        <v>85</v>
      </c>
      <c r="BK483" t="s">
        <v>86</v>
      </c>
      <c r="BL483" t="s">
        <v>87</v>
      </c>
    </row>
    <row r="484" spans="1:64" x14ac:dyDescent="0.3">
      <c r="A484" t="str">
        <f>"200274C0100"</f>
        <v>200274C0100</v>
      </c>
      <c r="B484" t="str">
        <f>"200274C01003"</f>
        <v>200274C01003</v>
      </c>
      <c r="C484" t="str">
        <f t="shared" si="30"/>
        <v>20</v>
      </c>
      <c r="D484" t="s">
        <v>81</v>
      </c>
      <c r="E484" t="str">
        <f t="shared" si="29"/>
        <v>041</v>
      </c>
      <c r="F484" t="s">
        <v>556</v>
      </c>
      <c r="G484" t="str">
        <f>"0274"</f>
        <v>0274</v>
      </c>
      <c r="H484" t="str">
        <f>"0001"</f>
        <v>0001</v>
      </c>
      <c r="I484" t="s">
        <v>89</v>
      </c>
      <c r="J484">
        <v>0</v>
      </c>
      <c r="K484">
        <v>1</v>
      </c>
      <c r="L484">
        <v>3</v>
      </c>
      <c r="M484">
        <v>270</v>
      </c>
      <c r="N484">
        <v>346</v>
      </c>
      <c r="O484">
        <v>1</v>
      </c>
      <c r="P484">
        <v>345</v>
      </c>
      <c r="Q484">
        <v>2</v>
      </c>
      <c r="R484">
        <v>65</v>
      </c>
      <c r="S484">
        <v>3</v>
      </c>
      <c r="T484">
        <v>0</v>
      </c>
      <c r="U484">
        <v>88</v>
      </c>
      <c r="V484">
        <v>5</v>
      </c>
      <c r="W484">
        <v>7</v>
      </c>
      <c r="X484">
        <v>124</v>
      </c>
      <c r="Y484">
        <v>6</v>
      </c>
      <c r="Z484">
        <v>2</v>
      </c>
      <c r="AA484">
        <v>2</v>
      </c>
      <c r="AB484">
        <v>4</v>
      </c>
      <c r="AC484">
        <v>22</v>
      </c>
      <c r="AF484">
        <v>4</v>
      </c>
      <c r="AG484">
        <v>0</v>
      </c>
      <c r="AH484">
        <v>0</v>
      </c>
      <c r="AI484">
        <v>0</v>
      </c>
      <c r="AW484">
        <v>0</v>
      </c>
      <c r="AX484">
        <v>11</v>
      </c>
      <c r="AY484">
        <v>345</v>
      </c>
      <c r="AZ484">
        <v>345</v>
      </c>
      <c r="BA484">
        <v>570</v>
      </c>
      <c r="BB484">
        <v>46</v>
      </c>
      <c r="BD484">
        <v>1</v>
      </c>
      <c r="BF484" t="s">
        <v>596</v>
      </c>
      <c r="BG484" s="1">
        <v>44354.009722222225</v>
      </c>
      <c r="BH484" s="1">
        <v>44354.016979166663</v>
      </c>
      <c r="BI484" s="1">
        <v>44354.018287037034</v>
      </c>
      <c r="BJ484" t="s">
        <v>85</v>
      </c>
      <c r="BK484" t="s">
        <v>86</v>
      </c>
      <c r="BL484" t="s">
        <v>87</v>
      </c>
    </row>
    <row r="485" spans="1:64" x14ac:dyDescent="0.3">
      <c r="A485" t="str">
        <f>"200274C0200"</f>
        <v>200274C0200</v>
      </c>
      <c r="B485" t="str">
        <f>"200274C02003"</f>
        <v>200274C02003</v>
      </c>
      <c r="C485" t="str">
        <f t="shared" si="30"/>
        <v>20</v>
      </c>
      <c r="D485" t="s">
        <v>81</v>
      </c>
      <c r="E485" t="str">
        <f t="shared" si="29"/>
        <v>041</v>
      </c>
      <c r="F485" t="s">
        <v>556</v>
      </c>
      <c r="G485" t="str">
        <f>"0274"</f>
        <v>0274</v>
      </c>
      <c r="H485" t="str">
        <f>"0002"</f>
        <v>0002</v>
      </c>
      <c r="I485" t="s">
        <v>89</v>
      </c>
      <c r="J485">
        <v>0</v>
      </c>
      <c r="K485">
        <v>1</v>
      </c>
      <c r="L485">
        <v>3</v>
      </c>
      <c r="M485">
        <v>251</v>
      </c>
      <c r="N485">
        <v>365</v>
      </c>
      <c r="O485">
        <v>0</v>
      </c>
      <c r="P485" t="s">
        <v>92</v>
      </c>
      <c r="Q485">
        <v>3</v>
      </c>
      <c r="R485">
        <v>88</v>
      </c>
      <c r="S485">
        <v>1</v>
      </c>
      <c r="T485">
        <v>1</v>
      </c>
      <c r="U485">
        <v>93</v>
      </c>
      <c r="V485">
        <v>7</v>
      </c>
      <c r="W485">
        <v>9</v>
      </c>
      <c r="X485">
        <v>128</v>
      </c>
      <c r="Y485">
        <v>0</v>
      </c>
      <c r="Z485">
        <v>0</v>
      </c>
      <c r="AA485">
        <v>4</v>
      </c>
      <c r="AB485">
        <v>12</v>
      </c>
      <c r="AC485">
        <v>4</v>
      </c>
      <c r="AF485" t="s">
        <v>95</v>
      </c>
      <c r="AG485" t="s">
        <v>95</v>
      </c>
      <c r="AH485" t="s">
        <v>95</v>
      </c>
      <c r="AI485">
        <v>1</v>
      </c>
      <c r="AW485" t="s">
        <v>95</v>
      </c>
      <c r="AX485">
        <v>14</v>
      </c>
      <c r="AY485">
        <v>365</v>
      </c>
      <c r="AZ485">
        <v>365</v>
      </c>
      <c r="BA485">
        <v>570</v>
      </c>
      <c r="BB485">
        <v>46</v>
      </c>
      <c r="BC485" t="s">
        <v>96</v>
      </c>
      <c r="BD485">
        <v>1</v>
      </c>
      <c r="BF485" t="s">
        <v>597</v>
      </c>
      <c r="BG485" s="1">
        <v>44354.011805555558</v>
      </c>
      <c r="BH485" s="1">
        <v>44354.021273148152</v>
      </c>
      <c r="BI485" s="1">
        <v>44354.021724537037</v>
      </c>
      <c r="BJ485" t="s">
        <v>85</v>
      </c>
      <c r="BK485" t="s">
        <v>86</v>
      </c>
      <c r="BL485" t="s">
        <v>87</v>
      </c>
    </row>
    <row r="486" spans="1:64" x14ac:dyDescent="0.3">
      <c r="A486" t="str">
        <f>"200274C0300"</f>
        <v>200274C0300</v>
      </c>
      <c r="B486" t="str">
        <f>"200274C03003"</f>
        <v>200274C03003</v>
      </c>
      <c r="C486" t="str">
        <f t="shared" si="30"/>
        <v>20</v>
      </c>
      <c r="D486" t="s">
        <v>81</v>
      </c>
      <c r="E486" t="str">
        <f t="shared" si="29"/>
        <v>041</v>
      </c>
      <c r="F486" t="s">
        <v>556</v>
      </c>
      <c r="G486" t="str">
        <f>"0274"</f>
        <v>0274</v>
      </c>
      <c r="H486" t="str">
        <f>"0003"</f>
        <v>0003</v>
      </c>
      <c r="I486" t="s">
        <v>89</v>
      </c>
      <c r="J486">
        <v>0</v>
      </c>
      <c r="K486">
        <v>1</v>
      </c>
      <c r="L486">
        <v>3</v>
      </c>
      <c r="M486">
        <v>279</v>
      </c>
      <c r="N486">
        <v>337</v>
      </c>
      <c r="O486">
        <v>0</v>
      </c>
      <c r="P486">
        <v>337</v>
      </c>
      <c r="Q486">
        <v>2</v>
      </c>
      <c r="R486">
        <v>84</v>
      </c>
      <c r="S486">
        <v>2</v>
      </c>
      <c r="T486">
        <v>0</v>
      </c>
      <c r="U486">
        <v>76</v>
      </c>
      <c r="V486">
        <v>5</v>
      </c>
      <c r="W486">
        <v>3</v>
      </c>
      <c r="X486">
        <v>133</v>
      </c>
      <c r="Y486">
        <v>1</v>
      </c>
      <c r="Z486">
        <v>0</v>
      </c>
      <c r="AA486">
        <v>4</v>
      </c>
      <c r="AB486">
        <v>3</v>
      </c>
      <c r="AC486">
        <v>15</v>
      </c>
      <c r="AF486">
        <v>0</v>
      </c>
      <c r="AG486">
        <v>1</v>
      </c>
      <c r="AH486">
        <v>0</v>
      </c>
      <c r="AI486">
        <v>1</v>
      </c>
      <c r="AW486">
        <v>1</v>
      </c>
      <c r="AX486">
        <v>6</v>
      </c>
      <c r="AY486">
        <v>337</v>
      </c>
      <c r="AZ486">
        <v>337</v>
      </c>
      <c r="BA486">
        <v>570</v>
      </c>
      <c r="BB486">
        <v>46</v>
      </c>
      <c r="BD486">
        <v>1</v>
      </c>
      <c r="BF486" t="s">
        <v>598</v>
      </c>
      <c r="BG486" s="1">
        <v>44354.007638888892</v>
      </c>
      <c r="BH486" s="1">
        <v>44354.014432870368</v>
      </c>
      <c r="BI486" s="1">
        <v>44354.01494212963</v>
      </c>
      <c r="BJ486" t="s">
        <v>85</v>
      </c>
      <c r="BK486" t="s">
        <v>86</v>
      </c>
      <c r="BL486" t="s">
        <v>87</v>
      </c>
    </row>
    <row r="487" spans="1:64" x14ac:dyDescent="0.3">
      <c r="A487" t="str">
        <f>"200275B0000"</f>
        <v>200275B0000</v>
      </c>
      <c r="B487" t="str">
        <f>"200275B00003"</f>
        <v>200275B00003</v>
      </c>
      <c r="C487" t="str">
        <f t="shared" si="30"/>
        <v>20</v>
      </c>
      <c r="D487" t="s">
        <v>81</v>
      </c>
      <c r="E487" t="str">
        <f t="shared" si="29"/>
        <v>041</v>
      </c>
      <c r="F487" t="s">
        <v>556</v>
      </c>
      <c r="G487" t="str">
        <f>"0275"</f>
        <v>0275</v>
      </c>
      <c r="H487" t="str">
        <f>"0000"</f>
        <v>0000</v>
      </c>
      <c r="I487" t="s">
        <v>83</v>
      </c>
      <c r="J487">
        <v>0</v>
      </c>
      <c r="K487">
        <v>1</v>
      </c>
      <c r="L487">
        <v>3</v>
      </c>
      <c r="M487">
        <v>59</v>
      </c>
      <c r="N487">
        <v>61</v>
      </c>
      <c r="O487">
        <v>6</v>
      </c>
      <c r="P487">
        <v>61</v>
      </c>
      <c r="Q487">
        <v>0</v>
      </c>
      <c r="R487">
        <v>27</v>
      </c>
      <c r="S487">
        <v>0</v>
      </c>
      <c r="T487">
        <v>0</v>
      </c>
      <c r="U487">
        <v>13</v>
      </c>
      <c r="V487">
        <v>0</v>
      </c>
      <c r="W487">
        <v>1</v>
      </c>
      <c r="X487">
        <v>18</v>
      </c>
      <c r="Y487">
        <v>0</v>
      </c>
      <c r="Z487">
        <v>0</v>
      </c>
      <c r="AA487">
        <v>1</v>
      </c>
      <c r="AB487">
        <v>0</v>
      </c>
      <c r="AC487">
        <v>1</v>
      </c>
      <c r="AF487">
        <v>0</v>
      </c>
      <c r="AG487">
        <v>0</v>
      </c>
      <c r="AH487">
        <v>0</v>
      </c>
      <c r="AI487">
        <v>0</v>
      </c>
      <c r="AW487">
        <v>0</v>
      </c>
      <c r="AX487">
        <v>0</v>
      </c>
      <c r="AY487">
        <v>61</v>
      </c>
      <c r="AZ487">
        <v>61</v>
      </c>
      <c r="BA487">
        <v>74</v>
      </c>
      <c r="BB487">
        <v>46</v>
      </c>
      <c r="BD487">
        <v>1</v>
      </c>
      <c r="BF487" t="s">
        <v>599</v>
      </c>
      <c r="BG487" s="1">
        <v>44354.065972222219</v>
      </c>
      <c r="BH487" s="1">
        <v>44354.072754629633</v>
      </c>
      <c r="BI487" s="1">
        <v>44354.073645833334</v>
      </c>
      <c r="BJ487" t="s">
        <v>85</v>
      </c>
      <c r="BK487" t="s">
        <v>86</v>
      </c>
      <c r="BL487" t="s">
        <v>87</v>
      </c>
    </row>
    <row r="488" spans="1:64" x14ac:dyDescent="0.3">
      <c r="A488" t="str">
        <f>"200283B0000"</f>
        <v>200283B0000</v>
      </c>
      <c r="B488" t="str">
        <f>"200283B00003"</f>
        <v>200283B00003</v>
      </c>
      <c r="C488" t="str">
        <f t="shared" si="30"/>
        <v>20</v>
      </c>
      <c r="D488" t="s">
        <v>81</v>
      </c>
      <c r="E488" t="str">
        <f t="shared" ref="E488:E519" si="31">"043"</f>
        <v>043</v>
      </c>
      <c r="F488" t="s">
        <v>600</v>
      </c>
      <c r="G488" t="str">
        <f>"0283"</f>
        <v>0283</v>
      </c>
      <c r="H488" t="str">
        <f>"0000"</f>
        <v>0000</v>
      </c>
      <c r="I488" t="s">
        <v>83</v>
      </c>
      <c r="J488">
        <v>0</v>
      </c>
      <c r="K488">
        <v>1</v>
      </c>
      <c r="L488">
        <v>3</v>
      </c>
      <c r="M488">
        <v>276</v>
      </c>
      <c r="N488">
        <v>405</v>
      </c>
      <c r="O488">
        <v>9</v>
      </c>
      <c r="P488">
        <v>405</v>
      </c>
      <c r="Q488">
        <v>5</v>
      </c>
      <c r="R488">
        <v>78</v>
      </c>
      <c r="S488">
        <v>2</v>
      </c>
      <c r="U488">
        <v>123</v>
      </c>
      <c r="V488">
        <v>18</v>
      </c>
      <c r="W488">
        <v>0</v>
      </c>
      <c r="X488">
        <v>122</v>
      </c>
      <c r="Y488">
        <v>4</v>
      </c>
      <c r="Z488">
        <v>18</v>
      </c>
      <c r="AA488">
        <v>20</v>
      </c>
      <c r="AB488">
        <v>2</v>
      </c>
      <c r="AF488">
        <v>2</v>
      </c>
      <c r="AG488">
        <v>0</v>
      </c>
      <c r="AH488">
        <v>0</v>
      </c>
      <c r="AI488">
        <v>0</v>
      </c>
      <c r="AW488">
        <v>0</v>
      </c>
      <c r="AX488">
        <v>11</v>
      </c>
      <c r="AY488">
        <v>405</v>
      </c>
      <c r="AZ488">
        <v>405</v>
      </c>
      <c r="BA488">
        <v>637</v>
      </c>
      <c r="BB488">
        <v>44</v>
      </c>
      <c r="BD488">
        <v>1</v>
      </c>
      <c r="BF488" t="s">
        <v>601</v>
      </c>
      <c r="BG488" s="1">
        <v>44354.162499999999</v>
      </c>
      <c r="BH488" s="1">
        <v>44354.167500000003</v>
      </c>
      <c r="BI488" s="1">
        <v>44354.168113425927</v>
      </c>
      <c r="BJ488" t="s">
        <v>85</v>
      </c>
      <c r="BK488" t="s">
        <v>86</v>
      </c>
      <c r="BL488" t="s">
        <v>87</v>
      </c>
    </row>
    <row r="489" spans="1:64" x14ac:dyDescent="0.3">
      <c r="A489" t="str">
        <f>"200283C0100"</f>
        <v>200283C0100</v>
      </c>
      <c r="B489" t="str">
        <f>"200283C01003"</f>
        <v>200283C01003</v>
      </c>
      <c r="C489" t="str">
        <f t="shared" si="30"/>
        <v>20</v>
      </c>
      <c r="D489" t="s">
        <v>81</v>
      </c>
      <c r="E489" t="str">
        <f t="shared" si="31"/>
        <v>043</v>
      </c>
      <c r="F489" t="s">
        <v>600</v>
      </c>
      <c r="G489" t="str">
        <f>"0283"</f>
        <v>0283</v>
      </c>
      <c r="H489" t="str">
        <f>"0001"</f>
        <v>0001</v>
      </c>
      <c r="I489" t="s">
        <v>89</v>
      </c>
      <c r="J489">
        <v>0</v>
      </c>
      <c r="K489">
        <v>1</v>
      </c>
      <c r="L489">
        <v>3</v>
      </c>
      <c r="M489">
        <v>265</v>
      </c>
      <c r="N489">
        <v>416</v>
      </c>
      <c r="O489">
        <v>8</v>
      </c>
      <c r="P489">
        <v>416</v>
      </c>
      <c r="Q489">
        <v>8</v>
      </c>
      <c r="R489">
        <v>72</v>
      </c>
      <c r="S489">
        <v>4</v>
      </c>
      <c r="U489">
        <v>142</v>
      </c>
      <c r="V489">
        <v>29</v>
      </c>
      <c r="W489">
        <v>2</v>
      </c>
      <c r="X489">
        <v>110</v>
      </c>
      <c r="Y489">
        <v>0</v>
      </c>
      <c r="Z489">
        <v>23</v>
      </c>
      <c r="AA489">
        <v>15</v>
      </c>
      <c r="AB489">
        <v>5</v>
      </c>
      <c r="AF489">
        <v>0</v>
      </c>
      <c r="AG489">
        <v>0</v>
      </c>
      <c r="AH489">
        <v>0</v>
      </c>
      <c r="AI489">
        <v>0</v>
      </c>
      <c r="AW489">
        <v>0</v>
      </c>
      <c r="AX489">
        <v>6</v>
      </c>
      <c r="AY489">
        <v>416</v>
      </c>
      <c r="AZ489">
        <v>416</v>
      </c>
      <c r="BA489">
        <v>637</v>
      </c>
      <c r="BB489">
        <v>44</v>
      </c>
      <c r="BD489">
        <v>1</v>
      </c>
      <c r="BF489" t="s">
        <v>602</v>
      </c>
      <c r="BG489" s="1">
        <v>44354.159722222219</v>
      </c>
      <c r="BH489" s="1">
        <v>44354.162812499999</v>
      </c>
      <c r="BI489" s="1">
        <v>44354.163217592592</v>
      </c>
      <c r="BJ489" t="s">
        <v>85</v>
      </c>
      <c r="BK489" t="s">
        <v>86</v>
      </c>
      <c r="BL489" t="s">
        <v>87</v>
      </c>
    </row>
    <row r="490" spans="1:64" x14ac:dyDescent="0.3">
      <c r="A490" t="str">
        <f>"200283C0200"</f>
        <v>200283C0200</v>
      </c>
      <c r="B490" t="str">
        <f>"200283C02003"</f>
        <v>200283C02003</v>
      </c>
      <c r="C490" t="str">
        <f t="shared" si="30"/>
        <v>20</v>
      </c>
      <c r="D490" t="s">
        <v>81</v>
      </c>
      <c r="E490" t="str">
        <f t="shared" si="31"/>
        <v>043</v>
      </c>
      <c r="F490" t="s">
        <v>600</v>
      </c>
      <c r="G490" t="str">
        <f>"0283"</f>
        <v>0283</v>
      </c>
      <c r="H490" t="str">
        <f>"0002"</f>
        <v>0002</v>
      </c>
      <c r="I490" t="s">
        <v>89</v>
      </c>
      <c r="J490">
        <v>0</v>
      </c>
      <c r="K490">
        <v>1</v>
      </c>
      <c r="L490">
        <v>3</v>
      </c>
      <c r="BA490">
        <v>636</v>
      </c>
      <c r="BB490">
        <v>44</v>
      </c>
      <c r="BC490" t="s">
        <v>381</v>
      </c>
      <c r="BD490">
        <v>0</v>
      </c>
      <c r="BF490" t="s">
        <v>603</v>
      </c>
      <c r="BG490" s="1">
        <v>44354.576388888891</v>
      </c>
      <c r="BH490" s="1">
        <v>44354.577476851853</v>
      </c>
      <c r="BI490" s="1">
        <v>44354.577476851853</v>
      </c>
      <c r="BJ490" t="s">
        <v>85</v>
      </c>
      <c r="BK490" t="s">
        <v>86</v>
      </c>
      <c r="BL490" t="s">
        <v>87</v>
      </c>
    </row>
    <row r="491" spans="1:64" x14ac:dyDescent="0.3">
      <c r="A491" t="str">
        <f>"200283E0100"</f>
        <v>200283E0100</v>
      </c>
      <c r="B491" t="str">
        <f>"200283E01003"</f>
        <v>200283E01003</v>
      </c>
      <c r="C491" t="str">
        <f t="shared" si="30"/>
        <v>20</v>
      </c>
      <c r="D491" t="s">
        <v>81</v>
      </c>
      <c r="E491" t="str">
        <f t="shared" si="31"/>
        <v>043</v>
      </c>
      <c r="F491" t="s">
        <v>600</v>
      </c>
      <c r="G491" t="str">
        <f>"0283"</f>
        <v>0283</v>
      </c>
      <c r="H491" t="str">
        <f>"0001"</f>
        <v>0001</v>
      </c>
      <c r="I491" t="s">
        <v>122</v>
      </c>
      <c r="J491">
        <v>0</v>
      </c>
      <c r="K491">
        <v>1</v>
      </c>
      <c r="L491">
        <v>3</v>
      </c>
      <c r="M491">
        <v>86</v>
      </c>
      <c r="N491">
        <v>75</v>
      </c>
      <c r="O491">
        <v>7</v>
      </c>
      <c r="P491">
        <v>75</v>
      </c>
      <c r="Q491" t="s">
        <v>95</v>
      </c>
      <c r="R491">
        <v>16</v>
      </c>
      <c r="S491">
        <v>10</v>
      </c>
      <c r="U491">
        <v>24</v>
      </c>
      <c r="V491">
        <v>0</v>
      </c>
      <c r="W491" t="s">
        <v>131</v>
      </c>
      <c r="X491">
        <v>12</v>
      </c>
      <c r="Y491">
        <v>1</v>
      </c>
      <c r="Z491">
        <v>2</v>
      </c>
      <c r="AA491">
        <v>1</v>
      </c>
      <c r="AB491">
        <v>1</v>
      </c>
      <c r="AF491" t="s">
        <v>95</v>
      </c>
      <c r="AG491" t="s">
        <v>95</v>
      </c>
      <c r="AH491" t="s">
        <v>95</v>
      </c>
      <c r="AI491" t="s">
        <v>95</v>
      </c>
      <c r="AW491" t="s">
        <v>95</v>
      </c>
      <c r="AX491" t="s">
        <v>95</v>
      </c>
      <c r="AY491" t="s">
        <v>95</v>
      </c>
      <c r="AZ491">
        <v>67</v>
      </c>
      <c r="BA491">
        <v>117</v>
      </c>
      <c r="BB491">
        <v>44</v>
      </c>
      <c r="BC491" t="s">
        <v>96</v>
      </c>
      <c r="BD491">
        <v>1</v>
      </c>
      <c r="BF491" t="s">
        <v>604</v>
      </c>
      <c r="BG491" s="1">
        <v>44353.905555555553</v>
      </c>
      <c r="BH491" s="1">
        <v>44353.914131944446</v>
      </c>
      <c r="BI491" s="1">
        <v>44353.917141203703</v>
      </c>
      <c r="BJ491" t="s">
        <v>85</v>
      </c>
      <c r="BK491" t="s">
        <v>86</v>
      </c>
      <c r="BL491" t="s">
        <v>87</v>
      </c>
    </row>
    <row r="492" spans="1:64" x14ac:dyDescent="0.3">
      <c r="A492" t="str">
        <f>"200284B0000"</f>
        <v>200284B0000</v>
      </c>
      <c r="B492" t="str">
        <f>"200284B00003"</f>
        <v>200284B00003</v>
      </c>
      <c r="C492" t="str">
        <f t="shared" si="30"/>
        <v>20</v>
      </c>
      <c r="D492" t="s">
        <v>81</v>
      </c>
      <c r="E492" t="str">
        <f t="shared" si="31"/>
        <v>043</v>
      </c>
      <c r="F492" t="s">
        <v>600</v>
      </c>
      <c r="G492" t="str">
        <f t="shared" ref="G492:G499" si="32">"0284"</f>
        <v>0284</v>
      </c>
      <c r="H492" t="str">
        <f>"0000"</f>
        <v>0000</v>
      </c>
      <c r="I492" t="s">
        <v>83</v>
      </c>
      <c r="J492">
        <v>0</v>
      </c>
      <c r="K492">
        <v>1</v>
      </c>
      <c r="L492">
        <v>3</v>
      </c>
      <c r="M492">
        <v>317</v>
      </c>
      <c r="N492">
        <v>424</v>
      </c>
      <c r="O492">
        <v>3</v>
      </c>
      <c r="P492" t="s">
        <v>92</v>
      </c>
      <c r="Q492">
        <v>0</v>
      </c>
      <c r="R492">
        <v>33</v>
      </c>
      <c r="S492">
        <v>18</v>
      </c>
      <c r="U492">
        <v>151</v>
      </c>
      <c r="V492">
        <v>5</v>
      </c>
      <c r="W492">
        <v>7</v>
      </c>
      <c r="X492">
        <v>154</v>
      </c>
      <c r="Y492">
        <v>4</v>
      </c>
      <c r="Z492">
        <v>38</v>
      </c>
      <c r="AA492">
        <v>14</v>
      </c>
      <c r="AB492">
        <v>2</v>
      </c>
      <c r="AF492">
        <v>0</v>
      </c>
      <c r="AG492">
        <v>0</v>
      </c>
      <c r="AH492">
        <v>0</v>
      </c>
      <c r="AI492">
        <v>0</v>
      </c>
      <c r="AW492">
        <v>0</v>
      </c>
      <c r="AX492">
        <v>8</v>
      </c>
      <c r="AY492">
        <v>424</v>
      </c>
      <c r="AZ492">
        <v>434</v>
      </c>
      <c r="BA492">
        <v>697</v>
      </c>
      <c r="BB492">
        <v>44</v>
      </c>
      <c r="BD492">
        <v>1</v>
      </c>
      <c r="BF492" t="s">
        <v>605</v>
      </c>
      <c r="BG492" s="1">
        <v>44354.122916666667</v>
      </c>
      <c r="BH492" s="1">
        <v>44354.125717592593</v>
      </c>
      <c r="BI492" s="1">
        <v>44354.126597222225</v>
      </c>
      <c r="BJ492" t="s">
        <v>85</v>
      </c>
      <c r="BK492" t="s">
        <v>86</v>
      </c>
      <c r="BL492" t="s">
        <v>87</v>
      </c>
    </row>
    <row r="493" spans="1:64" x14ac:dyDescent="0.3">
      <c r="A493" t="str">
        <f>"200284C0100"</f>
        <v>200284C0100</v>
      </c>
      <c r="B493" t="str">
        <f>"200284C01003"</f>
        <v>200284C01003</v>
      </c>
      <c r="C493" t="str">
        <f t="shared" si="30"/>
        <v>20</v>
      </c>
      <c r="D493" t="s">
        <v>81</v>
      </c>
      <c r="E493" t="str">
        <f t="shared" si="31"/>
        <v>043</v>
      </c>
      <c r="F493" t="s">
        <v>600</v>
      </c>
      <c r="G493" t="str">
        <f t="shared" si="32"/>
        <v>0284</v>
      </c>
      <c r="H493" t="str">
        <f>"0001"</f>
        <v>0001</v>
      </c>
      <c r="I493" t="s">
        <v>89</v>
      </c>
      <c r="J493">
        <v>0</v>
      </c>
      <c r="K493">
        <v>1</v>
      </c>
      <c r="L493">
        <v>3</v>
      </c>
      <c r="M493">
        <v>334</v>
      </c>
      <c r="N493">
        <v>408</v>
      </c>
      <c r="O493">
        <v>5</v>
      </c>
      <c r="P493">
        <v>407</v>
      </c>
      <c r="Q493">
        <v>2</v>
      </c>
      <c r="R493">
        <v>26</v>
      </c>
      <c r="S493">
        <v>12</v>
      </c>
      <c r="U493">
        <v>132</v>
      </c>
      <c r="V493">
        <v>5</v>
      </c>
      <c r="W493">
        <v>8</v>
      </c>
      <c r="X493">
        <v>143</v>
      </c>
      <c r="Y493">
        <v>5</v>
      </c>
      <c r="Z493">
        <v>48</v>
      </c>
      <c r="AA493">
        <v>17</v>
      </c>
      <c r="AB493">
        <v>2</v>
      </c>
      <c r="AF493">
        <v>0</v>
      </c>
      <c r="AG493">
        <v>1</v>
      </c>
      <c r="AH493">
        <v>0</v>
      </c>
      <c r="AI493">
        <v>0</v>
      </c>
      <c r="AW493">
        <v>0</v>
      </c>
      <c r="AX493">
        <v>6</v>
      </c>
      <c r="AY493">
        <v>407</v>
      </c>
      <c r="AZ493">
        <v>407</v>
      </c>
      <c r="BA493">
        <v>697</v>
      </c>
      <c r="BB493">
        <v>44</v>
      </c>
      <c r="BD493">
        <v>1</v>
      </c>
      <c r="BF493" t="s">
        <v>606</v>
      </c>
      <c r="BG493" s="1">
        <v>44354.128472222219</v>
      </c>
      <c r="BH493" s="1">
        <v>44354.130682870367</v>
      </c>
      <c r="BI493" s="1">
        <v>44354.131319444445</v>
      </c>
      <c r="BJ493" t="s">
        <v>85</v>
      </c>
      <c r="BK493" t="s">
        <v>86</v>
      </c>
      <c r="BL493" t="s">
        <v>87</v>
      </c>
    </row>
    <row r="494" spans="1:64" x14ac:dyDescent="0.3">
      <c r="A494" t="str">
        <f>"200284C0200"</f>
        <v>200284C0200</v>
      </c>
      <c r="B494" t="str">
        <f>"200284C02003"</f>
        <v>200284C02003</v>
      </c>
      <c r="C494" t="str">
        <f t="shared" si="30"/>
        <v>20</v>
      </c>
      <c r="D494" t="s">
        <v>81</v>
      </c>
      <c r="E494" t="str">
        <f t="shared" si="31"/>
        <v>043</v>
      </c>
      <c r="F494" t="s">
        <v>600</v>
      </c>
      <c r="G494" t="str">
        <f t="shared" si="32"/>
        <v>0284</v>
      </c>
      <c r="H494" t="str">
        <f>"0002"</f>
        <v>0002</v>
      </c>
      <c r="I494" t="s">
        <v>89</v>
      </c>
      <c r="J494">
        <v>0</v>
      </c>
      <c r="K494">
        <v>1</v>
      </c>
      <c r="L494">
        <v>3</v>
      </c>
      <c r="M494">
        <v>327</v>
      </c>
      <c r="N494">
        <v>414</v>
      </c>
      <c r="O494">
        <v>9</v>
      </c>
      <c r="P494">
        <v>414</v>
      </c>
      <c r="Q494">
        <v>3</v>
      </c>
      <c r="R494">
        <v>30</v>
      </c>
      <c r="S494">
        <v>13</v>
      </c>
      <c r="U494">
        <v>154</v>
      </c>
      <c r="V494">
        <v>3</v>
      </c>
      <c r="W494">
        <v>5</v>
      </c>
      <c r="X494">
        <v>123</v>
      </c>
      <c r="Y494">
        <v>2</v>
      </c>
      <c r="Z494">
        <v>59</v>
      </c>
      <c r="AA494">
        <v>7</v>
      </c>
      <c r="AB494">
        <v>3</v>
      </c>
      <c r="AF494">
        <v>1</v>
      </c>
      <c r="AG494">
        <v>0</v>
      </c>
      <c r="AH494">
        <v>0</v>
      </c>
      <c r="AI494">
        <v>0</v>
      </c>
      <c r="AW494">
        <v>0</v>
      </c>
      <c r="AX494">
        <v>11</v>
      </c>
      <c r="AY494">
        <v>414</v>
      </c>
      <c r="AZ494">
        <v>414</v>
      </c>
      <c r="BA494">
        <v>697</v>
      </c>
      <c r="BB494">
        <v>44</v>
      </c>
      <c r="BD494">
        <v>1</v>
      </c>
      <c r="BF494" s="2" t="s">
        <v>607</v>
      </c>
      <c r="BG494" s="1">
        <v>44354.129861111112</v>
      </c>
      <c r="BH494" s="1">
        <v>44354.132152777776</v>
      </c>
      <c r="BI494" s="1">
        <v>44354.132685185185</v>
      </c>
      <c r="BJ494" t="s">
        <v>85</v>
      </c>
      <c r="BK494" t="s">
        <v>86</v>
      </c>
      <c r="BL494" t="s">
        <v>87</v>
      </c>
    </row>
    <row r="495" spans="1:64" x14ac:dyDescent="0.3">
      <c r="A495" t="str">
        <f>"200284C0300"</f>
        <v>200284C0300</v>
      </c>
      <c r="B495" t="str">
        <f>"200284C03003"</f>
        <v>200284C03003</v>
      </c>
      <c r="C495" t="str">
        <f t="shared" si="30"/>
        <v>20</v>
      </c>
      <c r="D495" t="s">
        <v>81</v>
      </c>
      <c r="E495" t="str">
        <f t="shared" si="31"/>
        <v>043</v>
      </c>
      <c r="F495" t="s">
        <v>600</v>
      </c>
      <c r="G495" t="str">
        <f t="shared" si="32"/>
        <v>0284</v>
      </c>
      <c r="H495" t="str">
        <f>"0003"</f>
        <v>0003</v>
      </c>
      <c r="I495" t="s">
        <v>89</v>
      </c>
      <c r="J495">
        <v>0</v>
      </c>
      <c r="K495">
        <v>1</v>
      </c>
      <c r="L495">
        <v>3</v>
      </c>
      <c r="M495">
        <v>330</v>
      </c>
      <c r="N495">
        <v>411</v>
      </c>
      <c r="O495">
        <v>11</v>
      </c>
      <c r="P495">
        <v>411</v>
      </c>
      <c r="Q495">
        <v>2</v>
      </c>
      <c r="R495">
        <v>35</v>
      </c>
      <c r="S495">
        <v>14</v>
      </c>
      <c r="U495">
        <v>135</v>
      </c>
      <c r="V495">
        <v>2</v>
      </c>
      <c r="W495">
        <v>4</v>
      </c>
      <c r="X495">
        <v>126</v>
      </c>
      <c r="Y495">
        <v>4</v>
      </c>
      <c r="Z495">
        <v>61</v>
      </c>
      <c r="AA495">
        <v>13</v>
      </c>
      <c r="AB495">
        <v>5</v>
      </c>
      <c r="AF495">
        <v>0</v>
      </c>
      <c r="AG495">
        <v>0</v>
      </c>
      <c r="AH495">
        <v>0</v>
      </c>
      <c r="AI495">
        <v>0</v>
      </c>
      <c r="AW495">
        <v>0</v>
      </c>
      <c r="AX495">
        <v>10</v>
      </c>
      <c r="AY495">
        <v>411</v>
      </c>
      <c r="AZ495">
        <v>411</v>
      </c>
      <c r="BA495">
        <v>697</v>
      </c>
      <c r="BB495">
        <v>44</v>
      </c>
      <c r="BD495">
        <v>1</v>
      </c>
      <c r="BF495" t="s">
        <v>608</v>
      </c>
      <c r="BG495" s="1">
        <v>44354.126388888886</v>
      </c>
      <c r="BH495" s="1">
        <v>44354.12872685185</v>
      </c>
      <c r="BI495" s="1">
        <v>44354.129143518519</v>
      </c>
      <c r="BJ495" t="s">
        <v>85</v>
      </c>
      <c r="BK495" t="s">
        <v>86</v>
      </c>
      <c r="BL495" t="s">
        <v>87</v>
      </c>
    </row>
    <row r="496" spans="1:64" x14ac:dyDescent="0.3">
      <c r="A496" t="str">
        <f>"200284C0400"</f>
        <v>200284C0400</v>
      </c>
      <c r="B496" t="str">
        <f>"200284C04003"</f>
        <v>200284C04003</v>
      </c>
      <c r="C496" t="str">
        <f t="shared" si="30"/>
        <v>20</v>
      </c>
      <c r="D496" t="s">
        <v>81</v>
      </c>
      <c r="E496" t="str">
        <f t="shared" si="31"/>
        <v>043</v>
      </c>
      <c r="F496" t="s">
        <v>600</v>
      </c>
      <c r="G496" t="str">
        <f t="shared" si="32"/>
        <v>0284</v>
      </c>
      <c r="H496" t="str">
        <f>"0004"</f>
        <v>0004</v>
      </c>
      <c r="I496" t="s">
        <v>89</v>
      </c>
      <c r="J496">
        <v>0</v>
      </c>
      <c r="K496">
        <v>1</v>
      </c>
      <c r="L496">
        <v>3</v>
      </c>
      <c r="M496">
        <v>293</v>
      </c>
      <c r="N496">
        <v>447</v>
      </c>
      <c r="O496">
        <v>7</v>
      </c>
      <c r="P496" t="s">
        <v>92</v>
      </c>
      <c r="Q496">
        <v>2</v>
      </c>
      <c r="R496">
        <v>36</v>
      </c>
      <c r="S496">
        <v>11</v>
      </c>
      <c r="U496">
        <v>169</v>
      </c>
      <c r="V496">
        <v>3</v>
      </c>
      <c r="W496">
        <v>3</v>
      </c>
      <c r="X496">
        <v>144</v>
      </c>
      <c r="Y496">
        <v>1</v>
      </c>
      <c r="Z496">
        <v>55</v>
      </c>
      <c r="AA496">
        <v>10</v>
      </c>
      <c r="AB496">
        <v>2</v>
      </c>
      <c r="AF496">
        <v>1</v>
      </c>
      <c r="AG496">
        <v>0</v>
      </c>
      <c r="AH496">
        <v>0</v>
      </c>
      <c r="AI496">
        <v>0</v>
      </c>
      <c r="AW496">
        <v>0</v>
      </c>
      <c r="AX496">
        <v>10</v>
      </c>
      <c r="AY496">
        <v>447</v>
      </c>
      <c r="AZ496">
        <v>447</v>
      </c>
      <c r="BA496">
        <v>696</v>
      </c>
      <c r="BB496">
        <v>44</v>
      </c>
      <c r="BD496">
        <v>1</v>
      </c>
      <c r="BF496" t="s">
        <v>609</v>
      </c>
      <c r="BG496" s="1">
        <v>44354.130555555559</v>
      </c>
      <c r="BH496" s="1">
        <v>44354.132650462961</v>
      </c>
      <c r="BI496" s="1">
        <v>44354.132928240739</v>
      </c>
      <c r="BJ496" t="s">
        <v>85</v>
      </c>
      <c r="BK496" t="s">
        <v>86</v>
      </c>
      <c r="BL496" t="s">
        <v>87</v>
      </c>
    </row>
    <row r="497" spans="1:64" x14ac:dyDescent="0.3">
      <c r="A497" t="str">
        <f>"200284C0500"</f>
        <v>200284C0500</v>
      </c>
      <c r="B497" t="str">
        <f>"200284C05003"</f>
        <v>200284C05003</v>
      </c>
      <c r="C497" t="str">
        <f t="shared" si="30"/>
        <v>20</v>
      </c>
      <c r="D497" t="s">
        <v>81</v>
      </c>
      <c r="E497" t="str">
        <f t="shared" si="31"/>
        <v>043</v>
      </c>
      <c r="F497" t="s">
        <v>600</v>
      </c>
      <c r="G497" t="str">
        <f t="shared" si="32"/>
        <v>0284</v>
      </c>
      <c r="H497" t="str">
        <f>"0005"</f>
        <v>0005</v>
      </c>
      <c r="I497" t="s">
        <v>89</v>
      </c>
      <c r="J497">
        <v>0</v>
      </c>
      <c r="K497">
        <v>1</v>
      </c>
      <c r="L497">
        <v>3</v>
      </c>
      <c r="M497">
        <v>300</v>
      </c>
      <c r="N497">
        <v>440</v>
      </c>
      <c r="O497">
        <v>5</v>
      </c>
      <c r="P497" t="s">
        <v>92</v>
      </c>
      <c r="Q497">
        <v>1</v>
      </c>
      <c r="R497">
        <v>27</v>
      </c>
      <c r="S497">
        <v>16</v>
      </c>
      <c r="U497">
        <v>145</v>
      </c>
      <c r="V497">
        <v>3</v>
      </c>
      <c r="W497">
        <v>9</v>
      </c>
      <c r="X497">
        <v>161</v>
      </c>
      <c r="Y497">
        <v>0</v>
      </c>
      <c r="Z497">
        <v>60</v>
      </c>
      <c r="AA497">
        <v>9</v>
      </c>
      <c r="AB497">
        <v>0</v>
      </c>
      <c r="AF497">
        <v>1</v>
      </c>
      <c r="AG497">
        <v>0</v>
      </c>
      <c r="AH497">
        <v>0</v>
      </c>
      <c r="AI497">
        <v>0</v>
      </c>
      <c r="AW497">
        <v>0</v>
      </c>
      <c r="AX497">
        <v>7</v>
      </c>
      <c r="AY497">
        <v>440</v>
      </c>
      <c r="AZ497">
        <v>439</v>
      </c>
      <c r="BA497">
        <v>696</v>
      </c>
      <c r="BB497">
        <v>44</v>
      </c>
      <c r="BD497">
        <v>1</v>
      </c>
      <c r="BF497" t="s">
        <v>610</v>
      </c>
      <c r="BG497" s="1">
        <v>44354.12777777778</v>
      </c>
      <c r="BH497" s="1">
        <v>44354.129791666666</v>
      </c>
      <c r="BI497" s="1">
        <v>44354.130810185183</v>
      </c>
      <c r="BJ497" t="s">
        <v>85</v>
      </c>
      <c r="BK497" t="s">
        <v>86</v>
      </c>
      <c r="BL497" t="s">
        <v>87</v>
      </c>
    </row>
    <row r="498" spans="1:64" x14ac:dyDescent="0.3">
      <c r="A498" t="str">
        <f>"200284C0600"</f>
        <v>200284C0600</v>
      </c>
      <c r="B498" t="str">
        <f>"200284C06003"</f>
        <v>200284C06003</v>
      </c>
      <c r="C498" t="str">
        <f t="shared" si="30"/>
        <v>20</v>
      </c>
      <c r="D498" t="s">
        <v>81</v>
      </c>
      <c r="E498" t="str">
        <f t="shared" si="31"/>
        <v>043</v>
      </c>
      <c r="F498" t="s">
        <v>600</v>
      </c>
      <c r="G498" t="str">
        <f t="shared" si="32"/>
        <v>0284</v>
      </c>
      <c r="H498" t="str">
        <f>"0006"</f>
        <v>0006</v>
      </c>
      <c r="I498" t="s">
        <v>89</v>
      </c>
      <c r="J498">
        <v>0</v>
      </c>
      <c r="K498">
        <v>1</v>
      </c>
      <c r="L498">
        <v>3</v>
      </c>
      <c r="M498">
        <v>314</v>
      </c>
      <c r="N498">
        <v>426</v>
      </c>
      <c r="O498">
        <v>4</v>
      </c>
      <c r="P498">
        <v>426</v>
      </c>
      <c r="Q498">
        <v>1</v>
      </c>
      <c r="R498">
        <v>34</v>
      </c>
      <c r="S498">
        <v>12</v>
      </c>
      <c r="U498">
        <v>156</v>
      </c>
      <c r="V498">
        <v>5</v>
      </c>
      <c r="W498">
        <v>5</v>
      </c>
      <c r="X498">
        <v>155</v>
      </c>
      <c r="Y498">
        <v>4</v>
      </c>
      <c r="Z498">
        <v>36</v>
      </c>
      <c r="AA498">
        <v>10</v>
      </c>
      <c r="AB498">
        <v>1</v>
      </c>
      <c r="AF498">
        <v>3</v>
      </c>
      <c r="AG498">
        <v>0</v>
      </c>
      <c r="AH498">
        <v>0</v>
      </c>
      <c r="AI498">
        <v>0</v>
      </c>
      <c r="AW498">
        <v>0</v>
      </c>
      <c r="AX498">
        <v>4</v>
      </c>
      <c r="AY498">
        <v>426</v>
      </c>
      <c r="AZ498">
        <v>426</v>
      </c>
      <c r="BA498">
        <v>696</v>
      </c>
      <c r="BB498">
        <v>44</v>
      </c>
      <c r="BD498">
        <v>1</v>
      </c>
      <c r="BF498" t="s">
        <v>611</v>
      </c>
      <c r="BG498" s="1">
        <v>44354.129166666666</v>
      </c>
      <c r="BH498" s="1">
        <v>44354.131747685184</v>
      </c>
      <c r="BI498" s="1">
        <v>44354.132106481484</v>
      </c>
      <c r="BJ498" t="s">
        <v>85</v>
      </c>
      <c r="BK498" t="s">
        <v>86</v>
      </c>
      <c r="BL498" t="s">
        <v>87</v>
      </c>
    </row>
    <row r="499" spans="1:64" x14ac:dyDescent="0.3">
      <c r="A499" t="str">
        <f>"200284C0700"</f>
        <v>200284C0700</v>
      </c>
      <c r="B499" t="str">
        <f>"200284C07003"</f>
        <v>200284C07003</v>
      </c>
      <c r="C499" t="str">
        <f t="shared" si="30"/>
        <v>20</v>
      </c>
      <c r="D499" t="s">
        <v>81</v>
      </c>
      <c r="E499" t="str">
        <f t="shared" si="31"/>
        <v>043</v>
      </c>
      <c r="F499" t="s">
        <v>600</v>
      </c>
      <c r="G499" t="str">
        <f t="shared" si="32"/>
        <v>0284</v>
      </c>
      <c r="H499" t="str">
        <f>"0007"</f>
        <v>0007</v>
      </c>
      <c r="I499" t="s">
        <v>89</v>
      </c>
      <c r="J499">
        <v>0</v>
      </c>
      <c r="K499">
        <v>1</v>
      </c>
      <c r="L499">
        <v>3</v>
      </c>
      <c r="M499">
        <v>303</v>
      </c>
      <c r="N499">
        <v>437</v>
      </c>
      <c r="O499">
        <v>4</v>
      </c>
      <c r="P499">
        <v>437</v>
      </c>
      <c r="Q499">
        <v>1</v>
      </c>
      <c r="R499">
        <v>34</v>
      </c>
      <c r="S499">
        <v>9</v>
      </c>
      <c r="U499">
        <v>146</v>
      </c>
      <c r="V499">
        <v>2</v>
      </c>
      <c r="W499">
        <v>7</v>
      </c>
      <c r="X499">
        <v>164</v>
      </c>
      <c r="Y499">
        <v>3</v>
      </c>
      <c r="Z499">
        <v>45</v>
      </c>
      <c r="AA499">
        <v>7</v>
      </c>
      <c r="AB499">
        <v>3</v>
      </c>
      <c r="AF499">
        <v>3</v>
      </c>
      <c r="AG499">
        <v>0</v>
      </c>
      <c r="AH499">
        <v>0</v>
      </c>
      <c r="AI499">
        <v>0</v>
      </c>
      <c r="AW499">
        <v>0</v>
      </c>
      <c r="AX499">
        <v>13</v>
      </c>
      <c r="AY499">
        <v>437</v>
      </c>
      <c r="AZ499">
        <v>437</v>
      </c>
      <c r="BA499">
        <v>696</v>
      </c>
      <c r="BB499">
        <v>44</v>
      </c>
      <c r="BD499">
        <v>1</v>
      </c>
      <c r="BF499" t="s">
        <v>612</v>
      </c>
      <c r="BG499" s="1">
        <v>44354.127083333333</v>
      </c>
      <c r="BH499" s="1">
        <v>44354.12945601852</v>
      </c>
      <c r="BI499" s="1">
        <v>44354.12976851852</v>
      </c>
      <c r="BJ499" t="s">
        <v>85</v>
      </c>
      <c r="BK499" t="s">
        <v>86</v>
      </c>
      <c r="BL499" t="s">
        <v>87</v>
      </c>
    </row>
    <row r="500" spans="1:64" x14ac:dyDescent="0.3">
      <c r="A500" t="str">
        <f>"200285B0000"</f>
        <v>200285B0000</v>
      </c>
      <c r="B500" t="str">
        <f>"200285B00003"</f>
        <v>200285B00003</v>
      </c>
      <c r="C500" t="str">
        <f t="shared" si="30"/>
        <v>20</v>
      </c>
      <c r="D500" t="s">
        <v>81</v>
      </c>
      <c r="E500" t="str">
        <f t="shared" si="31"/>
        <v>043</v>
      </c>
      <c r="F500" t="s">
        <v>600</v>
      </c>
      <c r="G500" t="str">
        <f>"0285"</f>
        <v>0285</v>
      </c>
      <c r="H500" t="str">
        <f>"0000"</f>
        <v>0000</v>
      </c>
      <c r="I500" t="s">
        <v>83</v>
      </c>
      <c r="J500">
        <v>0</v>
      </c>
      <c r="K500">
        <v>1</v>
      </c>
      <c r="L500">
        <v>3</v>
      </c>
      <c r="M500">
        <v>304</v>
      </c>
      <c r="N500">
        <v>420</v>
      </c>
      <c r="O500">
        <v>5</v>
      </c>
      <c r="P500">
        <v>419</v>
      </c>
      <c r="Q500">
        <v>2</v>
      </c>
      <c r="R500">
        <v>56</v>
      </c>
      <c r="S500">
        <v>7</v>
      </c>
      <c r="U500">
        <v>157</v>
      </c>
      <c r="V500">
        <v>4</v>
      </c>
      <c r="W500">
        <v>2</v>
      </c>
      <c r="X500" t="s">
        <v>131</v>
      </c>
      <c r="Y500">
        <v>5</v>
      </c>
      <c r="Z500">
        <v>65</v>
      </c>
      <c r="AA500">
        <v>4</v>
      </c>
      <c r="AB500">
        <v>2</v>
      </c>
      <c r="AF500" t="s">
        <v>95</v>
      </c>
      <c r="AG500" t="s">
        <v>95</v>
      </c>
      <c r="AH500" t="s">
        <v>95</v>
      </c>
      <c r="AI500" t="s">
        <v>95</v>
      </c>
      <c r="AW500" t="s">
        <v>95</v>
      </c>
      <c r="AX500">
        <v>18</v>
      </c>
      <c r="AY500" t="s">
        <v>95</v>
      </c>
      <c r="AZ500">
        <v>322</v>
      </c>
      <c r="BA500">
        <v>678</v>
      </c>
      <c r="BB500">
        <v>44</v>
      </c>
      <c r="BC500" t="s">
        <v>96</v>
      </c>
      <c r="BD500">
        <v>1</v>
      </c>
      <c r="BF500" t="s">
        <v>613</v>
      </c>
      <c r="BG500" s="1">
        <v>44354.037499999999</v>
      </c>
      <c r="BH500" s="1">
        <v>44354.049525462964</v>
      </c>
      <c r="BI500" s="1">
        <v>44354.050567129627</v>
      </c>
      <c r="BJ500" t="s">
        <v>85</v>
      </c>
      <c r="BK500" t="s">
        <v>86</v>
      </c>
      <c r="BL500" t="s">
        <v>87</v>
      </c>
    </row>
    <row r="501" spans="1:64" x14ac:dyDescent="0.3">
      <c r="A501" t="str">
        <f>"200285C0100"</f>
        <v>200285C0100</v>
      </c>
      <c r="B501" t="str">
        <f>"200285C01003"</f>
        <v>200285C01003</v>
      </c>
      <c r="C501" t="str">
        <f t="shared" si="30"/>
        <v>20</v>
      </c>
      <c r="D501" t="s">
        <v>81</v>
      </c>
      <c r="E501" t="str">
        <f t="shared" si="31"/>
        <v>043</v>
      </c>
      <c r="F501" t="s">
        <v>600</v>
      </c>
      <c r="G501" t="str">
        <f>"0285"</f>
        <v>0285</v>
      </c>
      <c r="H501" t="str">
        <f>"0001"</f>
        <v>0001</v>
      </c>
      <c r="I501" t="s">
        <v>89</v>
      </c>
      <c r="J501">
        <v>0</v>
      </c>
      <c r="K501">
        <v>1</v>
      </c>
      <c r="L501">
        <v>3</v>
      </c>
      <c r="M501">
        <v>292</v>
      </c>
      <c r="N501">
        <v>430</v>
      </c>
      <c r="O501">
        <v>5</v>
      </c>
      <c r="P501">
        <v>430</v>
      </c>
      <c r="Q501">
        <v>3</v>
      </c>
      <c r="R501">
        <v>72</v>
      </c>
      <c r="S501">
        <v>6</v>
      </c>
      <c r="U501">
        <v>174</v>
      </c>
      <c r="V501">
        <v>3</v>
      </c>
      <c r="W501">
        <v>1</v>
      </c>
      <c r="X501">
        <v>84</v>
      </c>
      <c r="Y501">
        <v>5</v>
      </c>
      <c r="Z501">
        <v>50</v>
      </c>
      <c r="AA501">
        <v>9</v>
      </c>
      <c r="AB501">
        <v>1</v>
      </c>
      <c r="AF501">
        <v>4</v>
      </c>
      <c r="AG501">
        <v>0</v>
      </c>
      <c r="AH501">
        <v>0</v>
      </c>
      <c r="AI501">
        <v>0</v>
      </c>
      <c r="AW501">
        <v>0</v>
      </c>
      <c r="AX501">
        <v>18</v>
      </c>
      <c r="AY501">
        <v>430</v>
      </c>
      <c r="AZ501">
        <v>430</v>
      </c>
      <c r="BA501">
        <v>678</v>
      </c>
      <c r="BB501">
        <v>44</v>
      </c>
      <c r="BD501">
        <v>1</v>
      </c>
      <c r="BF501" t="s">
        <v>614</v>
      </c>
      <c r="BG501" s="1">
        <v>44354.044444444444</v>
      </c>
      <c r="BH501" s="1">
        <v>44354.052662037036</v>
      </c>
      <c r="BI501" s="1">
        <v>44354.053194444445</v>
      </c>
      <c r="BJ501" t="s">
        <v>85</v>
      </c>
      <c r="BK501" t="s">
        <v>86</v>
      </c>
      <c r="BL501" t="s">
        <v>87</v>
      </c>
    </row>
    <row r="502" spans="1:64" x14ac:dyDescent="0.3">
      <c r="A502" t="str">
        <f>"200285C0200"</f>
        <v>200285C0200</v>
      </c>
      <c r="B502" t="str">
        <f>"200285C02003"</f>
        <v>200285C02003</v>
      </c>
      <c r="C502" t="str">
        <f t="shared" si="30"/>
        <v>20</v>
      </c>
      <c r="D502" t="s">
        <v>81</v>
      </c>
      <c r="E502" t="str">
        <f t="shared" si="31"/>
        <v>043</v>
      </c>
      <c r="F502" t="s">
        <v>600</v>
      </c>
      <c r="G502" t="str">
        <f>"0285"</f>
        <v>0285</v>
      </c>
      <c r="H502" t="str">
        <f>"0002"</f>
        <v>0002</v>
      </c>
      <c r="I502" t="s">
        <v>89</v>
      </c>
      <c r="J502">
        <v>0</v>
      </c>
      <c r="K502">
        <v>1</v>
      </c>
      <c r="L502">
        <v>3</v>
      </c>
      <c r="M502">
        <v>307</v>
      </c>
      <c r="N502">
        <v>415</v>
      </c>
      <c r="O502">
        <v>5</v>
      </c>
      <c r="P502">
        <v>416</v>
      </c>
      <c r="Q502">
        <v>0</v>
      </c>
      <c r="R502">
        <v>63</v>
      </c>
      <c r="S502">
        <v>11</v>
      </c>
      <c r="U502">
        <v>186</v>
      </c>
      <c r="V502">
        <v>8</v>
      </c>
      <c r="W502">
        <v>1</v>
      </c>
      <c r="X502">
        <v>85</v>
      </c>
      <c r="Y502">
        <v>2</v>
      </c>
      <c r="Z502">
        <v>33</v>
      </c>
      <c r="AA502">
        <v>13</v>
      </c>
      <c r="AB502">
        <v>4</v>
      </c>
      <c r="AF502">
        <v>1</v>
      </c>
      <c r="AG502">
        <v>0</v>
      </c>
      <c r="AH502">
        <v>0</v>
      </c>
      <c r="AI502">
        <v>0</v>
      </c>
      <c r="AW502">
        <v>0</v>
      </c>
      <c r="AX502">
        <v>9</v>
      </c>
      <c r="AY502">
        <v>419</v>
      </c>
      <c r="AZ502">
        <v>416</v>
      </c>
      <c r="BA502">
        <v>678</v>
      </c>
      <c r="BB502">
        <v>44</v>
      </c>
      <c r="BD502">
        <v>1</v>
      </c>
      <c r="BF502" t="s">
        <v>615</v>
      </c>
      <c r="BG502" s="1">
        <v>44354.040972222225</v>
      </c>
      <c r="BH502" s="1">
        <v>44354.052766203706</v>
      </c>
      <c r="BI502" s="1">
        <v>44354.05327546296</v>
      </c>
      <c r="BJ502" t="s">
        <v>85</v>
      </c>
      <c r="BK502" t="s">
        <v>86</v>
      </c>
      <c r="BL502" t="s">
        <v>87</v>
      </c>
    </row>
    <row r="503" spans="1:64" x14ac:dyDescent="0.3">
      <c r="A503" t="str">
        <f>"200285C0300"</f>
        <v>200285C0300</v>
      </c>
      <c r="B503" t="str">
        <f>"200285C03003"</f>
        <v>200285C03003</v>
      </c>
      <c r="C503" t="str">
        <f t="shared" si="30"/>
        <v>20</v>
      </c>
      <c r="D503" t="s">
        <v>81</v>
      </c>
      <c r="E503" t="str">
        <f t="shared" si="31"/>
        <v>043</v>
      </c>
      <c r="F503" t="s">
        <v>600</v>
      </c>
      <c r="G503" t="str">
        <f>"0285"</f>
        <v>0285</v>
      </c>
      <c r="H503" t="str">
        <f>"0003"</f>
        <v>0003</v>
      </c>
      <c r="I503" t="s">
        <v>89</v>
      </c>
      <c r="J503">
        <v>0</v>
      </c>
      <c r="K503">
        <v>1</v>
      </c>
      <c r="L503">
        <v>3</v>
      </c>
      <c r="M503">
        <v>310</v>
      </c>
      <c r="N503">
        <v>412</v>
      </c>
      <c r="O503">
        <v>5</v>
      </c>
      <c r="P503">
        <v>411</v>
      </c>
      <c r="Q503">
        <v>1</v>
      </c>
      <c r="R503">
        <v>64</v>
      </c>
      <c r="S503">
        <v>18</v>
      </c>
      <c r="U503">
        <v>167</v>
      </c>
      <c r="V503">
        <v>5</v>
      </c>
      <c r="W503">
        <v>0</v>
      </c>
      <c r="X503">
        <v>72</v>
      </c>
      <c r="Y503">
        <v>6</v>
      </c>
      <c r="Z503">
        <v>54</v>
      </c>
      <c r="AA503">
        <v>7</v>
      </c>
      <c r="AB503">
        <v>3</v>
      </c>
      <c r="AF503">
        <v>1</v>
      </c>
      <c r="AG503">
        <v>1</v>
      </c>
      <c r="AH503">
        <v>0</v>
      </c>
      <c r="AI503">
        <v>0</v>
      </c>
      <c r="AW503">
        <v>0</v>
      </c>
      <c r="AX503">
        <v>12</v>
      </c>
      <c r="AY503">
        <v>411</v>
      </c>
      <c r="AZ503">
        <v>411</v>
      </c>
      <c r="BA503">
        <v>678</v>
      </c>
      <c r="BB503">
        <v>44</v>
      </c>
      <c r="BD503">
        <v>1</v>
      </c>
      <c r="BF503" t="s">
        <v>616</v>
      </c>
      <c r="BG503" s="1">
        <v>44354.040277777778</v>
      </c>
      <c r="BH503" s="1">
        <v>44354.051192129627</v>
      </c>
      <c r="BI503" s="1">
        <v>44354.051770833335</v>
      </c>
      <c r="BJ503" t="s">
        <v>85</v>
      </c>
      <c r="BK503" t="s">
        <v>86</v>
      </c>
      <c r="BL503" t="s">
        <v>87</v>
      </c>
    </row>
    <row r="504" spans="1:64" x14ac:dyDescent="0.3">
      <c r="A504" t="str">
        <f>"200286B0000"</f>
        <v>200286B0000</v>
      </c>
      <c r="B504" t="str">
        <f>"200286B00003"</f>
        <v>200286B00003</v>
      </c>
      <c r="C504" t="str">
        <f t="shared" si="30"/>
        <v>20</v>
      </c>
      <c r="D504" t="s">
        <v>81</v>
      </c>
      <c r="E504" t="str">
        <f t="shared" si="31"/>
        <v>043</v>
      </c>
      <c r="F504" t="s">
        <v>600</v>
      </c>
      <c r="G504" t="str">
        <f>"0286"</f>
        <v>0286</v>
      </c>
      <c r="H504" t="str">
        <f>"0000"</f>
        <v>0000</v>
      </c>
      <c r="I504" t="s">
        <v>83</v>
      </c>
      <c r="J504">
        <v>0</v>
      </c>
      <c r="K504">
        <v>1</v>
      </c>
      <c r="L504">
        <v>3</v>
      </c>
      <c r="BA504">
        <v>625</v>
      </c>
      <c r="BB504">
        <v>44</v>
      </c>
      <c r="BC504" t="s">
        <v>381</v>
      </c>
      <c r="BD504">
        <v>0</v>
      </c>
      <c r="BF504" t="s">
        <v>617</v>
      </c>
      <c r="BG504" s="1">
        <v>44354.361805555556</v>
      </c>
      <c r="BH504" s="1">
        <v>44354.366840277777</v>
      </c>
      <c r="BI504" s="1">
        <v>44354.366840277777</v>
      </c>
      <c r="BJ504" t="s">
        <v>85</v>
      </c>
      <c r="BK504" t="s">
        <v>86</v>
      </c>
      <c r="BL504" t="s">
        <v>87</v>
      </c>
    </row>
    <row r="505" spans="1:64" x14ac:dyDescent="0.3">
      <c r="A505" t="str">
        <f>"200286C0100"</f>
        <v>200286C0100</v>
      </c>
      <c r="B505" t="str">
        <f>"200286C01003"</f>
        <v>200286C01003</v>
      </c>
      <c r="C505" t="str">
        <f t="shared" si="30"/>
        <v>20</v>
      </c>
      <c r="D505" t="s">
        <v>81</v>
      </c>
      <c r="E505" t="str">
        <f t="shared" si="31"/>
        <v>043</v>
      </c>
      <c r="F505" t="s">
        <v>600</v>
      </c>
      <c r="G505" t="str">
        <f>"0286"</f>
        <v>0286</v>
      </c>
      <c r="H505" t="str">
        <f>"0001"</f>
        <v>0001</v>
      </c>
      <c r="I505" t="s">
        <v>89</v>
      </c>
      <c r="J505">
        <v>0</v>
      </c>
      <c r="K505">
        <v>1</v>
      </c>
      <c r="L505">
        <v>3</v>
      </c>
      <c r="M505">
        <v>271</v>
      </c>
      <c r="N505">
        <v>395</v>
      </c>
      <c r="O505">
        <v>1</v>
      </c>
      <c r="P505">
        <v>391</v>
      </c>
      <c r="Q505">
        <v>1</v>
      </c>
      <c r="R505">
        <v>56</v>
      </c>
      <c r="S505">
        <v>9</v>
      </c>
      <c r="U505">
        <v>139</v>
      </c>
      <c r="V505">
        <v>5</v>
      </c>
      <c r="W505">
        <v>1</v>
      </c>
      <c r="X505">
        <v>112</v>
      </c>
      <c r="Y505">
        <v>0</v>
      </c>
      <c r="Z505">
        <v>40</v>
      </c>
      <c r="AA505">
        <v>14</v>
      </c>
      <c r="AB505">
        <v>0</v>
      </c>
      <c r="AF505">
        <v>1</v>
      </c>
      <c r="AG505">
        <v>0</v>
      </c>
      <c r="AH505">
        <v>0</v>
      </c>
      <c r="AI505">
        <v>0</v>
      </c>
      <c r="AW505">
        <v>0</v>
      </c>
      <c r="AX505">
        <v>13</v>
      </c>
      <c r="AY505">
        <v>391</v>
      </c>
      <c r="AZ505">
        <v>391</v>
      </c>
      <c r="BA505">
        <v>624</v>
      </c>
      <c r="BB505">
        <v>44</v>
      </c>
      <c r="BD505">
        <v>1</v>
      </c>
      <c r="BF505" t="s">
        <v>618</v>
      </c>
      <c r="BG505" s="1">
        <v>44354.161111111112</v>
      </c>
      <c r="BH505" s="1">
        <v>44354.162951388891</v>
      </c>
      <c r="BI505" s="1">
        <v>44354.163194444445</v>
      </c>
      <c r="BJ505" t="s">
        <v>85</v>
      </c>
      <c r="BK505" t="s">
        <v>86</v>
      </c>
      <c r="BL505" t="s">
        <v>87</v>
      </c>
    </row>
    <row r="506" spans="1:64" x14ac:dyDescent="0.3">
      <c r="A506" t="str">
        <f>"200287B0000"</f>
        <v>200287B0000</v>
      </c>
      <c r="B506" t="str">
        <f>"200287B00003"</f>
        <v>200287B00003</v>
      </c>
      <c r="C506" t="str">
        <f t="shared" si="30"/>
        <v>20</v>
      </c>
      <c r="D506" t="s">
        <v>81</v>
      </c>
      <c r="E506" t="str">
        <f t="shared" si="31"/>
        <v>043</v>
      </c>
      <c r="F506" t="s">
        <v>600</v>
      </c>
      <c r="G506" t="str">
        <f>"0287"</f>
        <v>0287</v>
      </c>
      <c r="H506" t="str">
        <f>"0000"</f>
        <v>0000</v>
      </c>
      <c r="I506" t="s">
        <v>83</v>
      </c>
      <c r="J506">
        <v>0</v>
      </c>
      <c r="K506">
        <v>1</v>
      </c>
      <c r="L506">
        <v>3</v>
      </c>
      <c r="M506">
        <v>312</v>
      </c>
      <c r="N506">
        <v>425</v>
      </c>
      <c r="O506">
        <v>4</v>
      </c>
      <c r="P506">
        <v>425</v>
      </c>
      <c r="Q506">
        <v>2</v>
      </c>
      <c r="R506">
        <v>57</v>
      </c>
      <c r="S506">
        <v>11</v>
      </c>
      <c r="U506">
        <v>125</v>
      </c>
      <c r="V506">
        <v>15</v>
      </c>
      <c r="W506">
        <v>1</v>
      </c>
      <c r="X506">
        <v>116</v>
      </c>
      <c r="Y506">
        <v>1</v>
      </c>
      <c r="Z506">
        <v>69</v>
      </c>
      <c r="AA506">
        <v>19</v>
      </c>
      <c r="AB506">
        <v>5</v>
      </c>
      <c r="AF506">
        <v>1</v>
      </c>
      <c r="AG506">
        <v>0</v>
      </c>
      <c r="AH506">
        <v>0</v>
      </c>
      <c r="AI506">
        <v>0</v>
      </c>
      <c r="AW506">
        <v>0</v>
      </c>
      <c r="AX506">
        <v>3</v>
      </c>
      <c r="AY506">
        <v>425</v>
      </c>
      <c r="AZ506">
        <v>425</v>
      </c>
      <c r="BA506">
        <v>693</v>
      </c>
      <c r="BB506">
        <v>44</v>
      </c>
      <c r="BD506">
        <v>1</v>
      </c>
      <c r="BF506" t="s">
        <v>619</v>
      </c>
      <c r="BG506" s="1">
        <v>44354.148611111108</v>
      </c>
      <c r="BH506" s="1">
        <v>44354.150810185187</v>
      </c>
      <c r="BI506" s="1">
        <v>44354.151620370372</v>
      </c>
      <c r="BJ506" t="s">
        <v>85</v>
      </c>
      <c r="BK506" t="s">
        <v>86</v>
      </c>
      <c r="BL506" t="s">
        <v>87</v>
      </c>
    </row>
    <row r="507" spans="1:64" x14ac:dyDescent="0.3">
      <c r="A507" t="str">
        <f>"200287C0100"</f>
        <v>200287C0100</v>
      </c>
      <c r="B507" t="str">
        <f>"200287C01003"</f>
        <v>200287C01003</v>
      </c>
      <c r="C507" t="str">
        <f t="shared" si="30"/>
        <v>20</v>
      </c>
      <c r="D507" t="s">
        <v>81</v>
      </c>
      <c r="E507" t="str">
        <f t="shared" si="31"/>
        <v>043</v>
      </c>
      <c r="F507" t="s">
        <v>600</v>
      </c>
      <c r="G507" t="str">
        <f>"0287"</f>
        <v>0287</v>
      </c>
      <c r="H507" t="str">
        <f>"0001"</f>
        <v>0001</v>
      </c>
      <c r="I507" t="s">
        <v>89</v>
      </c>
      <c r="J507">
        <v>0</v>
      </c>
      <c r="K507">
        <v>1</v>
      </c>
      <c r="L507">
        <v>3</v>
      </c>
      <c r="M507">
        <v>289</v>
      </c>
      <c r="N507">
        <v>448</v>
      </c>
      <c r="O507">
        <v>8</v>
      </c>
      <c r="P507">
        <v>448</v>
      </c>
      <c r="Q507">
        <v>1</v>
      </c>
      <c r="R507">
        <v>55</v>
      </c>
      <c r="S507">
        <v>15</v>
      </c>
      <c r="U507">
        <v>123</v>
      </c>
      <c r="V507">
        <v>5</v>
      </c>
      <c r="W507">
        <v>0</v>
      </c>
      <c r="X507">
        <v>116</v>
      </c>
      <c r="Y507">
        <v>3</v>
      </c>
      <c r="Z507">
        <v>93</v>
      </c>
      <c r="AA507">
        <v>16</v>
      </c>
      <c r="AB507">
        <v>5</v>
      </c>
      <c r="AF507">
        <v>1</v>
      </c>
      <c r="AG507">
        <v>0</v>
      </c>
      <c r="AH507">
        <v>0</v>
      </c>
      <c r="AI507">
        <v>1</v>
      </c>
      <c r="AW507">
        <v>0</v>
      </c>
      <c r="AX507">
        <v>14</v>
      </c>
      <c r="AY507">
        <v>448</v>
      </c>
      <c r="AZ507">
        <v>448</v>
      </c>
      <c r="BA507">
        <v>693</v>
      </c>
      <c r="BB507">
        <v>44</v>
      </c>
      <c r="BD507">
        <v>1</v>
      </c>
      <c r="BF507" t="s">
        <v>620</v>
      </c>
      <c r="BG507" s="1">
        <v>44354.143055555556</v>
      </c>
      <c r="BH507" s="1">
        <v>44354.145150462966</v>
      </c>
      <c r="BI507" s="1">
        <v>44354.145624999997</v>
      </c>
      <c r="BJ507" t="s">
        <v>85</v>
      </c>
      <c r="BK507" t="s">
        <v>86</v>
      </c>
      <c r="BL507" t="s">
        <v>87</v>
      </c>
    </row>
    <row r="508" spans="1:64" x14ac:dyDescent="0.3">
      <c r="A508" t="str">
        <f>"200288B0000"</f>
        <v>200288B0000</v>
      </c>
      <c r="B508" t="str">
        <f>"200288B00003"</f>
        <v>200288B00003</v>
      </c>
      <c r="C508" t="str">
        <f t="shared" si="30"/>
        <v>20</v>
      </c>
      <c r="D508" t="s">
        <v>81</v>
      </c>
      <c r="E508" t="str">
        <f t="shared" si="31"/>
        <v>043</v>
      </c>
      <c r="F508" t="s">
        <v>600</v>
      </c>
      <c r="G508" t="str">
        <f>"0288"</f>
        <v>0288</v>
      </c>
      <c r="H508" t="str">
        <f>"0000"</f>
        <v>0000</v>
      </c>
      <c r="I508" t="s">
        <v>83</v>
      </c>
      <c r="J508">
        <v>0</v>
      </c>
      <c r="K508">
        <v>1</v>
      </c>
      <c r="L508">
        <v>3</v>
      </c>
      <c r="M508">
        <v>250</v>
      </c>
      <c r="N508">
        <v>447</v>
      </c>
      <c r="O508">
        <v>6</v>
      </c>
      <c r="P508">
        <v>447</v>
      </c>
      <c r="Q508">
        <v>1</v>
      </c>
      <c r="R508">
        <v>65</v>
      </c>
      <c r="S508">
        <v>13</v>
      </c>
      <c r="U508">
        <v>123</v>
      </c>
      <c r="V508">
        <v>15</v>
      </c>
      <c r="W508">
        <v>3</v>
      </c>
      <c r="X508">
        <v>138</v>
      </c>
      <c r="Y508">
        <v>3</v>
      </c>
      <c r="Z508">
        <v>51</v>
      </c>
      <c r="AA508">
        <v>24</v>
      </c>
      <c r="AB508">
        <v>1</v>
      </c>
      <c r="AF508">
        <v>2</v>
      </c>
      <c r="AG508">
        <v>1</v>
      </c>
      <c r="AH508">
        <v>0</v>
      </c>
      <c r="AI508">
        <v>0</v>
      </c>
      <c r="AW508">
        <v>0</v>
      </c>
      <c r="AX508">
        <v>7</v>
      </c>
      <c r="AY508">
        <v>447</v>
      </c>
      <c r="AZ508">
        <v>447</v>
      </c>
      <c r="BA508">
        <v>653</v>
      </c>
      <c r="BB508">
        <v>44</v>
      </c>
      <c r="BD508">
        <v>1</v>
      </c>
      <c r="BF508" t="s">
        <v>621</v>
      </c>
      <c r="BG508" s="1">
        <v>44354.157638888886</v>
      </c>
      <c r="BH508" s="1">
        <v>44354.160416666666</v>
      </c>
      <c r="BI508" s="1">
        <v>44354.160798611112</v>
      </c>
      <c r="BJ508" t="s">
        <v>85</v>
      </c>
      <c r="BK508" t="s">
        <v>86</v>
      </c>
      <c r="BL508" t="s">
        <v>87</v>
      </c>
    </row>
    <row r="509" spans="1:64" x14ac:dyDescent="0.3">
      <c r="A509" t="str">
        <f>"200288C0100"</f>
        <v>200288C0100</v>
      </c>
      <c r="B509" t="str">
        <f>"200288C01003"</f>
        <v>200288C01003</v>
      </c>
      <c r="C509" t="str">
        <f t="shared" si="30"/>
        <v>20</v>
      </c>
      <c r="D509" t="s">
        <v>81</v>
      </c>
      <c r="E509" t="str">
        <f t="shared" si="31"/>
        <v>043</v>
      </c>
      <c r="F509" t="s">
        <v>600</v>
      </c>
      <c r="G509" t="str">
        <f>"0288"</f>
        <v>0288</v>
      </c>
      <c r="H509" t="str">
        <f>"0001"</f>
        <v>0001</v>
      </c>
      <c r="I509" t="s">
        <v>89</v>
      </c>
      <c r="J509">
        <v>0</v>
      </c>
      <c r="K509">
        <v>1</v>
      </c>
      <c r="L509">
        <v>3</v>
      </c>
      <c r="M509">
        <v>273</v>
      </c>
      <c r="N509">
        <v>424</v>
      </c>
      <c r="O509">
        <v>2</v>
      </c>
      <c r="P509">
        <v>424</v>
      </c>
      <c r="Q509">
        <v>8</v>
      </c>
      <c r="R509">
        <v>92</v>
      </c>
      <c r="S509">
        <v>5</v>
      </c>
      <c r="U509">
        <v>118</v>
      </c>
      <c r="V509">
        <v>17</v>
      </c>
      <c r="W509">
        <v>1</v>
      </c>
      <c r="X509">
        <v>92</v>
      </c>
      <c r="Y509">
        <v>0</v>
      </c>
      <c r="Z509">
        <v>54</v>
      </c>
      <c r="AA509">
        <v>17</v>
      </c>
      <c r="AB509">
        <v>12</v>
      </c>
      <c r="AF509">
        <v>1</v>
      </c>
      <c r="AG509">
        <v>0</v>
      </c>
      <c r="AH509">
        <v>0</v>
      </c>
      <c r="AI509">
        <v>0</v>
      </c>
      <c r="AW509">
        <v>0</v>
      </c>
      <c r="AX509">
        <v>7</v>
      </c>
      <c r="AY509">
        <v>424</v>
      </c>
      <c r="AZ509">
        <v>424</v>
      </c>
      <c r="BA509">
        <v>653</v>
      </c>
      <c r="BB509">
        <v>44</v>
      </c>
      <c r="BD509">
        <v>1</v>
      </c>
      <c r="BF509" t="s">
        <v>622</v>
      </c>
      <c r="BG509" s="1">
        <v>44354.156944444447</v>
      </c>
      <c r="BH509" s="1">
        <v>44354.160208333335</v>
      </c>
      <c r="BI509" s="1">
        <v>44354.160833333335</v>
      </c>
      <c r="BJ509" t="s">
        <v>85</v>
      </c>
      <c r="BK509" t="s">
        <v>86</v>
      </c>
      <c r="BL509" t="s">
        <v>87</v>
      </c>
    </row>
    <row r="510" spans="1:64" x14ac:dyDescent="0.3">
      <c r="A510" t="str">
        <f>"200289B0000"</f>
        <v>200289B0000</v>
      </c>
      <c r="B510" t="str">
        <f>"200289B00003"</f>
        <v>200289B00003</v>
      </c>
      <c r="C510" t="str">
        <f t="shared" si="30"/>
        <v>20</v>
      </c>
      <c r="D510" t="s">
        <v>81</v>
      </c>
      <c r="E510" t="str">
        <f t="shared" si="31"/>
        <v>043</v>
      </c>
      <c r="F510" t="s">
        <v>600</v>
      </c>
      <c r="G510" t="str">
        <f>"0289"</f>
        <v>0289</v>
      </c>
      <c r="H510" t="str">
        <f>"0000"</f>
        <v>0000</v>
      </c>
      <c r="I510" t="s">
        <v>83</v>
      </c>
      <c r="J510">
        <v>0</v>
      </c>
      <c r="K510">
        <v>1</v>
      </c>
      <c r="L510">
        <v>3</v>
      </c>
      <c r="M510" t="s">
        <v>92</v>
      </c>
      <c r="N510" t="s">
        <v>92</v>
      </c>
      <c r="O510" t="s">
        <v>92</v>
      </c>
      <c r="P510" t="s">
        <v>92</v>
      </c>
      <c r="Q510">
        <v>3</v>
      </c>
      <c r="R510">
        <v>60</v>
      </c>
      <c r="S510">
        <v>8</v>
      </c>
      <c r="U510">
        <v>132</v>
      </c>
      <c r="V510">
        <v>15</v>
      </c>
      <c r="W510">
        <v>2</v>
      </c>
      <c r="X510">
        <v>132</v>
      </c>
      <c r="Y510">
        <v>3</v>
      </c>
      <c r="Z510">
        <v>21</v>
      </c>
      <c r="AA510">
        <v>12</v>
      </c>
      <c r="AB510">
        <v>11</v>
      </c>
      <c r="AF510">
        <v>2</v>
      </c>
      <c r="AG510" t="s">
        <v>95</v>
      </c>
      <c r="AH510" t="s">
        <v>95</v>
      </c>
      <c r="AI510" t="s">
        <v>95</v>
      </c>
      <c r="AW510" t="s">
        <v>95</v>
      </c>
      <c r="AX510">
        <v>7</v>
      </c>
      <c r="AY510">
        <v>408</v>
      </c>
      <c r="AZ510">
        <v>408</v>
      </c>
      <c r="BA510">
        <v>643</v>
      </c>
      <c r="BB510">
        <v>44</v>
      </c>
      <c r="BC510" t="s">
        <v>96</v>
      </c>
      <c r="BD510">
        <v>1</v>
      </c>
      <c r="BF510" t="s">
        <v>623</v>
      </c>
      <c r="BG510" s="1">
        <v>44354.064583333333</v>
      </c>
      <c r="BH510" s="1">
        <v>44354.070092592592</v>
      </c>
      <c r="BI510" s="1">
        <v>44354.070763888885</v>
      </c>
      <c r="BJ510" t="s">
        <v>85</v>
      </c>
      <c r="BK510" t="s">
        <v>86</v>
      </c>
      <c r="BL510" t="s">
        <v>87</v>
      </c>
    </row>
    <row r="511" spans="1:64" x14ac:dyDescent="0.3">
      <c r="A511" t="str">
        <f>"200289C0100"</f>
        <v>200289C0100</v>
      </c>
      <c r="B511" t="str">
        <f>"200289C01003"</f>
        <v>200289C01003</v>
      </c>
      <c r="C511" t="str">
        <f t="shared" si="30"/>
        <v>20</v>
      </c>
      <c r="D511" t="s">
        <v>81</v>
      </c>
      <c r="E511" t="str">
        <f t="shared" si="31"/>
        <v>043</v>
      </c>
      <c r="F511" t="s">
        <v>600</v>
      </c>
      <c r="G511" t="str">
        <f>"0289"</f>
        <v>0289</v>
      </c>
      <c r="H511" t="str">
        <f>"0001"</f>
        <v>0001</v>
      </c>
      <c r="I511" t="s">
        <v>89</v>
      </c>
      <c r="J511">
        <v>0</v>
      </c>
      <c r="K511">
        <v>1</v>
      </c>
      <c r="L511">
        <v>3</v>
      </c>
      <c r="M511">
        <v>264</v>
      </c>
      <c r="N511">
        <v>422</v>
      </c>
      <c r="O511">
        <v>0</v>
      </c>
      <c r="P511">
        <v>422</v>
      </c>
      <c r="Q511">
        <v>4</v>
      </c>
      <c r="R511">
        <v>57</v>
      </c>
      <c r="S511">
        <v>1</v>
      </c>
      <c r="U511">
        <v>114</v>
      </c>
      <c r="V511">
        <v>13</v>
      </c>
      <c r="W511">
        <v>2</v>
      </c>
      <c r="X511">
        <v>132</v>
      </c>
      <c r="Y511">
        <v>6</v>
      </c>
      <c r="Z511">
        <v>44</v>
      </c>
      <c r="AA511">
        <v>29</v>
      </c>
      <c r="AB511">
        <v>14</v>
      </c>
      <c r="AF511" t="s">
        <v>95</v>
      </c>
      <c r="AG511" t="s">
        <v>95</v>
      </c>
      <c r="AH511" t="s">
        <v>95</v>
      </c>
      <c r="AI511" t="s">
        <v>95</v>
      </c>
      <c r="AW511" t="s">
        <v>95</v>
      </c>
      <c r="AX511">
        <v>6</v>
      </c>
      <c r="AY511">
        <v>422</v>
      </c>
      <c r="AZ511">
        <v>422</v>
      </c>
      <c r="BA511">
        <v>642</v>
      </c>
      <c r="BB511">
        <v>44</v>
      </c>
      <c r="BC511" t="s">
        <v>96</v>
      </c>
      <c r="BD511">
        <v>1</v>
      </c>
      <c r="BF511" t="s">
        <v>624</v>
      </c>
      <c r="BG511" s="1">
        <v>44354.061111111114</v>
      </c>
      <c r="BH511" s="1">
        <v>44354.067361111112</v>
      </c>
      <c r="BI511" s="1">
        <v>44354.067928240744</v>
      </c>
      <c r="BJ511" t="s">
        <v>85</v>
      </c>
      <c r="BK511" t="s">
        <v>86</v>
      </c>
      <c r="BL511" t="s">
        <v>87</v>
      </c>
    </row>
    <row r="512" spans="1:64" x14ac:dyDescent="0.3">
      <c r="A512" t="str">
        <f>"200289S0100"</f>
        <v>200289S0100</v>
      </c>
      <c r="B512" t="str">
        <f>"200289S01003E"</f>
        <v>200289S01003E</v>
      </c>
      <c r="C512" t="str">
        <f t="shared" si="30"/>
        <v>20</v>
      </c>
      <c r="D512" t="s">
        <v>81</v>
      </c>
      <c r="E512" t="str">
        <f t="shared" si="31"/>
        <v>043</v>
      </c>
      <c r="F512" t="s">
        <v>600</v>
      </c>
      <c r="G512" t="str">
        <f>"0289"</f>
        <v>0289</v>
      </c>
      <c r="H512" t="str">
        <f>"0001"</f>
        <v>0001</v>
      </c>
      <c r="I512" t="s">
        <v>99</v>
      </c>
      <c r="J512">
        <v>0</v>
      </c>
      <c r="K512">
        <v>1</v>
      </c>
      <c r="L512" t="s">
        <v>100</v>
      </c>
      <c r="M512">
        <v>609</v>
      </c>
      <c r="N512">
        <v>387</v>
      </c>
      <c r="O512">
        <v>0</v>
      </c>
      <c r="P512" t="s">
        <v>92</v>
      </c>
      <c r="Q512">
        <v>2</v>
      </c>
      <c r="R512">
        <v>26</v>
      </c>
      <c r="S512">
        <v>2</v>
      </c>
      <c r="U512">
        <v>222</v>
      </c>
      <c r="V512">
        <v>2</v>
      </c>
      <c r="W512" t="s">
        <v>95</v>
      </c>
      <c r="X512">
        <v>75</v>
      </c>
      <c r="Y512">
        <v>1</v>
      </c>
      <c r="Z512">
        <v>52</v>
      </c>
      <c r="AA512">
        <v>1</v>
      </c>
      <c r="AB512">
        <v>3</v>
      </c>
      <c r="AF512">
        <v>1</v>
      </c>
      <c r="AG512" t="s">
        <v>95</v>
      </c>
      <c r="AH512" t="s">
        <v>95</v>
      </c>
      <c r="AI512" t="s">
        <v>95</v>
      </c>
      <c r="AW512" t="s">
        <v>95</v>
      </c>
      <c r="AX512">
        <v>4</v>
      </c>
      <c r="AY512">
        <v>391</v>
      </c>
      <c r="AZ512">
        <v>391</v>
      </c>
      <c r="BA512">
        <v>0</v>
      </c>
      <c r="BB512">
        <v>44</v>
      </c>
      <c r="BC512" t="s">
        <v>96</v>
      </c>
      <c r="BD512">
        <v>1</v>
      </c>
      <c r="BF512" t="s">
        <v>625</v>
      </c>
      <c r="BG512" s="1">
        <v>44354.0625</v>
      </c>
      <c r="BH512" s="1">
        <v>44354.069097222222</v>
      </c>
      <c r="BI512" s="1">
        <v>44354.069421296299</v>
      </c>
      <c r="BJ512" t="s">
        <v>85</v>
      </c>
      <c r="BK512" t="s">
        <v>86</v>
      </c>
      <c r="BL512" t="s">
        <v>87</v>
      </c>
    </row>
    <row r="513" spans="1:64" x14ac:dyDescent="0.3">
      <c r="A513" t="str">
        <f>"200289S0200"</f>
        <v>200289S0200</v>
      </c>
      <c r="B513" t="str">
        <f>"200289S02003E"</f>
        <v>200289S02003E</v>
      </c>
      <c r="C513" t="str">
        <f t="shared" si="30"/>
        <v>20</v>
      </c>
      <c r="D513" t="s">
        <v>81</v>
      </c>
      <c r="E513" t="str">
        <f t="shared" si="31"/>
        <v>043</v>
      </c>
      <c r="F513" t="s">
        <v>600</v>
      </c>
      <c r="G513" t="str">
        <f>"0289"</f>
        <v>0289</v>
      </c>
      <c r="H513" t="str">
        <f>"0002"</f>
        <v>0002</v>
      </c>
      <c r="I513" t="s">
        <v>99</v>
      </c>
      <c r="J513">
        <v>0</v>
      </c>
      <c r="K513">
        <v>1</v>
      </c>
      <c r="L513" t="s">
        <v>100</v>
      </c>
      <c r="M513" t="s">
        <v>92</v>
      </c>
      <c r="N513" t="s">
        <v>92</v>
      </c>
      <c r="O513">
        <v>0</v>
      </c>
      <c r="P513" t="s">
        <v>92</v>
      </c>
      <c r="Q513">
        <v>0</v>
      </c>
      <c r="R513">
        <v>35</v>
      </c>
      <c r="S513">
        <v>7</v>
      </c>
      <c r="U513">
        <v>128</v>
      </c>
      <c r="V513">
        <v>1</v>
      </c>
      <c r="W513">
        <v>0</v>
      </c>
      <c r="X513">
        <v>34</v>
      </c>
      <c r="Y513">
        <v>6</v>
      </c>
      <c r="Z513">
        <v>60</v>
      </c>
      <c r="AA513">
        <v>3</v>
      </c>
      <c r="AB513">
        <v>0</v>
      </c>
      <c r="AF513">
        <v>0</v>
      </c>
      <c r="AG513">
        <v>0</v>
      </c>
      <c r="AH513">
        <v>0</v>
      </c>
      <c r="AI513">
        <v>0</v>
      </c>
      <c r="AW513">
        <v>0</v>
      </c>
      <c r="AX513">
        <v>2</v>
      </c>
      <c r="AY513">
        <v>276</v>
      </c>
      <c r="AZ513">
        <v>276</v>
      </c>
      <c r="BA513">
        <v>0</v>
      </c>
      <c r="BB513">
        <v>44</v>
      </c>
      <c r="BD513">
        <v>1</v>
      </c>
      <c r="BF513" t="s">
        <v>626</v>
      </c>
      <c r="BG513" s="1">
        <v>44354.065972222219</v>
      </c>
      <c r="BH513" s="1">
        <v>44354.071435185186</v>
      </c>
      <c r="BI513" s="1">
        <v>44354.072638888887</v>
      </c>
      <c r="BJ513" t="s">
        <v>85</v>
      </c>
      <c r="BK513" t="s">
        <v>86</v>
      </c>
      <c r="BL513" t="s">
        <v>87</v>
      </c>
    </row>
    <row r="514" spans="1:64" x14ac:dyDescent="0.3">
      <c r="A514" t="str">
        <f>"200291B0000"</f>
        <v>200291B0000</v>
      </c>
      <c r="B514" t="str">
        <f>"200291B00003"</f>
        <v>200291B00003</v>
      </c>
      <c r="C514" t="str">
        <f t="shared" si="30"/>
        <v>20</v>
      </c>
      <c r="D514" t="s">
        <v>81</v>
      </c>
      <c r="E514" t="str">
        <f t="shared" si="31"/>
        <v>043</v>
      </c>
      <c r="F514" t="s">
        <v>600</v>
      </c>
      <c r="G514" t="str">
        <f>"0291"</f>
        <v>0291</v>
      </c>
      <c r="H514" t="str">
        <f>"0000"</f>
        <v>0000</v>
      </c>
      <c r="I514" t="s">
        <v>83</v>
      </c>
      <c r="J514">
        <v>0</v>
      </c>
      <c r="K514">
        <v>1</v>
      </c>
      <c r="L514">
        <v>3</v>
      </c>
      <c r="M514">
        <v>298</v>
      </c>
      <c r="N514">
        <v>494</v>
      </c>
      <c r="O514">
        <v>8</v>
      </c>
      <c r="P514">
        <v>494</v>
      </c>
      <c r="Q514">
        <v>1</v>
      </c>
      <c r="R514">
        <v>45</v>
      </c>
      <c r="S514">
        <v>2</v>
      </c>
      <c r="U514">
        <v>190</v>
      </c>
      <c r="V514">
        <v>9</v>
      </c>
      <c r="W514">
        <v>0</v>
      </c>
      <c r="X514">
        <v>160</v>
      </c>
      <c r="Y514">
        <v>21</v>
      </c>
      <c r="Z514">
        <v>40</v>
      </c>
      <c r="AA514">
        <v>9</v>
      </c>
      <c r="AB514">
        <v>3</v>
      </c>
      <c r="AF514">
        <v>0</v>
      </c>
      <c r="AG514">
        <v>0</v>
      </c>
      <c r="AH514">
        <v>0</v>
      </c>
      <c r="AI514">
        <v>0</v>
      </c>
      <c r="AW514">
        <v>0</v>
      </c>
      <c r="AX514">
        <v>14</v>
      </c>
      <c r="AY514">
        <v>494</v>
      </c>
      <c r="AZ514">
        <v>494</v>
      </c>
      <c r="BA514">
        <v>748</v>
      </c>
      <c r="BB514">
        <v>44</v>
      </c>
      <c r="BD514">
        <v>1</v>
      </c>
      <c r="BF514" t="s">
        <v>627</v>
      </c>
      <c r="BG514" s="1">
        <v>44354.172222222223</v>
      </c>
      <c r="BH514" s="1">
        <v>44354.174409722225</v>
      </c>
      <c r="BI514" s="1">
        <v>44354.17496527778</v>
      </c>
      <c r="BJ514" t="s">
        <v>85</v>
      </c>
      <c r="BK514" t="s">
        <v>86</v>
      </c>
      <c r="BL514" t="s">
        <v>87</v>
      </c>
    </row>
    <row r="515" spans="1:64" x14ac:dyDescent="0.3">
      <c r="A515" t="str">
        <f>"200291C0100"</f>
        <v>200291C0100</v>
      </c>
      <c r="B515" t="str">
        <f>"200291C01003"</f>
        <v>200291C01003</v>
      </c>
      <c r="C515" t="str">
        <f t="shared" si="30"/>
        <v>20</v>
      </c>
      <c r="D515" t="s">
        <v>81</v>
      </c>
      <c r="E515" t="str">
        <f t="shared" si="31"/>
        <v>043</v>
      </c>
      <c r="F515" t="s">
        <v>600</v>
      </c>
      <c r="G515" t="str">
        <f>"0291"</f>
        <v>0291</v>
      </c>
      <c r="H515" t="str">
        <f>"0001"</f>
        <v>0001</v>
      </c>
      <c r="I515" t="s">
        <v>89</v>
      </c>
      <c r="J515">
        <v>0</v>
      </c>
      <c r="K515">
        <v>1</v>
      </c>
      <c r="L515">
        <v>3</v>
      </c>
      <c r="M515">
        <v>297</v>
      </c>
      <c r="N515">
        <v>494</v>
      </c>
      <c r="O515">
        <v>3</v>
      </c>
      <c r="P515">
        <v>494</v>
      </c>
      <c r="Q515">
        <v>2</v>
      </c>
      <c r="R515">
        <v>53</v>
      </c>
      <c r="S515">
        <v>3</v>
      </c>
      <c r="U515">
        <v>198</v>
      </c>
      <c r="V515">
        <v>6</v>
      </c>
      <c r="W515">
        <v>0</v>
      </c>
      <c r="X515">
        <v>159</v>
      </c>
      <c r="Y515">
        <v>15</v>
      </c>
      <c r="Z515">
        <v>32</v>
      </c>
      <c r="AA515">
        <v>12</v>
      </c>
      <c r="AB515">
        <v>4</v>
      </c>
      <c r="AF515">
        <v>1</v>
      </c>
      <c r="AG515">
        <v>0</v>
      </c>
      <c r="AH515">
        <v>0</v>
      </c>
      <c r="AI515">
        <v>0</v>
      </c>
      <c r="AW515">
        <v>0</v>
      </c>
      <c r="AX515">
        <v>9</v>
      </c>
      <c r="AY515">
        <v>494</v>
      </c>
      <c r="AZ515">
        <v>494</v>
      </c>
      <c r="BA515">
        <v>747</v>
      </c>
      <c r="BB515">
        <v>44</v>
      </c>
      <c r="BD515">
        <v>1</v>
      </c>
      <c r="BF515" t="s">
        <v>628</v>
      </c>
      <c r="BG515" s="1">
        <v>44354.170138888891</v>
      </c>
      <c r="BH515" s="1">
        <v>44354.173229166663</v>
      </c>
      <c r="BI515" s="1">
        <v>44354.173946759256</v>
      </c>
      <c r="BJ515" t="s">
        <v>85</v>
      </c>
      <c r="BK515" t="s">
        <v>86</v>
      </c>
      <c r="BL515" t="s">
        <v>87</v>
      </c>
    </row>
    <row r="516" spans="1:64" x14ac:dyDescent="0.3">
      <c r="A516" t="str">
        <f>"200292B0000"</f>
        <v>200292B0000</v>
      </c>
      <c r="B516" t="str">
        <f>"200292B00003"</f>
        <v>200292B00003</v>
      </c>
      <c r="C516" t="str">
        <f t="shared" si="30"/>
        <v>20</v>
      </c>
      <c r="D516" t="s">
        <v>81</v>
      </c>
      <c r="E516" t="str">
        <f t="shared" si="31"/>
        <v>043</v>
      </c>
      <c r="F516" t="s">
        <v>600</v>
      </c>
      <c r="G516" t="str">
        <f>"0292"</f>
        <v>0292</v>
      </c>
      <c r="H516" t="str">
        <f>"0000"</f>
        <v>0000</v>
      </c>
      <c r="I516" t="s">
        <v>83</v>
      </c>
      <c r="J516">
        <v>0</v>
      </c>
      <c r="K516">
        <v>1</v>
      </c>
      <c r="L516">
        <v>3</v>
      </c>
      <c r="M516">
        <v>197</v>
      </c>
      <c r="N516">
        <v>419</v>
      </c>
      <c r="O516">
        <v>10</v>
      </c>
      <c r="P516">
        <v>419</v>
      </c>
      <c r="Q516">
        <v>3</v>
      </c>
      <c r="R516">
        <v>63</v>
      </c>
      <c r="S516">
        <v>2</v>
      </c>
      <c r="U516">
        <v>129</v>
      </c>
      <c r="V516">
        <v>20</v>
      </c>
      <c r="W516">
        <v>0</v>
      </c>
      <c r="X516">
        <v>129</v>
      </c>
      <c r="Y516">
        <v>1</v>
      </c>
      <c r="Z516">
        <v>30</v>
      </c>
      <c r="AA516">
        <v>17</v>
      </c>
      <c r="AB516">
        <v>13</v>
      </c>
      <c r="AF516">
        <v>2</v>
      </c>
      <c r="AG516">
        <v>0</v>
      </c>
      <c r="AH516">
        <v>0</v>
      </c>
      <c r="AI516">
        <v>0</v>
      </c>
      <c r="AW516">
        <v>0</v>
      </c>
      <c r="AX516">
        <v>10</v>
      </c>
      <c r="AY516">
        <v>419</v>
      </c>
      <c r="AZ516">
        <v>419</v>
      </c>
      <c r="BA516">
        <v>572</v>
      </c>
      <c r="BB516">
        <v>44</v>
      </c>
      <c r="BD516">
        <v>1</v>
      </c>
      <c r="BF516" t="s">
        <v>629</v>
      </c>
      <c r="BG516" s="1">
        <v>44354.15347222222</v>
      </c>
      <c r="BH516" s="1">
        <v>44354.157430555555</v>
      </c>
      <c r="BI516" s="1">
        <v>44354.157951388886</v>
      </c>
      <c r="BJ516" t="s">
        <v>85</v>
      </c>
      <c r="BK516" t="s">
        <v>86</v>
      </c>
      <c r="BL516" t="s">
        <v>87</v>
      </c>
    </row>
    <row r="517" spans="1:64" x14ac:dyDescent="0.3">
      <c r="A517" t="str">
        <f>"200292C0100"</f>
        <v>200292C0100</v>
      </c>
      <c r="B517" t="str">
        <f>"200292C01003"</f>
        <v>200292C01003</v>
      </c>
      <c r="C517" t="str">
        <f t="shared" si="30"/>
        <v>20</v>
      </c>
      <c r="D517" t="s">
        <v>81</v>
      </c>
      <c r="E517" t="str">
        <f t="shared" si="31"/>
        <v>043</v>
      </c>
      <c r="F517" t="s">
        <v>600</v>
      </c>
      <c r="G517" t="str">
        <f>"0292"</f>
        <v>0292</v>
      </c>
      <c r="H517" t="str">
        <f>"0001"</f>
        <v>0001</v>
      </c>
      <c r="I517" t="s">
        <v>89</v>
      </c>
      <c r="J517">
        <v>0</v>
      </c>
      <c r="K517">
        <v>1</v>
      </c>
      <c r="L517">
        <v>3</v>
      </c>
      <c r="M517">
        <v>199</v>
      </c>
      <c r="N517">
        <v>417</v>
      </c>
      <c r="O517">
        <v>10</v>
      </c>
      <c r="P517">
        <v>417</v>
      </c>
      <c r="Q517">
        <v>1</v>
      </c>
      <c r="R517">
        <v>55</v>
      </c>
      <c r="S517">
        <v>4</v>
      </c>
      <c r="U517">
        <v>132</v>
      </c>
      <c r="V517">
        <v>17</v>
      </c>
      <c r="W517">
        <v>0</v>
      </c>
      <c r="X517">
        <v>130</v>
      </c>
      <c r="Y517">
        <v>3</v>
      </c>
      <c r="Z517">
        <v>35</v>
      </c>
      <c r="AA517">
        <v>11</v>
      </c>
      <c r="AB517">
        <v>19</v>
      </c>
      <c r="AF517">
        <v>3</v>
      </c>
      <c r="AG517">
        <v>0</v>
      </c>
      <c r="AH517">
        <v>0</v>
      </c>
      <c r="AI517">
        <v>1</v>
      </c>
      <c r="AW517">
        <v>0</v>
      </c>
      <c r="AX517">
        <v>6</v>
      </c>
      <c r="AY517">
        <v>417</v>
      </c>
      <c r="AZ517">
        <v>417</v>
      </c>
      <c r="BA517">
        <v>572</v>
      </c>
      <c r="BB517">
        <v>44</v>
      </c>
      <c r="BD517">
        <v>1</v>
      </c>
      <c r="BF517" t="s">
        <v>630</v>
      </c>
      <c r="BG517" s="1">
        <v>44354.155555555553</v>
      </c>
      <c r="BH517" s="1">
        <v>44354.159155092595</v>
      </c>
      <c r="BI517" s="1">
        <v>44354.159722222219</v>
      </c>
      <c r="BJ517" t="s">
        <v>85</v>
      </c>
      <c r="BK517" t="s">
        <v>86</v>
      </c>
      <c r="BL517" t="s">
        <v>87</v>
      </c>
    </row>
    <row r="518" spans="1:64" x14ac:dyDescent="0.3">
      <c r="A518" t="str">
        <f>"200293B0000"</f>
        <v>200293B0000</v>
      </c>
      <c r="B518" t="str">
        <f>"200293B00003"</f>
        <v>200293B00003</v>
      </c>
      <c r="C518" t="str">
        <f t="shared" si="30"/>
        <v>20</v>
      </c>
      <c r="D518" t="s">
        <v>81</v>
      </c>
      <c r="E518" t="str">
        <f t="shared" si="31"/>
        <v>043</v>
      </c>
      <c r="F518" t="s">
        <v>600</v>
      </c>
      <c r="G518" t="str">
        <f>"0293"</f>
        <v>0293</v>
      </c>
      <c r="H518" t="str">
        <f>"0000"</f>
        <v>0000</v>
      </c>
      <c r="I518" t="s">
        <v>83</v>
      </c>
      <c r="J518">
        <v>0</v>
      </c>
      <c r="K518">
        <v>1</v>
      </c>
      <c r="L518">
        <v>3</v>
      </c>
      <c r="M518">
        <v>234</v>
      </c>
      <c r="N518">
        <v>347</v>
      </c>
      <c r="O518">
        <v>5</v>
      </c>
      <c r="P518">
        <v>339</v>
      </c>
      <c r="Q518">
        <v>4</v>
      </c>
      <c r="R518">
        <v>33</v>
      </c>
      <c r="S518">
        <v>20</v>
      </c>
      <c r="U518">
        <v>90</v>
      </c>
      <c r="V518">
        <v>8</v>
      </c>
      <c r="W518">
        <v>1</v>
      </c>
      <c r="X518">
        <v>106</v>
      </c>
      <c r="Y518">
        <v>3</v>
      </c>
      <c r="Z518">
        <v>43</v>
      </c>
      <c r="AA518">
        <v>25</v>
      </c>
      <c r="AB518">
        <v>4</v>
      </c>
      <c r="AF518">
        <v>3</v>
      </c>
      <c r="AG518">
        <v>0</v>
      </c>
      <c r="AH518">
        <v>0</v>
      </c>
      <c r="AI518">
        <v>0</v>
      </c>
      <c r="AW518">
        <v>0</v>
      </c>
      <c r="AX518">
        <v>5</v>
      </c>
      <c r="AY518">
        <v>344</v>
      </c>
      <c r="AZ518">
        <v>345</v>
      </c>
      <c r="BA518">
        <v>537</v>
      </c>
      <c r="BB518">
        <v>44</v>
      </c>
      <c r="BD518">
        <v>1</v>
      </c>
      <c r="BF518" t="s">
        <v>631</v>
      </c>
      <c r="BG518" s="1">
        <v>44354.02847222222</v>
      </c>
      <c r="BH518" s="1">
        <v>44354.035486111112</v>
      </c>
      <c r="BI518" s="1">
        <v>44354.035891203705</v>
      </c>
      <c r="BJ518" t="s">
        <v>85</v>
      </c>
      <c r="BK518" t="s">
        <v>86</v>
      </c>
      <c r="BL518" t="s">
        <v>87</v>
      </c>
    </row>
    <row r="519" spans="1:64" x14ac:dyDescent="0.3">
      <c r="A519" t="str">
        <f>"200293C0100"</f>
        <v>200293C0100</v>
      </c>
      <c r="B519" t="str">
        <f>"200293C01003"</f>
        <v>200293C01003</v>
      </c>
      <c r="C519" t="str">
        <f t="shared" ref="C519:C582" si="33">"20"</f>
        <v>20</v>
      </c>
      <c r="D519" t="s">
        <v>81</v>
      </c>
      <c r="E519" t="str">
        <f t="shared" si="31"/>
        <v>043</v>
      </c>
      <c r="F519" t="s">
        <v>600</v>
      </c>
      <c r="G519" t="str">
        <f>"0293"</f>
        <v>0293</v>
      </c>
      <c r="H519" t="str">
        <f>"0001"</f>
        <v>0001</v>
      </c>
      <c r="I519" t="s">
        <v>89</v>
      </c>
      <c r="J519">
        <v>0</v>
      </c>
      <c r="K519">
        <v>1</v>
      </c>
      <c r="L519">
        <v>3</v>
      </c>
      <c r="M519">
        <v>224</v>
      </c>
      <c r="N519">
        <v>356</v>
      </c>
      <c r="O519">
        <v>1</v>
      </c>
      <c r="P519" t="s">
        <v>92</v>
      </c>
      <c r="Q519">
        <v>0</v>
      </c>
      <c r="R519">
        <v>41</v>
      </c>
      <c r="S519">
        <v>10</v>
      </c>
      <c r="U519">
        <v>120</v>
      </c>
      <c r="V519">
        <v>5</v>
      </c>
      <c r="W519">
        <v>0</v>
      </c>
      <c r="X519">
        <v>94</v>
      </c>
      <c r="Y519">
        <v>4</v>
      </c>
      <c r="Z519">
        <v>56</v>
      </c>
      <c r="AA519">
        <v>15</v>
      </c>
      <c r="AB519">
        <v>4</v>
      </c>
      <c r="AF519">
        <v>3</v>
      </c>
      <c r="AG519">
        <v>1</v>
      </c>
      <c r="AH519">
        <v>0</v>
      </c>
      <c r="AI519">
        <v>0</v>
      </c>
      <c r="AW519">
        <v>0</v>
      </c>
      <c r="AX519">
        <v>4</v>
      </c>
      <c r="AY519">
        <v>356</v>
      </c>
      <c r="AZ519">
        <v>357</v>
      </c>
      <c r="BA519">
        <v>536</v>
      </c>
      <c r="BB519">
        <v>44</v>
      </c>
      <c r="BD519">
        <v>1</v>
      </c>
      <c r="BF519" t="s">
        <v>632</v>
      </c>
      <c r="BG519" s="1">
        <v>44354.019444444442</v>
      </c>
      <c r="BH519" s="1">
        <v>44354.033159722225</v>
      </c>
      <c r="BI519" s="1">
        <v>44354.034016203703</v>
      </c>
      <c r="BJ519" t="s">
        <v>85</v>
      </c>
      <c r="BK519" t="s">
        <v>86</v>
      </c>
      <c r="BL519" t="s">
        <v>87</v>
      </c>
    </row>
    <row r="520" spans="1:64" x14ac:dyDescent="0.3">
      <c r="A520" t="str">
        <f>"200293C0200"</f>
        <v>200293C0200</v>
      </c>
      <c r="B520" t="str">
        <f>"200293C02003"</f>
        <v>200293C02003</v>
      </c>
      <c r="C520" t="str">
        <f t="shared" si="33"/>
        <v>20</v>
      </c>
      <c r="D520" t="s">
        <v>81</v>
      </c>
      <c r="E520" t="str">
        <f t="shared" ref="E520:E551" si="34">"043"</f>
        <v>043</v>
      </c>
      <c r="F520" t="s">
        <v>600</v>
      </c>
      <c r="G520" t="str">
        <f>"0293"</f>
        <v>0293</v>
      </c>
      <c r="H520" t="str">
        <f>"0002"</f>
        <v>0002</v>
      </c>
      <c r="I520" t="s">
        <v>89</v>
      </c>
      <c r="J520">
        <v>0</v>
      </c>
      <c r="K520">
        <v>1</v>
      </c>
      <c r="L520">
        <v>3</v>
      </c>
      <c r="M520">
        <v>228</v>
      </c>
      <c r="N520">
        <v>351</v>
      </c>
      <c r="O520">
        <v>0</v>
      </c>
      <c r="P520">
        <v>351</v>
      </c>
      <c r="Q520">
        <v>4</v>
      </c>
      <c r="R520">
        <v>36</v>
      </c>
      <c r="S520">
        <v>12</v>
      </c>
      <c r="U520">
        <v>110</v>
      </c>
      <c r="V520">
        <v>5</v>
      </c>
      <c r="W520">
        <v>0</v>
      </c>
      <c r="X520">
        <v>99</v>
      </c>
      <c r="Y520">
        <v>2</v>
      </c>
      <c r="Z520">
        <v>54</v>
      </c>
      <c r="AA520">
        <v>15</v>
      </c>
      <c r="AB520">
        <v>4</v>
      </c>
      <c r="AF520">
        <v>0</v>
      </c>
      <c r="AG520">
        <v>0</v>
      </c>
      <c r="AH520">
        <v>0</v>
      </c>
      <c r="AI520">
        <v>0</v>
      </c>
      <c r="AW520">
        <v>0</v>
      </c>
      <c r="AX520">
        <v>10</v>
      </c>
      <c r="AY520">
        <v>351</v>
      </c>
      <c r="AZ520">
        <v>351</v>
      </c>
      <c r="BA520">
        <v>536</v>
      </c>
      <c r="BB520">
        <v>44</v>
      </c>
      <c r="BD520">
        <v>1</v>
      </c>
      <c r="BF520" t="s">
        <v>633</v>
      </c>
      <c r="BG520" s="1">
        <v>44354.029861111114</v>
      </c>
      <c r="BH520" s="1">
        <v>44354.037766203706</v>
      </c>
      <c r="BI520" s="1">
        <v>44354.038449074076</v>
      </c>
      <c r="BJ520" t="s">
        <v>85</v>
      </c>
      <c r="BK520" t="s">
        <v>86</v>
      </c>
      <c r="BL520" t="s">
        <v>87</v>
      </c>
    </row>
    <row r="521" spans="1:64" x14ac:dyDescent="0.3">
      <c r="A521" t="str">
        <f>"200294B0000"</f>
        <v>200294B0000</v>
      </c>
      <c r="B521" t="str">
        <f>"200294B00003"</f>
        <v>200294B00003</v>
      </c>
      <c r="C521" t="str">
        <f t="shared" si="33"/>
        <v>20</v>
      </c>
      <c r="D521" t="s">
        <v>81</v>
      </c>
      <c r="E521" t="str">
        <f t="shared" si="34"/>
        <v>043</v>
      </c>
      <c r="F521" t="s">
        <v>600</v>
      </c>
      <c r="G521" t="str">
        <f t="shared" ref="G521:G527" si="35">"0294"</f>
        <v>0294</v>
      </c>
      <c r="H521" t="str">
        <f>"0000"</f>
        <v>0000</v>
      </c>
      <c r="I521" t="s">
        <v>83</v>
      </c>
      <c r="J521">
        <v>0</v>
      </c>
      <c r="K521">
        <v>1</v>
      </c>
      <c r="L521">
        <v>3</v>
      </c>
      <c r="M521">
        <v>265</v>
      </c>
      <c r="N521">
        <v>366</v>
      </c>
      <c r="O521">
        <v>5</v>
      </c>
      <c r="P521">
        <v>366</v>
      </c>
      <c r="Q521">
        <v>2</v>
      </c>
      <c r="R521">
        <v>43</v>
      </c>
      <c r="S521">
        <v>13</v>
      </c>
      <c r="U521">
        <v>126</v>
      </c>
      <c r="V521">
        <v>10</v>
      </c>
      <c r="W521">
        <v>2</v>
      </c>
      <c r="X521">
        <v>93</v>
      </c>
      <c r="Y521">
        <v>5</v>
      </c>
      <c r="Z521">
        <v>43</v>
      </c>
      <c r="AA521">
        <v>11</v>
      </c>
      <c r="AB521">
        <v>10</v>
      </c>
      <c r="AF521">
        <v>0</v>
      </c>
      <c r="AG521">
        <v>0</v>
      </c>
      <c r="AH521">
        <v>0</v>
      </c>
      <c r="AI521">
        <v>0</v>
      </c>
      <c r="AW521">
        <v>1</v>
      </c>
      <c r="AX521">
        <v>7</v>
      </c>
      <c r="AY521">
        <v>366</v>
      </c>
      <c r="AZ521">
        <v>366</v>
      </c>
      <c r="BA521">
        <v>587</v>
      </c>
      <c r="BB521">
        <v>44</v>
      </c>
      <c r="BD521">
        <v>1</v>
      </c>
      <c r="BF521" t="s">
        <v>634</v>
      </c>
      <c r="BG521" s="1">
        <v>44354.035416666666</v>
      </c>
      <c r="BH521" s="1">
        <v>44354.042962962965</v>
      </c>
      <c r="BI521" s="1">
        <v>44354.043506944443</v>
      </c>
      <c r="BJ521" t="s">
        <v>85</v>
      </c>
      <c r="BK521" t="s">
        <v>86</v>
      </c>
      <c r="BL521" t="s">
        <v>87</v>
      </c>
    </row>
    <row r="522" spans="1:64" x14ac:dyDescent="0.3">
      <c r="A522" t="str">
        <f>"200294C0100"</f>
        <v>200294C0100</v>
      </c>
      <c r="B522" t="str">
        <f>"200294C01003"</f>
        <v>200294C01003</v>
      </c>
      <c r="C522" t="str">
        <f t="shared" si="33"/>
        <v>20</v>
      </c>
      <c r="D522" t="s">
        <v>81</v>
      </c>
      <c r="E522" t="str">
        <f t="shared" si="34"/>
        <v>043</v>
      </c>
      <c r="F522" t="s">
        <v>600</v>
      </c>
      <c r="G522" t="str">
        <f t="shared" si="35"/>
        <v>0294</v>
      </c>
      <c r="H522" t="str">
        <f>"0001"</f>
        <v>0001</v>
      </c>
      <c r="I522" t="s">
        <v>89</v>
      </c>
      <c r="J522">
        <v>0</v>
      </c>
      <c r="K522">
        <v>1</v>
      </c>
      <c r="L522">
        <v>3</v>
      </c>
      <c r="M522">
        <v>248</v>
      </c>
      <c r="N522">
        <v>383</v>
      </c>
      <c r="O522">
        <v>0</v>
      </c>
      <c r="P522">
        <v>383</v>
      </c>
      <c r="Q522">
        <v>1</v>
      </c>
      <c r="R522">
        <v>31</v>
      </c>
      <c r="S522">
        <v>14</v>
      </c>
      <c r="U522">
        <v>41</v>
      </c>
      <c r="V522">
        <v>10</v>
      </c>
      <c r="W522">
        <v>4</v>
      </c>
      <c r="X522">
        <v>94</v>
      </c>
      <c r="Y522">
        <v>5</v>
      </c>
      <c r="Z522">
        <v>41</v>
      </c>
      <c r="AA522">
        <v>29</v>
      </c>
      <c r="AB522">
        <v>6</v>
      </c>
      <c r="AF522">
        <v>0</v>
      </c>
      <c r="AG522">
        <v>0</v>
      </c>
      <c r="AH522">
        <v>0</v>
      </c>
      <c r="AI522">
        <v>0</v>
      </c>
      <c r="AW522">
        <v>0</v>
      </c>
      <c r="AX522">
        <v>8</v>
      </c>
      <c r="AY522">
        <v>383</v>
      </c>
      <c r="AZ522">
        <v>284</v>
      </c>
      <c r="BA522">
        <v>587</v>
      </c>
      <c r="BB522">
        <v>44</v>
      </c>
      <c r="BD522">
        <v>1</v>
      </c>
      <c r="BF522" t="s">
        <v>635</v>
      </c>
      <c r="BG522" s="1">
        <v>44354.03125</v>
      </c>
      <c r="BH522" s="1">
        <v>44354.040763888886</v>
      </c>
      <c r="BI522" s="1">
        <v>44354.04146990741</v>
      </c>
      <c r="BJ522" t="s">
        <v>85</v>
      </c>
      <c r="BK522" t="s">
        <v>86</v>
      </c>
      <c r="BL522" t="s">
        <v>87</v>
      </c>
    </row>
    <row r="523" spans="1:64" x14ac:dyDescent="0.3">
      <c r="A523" t="str">
        <f>"200294C0200"</f>
        <v>200294C0200</v>
      </c>
      <c r="B523" t="str">
        <f>"200294C02003"</f>
        <v>200294C02003</v>
      </c>
      <c r="C523" t="str">
        <f t="shared" si="33"/>
        <v>20</v>
      </c>
      <c r="D523" t="s">
        <v>81</v>
      </c>
      <c r="E523" t="str">
        <f t="shared" si="34"/>
        <v>043</v>
      </c>
      <c r="F523" t="s">
        <v>600</v>
      </c>
      <c r="G523" t="str">
        <f t="shared" si="35"/>
        <v>0294</v>
      </c>
      <c r="H523" t="str">
        <f>"0002"</f>
        <v>0002</v>
      </c>
      <c r="I523" t="s">
        <v>89</v>
      </c>
      <c r="J523">
        <v>0</v>
      </c>
      <c r="K523">
        <v>1</v>
      </c>
      <c r="L523">
        <v>3</v>
      </c>
      <c r="M523">
        <v>241</v>
      </c>
      <c r="N523">
        <v>389</v>
      </c>
      <c r="O523">
        <v>6</v>
      </c>
      <c r="P523" t="s">
        <v>92</v>
      </c>
      <c r="Q523">
        <v>1</v>
      </c>
      <c r="R523">
        <v>47</v>
      </c>
      <c r="S523">
        <v>17</v>
      </c>
      <c r="U523">
        <v>147</v>
      </c>
      <c r="V523">
        <v>7</v>
      </c>
      <c r="W523">
        <v>1</v>
      </c>
      <c r="X523">
        <v>101</v>
      </c>
      <c r="Y523">
        <v>2</v>
      </c>
      <c r="Z523">
        <v>38</v>
      </c>
      <c r="AA523">
        <v>19</v>
      </c>
      <c r="AB523">
        <v>1</v>
      </c>
      <c r="AF523">
        <v>0</v>
      </c>
      <c r="AG523">
        <v>0</v>
      </c>
      <c r="AH523">
        <v>0</v>
      </c>
      <c r="AI523">
        <v>0</v>
      </c>
      <c r="AW523">
        <v>0</v>
      </c>
      <c r="AX523">
        <v>8</v>
      </c>
      <c r="AY523">
        <v>389</v>
      </c>
      <c r="AZ523">
        <v>389</v>
      </c>
      <c r="BA523">
        <v>586</v>
      </c>
      <c r="BB523">
        <v>44</v>
      </c>
      <c r="BD523">
        <v>1</v>
      </c>
      <c r="BF523" t="s">
        <v>636</v>
      </c>
      <c r="BG523" s="1">
        <v>44354.036111111112</v>
      </c>
      <c r="BH523" s="1">
        <v>44354.04483796296</v>
      </c>
      <c r="BI523" s="1">
        <v>44354.045578703706</v>
      </c>
      <c r="BJ523" t="s">
        <v>85</v>
      </c>
      <c r="BK523" t="s">
        <v>86</v>
      </c>
      <c r="BL523" t="s">
        <v>87</v>
      </c>
    </row>
    <row r="524" spans="1:64" x14ac:dyDescent="0.3">
      <c r="A524" t="str">
        <f>"200294C0300"</f>
        <v>200294C0300</v>
      </c>
      <c r="B524" t="str">
        <f>"200294C03003"</f>
        <v>200294C03003</v>
      </c>
      <c r="C524" t="str">
        <f t="shared" si="33"/>
        <v>20</v>
      </c>
      <c r="D524" t="s">
        <v>81</v>
      </c>
      <c r="E524" t="str">
        <f t="shared" si="34"/>
        <v>043</v>
      </c>
      <c r="F524" t="s">
        <v>600</v>
      </c>
      <c r="G524" t="str">
        <f t="shared" si="35"/>
        <v>0294</v>
      </c>
      <c r="H524" t="str">
        <f>"0003"</f>
        <v>0003</v>
      </c>
      <c r="I524" t="s">
        <v>89</v>
      </c>
      <c r="J524">
        <v>0</v>
      </c>
      <c r="K524">
        <v>1</v>
      </c>
      <c r="L524">
        <v>3</v>
      </c>
      <c r="M524">
        <v>271</v>
      </c>
      <c r="N524">
        <v>359</v>
      </c>
      <c r="O524">
        <v>5</v>
      </c>
      <c r="P524">
        <v>359</v>
      </c>
      <c r="Q524">
        <v>1</v>
      </c>
      <c r="R524">
        <v>43</v>
      </c>
      <c r="S524">
        <v>14</v>
      </c>
      <c r="U524">
        <v>119</v>
      </c>
      <c r="V524">
        <v>11</v>
      </c>
      <c r="W524">
        <v>0</v>
      </c>
      <c r="X524">
        <v>92</v>
      </c>
      <c r="Y524">
        <v>2</v>
      </c>
      <c r="Z524">
        <v>39</v>
      </c>
      <c r="AA524">
        <v>18</v>
      </c>
      <c r="AB524">
        <v>6</v>
      </c>
      <c r="AF524">
        <v>0</v>
      </c>
      <c r="AG524">
        <v>0</v>
      </c>
      <c r="AH524">
        <v>0</v>
      </c>
      <c r="AI524">
        <v>0</v>
      </c>
      <c r="AW524">
        <v>0</v>
      </c>
      <c r="AX524">
        <v>14</v>
      </c>
      <c r="AY524">
        <v>359</v>
      </c>
      <c r="AZ524">
        <v>359</v>
      </c>
      <c r="BA524">
        <v>586</v>
      </c>
      <c r="BB524">
        <v>44</v>
      </c>
      <c r="BD524">
        <v>1</v>
      </c>
      <c r="BF524" t="s">
        <v>637</v>
      </c>
      <c r="BG524" s="1">
        <v>44354.03402777778</v>
      </c>
      <c r="BH524" s="1">
        <v>44354.041354166664</v>
      </c>
      <c r="BI524" s="1">
        <v>44354.041944444441</v>
      </c>
      <c r="BJ524" t="s">
        <v>85</v>
      </c>
      <c r="BK524" t="s">
        <v>86</v>
      </c>
      <c r="BL524" t="s">
        <v>87</v>
      </c>
    </row>
    <row r="525" spans="1:64" x14ac:dyDescent="0.3">
      <c r="A525" t="str">
        <f>"200294E0100"</f>
        <v>200294E0100</v>
      </c>
      <c r="B525" t="str">
        <f>"200294E01003"</f>
        <v>200294E01003</v>
      </c>
      <c r="C525" t="str">
        <f t="shared" si="33"/>
        <v>20</v>
      </c>
      <c r="D525" t="s">
        <v>81</v>
      </c>
      <c r="E525" t="str">
        <f t="shared" si="34"/>
        <v>043</v>
      </c>
      <c r="F525" t="s">
        <v>600</v>
      </c>
      <c r="G525" t="str">
        <f t="shared" si="35"/>
        <v>0294</v>
      </c>
      <c r="H525" t="str">
        <f>"0001"</f>
        <v>0001</v>
      </c>
      <c r="I525" t="s">
        <v>122</v>
      </c>
      <c r="J525">
        <v>0</v>
      </c>
      <c r="K525">
        <v>1</v>
      </c>
      <c r="L525">
        <v>3</v>
      </c>
      <c r="M525">
        <v>236</v>
      </c>
      <c r="N525">
        <v>316</v>
      </c>
      <c r="O525">
        <v>7</v>
      </c>
      <c r="P525">
        <v>318</v>
      </c>
      <c r="Q525">
        <v>3</v>
      </c>
      <c r="R525">
        <v>33</v>
      </c>
      <c r="S525">
        <v>5</v>
      </c>
      <c r="U525">
        <v>135</v>
      </c>
      <c r="V525">
        <v>6</v>
      </c>
      <c r="W525">
        <v>2</v>
      </c>
      <c r="X525">
        <v>73</v>
      </c>
      <c r="Y525">
        <v>4</v>
      </c>
      <c r="Z525">
        <v>36</v>
      </c>
      <c r="AA525">
        <v>4</v>
      </c>
      <c r="AB525">
        <v>1</v>
      </c>
      <c r="AF525">
        <v>0</v>
      </c>
      <c r="AG525">
        <v>1</v>
      </c>
      <c r="AH525">
        <v>0</v>
      </c>
      <c r="AI525">
        <v>0</v>
      </c>
      <c r="AW525">
        <v>0</v>
      </c>
      <c r="AX525">
        <v>15</v>
      </c>
      <c r="AY525">
        <v>318</v>
      </c>
      <c r="AZ525">
        <v>318</v>
      </c>
      <c r="BA525">
        <v>510</v>
      </c>
      <c r="BB525">
        <v>44</v>
      </c>
      <c r="BD525">
        <v>1</v>
      </c>
      <c r="BF525" t="s">
        <v>638</v>
      </c>
      <c r="BG525" s="1">
        <v>44354.137499999997</v>
      </c>
      <c r="BH525" s="1">
        <v>44354.139988425923</v>
      </c>
      <c r="BI525" s="1">
        <v>44354.140381944446</v>
      </c>
      <c r="BJ525" t="s">
        <v>85</v>
      </c>
      <c r="BK525" t="s">
        <v>86</v>
      </c>
      <c r="BL525" t="s">
        <v>87</v>
      </c>
    </row>
    <row r="526" spans="1:64" x14ac:dyDescent="0.3">
      <c r="A526" t="str">
        <f>"200294E0101"</f>
        <v>200294E0101</v>
      </c>
      <c r="B526" t="str">
        <f>"200294E01013"</f>
        <v>200294E01013</v>
      </c>
      <c r="C526" t="str">
        <f t="shared" si="33"/>
        <v>20</v>
      </c>
      <c r="D526" t="s">
        <v>81</v>
      </c>
      <c r="E526" t="str">
        <f t="shared" si="34"/>
        <v>043</v>
      </c>
      <c r="F526" t="s">
        <v>600</v>
      </c>
      <c r="G526" t="str">
        <f t="shared" si="35"/>
        <v>0294</v>
      </c>
      <c r="H526" t="str">
        <f>"0001"</f>
        <v>0001</v>
      </c>
      <c r="I526" t="s">
        <v>122</v>
      </c>
      <c r="J526">
        <v>1</v>
      </c>
      <c r="K526">
        <v>1</v>
      </c>
      <c r="L526">
        <v>3</v>
      </c>
      <c r="M526">
        <v>223</v>
      </c>
      <c r="N526">
        <v>330</v>
      </c>
      <c r="O526">
        <v>7</v>
      </c>
      <c r="P526">
        <v>330</v>
      </c>
      <c r="Q526">
        <v>2</v>
      </c>
      <c r="R526">
        <v>43</v>
      </c>
      <c r="S526">
        <v>5</v>
      </c>
      <c r="U526">
        <v>134</v>
      </c>
      <c r="V526">
        <v>6</v>
      </c>
      <c r="W526">
        <v>0</v>
      </c>
      <c r="X526">
        <v>68</v>
      </c>
      <c r="Y526">
        <v>1</v>
      </c>
      <c r="Z526">
        <v>39</v>
      </c>
      <c r="AA526">
        <v>16</v>
      </c>
      <c r="AB526">
        <v>1</v>
      </c>
      <c r="AF526">
        <v>4</v>
      </c>
      <c r="AG526">
        <v>0</v>
      </c>
      <c r="AH526">
        <v>0</v>
      </c>
      <c r="AI526">
        <v>0</v>
      </c>
      <c r="AW526">
        <v>0</v>
      </c>
      <c r="AX526">
        <v>11</v>
      </c>
      <c r="AY526">
        <v>330</v>
      </c>
      <c r="AZ526">
        <v>330</v>
      </c>
      <c r="BA526">
        <v>510</v>
      </c>
      <c r="BB526">
        <v>44</v>
      </c>
      <c r="BD526">
        <v>1</v>
      </c>
      <c r="BF526" t="s">
        <v>639</v>
      </c>
      <c r="BG526" s="1">
        <v>44354.138888888891</v>
      </c>
      <c r="BH526" s="1">
        <v>44354.141446759262</v>
      </c>
      <c r="BI526" s="1">
        <v>44354.14230324074</v>
      </c>
      <c r="BJ526" t="s">
        <v>85</v>
      </c>
      <c r="BK526" t="s">
        <v>86</v>
      </c>
      <c r="BL526" t="s">
        <v>87</v>
      </c>
    </row>
    <row r="527" spans="1:64" x14ac:dyDescent="0.3">
      <c r="A527" t="str">
        <f>"200294E0102"</f>
        <v>200294E0102</v>
      </c>
      <c r="B527" t="str">
        <f>"200294E01023"</f>
        <v>200294E01023</v>
      </c>
      <c r="C527" t="str">
        <f t="shared" si="33"/>
        <v>20</v>
      </c>
      <c r="D527" t="s">
        <v>81</v>
      </c>
      <c r="E527" t="str">
        <f t="shared" si="34"/>
        <v>043</v>
      </c>
      <c r="F527" t="s">
        <v>600</v>
      </c>
      <c r="G527" t="str">
        <f t="shared" si="35"/>
        <v>0294</v>
      </c>
      <c r="H527" t="str">
        <f>"0001"</f>
        <v>0001</v>
      </c>
      <c r="I527" t="s">
        <v>122</v>
      </c>
      <c r="J527">
        <v>2</v>
      </c>
      <c r="K527">
        <v>1</v>
      </c>
      <c r="L527">
        <v>3</v>
      </c>
      <c r="M527">
        <v>199</v>
      </c>
      <c r="N527">
        <v>354</v>
      </c>
      <c r="O527">
        <v>7</v>
      </c>
      <c r="P527">
        <v>354</v>
      </c>
      <c r="Q527">
        <v>5</v>
      </c>
      <c r="R527">
        <v>41</v>
      </c>
      <c r="S527">
        <v>10</v>
      </c>
      <c r="U527">
        <v>121</v>
      </c>
      <c r="V527">
        <v>6</v>
      </c>
      <c r="W527">
        <v>1</v>
      </c>
      <c r="X527">
        <v>96</v>
      </c>
      <c r="Y527">
        <v>4</v>
      </c>
      <c r="Z527">
        <v>53</v>
      </c>
      <c r="AA527">
        <v>8</v>
      </c>
      <c r="AB527">
        <v>0</v>
      </c>
      <c r="AF527">
        <v>0</v>
      </c>
      <c r="AG527">
        <v>0</v>
      </c>
      <c r="AH527">
        <v>0</v>
      </c>
      <c r="AI527">
        <v>0</v>
      </c>
      <c r="AW527">
        <v>1</v>
      </c>
      <c r="AX527">
        <v>4</v>
      </c>
      <c r="AY527">
        <v>354</v>
      </c>
      <c r="AZ527">
        <v>350</v>
      </c>
      <c r="BA527">
        <v>510</v>
      </c>
      <c r="BB527">
        <v>44</v>
      </c>
      <c r="BD527">
        <v>1</v>
      </c>
      <c r="BF527" t="s">
        <v>640</v>
      </c>
      <c r="BG527" s="1">
        <v>44354.140972222223</v>
      </c>
      <c r="BH527" s="1">
        <v>44354.143217592595</v>
      </c>
      <c r="BI527" s="1">
        <v>44354.144166666665</v>
      </c>
      <c r="BJ527" t="s">
        <v>85</v>
      </c>
      <c r="BK527" t="s">
        <v>86</v>
      </c>
      <c r="BL527" t="s">
        <v>87</v>
      </c>
    </row>
    <row r="528" spans="1:64" x14ac:dyDescent="0.3">
      <c r="A528" t="str">
        <f>"200295B0000"</f>
        <v>200295B0000</v>
      </c>
      <c r="B528" t="str">
        <f>"200295B00003"</f>
        <v>200295B00003</v>
      </c>
      <c r="C528" t="str">
        <f t="shared" si="33"/>
        <v>20</v>
      </c>
      <c r="D528" t="s">
        <v>81</v>
      </c>
      <c r="E528" t="str">
        <f t="shared" si="34"/>
        <v>043</v>
      </c>
      <c r="F528" t="s">
        <v>600</v>
      </c>
      <c r="G528" t="str">
        <f>"0295"</f>
        <v>0295</v>
      </c>
      <c r="H528" t="str">
        <f>"0000"</f>
        <v>0000</v>
      </c>
      <c r="I528" t="s">
        <v>83</v>
      </c>
      <c r="J528">
        <v>0</v>
      </c>
      <c r="K528">
        <v>1</v>
      </c>
      <c r="L528">
        <v>3</v>
      </c>
      <c r="M528">
        <v>195</v>
      </c>
      <c r="N528">
        <v>267</v>
      </c>
      <c r="O528">
        <v>11</v>
      </c>
      <c r="P528">
        <v>267</v>
      </c>
      <c r="Q528">
        <v>2</v>
      </c>
      <c r="R528">
        <v>31</v>
      </c>
      <c r="S528">
        <v>11</v>
      </c>
      <c r="U528">
        <v>72</v>
      </c>
      <c r="V528">
        <v>9</v>
      </c>
      <c r="W528">
        <v>1</v>
      </c>
      <c r="X528">
        <v>88</v>
      </c>
      <c r="Y528">
        <v>1</v>
      </c>
      <c r="Z528">
        <v>25</v>
      </c>
      <c r="AA528">
        <v>17</v>
      </c>
      <c r="AB528">
        <v>2</v>
      </c>
      <c r="AF528">
        <v>0</v>
      </c>
      <c r="AG528">
        <v>0</v>
      </c>
      <c r="AH528">
        <v>0</v>
      </c>
      <c r="AI528">
        <v>0</v>
      </c>
      <c r="AW528">
        <v>0</v>
      </c>
      <c r="AX528">
        <v>8</v>
      </c>
      <c r="AY528">
        <v>267</v>
      </c>
      <c r="AZ528">
        <v>267</v>
      </c>
      <c r="BA528">
        <v>419</v>
      </c>
      <c r="BB528">
        <v>44</v>
      </c>
      <c r="BD528">
        <v>1</v>
      </c>
      <c r="BF528" t="s">
        <v>641</v>
      </c>
      <c r="BG528" s="1">
        <v>44353.936111111114</v>
      </c>
      <c r="BH528" s="1">
        <v>44353.938321759262</v>
      </c>
      <c r="BI528" s="1">
        <v>44353.938923611109</v>
      </c>
      <c r="BJ528" t="s">
        <v>85</v>
      </c>
      <c r="BK528" t="s">
        <v>86</v>
      </c>
      <c r="BL528" t="s">
        <v>87</v>
      </c>
    </row>
    <row r="529" spans="1:64" x14ac:dyDescent="0.3">
      <c r="A529" t="str">
        <f>"200295C0100"</f>
        <v>200295C0100</v>
      </c>
      <c r="B529" t="str">
        <f>"200295C01003"</f>
        <v>200295C01003</v>
      </c>
      <c r="C529" t="str">
        <f t="shared" si="33"/>
        <v>20</v>
      </c>
      <c r="D529" t="s">
        <v>81</v>
      </c>
      <c r="E529" t="str">
        <f t="shared" si="34"/>
        <v>043</v>
      </c>
      <c r="F529" t="s">
        <v>600</v>
      </c>
      <c r="G529" t="str">
        <f>"0295"</f>
        <v>0295</v>
      </c>
      <c r="H529" t="str">
        <f>"0001"</f>
        <v>0001</v>
      </c>
      <c r="I529" t="s">
        <v>89</v>
      </c>
      <c r="J529">
        <v>0</v>
      </c>
      <c r="K529">
        <v>1</v>
      </c>
      <c r="L529">
        <v>3</v>
      </c>
      <c r="M529">
        <v>180</v>
      </c>
      <c r="N529">
        <v>283</v>
      </c>
      <c r="O529">
        <v>7</v>
      </c>
      <c r="P529">
        <v>283</v>
      </c>
      <c r="Q529">
        <v>0</v>
      </c>
      <c r="R529">
        <v>27</v>
      </c>
      <c r="S529">
        <v>8</v>
      </c>
      <c r="U529">
        <v>103</v>
      </c>
      <c r="V529">
        <v>3</v>
      </c>
      <c r="W529">
        <v>0</v>
      </c>
      <c r="X529">
        <v>88</v>
      </c>
      <c r="Y529">
        <v>3</v>
      </c>
      <c r="Z529">
        <v>30</v>
      </c>
      <c r="AA529">
        <v>15</v>
      </c>
      <c r="AB529">
        <v>2</v>
      </c>
      <c r="AF529">
        <v>0</v>
      </c>
      <c r="AG529">
        <v>0</v>
      </c>
      <c r="AH529">
        <v>0</v>
      </c>
      <c r="AI529">
        <v>0</v>
      </c>
      <c r="AW529">
        <v>0</v>
      </c>
      <c r="AX529">
        <v>4</v>
      </c>
      <c r="AY529">
        <v>283</v>
      </c>
      <c r="AZ529">
        <v>283</v>
      </c>
      <c r="BA529">
        <v>419</v>
      </c>
      <c r="BB529">
        <v>44</v>
      </c>
      <c r="BD529">
        <v>1</v>
      </c>
      <c r="BF529" t="s">
        <v>642</v>
      </c>
      <c r="BG529" s="1">
        <v>44353.933333333334</v>
      </c>
      <c r="BH529" s="1">
        <v>44353.935601851852</v>
      </c>
      <c r="BI529" s="1">
        <v>44353.936273148145</v>
      </c>
      <c r="BJ529" t="s">
        <v>85</v>
      </c>
      <c r="BK529" t="s">
        <v>86</v>
      </c>
      <c r="BL529" t="s">
        <v>87</v>
      </c>
    </row>
    <row r="530" spans="1:64" x14ac:dyDescent="0.3">
      <c r="A530" t="str">
        <f>"200295S0100"</f>
        <v>200295S0100</v>
      </c>
      <c r="B530" t="str">
        <f>"200295S01003E"</f>
        <v>200295S01003E</v>
      </c>
      <c r="C530" t="str">
        <f t="shared" si="33"/>
        <v>20</v>
      </c>
      <c r="D530" t="s">
        <v>81</v>
      </c>
      <c r="E530" t="str">
        <f t="shared" si="34"/>
        <v>043</v>
      </c>
      <c r="F530" t="s">
        <v>600</v>
      </c>
      <c r="G530" t="str">
        <f>"0295"</f>
        <v>0295</v>
      </c>
      <c r="H530" t="str">
        <f>"0001"</f>
        <v>0001</v>
      </c>
      <c r="I530" t="s">
        <v>99</v>
      </c>
      <c r="J530">
        <v>0</v>
      </c>
      <c r="K530">
        <v>1</v>
      </c>
      <c r="L530" t="s">
        <v>100</v>
      </c>
      <c r="M530">
        <v>724</v>
      </c>
      <c r="N530">
        <v>274</v>
      </c>
      <c r="O530">
        <v>0</v>
      </c>
      <c r="P530">
        <v>272</v>
      </c>
      <c r="Q530">
        <v>2</v>
      </c>
      <c r="R530">
        <v>7</v>
      </c>
      <c r="S530">
        <v>2</v>
      </c>
      <c r="U530">
        <v>154</v>
      </c>
      <c r="V530">
        <v>1</v>
      </c>
      <c r="W530">
        <v>0</v>
      </c>
      <c r="X530">
        <v>27</v>
      </c>
      <c r="Y530">
        <v>3</v>
      </c>
      <c r="Z530">
        <v>67</v>
      </c>
      <c r="AA530">
        <v>2</v>
      </c>
      <c r="AB530">
        <v>0</v>
      </c>
      <c r="AF530">
        <v>1</v>
      </c>
      <c r="AG530">
        <v>0</v>
      </c>
      <c r="AH530">
        <v>0</v>
      </c>
      <c r="AI530">
        <v>0</v>
      </c>
      <c r="AW530">
        <v>0</v>
      </c>
      <c r="AX530">
        <v>6</v>
      </c>
      <c r="AY530">
        <v>272</v>
      </c>
      <c r="AZ530">
        <v>272</v>
      </c>
      <c r="BA530">
        <v>0</v>
      </c>
      <c r="BB530">
        <v>44</v>
      </c>
      <c r="BD530">
        <v>1</v>
      </c>
      <c r="BF530" t="s">
        <v>643</v>
      </c>
      <c r="BG530" s="1">
        <v>44354.067361111112</v>
      </c>
      <c r="BH530" s="1">
        <v>44354.073310185187</v>
      </c>
      <c r="BI530" s="1">
        <v>44354.074189814812</v>
      </c>
      <c r="BJ530" t="s">
        <v>85</v>
      </c>
      <c r="BK530" t="s">
        <v>86</v>
      </c>
      <c r="BL530" t="s">
        <v>87</v>
      </c>
    </row>
    <row r="531" spans="1:64" x14ac:dyDescent="0.3">
      <c r="A531" t="str">
        <f>"200296B0000"</f>
        <v>200296B0000</v>
      </c>
      <c r="B531" t="str">
        <f>"200296B00003"</f>
        <v>200296B00003</v>
      </c>
      <c r="C531" t="str">
        <f t="shared" si="33"/>
        <v>20</v>
      </c>
      <c r="D531" t="s">
        <v>81</v>
      </c>
      <c r="E531" t="str">
        <f t="shared" si="34"/>
        <v>043</v>
      </c>
      <c r="F531" t="s">
        <v>600</v>
      </c>
      <c r="G531" t="str">
        <f>"0296"</f>
        <v>0296</v>
      </c>
      <c r="H531" t="str">
        <f>"0000"</f>
        <v>0000</v>
      </c>
      <c r="I531" t="s">
        <v>83</v>
      </c>
      <c r="J531">
        <v>0</v>
      </c>
      <c r="K531">
        <v>1</v>
      </c>
      <c r="L531">
        <v>3</v>
      </c>
      <c r="M531">
        <v>211</v>
      </c>
      <c r="N531">
        <v>316</v>
      </c>
      <c r="O531">
        <v>6</v>
      </c>
      <c r="P531" t="s">
        <v>92</v>
      </c>
      <c r="Q531">
        <v>1</v>
      </c>
      <c r="R531">
        <v>40</v>
      </c>
      <c r="S531">
        <v>5</v>
      </c>
      <c r="U531">
        <v>82</v>
      </c>
      <c r="V531">
        <v>6</v>
      </c>
      <c r="W531">
        <v>0</v>
      </c>
      <c r="X531">
        <v>84</v>
      </c>
      <c r="Y531">
        <v>0</v>
      </c>
      <c r="Z531">
        <v>45</v>
      </c>
      <c r="AA531">
        <v>50</v>
      </c>
      <c r="AB531">
        <v>0</v>
      </c>
      <c r="AF531">
        <v>1</v>
      </c>
      <c r="AG531" t="s">
        <v>95</v>
      </c>
      <c r="AH531" t="s">
        <v>95</v>
      </c>
      <c r="AI531" t="s">
        <v>95</v>
      </c>
      <c r="AW531">
        <v>2</v>
      </c>
      <c r="AX531" t="s">
        <v>95</v>
      </c>
      <c r="AY531">
        <v>316</v>
      </c>
      <c r="AZ531">
        <v>316</v>
      </c>
      <c r="BA531">
        <v>483</v>
      </c>
      <c r="BB531">
        <v>44</v>
      </c>
      <c r="BC531" t="s">
        <v>96</v>
      </c>
      <c r="BD531">
        <v>1</v>
      </c>
      <c r="BF531" t="s">
        <v>644</v>
      </c>
      <c r="BG531" s="1">
        <v>44354.012499999997</v>
      </c>
      <c r="BH531" s="1">
        <v>44354.021157407406</v>
      </c>
      <c r="BI531" s="1">
        <v>44354.021701388891</v>
      </c>
      <c r="BJ531" t="s">
        <v>85</v>
      </c>
      <c r="BK531" t="s">
        <v>86</v>
      </c>
      <c r="BL531" t="s">
        <v>87</v>
      </c>
    </row>
    <row r="532" spans="1:64" x14ac:dyDescent="0.3">
      <c r="A532" t="str">
        <f>"200296C0100"</f>
        <v>200296C0100</v>
      </c>
      <c r="B532" t="str">
        <f>"200296C01003"</f>
        <v>200296C01003</v>
      </c>
      <c r="C532" t="str">
        <f t="shared" si="33"/>
        <v>20</v>
      </c>
      <c r="D532" t="s">
        <v>81</v>
      </c>
      <c r="E532" t="str">
        <f t="shared" si="34"/>
        <v>043</v>
      </c>
      <c r="F532" t="s">
        <v>600</v>
      </c>
      <c r="G532" t="str">
        <f>"0296"</f>
        <v>0296</v>
      </c>
      <c r="H532" t="str">
        <f>"0001"</f>
        <v>0001</v>
      </c>
      <c r="I532" t="s">
        <v>89</v>
      </c>
      <c r="J532">
        <v>0</v>
      </c>
      <c r="K532">
        <v>1</v>
      </c>
      <c r="L532">
        <v>3</v>
      </c>
      <c r="M532">
        <v>187</v>
      </c>
      <c r="N532">
        <v>339</v>
      </c>
      <c r="O532">
        <v>3</v>
      </c>
      <c r="P532">
        <v>339</v>
      </c>
      <c r="Q532">
        <v>1</v>
      </c>
      <c r="R532">
        <v>41</v>
      </c>
      <c r="S532">
        <v>5</v>
      </c>
      <c r="U532">
        <v>64</v>
      </c>
      <c r="V532">
        <v>11</v>
      </c>
      <c r="W532">
        <v>0</v>
      </c>
      <c r="X532">
        <v>99</v>
      </c>
      <c r="Y532">
        <v>2</v>
      </c>
      <c r="Z532">
        <v>55</v>
      </c>
      <c r="AA532">
        <v>46</v>
      </c>
      <c r="AB532">
        <v>2</v>
      </c>
      <c r="AF532">
        <v>0</v>
      </c>
      <c r="AG532">
        <v>1</v>
      </c>
      <c r="AH532">
        <v>0</v>
      </c>
      <c r="AI532">
        <v>0</v>
      </c>
      <c r="AW532">
        <v>0</v>
      </c>
      <c r="AX532">
        <v>11</v>
      </c>
      <c r="AY532">
        <v>339</v>
      </c>
      <c r="AZ532">
        <v>338</v>
      </c>
      <c r="BA532">
        <v>482</v>
      </c>
      <c r="BB532">
        <v>44</v>
      </c>
      <c r="BD532">
        <v>1</v>
      </c>
      <c r="BF532" t="s">
        <v>645</v>
      </c>
      <c r="BG532" s="1">
        <v>44354.010416666664</v>
      </c>
      <c r="BH532" s="1">
        <v>44354.017476851855</v>
      </c>
      <c r="BI532" s="1">
        <v>44354.018159722225</v>
      </c>
      <c r="BJ532" t="s">
        <v>85</v>
      </c>
      <c r="BK532" t="s">
        <v>86</v>
      </c>
      <c r="BL532" t="s">
        <v>87</v>
      </c>
    </row>
    <row r="533" spans="1:64" x14ac:dyDescent="0.3">
      <c r="A533" t="str">
        <f>"200297B0000"</f>
        <v>200297B0000</v>
      </c>
      <c r="B533" t="str">
        <f>"200297B00003"</f>
        <v>200297B00003</v>
      </c>
      <c r="C533" t="str">
        <f t="shared" si="33"/>
        <v>20</v>
      </c>
      <c r="D533" t="s">
        <v>81</v>
      </c>
      <c r="E533" t="str">
        <f t="shared" si="34"/>
        <v>043</v>
      </c>
      <c r="F533" t="s">
        <v>600</v>
      </c>
      <c r="G533" t="str">
        <f>"0297"</f>
        <v>0297</v>
      </c>
      <c r="H533" t="str">
        <f>"0000"</f>
        <v>0000</v>
      </c>
      <c r="I533" t="s">
        <v>83</v>
      </c>
      <c r="J533">
        <v>0</v>
      </c>
      <c r="K533">
        <v>1</v>
      </c>
      <c r="L533">
        <v>3</v>
      </c>
      <c r="M533">
        <v>275</v>
      </c>
      <c r="N533">
        <v>506</v>
      </c>
      <c r="O533">
        <v>7</v>
      </c>
      <c r="P533">
        <v>507</v>
      </c>
      <c r="Q533">
        <v>2</v>
      </c>
      <c r="R533">
        <v>80</v>
      </c>
      <c r="S533">
        <v>13</v>
      </c>
      <c r="U533">
        <v>101</v>
      </c>
      <c r="V533">
        <v>18</v>
      </c>
      <c r="W533">
        <v>3</v>
      </c>
      <c r="X533">
        <v>153</v>
      </c>
      <c r="Y533">
        <v>1</v>
      </c>
      <c r="Z533">
        <v>60</v>
      </c>
      <c r="AA533">
        <v>58</v>
      </c>
      <c r="AB533">
        <v>8</v>
      </c>
      <c r="AF533">
        <v>3</v>
      </c>
      <c r="AG533">
        <v>0</v>
      </c>
      <c r="AH533">
        <v>0</v>
      </c>
      <c r="AI533">
        <v>0</v>
      </c>
      <c r="AW533">
        <v>0</v>
      </c>
      <c r="AX533">
        <v>7</v>
      </c>
      <c r="AY533">
        <v>507</v>
      </c>
      <c r="AZ533">
        <v>507</v>
      </c>
      <c r="BA533">
        <v>738</v>
      </c>
      <c r="BB533">
        <v>44</v>
      </c>
      <c r="BD533">
        <v>1</v>
      </c>
      <c r="BF533" t="s">
        <v>646</v>
      </c>
      <c r="BG533" s="1">
        <v>44354.069444444445</v>
      </c>
      <c r="BH533" s="1">
        <v>44354.076053240744</v>
      </c>
      <c r="BI533" s="1">
        <v>44354.076689814814</v>
      </c>
      <c r="BJ533" t="s">
        <v>85</v>
      </c>
      <c r="BK533" t="s">
        <v>86</v>
      </c>
      <c r="BL533" t="s">
        <v>87</v>
      </c>
    </row>
    <row r="534" spans="1:64" x14ac:dyDescent="0.3">
      <c r="A534" t="str">
        <f>"200298B0000"</f>
        <v>200298B0000</v>
      </c>
      <c r="B534" t="str">
        <f>"200298B00003"</f>
        <v>200298B00003</v>
      </c>
      <c r="C534" t="str">
        <f t="shared" si="33"/>
        <v>20</v>
      </c>
      <c r="D534" t="s">
        <v>81</v>
      </c>
      <c r="E534" t="str">
        <f t="shared" si="34"/>
        <v>043</v>
      </c>
      <c r="F534" t="s">
        <v>600</v>
      </c>
      <c r="G534" t="str">
        <f>"0298"</f>
        <v>0298</v>
      </c>
      <c r="H534" t="str">
        <f>"0000"</f>
        <v>0000</v>
      </c>
      <c r="I534" t="s">
        <v>83</v>
      </c>
      <c r="J534">
        <v>0</v>
      </c>
      <c r="K534">
        <v>1</v>
      </c>
      <c r="L534">
        <v>3</v>
      </c>
      <c r="M534">
        <v>210</v>
      </c>
      <c r="N534">
        <v>325</v>
      </c>
      <c r="O534">
        <v>6</v>
      </c>
      <c r="P534">
        <v>325</v>
      </c>
      <c r="Q534">
        <v>2</v>
      </c>
      <c r="R534">
        <v>92</v>
      </c>
      <c r="S534">
        <v>4</v>
      </c>
      <c r="U534">
        <v>77</v>
      </c>
      <c r="V534">
        <v>21</v>
      </c>
      <c r="W534">
        <v>0</v>
      </c>
      <c r="X534">
        <v>93</v>
      </c>
      <c r="Y534">
        <v>2</v>
      </c>
      <c r="Z534">
        <v>12</v>
      </c>
      <c r="AA534">
        <v>11</v>
      </c>
      <c r="AB534">
        <v>3</v>
      </c>
      <c r="AF534">
        <v>3</v>
      </c>
      <c r="AG534">
        <v>0</v>
      </c>
      <c r="AH534">
        <v>0</v>
      </c>
      <c r="AI534">
        <v>0</v>
      </c>
      <c r="AW534">
        <v>0</v>
      </c>
      <c r="AX534">
        <v>5</v>
      </c>
      <c r="AY534">
        <v>325</v>
      </c>
      <c r="AZ534">
        <v>325</v>
      </c>
      <c r="BA534">
        <v>491</v>
      </c>
      <c r="BB534">
        <v>44</v>
      </c>
      <c r="BD534">
        <v>1</v>
      </c>
      <c r="BF534" t="s">
        <v>647</v>
      </c>
      <c r="BG534" s="1">
        <v>44354.017361111109</v>
      </c>
      <c r="BH534" s="1">
        <v>44354.026006944441</v>
      </c>
      <c r="BI534" s="1">
        <v>44354.026678240742</v>
      </c>
      <c r="BJ534" t="s">
        <v>85</v>
      </c>
      <c r="BK534" t="s">
        <v>86</v>
      </c>
      <c r="BL534" t="s">
        <v>87</v>
      </c>
    </row>
    <row r="535" spans="1:64" x14ac:dyDescent="0.3">
      <c r="A535" t="str">
        <f>"200299B0000"</f>
        <v>200299B0000</v>
      </c>
      <c r="B535" t="str">
        <f>"200299B00003"</f>
        <v>200299B00003</v>
      </c>
      <c r="C535" t="str">
        <f t="shared" si="33"/>
        <v>20</v>
      </c>
      <c r="D535" t="s">
        <v>81</v>
      </c>
      <c r="E535" t="str">
        <f t="shared" si="34"/>
        <v>043</v>
      </c>
      <c r="F535" t="s">
        <v>600</v>
      </c>
      <c r="G535" t="str">
        <f>"0299"</f>
        <v>0299</v>
      </c>
      <c r="H535" t="str">
        <f>"0000"</f>
        <v>0000</v>
      </c>
      <c r="I535" t="s">
        <v>83</v>
      </c>
      <c r="J535">
        <v>0</v>
      </c>
      <c r="K535">
        <v>1</v>
      </c>
      <c r="L535">
        <v>3</v>
      </c>
      <c r="M535">
        <v>206</v>
      </c>
      <c r="N535">
        <v>367</v>
      </c>
      <c r="O535">
        <v>7</v>
      </c>
      <c r="P535">
        <v>367</v>
      </c>
      <c r="Q535">
        <v>0</v>
      </c>
      <c r="R535">
        <v>55</v>
      </c>
      <c r="S535">
        <v>8</v>
      </c>
      <c r="U535">
        <v>135</v>
      </c>
      <c r="V535">
        <v>1</v>
      </c>
      <c r="W535">
        <v>1</v>
      </c>
      <c r="X535">
        <v>111</v>
      </c>
      <c r="Y535">
        <v>10</v>
      </c>
      <c r="Z535">
        <v>25</v>
      </c>
      <c r="AA535">
        <v>8</v>
      </c>
      <c r="AB535">
        <v>5</v>
      </c>
      <c r="AF535">
        <v>1</v>
      </c>
      <c r="AG535">
        <v>0</v>
      </c>
      <c r="AH535">
        <v>0</v>
      </c>
      <c r="AI535">
        <v>0</v>
      </c>
      <c r="AW535">
        <v>0</v>
      </c>
      <c r="AX535">
        <v>7</v>
      </c>
      <c r="AY535">
        <v>367</v>
      </c>
      <c r="AZ535">
        <v>367</v>
      </c>
      <c r="BA535">
        <v>530</v>
      </c>
      <c r="BB535">
        <v>44</v>
      </c>
      <c r="BD535">
        <v>1</v>
      </c>
      <c r="BF535" t="s">
        <v>648</v>
      </c>
      <c r="BG535" s="1">
        <v>44354.114583333336</v>
      </c>
      <c r="BH535" s="1">
        <v>44354.118680555555</v>
      </c>
      <c r="BI535" s="1">
        <v>44354.118888888886</v>
      </c>
      <c r="BJ535" t="s">
        <v>85</v>
      </c>
      <c r="BK535" t="s">
        <v>86</v>
      </c>
      <c r="BL535" t="s">
        <v>87</v>
      </c>
    </row>
    <row r="536" spans="1:64" x14ac:dyDescent="0.3">
      <c r="A536" t="str">
        <f>"200299C0100"</f>
        <v>200299C0100</v>
      </c>
      <c r="B536" t="str">
        <f>"200299C01003"</f>
        <v>200299C01003</v>
      </c>
      <c r="C536" t="str">
        <f t="shared" si="33"/>
        <v>20</v>
      </c>
      <c r="D536" t="s">
        <v>81</v>
      </c>
      <c r="E536" t="str">
        <f t="shared" si="34"/>
        <v>043</v>
      </c>
      <c r="F536" t="s">
        <v>600</v>
      </c>
      <c r="G536" t="str">
        <f>"0299"</f>
        <v>0299</v>
      </c>
      <c r="H536" t="str">
        <f>"0001"</f>
        <v>0001</v>
      </c>
      <c r="I536" t="s">
        <v>89</v>
      </c>
      <c r="J536">
        <v>0</v>
      </c>
      <c r="K536">
        <v>1</v>
      </c>
      <c r="L536">
        <v>3</v>
      </c>
      <c r="M536">
        <v>187</v>
      </c>
      <c r="N536">
        <v>387</v>
      </c>
      <c r="O536">
        <v>8</v>
      </c>
      <c r="P536">
        <v>387</v>
      </c>
      <c r="Q536">
        <v>1</v>
      </c>
      <c r="R536">
        <v>41</v>
      </c>
      <c r="S536">
        <v>4</v>
      </c>
      <c r="U536">
        <v>165</v>
      </c>
      <c r="V536">
        <v>1</v>
      </c>
      <c r="W536">
        <v>2</v>
      </c>
      <c r="X536">
        <v>100</v>
      </c>
      <c r="Y536">
        <v>7</v>
      </c>
      <c r="Z536">
        <v>145</v>
      </c>
      <c r="AA536">
        <v>9</v>
      </c>
      <c r="AB536">
        <v>6</v>
      </c>
      <c r="AF536">
        <v>0</v>
      </c>
      <c r="AG536">
        <v>0</v>
      </c>
      <c r="AH536">
        <v>0</v>
      </c>
      <c r="AI536">
        <v>1</v>
      </c>
      <c r="AW536">
        <v>0</v>
      </c>
      <c r="AX536">
        <v>5</v>
      </c>
      <c r="AY536">
        <v>387</v>
      </c>
      <c r="AZ536">
        <v>487</v>
      </c>
      <c r="BA536">
        <v>530</v>
      </c>
      <c r="BB536">
        <v>44</v>
      </c>
      <c r="BD536">
        <v>1</v>
      </c>
      <c r="BF536" t="s">
        <v>649</v>
      </c>
      <c r="BG536" s="1">
        <v>44354.113194444442</v>
      </c>
      <c r="BH536" s="1">
        <v>44354.117094907408</v>
      </c>
      <c r="BI536" s="1">
        <v>44354.117951388886</v>
      </c>
      <c r="BJ536" t="s">
        <v>85</v>
      </c>
      <c r="BK536" t="s">
        <v>86</v>
      </c>
      <c r="BL536" t="s">
        <v>87</v>
      </c>
    </row>
    <row r="537" spans="1:64" x14ac:dyDescent="0.3">
      <c r="A537" t="str">
        <f>"200300B0000"</f>
        <v>200300B0000</v>
      </c>
      <c r="B537" t="str">
        <f>"200300B00003"</f>
        <v>200300B00003</v>
      </c>
      <c r="C537" t="str">
        <f t="shared" si="33"/>
        <v>20</v>
      </c>
      <c r="D537" t="s">
        <v>81</v>
      </c>
      <c r="E537" t="str">
        <f t="shared" si="34"/>
        <v>043</v>
      </c>
      <c r="F537" t="s">
        <v>600</v>
      </c>
      <c r="G537" t="str">
        <f>"0300"</f>
        <v>0300</v>
      </c>
      <c r="H537" t="str">
        <f>"0000"</f>
        <v>0000</v>
      </c>
      <c r="I537" t="s">
        <v>83</v>
      </c>
      <c r="J537">
        <v>0</v>
      </c>
      <c r="K537">
        <v>1</v>
      </c>
      <c r="L537">
        <v>3</v>
      </c>
      <c r="M537">
        <v>256</v>
      </c>
      <c r="N537">
        <v>394</v>
      </c>
      <c r="O537">
        <v>3</v>
      </c>
      <c r="P537">
        <v>394</v>
      </c>
      <c r="Q537">
        <v>0</v>
      </c>
      <c r="R537">
        <v>47</v>
      </c>
      <c r="S537">
        <v>3</v>
      </c>
      <c r="U537">
        <v>132</v>
      </c>
      <c r="V537">
        <v>4</v>
      </c>
      <c r="W537">
        <v>1</v>
      </c>
      <c r="X537">
        <v>120</v>
      </c>
      <c r="Y537">
        <v>8</v>
      </c>
      <c r="Z537">
        <v>63</v>
      </c>
      <c r="AA537">
        <v>8</v>
      </c>
      <c r="AB537">
        <v>2</v>
      </c>
      <c r="AF537">
        <v>1</v>
      </c>
      <c r="AG537">
        <v>0</v>
      </c>
      <c r="AH537">
        <v>0</v>
      </c>
      <c r="AI537">
        <v>1</v>
      </c>
      <c r="AW537">
        <v>0</v>
      </c>
      <c r="AX537">
        <v>4</v>
      </c>
      <c r="AY537">
        <v>394</v>
      </c>
      <c r="AZ537">
        <v>394</v>
      </c>
      <c r="BA537">
        <v>606</v>
      </c>
      <c r="BB537">
        <v>44</v>
      </c>
      <c r="BD537">
        <v>1</v>
      </c>
      <c r="BF537" t="s">
        <v>650</v>
      </c>
      <c r="BG537" s="1">
        <v>44353.956250000003</v>
      </c>
      <c r="BH537" s="1">
        <v>44353.959178240744</v>
      </c>
      <c r="BI537" s="1">
        <v>44353.962800925925</v>
      </c>
      <c r="BJ537" t="s">
        <v>85</v>
      </c>
      <c r="BK537" t="s">
        <v>86</v>
      </c>
      <c r="BL537" t="s">
        <v>87</v>
      </c>
    </row>
    <row r="538" spans="1:64" x14ac:dyDescent="0.3">
      <c r="A538" t="str">
        <f>"200300C0100"</f>
        <v>200300C0100</v>
      </c>
      <c r="B538" t="str">
        <f>"200300C01003"</f>
        <v>200300C01003</v>
      </c>
      <c r="C538" t="str">
        <f t="shared" si="33"/>
        <v>20</v>
      </c>
      <c r="D538" t="s">
        <v>81</v>
      </c>
      <c r="E538" t="str">
        <f t="shared" si="34"/>
        <v>043</v>
      </c>
      <c r="F538" t="s">
        <v>600</v>
      </c>
      <c r="G538" t="str">
        <f>"0300"</f>
        <v>0300</v>
      </c>
      <c r="H538" t="str">
        <f>"0001"</f>
        <v>0001</v>
      </c>
      <c r="I538" t="s">
        <v>89</v>
      </c>
      <c r="J538">
        <v>0</v>
      </c>
      <c r="K538">
        <v>1</v>
      </c>
      <c r="L538">
        <v>3</v>
      </c>
      <c r="M538">
        <v>234</v>
      </c>
      <c r="N538">
        <v>415</v>
      </c>
      <c r="O538">
        <v>2</v>
      </c>
      <c r="P538">
        <v>415</v>
      </c>
      <c r="Q538">
        <v>1</v>
      </c>
      <c r="R538">
        <v>53</v>
      </c>
      <c r="S538">
        <v>2</v>
      </c>
      <c r="U538">
        <v>120</v>
      </c>
      <c r="V538">
        <v>1</v>
      </c>
      <c r="W538">
        <v>3</v>
      </c>
      <c r="X538">
        <v>122</v>
      </c>
      <c r="Y538">
        <v>6</v>
      </c>
      <c r="Z538">
        <v>75</v>
      </c>
      <c r="AA538">
        <v>14</v>
      </c>
      <c r="AB538">
        <v>5</v>
      </c>
      <c r="AF538">
        <v>1</v>
      </c>
      <c r="AG538">
        <v>0</v>
      </c>
      <c r="AH538">
        <v>0</v>
      </c>
      <c r="AI538">
        <v>0</v>
      </c>
      <c r="AW538">
        <v>0</v>
      </c>
      <c r="AX538">
        <v>12</v>
      </c>
      <c r="AY538">
        <v>415</v>
      </c>
      <c r="AZ538">
        <v>415</v>
      </c>
      <c r="BA538">
        <v>605</v>
      </c>
      <c r="BB538">
        <v>44</v>
      </c>
      <c r="BD538">
        <v>1</v>
      </c>
      <c r="BF538" t="s">
        <v>651</v>
      </c>
      <c r="BG538" s="1">
        <v>44353.960416666669</v>
      </c>
      <c r="BH538" s="1">
        <v>44353.963761574072</v>
      </c>
      <c r="BI538" s="1">
        <v>44353.964236111111</v>
      </c>
      <c r="BJ538" t="s">
        <v>85</v>
      </c>
      <c r="BK538" t="s">
        <v>86</v>
      </c>
      <c r="BL538" t="s">
        <v>87</v>
      </c>
    </row>
    <row r="539" spans="1:64" x14ac:dyDescent="0.3">
      <c r="A539" t="str">
        <f>"200300C0200"</f>
        <v>200300C0200</v>
      </c>
      <c r="B539" t="str">
        <f>"200300C02003"</f>
        <v>200300C02003</v>
      </c>
      <c r="C539" t="str">
        <f t="shared" si="33"/>
        <v>20</v>
      </c>
      <c r="D539" t="s">
        <v>81</v>
      </c>
      <c r="E539" t="str">
        <f t="shared" si="34"/>
        <v>043</v>
      </c>
      <c r="F539" t="s">
        <v>600</v>
      </c>
      <c r="G539" t="str">
        <f>"0300"</f>
        <v>0300</v>
      </c>
      <c r="H539" t="str">
        <f>"0002"</f>
        <v>0002</v>
      </c>
      <c r="I539" t="s">
        <v>89</v>
      </c>
      <c r="J539">
        <v>0</v>
      </c>
      <c r="K539">
        <v>1</v>
      </c>
      <c r="L539">
        <v>3</v>
      </c>
      <c r="M539" t="s">
        <v>92</v>
      </c>
      <c r="N539" t="s">
        <v>92</v>
      </c>
      <c r="O539" t="s">
        <v>92</v>
      </c>
      <c r="P539">
        <v>402</v>
      </c>
      <c r="Q539">
        <v>3</v>
      </c>
      <c r="R539">
        <v>69</v>
      </c>
      <c r="S539">
        <v>2</v>
      </c>
      <c r="U539">
        <v>153</v>
      </c>
      <c r="V539">
        <v>3</v>
      </c>
      <c r="W539">
        <v>0</v>
      </c>
      <c r="X539">
        <v>85</v>
      </c>
      <c r="Y539">
        <v>6</v>
      </c>
      <c r="Z539">
        <v>57</v>
      </c>
      <c r="AA539">
        <v>13</v>
      </c>
      <c r="AB539">
        <v>4</v>
      </c>
      <c r="AF539">
        <v>2</v>
      </c>
      <c r="AG539">
        <v>0</v>
      </c>
      <c r="AH539">
        <v>0</v>
      </c>
      <c r="AI539">
        <v>0</v>
      </c>
      <c r="AW539">
        <v>0</v>
      </c>
      <c r="AX539">
        <v>5</v>
      </c>
      <c r="AY539">
        <v>402</v>
      </c>
      <c r="AZ539">
        <v>402</v>
      </c>
      <c r="BA539">
        <v>605</v>
      </c>
      <c r="BB539">
        <v>44</v>
      </c>
      <c r="BD539">
        <v>1</v>
      </c>
      <c r="BF539" t="s">
        <v>652</v>
      </c>
      <c r="BG539" s="1">
        <v>44353.961111111108</v>
      </c>
      <c r="BH539" s="1">
        <v>44353.966793981483</v>
      </c>
      <c r="BI539" s="1">
        <v>44353.967442129629</v>
      </c>
      <c r="BJ539" t="s">
        <v>85</v>
      </c>
      <c r="BK539" t="s">
        <v>86</v>
      </c>
      <c r="BL539" t="s">
        <v>87</v>
      </c>
    </row>
    <row r="540" spans="1:64" x14ac:dyDescent="0.3">
      <c r="A540" t="str">
        <f>"200300C0300"</f>
        <v>200300C0300</v>
      </c>
      <c r="B540" t="str">
        <f>"200300C03003"</f>
        <v>200300C03003</v>
      </c>
      <c r="C540" t="str">
        <f t="shared" si="33"/>
        <v>20</v>
      </c>
      <c r="D540" t="s">
        <v>81</v>
      </c>
      <c r="E540" t="str">
        <f t="shared" si="34"/>
        <v>043</v>
      </c>
      <c r="F540" t="s">
        <v>600</v>
      </c>
      <c r="G540" t="str">
        <f>"0300"</f>
        <v>0300</v>
      </c>
      <c r="H540" t="str">
        <f>"0003"</f>
        <v>0003</v>
      </c>
      <c r="I540" t="s">
        <v>89</v>
      </c>
      <c r="J540">
        <v>0</v>
      </c>
      <c r="K540">
        <v>1</v>
      </c>
      <c r="L540">
        <v>3</v>
      </c>
      <c r="M540">
        <v>244</v>
      </c>
      <c r="N540">
        <v>405</v>
      </c>
      <c r="O540">
        <v>6</v>
      </c>
      <c r="P540">
        <v>405</v>
      </c>
      <c r="Q540">
        <v>2</v>
      </c>
      <c r="R540">
        <v>59</v>
      </c>
      <c r="S540">
        <v>3</v>
      </c>
      <c r="U540">
        <v>128</v>
      </c>
      <c r="V540">
        <v>5</v>
      </c>
      <c r="W540">
        <v>0</v>
      </c>
      <c r="X540">
        <v>111</v>
      </c>
      <c r="Y540">
        <v>9</v>
      </c>
      <c r="Z540">
        <v>72</v>
      </c>
      <c r="AA540">
        <v>7</v>
      </c>
      <c r="AB540">
        <v>2</v>
      </c>
      <c r="AF540">
        <v>1</v>
      </c>
      <c r="AG540">
        <v>0</v>
      </c>
      <c r="AH540">
        <v>0</v>
      </c>
      <c r="AI540">
        <v>0</v>
      </c>
      <c r="AW540">
        <v>0</v>
      </c>
      <c r="AX540">
        <v>6</v>
      </c>
      <c r="AY540">
        <v>405</v>
      </c>
      <c r="AZ540">
        <v>405</v>
      </c>
      <c r="BA540">
        <v>605</v>
      </c>
      <c r="BB540">
        <v>44</v>
      </c>
      <c r="BD540">
        <v>1</v>
      </c>
      <c r="BF540" t="s">
        <v>653</v>
      </c>
      <c r="BG540" s="1">
        <v>44354.320138888892</v>
      </c>
      <c r="BH540" s="1">
        <v>44354.329293981478</v>
      </c>
      <c r="BI540" s="1">
        <v>44354.330277777779</v>
      </c>
      <c r="BJ540" t="s">
        <v>85</v>
      </c>
      <c r="BK540" t="s">
        <v>86</v>
      </c>
      <c r="BL540" t="s">
        <v>87</v>
      </c>
    </row>
    <row r="541" spans="1:64" x14ac:dyDescent="0.3">
      <c r="A541" t="str">
        <f>"200301B0000"</f>
        <v>200301B0000</v>
      </c>
      <c r="B541" t="str">
        <f>"200301B00003"</f>
        <v>200301B00003</v>
      </c>
      <c r="C541" t="str">
        <f t="shared" si="33"/>
        <v>20</v>
      </c>
      <c r="D541" t="s">
        <v>81</v>
      </c>
      <c r="E541" t="str">
        <f t="shared" si="34"/>
        <v>043</v>
      </c>
      <c r="F541" t="s">
        <v>600</v>
      </c>
      <c r="G541" t="str">
        <f>"0301"</f>
        <v>0301</v>
      </c>
      <c r="H541" t="str">
        <f>"0000"</f>
        <v>0000</v>
      </c>
      <c r="I541" t="s">
        <v>83</v>
      </c>
      <c r="J541">
        <v>0</v>
      </c>
      <c r="K541">
        <v>1</v>
      </c>
      <c r="L541">
        <v>3</v>
      </c>
      <c r="M541">
        <v>221</v>
      </c>
      <c r="N541">
        <v>354</v>
      </c>
      <c r="O541">
        <v>2</v>
      </c>
      <c r="P541">
        <v>353</v>
      </c>
      <c r="Q541">
        <v>2</v>
      </c>
      <c r="R541">
        <v>43</v>
      </c>
      <c r="S541">
        <v>8</v>
      </c>
      <c r="U541">
        <v>93</v>
      </c>
      <c r="V541">
        <v>3</v>
      </c>
      <c r="W541">
        <v>1</v>
      </c>
      <c r="X541">
        <v>136</v>
      </c>
      <c r="Y541">
        <v>9</v>
      </c>
      <c r="Z541">
        <v>24</v>
      </c>
      <c r="AA541">
        <v>15</v>
      </c>
      <c r="AB541">
        <v>12</v>
      </c>
      <c r="AF541">
        <v>1</v>
      </c>
      <c r="AG541">
        <v>0</v>
      </c>
      <c r="AH541">
        <v>0</v>
      </c>
      <c r="AI541">
        <v>0</v>
      </c>
      <c r="AW541">
        <v>0</v>
      </c>
      <c r="AX541">
        <v>6</v>
      </c>
      <c r="AY541">
        <v>353</v>
      </c>
      <c r="AZ541">
        <v>353</v>
      </c>
      <c r="BA541">
        <v>531</v>
      </c>
      <c r="BB541">
        <v>44</v>
      </c>
      <c r="BD541">
        <v>1</v>
      </c>
      <c r="BF541" t="s">
        <v>654</v>
      </c>
      <c r="BG541" s="1">
        <v>44354.111805555556</v>
      </c>
      <c r="BH541" s="1">
        <v>44354.116203703707</v>
      </c>
      <c r="BI541" s="1">
        <v>44354.116898148146</v>
      </c>
      <c r="BJ541" t="s">
        <v>85</v>
      </c>
      <c r="BK541" t="s">
        <v>86</v>
      </c>
      <c r="BL541" t="s">
        <v>87</v>
      </c>
    </row>
    <row r="542" spans="1:64" x14ac:dyDescent="0.3">
      <c r="A542" t="str">
        <f>"200301C0100"</f>
        <v>200301C0100</v>
      </c>
      <c r="B542" t="str">
        <f>"200301C01003"</f>
        <v>200301C01003</v>
      </c>
      <c r="C542" t="str">
        <f t="shared" si="33"/>
        <v>20</v>
      </c>
      <c r="D542" t="s">
        <v>81</v>
      </c>
      <c r="E542" t="str">
        <f t="shared" si="34"/>
        <v>043</v>
      </c>
      <c r="F542" t="s">
        <v>600</v>
      </c>
      <c r="G542" t="str">
        <f>"0301"</f>
        <v>0301</v>
      </c>
      <c r="H542" t="str">
        <f>"0001"</f>
        <v>0001</v>
      </c>
      <c r="I542" t="s">
        <v>89</v>
      </c>
      <c r="J542">
        <v>0</v>
      </c>
      <c r="K542">
        <v>1</v>
      </c>
      <c r="L542">
        <v>3</v>
      </c>
      <c r="M542">
        <v>211</v>
      </c>
      <c r="N542">
        <v>363</v>
      </c>
      <c r="O542">
        <v>1</v>
      </c>
      <c r="P542">
        <v>363</v>
      </c>
      <c r="Q542">
        <v>0</v>
      </c>
      <c r="R542">
        <v>59</v>
      </c>
      <c r="S542">
        <v>7</v>
      </c>
      <c r="U542">
        <v>105</v>
      </c>
      <c r="V542">
        <v>2</v>
      </c>
      <c r="W542">
        <v>0</v>
      </c>
      <c r="X542">
        <v>124</v>
      </c>
      <c r="Y542">
        <v>16</v>
      </c>
      <c r="Z542">
        <v>30</v>
      </c>
      <c r="AA542">
        <v>4</v>
      </c>
      <c r="AB542">
        <v>10</v>
      </c>
      <c r="AF542">
        <v>3</v>
      </c>
      <c r="AG542">
        <v>0</v>
      </c>
      <c r="AH542">
        <v>0</v>
      </c>
      <c r="AI542">
        <v>0</v>
      </c>
      <c r="AW542">
        <v>0</v>
      </c>
      <c r="AX542">
        <v>3</v>
      </c>
      <c r="AY542">
        <v>363</v>
      </c>
      <c r="AZ542">
        <v>363</v>
      </c>
      <c r="BA542">
        <v>530</v>
      </c>
      <c r="BB542">
        <v>44</v>
      </c>
      <c r="BD542">
        <v>1</v>
      </c>
      <c r="BF542" t="s">
        <v>655</v>
      </c>
      <c r="BG542" s="1">
        <v>44354.115972222222</v>
      </c>
      <c r="BH542" s="1">
        <v>44354.124328703707</v>
      </c>
      <c r="BI542" s="1">
        <v>44354.125173611108</v>
      </c>
      <c r="BJ542" t="s">
        <v>85</v>
      </c>
      <c r="BK542" t="s">
        <v>86</v>
      </c>
      <c r="BL542" t="s">
        <v>87</v>
      </c>
    </row>
    <row r="543" spans="1:64" x14ac:dyDescent="0.3">
      <c r="A543" t="str">
        <f>"200302B0000"</f>
        <v>200302B0000</v>
      </c>
      <c r="B543" t="str">
        <f>"200302B00003"</f>
        <v>200302B00003</v>
      </c>
      <c r="C543" t="str">
        <f t="shared" si="33"/>
        <v>20</v>
      </c>
      <c r="D543" t="s">
        <v>81</v>
      </c>
      <c r="E543" t="str">
        <f t="shared" si="34"/>
        <v>043</v>
      </c>
      <c r="F543" t="s">
        <v>600</v>
      </c>
      <c r="G543" t="str">
        <f>"0302"</f>
        <v>0302</v>
      </c>
      <c r="H543" t="str">
        <f>"0000"</f>
        <v>0000</v>
      </c>
      <c r="I543" t="s">
        <v>83</v>
      </c>
      <c r="J543">
        <v>0</v>
      </c>
      <c r="K543">
        <v>1</v>
      </c>
      <c r="L543">
        <v>3</v>
      </c>
      <c r="M543">
        <v>261</v>
      </c>
      <c r="N543">
        <v>353</v>
      </c>
      <c r="O543">
        <v>2</v>
      </c>
      <c r="P543">
        <v>353</v>
      </c>
      <c r="Q543">
        <v>1</v>
      </c>
      <c r="R543">
        <v>62</v>
      </c>
      <c r="S543">
        <v>5</v>
      </c>
      <c r="U543">
        <v>113</v>
      </c>
      <c r="V543">
        <v>6</v>
      </c>
      <c r="W543">
        <v>0</v>
      </c>
      <c r="X543">
        <v>113</v>
      </c>
      <c r="Y543">
        <v>6</v>
      </c>
      <c r="Z543">
        <v>15</v>
      </c>
      <c r="AA543">
        <v>23</v>
      </c>
      <c r="AB543">
        <v>5</v>
      </c>
      <c r="AF543">
        <v>1</v>
      </c>
      <c r="AG543">
        <v>0</v>
      </c>
      <c r="AH543">
        <v>0</v>
      </c>
      <c r="AI543">
        <v>1</v>
      </c>
      <c r="AW543">
        <v>0</v>
      </c>
      <c r="AX543">
        <v>2</v>
      </c>
      <c r="AY543">
        <v>353</v>
      </c>
      <c r="AZ543">
        <v>353</v>
      </c>
      <c r="BA543">
        <v>570</v>
      </c>
      <c r="BB543">
        <v>44</v>
      </c>
      <c r="BD543">
        <v>1</v>
      </c>
      <c r="BF543" t="s">
        <v>656</v>
      </c>
      <c r="BG543" s="1">
        <v>44354.015277777777</v>
      </c>
      <c r="BH543" s="1">
        <v>44354.023680555554</v>
      </c>
      <c r="BI543" s="1">
        <v>44354.024652777778</v>
      </c>
      <c r="BJ543" t="s">
        <v>85</v>
      </c>
      <c r="BK543" t="s">
        <v>86</v>
      </c>
      <c r="BL543" t="s">
        <v>87</v>
      </c>
    </row>
    <row r="544" spans="1:64" x14ac:dyDescent="0.3">
      <c r="A544" t="str">
        <f>"200302C0100"</f>
        <v>200302C0100</v>
      </c>
      <c r="B544" t="str">
        <f>"200302C01003"</f>
        <v>200302C01003</v>
      </c>
      <c r="C544" t="str">
        <f t="shared" si="33"/>
        <v>20</v>
      </c>
      <c r="D544" t="s">
        <v>81</v>
      </c>
      <c r="E544" t="str">
        <f t="shared" si="34"/>
        <v>043</v>
      </c>
      <c r="F544" t="s">
        <v>600</v>
      </c>
      <c r="G544" t="str">
        <f>"0302"</f>
        <v>0302</v>
      </c>
      <c r="H544" t="str">
        <f>"0001"</f>
        <v>0001</v>
      </c>
      <c r="I544" t="s">
        <v>89</v>
      </c>
      <c r="J544">
        <v>0</v>
      </c>
      <c r="K544">
        <v>1</v>
      </c>
      <c r="L544">
        <v>3</v>
      </c>
      <c r="M544">
        <v>253</v>
      </c>
      <c r="N544">
        <v>360</v>
      </c>
      <c r="O544">
        <v>7</v>
      </c>
      <c r="P544">
        <v>360</v>
      </c>
      <c r="Q544">
        <v>1</v>
      </c>
      <c r="R544">
        <v>74</v>
      </c>
      <c r="S544">
        <v>3</v>
      </c>
      <c r="U544">
        <v>76</v>
      </c>
      <c r="V544">
        <v>8</v>
      </c>
      <c r="W544">
        <v>0</v>
      </c>
      <c r="X544">
        <v>138</v>
      </c>
      <c r="Y544">
        <v>4</v>
      </c>
      <c r="Z544">
        <v>23</v>
      </c>
      <c r="AA544">
        <v>23</v>
      </c>
      <c r="AB544">
        <v>2</v>
      </c>
      <c r="AF544">
        <v>3</v>
      </c>
      <c r="AG544">
        <v>0</v>
      </c>
      <c r="AH544">
        <v>0</v>
      </c>
      <c r="AI544">
        <v>0</v>
      </c>
      <c r="AW544">
        <v>0</v>
      </c>
      <c r="AX544">
        <v>5</v>
      </c>
      <c r="AY544">
        <v>360</v>
      </c>
      <c r="AZ544">
        <v>360</v>
      </c>
      <c r="BA544">
        <v>569</v>
      </c>
      <c r="BB544">
        <v>44</v>
      </c>
      <c r="BD544">
        <v>1</v>
      </c>
      <c r="BF544" t="s">
        <v>657</v>
      </c>
      <c r="BG544" s="1">
        <v>44354.015277777777</v>
      </c>
      <c r="BH544" s="1">
        <v>44354.02306712963</v>
      </c>
      <c r="BI544" s="1">
        <v>44354.0233912037</v>
      </c>
      <c r="BJ544" t="s">
        <v>85</v>
      </c>
      <c r="BK544" t="s">
        <v>86</v>
      </c>
      <c r="BL544" t="s">
        <v>87</v>
      </c>
    </row>
    <row r="545" spans="1:64" x14ac:dyDescent="0.3">
      <c r="A545" t="str">
        <f>"200303B0000"</f>
        <v>200303B0000</v>
      </c>
      <c r="B545" t="str">
        <f>"200303B00003"</f>
        <v>200303B00003</v>
      </c>
      <c r="C545" t="str">
        <f t="shared" si="33"/>
        <v>20</v>
      </c>
      <c r="D545" t="s">
        <v>81</v>
      </c>
      <c r="E545" t="str">
        <f t="shared" si="34"/>
        <v>043</v>
      </c>
      <c r="F545" t="s">
        <v>600</v>
      </c>
      <c r="G545" t="str">
        <f>"0303"</f>
        <v>0303</v>
      </c>
      <c r="H545" t="str">
        <f>"0000"</f>
        <v>0000</v>
      </c>
      <c r="I545" t="s">
        <v>83</v>
      </c>
      <c r="J545">
        <v>0</v>
      </c>
      <c r="K545">
        <v>1</v>
      </c>
      <c r="L545">
        <v>3</v>
      </c>
      <c r="M545">
        <v>229</v>
      </c>
      <c r="N545">
        <v>366</v>
      </c>
      <c r="O545">
        <v>3</v>
      </c>
      <c r="P545">
        <v>366</v>
      </c>
      <c r="Q545">
        <v>0</v>
      </c>
      <c r="R545">
        <v>27</v>
      </c>
      <c r="S545">
        <v>7</v>
      </c>
      <c r="U545">
        <v>127</v>
      </c>
      <c r="V545">
        <v>2</v>
      </c>
      <c r="W545">
        <v>1</v>
      </c>
      <c r="X545">
        <v>137</v>
      </c>
      <c r="Y545">
        <v>2</v>
      </c>
      <c r="Z545">
        <v>29</v>
      </c>
      <c r="AA545">
        <v>23</v>
      </c>
      <c r="AB545">
        <v>6</v>
      </c>
      <c r="AF545">
        <v>0</v>
      </c>
      <c r="AG545">
        <v>0</v>
      </c>
      <c r="AH545">
        <v>0</v>
      </c>
      <c r="AI545">
        <v>0</v>
      </c>
      <c r="AW545">
        <v>0</v>
      </c>
      <c r="AX545">
        <v>5</v>
      </c>
      <c r="AY545">
        <v>366</v>
      </c>
      <c r="AZ545">
        <v>366</v>
      </c>
      <c r="BA545">
        <v>551</v>
      </c>
      <c r="BB545">
        <v>44</v>
      </c>
      <c r="BD545">
        <v>1</v>
      </c>
      <c r="BF545" t="s">
        <v>658</v>
      </c>
      <c r="BG545" s="1">
        <v>44353.95416666667</v>
      </c>
      <c r="BH545" s="1">
        <v>44353.956747685188</v>
      </c>
      <c r="BI545" s="1">
        <v>44353.957361111112</v>
      </c>
      <c r="BJ545" t="s">
        <v>85</v>
      </c>
      <c r="BK545" t="s">
        <v>86</v>
      </c>
      <c r="BL545" t="s">
        <v>87</v>
      </c>
    </row>
    <row r="546" spans="1:64" x14ac:dyDescent="0.3">
      <c r="A546" t="str">
        <f>"200303C0100"</f>
        <v>200303C0100</v>
      </c>
      <c r="B546" t="str">
        <f>"200303C01003"</f>
        <v>200303C01003</v>
      </c>
      <c r="C546" t="str">
        <f t="shared" si="33"/>
        <v>20</v>
      </c>
      <c r="D546" t="s">
        <v>81</v>
      </c>
      <c r="E546" t="str">
        <f t="shared" si="34"/>
        <v>043</v>
      </c>
      <c r="F546" t="s">
        <v>600</v>
      </c>
      <c r="G546" t="str">
        <f>"0303"</f>
        <v>0303</v>
      </c>
      <c r="H546" t="str">
        <f>"0001"</f>
        <v>0001</v>
      </c>
      <c r="I546" t="s">
        <v>89</v>
      </c>
      <c r="J546">
        <v>0</v>
      </c>
      <c r="K546">
        <v>1</v>
      </c>
      <c r="L546">
        <v>3</v>
      </c>
      <c r="M546">
        <v>238</v>
      </c>
      <c r="N546">
        <v>356</v>
      </c>
      <c r="O546">
        <v>2</v>
      </c>
      <c r="P546">
        <v>356</v>
      </c>
      <c r="Q546">
        <v>0</v>
      </c>
      <c r="R546">
        <v>34</v>
      </c>
      <c r="S546">
        <v>6</v>
      </c>
      <c r="U546">
        <v>110</v>
      </c>
      <c r="V546">
        <v>4</v>
      </c>
      <c r="W546">
        <v>2</v>
      </c>
      <c r="X546">
        <v>135</v>
      </c>
      <c r="Y546">
        <v>3</v>
      </c>
      <c r="Z546">
        <v>39</v>
      </c>
      <c r="AA546">
        <v>11</v>
      </c>
      <c r="AB546">
        <v>2</v>
      </c>
      <c r="AF546">
        <v>2</v>
      </c>
      <c r="AG546">
        <v>0</v>
      </c>
      <c r="AH546">
        <v>0</v>
      </c>
      <c r="AI546">
        <v>0</v>
      </c>
      <c r="AW546">
        <v>0</v>
      </c>
      <c r="AX546">
        <v>8</v>
      </c>
      <c r="AY546">
        <v>356</v>
      </c>
      <c r="AZ546">
        <v>356</v>
      </c>
      <c r="BA546">
        <v>550</v>
      </c>
      <c r="BB546">
        <v>44</v>
      </c>
      <c r="BD546">
        <v>1</v>
      </c>
      <c r="BF546" t="s">
        <v>659</v>
      </c>
      <c r="BG546" s="1">
        <v>44353.956944444442</v>
      </c>
      <c r="BH546" s="1">
        <v>44353.95957175926</v>
      </c>
      <c r="BI546" s="1">
        <v>44353.960023148145</v>
      </c>
      <c r="BJ546" t="s">
        <v>85</v>
      </c>
      <c r="BK546" t="s">
        <v>86</v>
      </c>
      <c r="BL546" t="s">
        <v>87</v>
      </c>
    </row>
    <row r="547" spans="1:64" x14ac:dyDescent="0.3">
      <c r="A547" t="str">
        <f>"200304B0000"</f>
        <v>200304B0000</v>
      </c>
      <c r="B547" t="str">
        <f>"200304B00003"</f>
        <v>200304B00003</v>
      </c>
      <c r="C547" t="str">
        <f t="shared" si="33"/>
        <v>20</v>
      </c>
      <c r="D547" t="s">
        <v>81</v>
      </c>
      <c r="E547" t="str">
        <f t="shared" si="34"/>
        <v>043</v>
      </c>
      <c r="F547" t="s">
        <v>600</v>
      </c>
      <c r="G547" t="str">
        <f>"0304"</f>
        <v>0304</v>
      </c>
      <c r="H547" t="str">
        <f>"0000"</f>
        <v>0000</v>
      </c>
      <c r="I547" t="s">
        <v>83</v>
      </c>
      <c r="J547">
        <v>0</v>
      </c>
      <c r="K547">
        <v>1</v>
      </c>
      <c r="L547">
        <v>3</v>
      </c>
      <c r="M547">
        <v>209</v>
      </c>
      <c r="N547">
        <v>386</v>
      </c>
      <c r="O547">
        <v>3</v>
      </c>
      <c r="P547">
        <v>386</v>
      </c>
      <c r="Q547">
        <v>0</v>
      </c>
      <c r="R547">
        <v>40</v>
      </c>
      <c r="S547">
        <v>9</v>
      </c>
      <c r="U547">
        <v>96</v>
      </c>
      <c r="V547">
        <v>7</v>
      </c>
      <c r="W547">
        <v>0</v>
      </c>
      <c r="X547">
        <v>161</v>
      </c>
      <c r="Y547">
        <v>6</v>
      </c>
      <c r="Z547">
        <v>41</v>
      </c>
      <c r="AA547">
        <v>10</v>
      </c>
      <c r="AB547">
        <v>9</v>
      </c>
      <c r="AF547">
        <v>1</v>
      </c>
      <c r="AG547">
        <v>0</v>
      </c>
      <c r="AH547">
        <v>0</v>
      </c>
      <c r="AI547">
        <v>0</v>
      </c>
      <c r="AW547">
        <v>0</v>
      </c>
      <c r="AX547">
        <v>6</v>
      </c>
      <c r="AY547">
        <v>386</v>
      </c>
      <c r="AZ547">
        <v>386</v>
      </c>
      <c r="BA547">
        <v>554</v>
      </c>
      <c r="BB547">
        <v>44</v>
      </c>
      <c r="BD547">
        <v>1</v>
      </c>
      <c r="BF547" t="s">
        <v>660</v>
      </c>
      <c r="BG547" s="1">
        <v>44353.977083333331</v>
      </c>
      <c r="BH547" s="1">
        <v>44353.978993055556</v>
      </c>
      <c r="BI547" s="1">
        <v>44353.979722222219</v>
      </c>
      <c r="BJ547" t="s">
        <v>85</v>
      </c>
      <c r="BK547" t="s">
        <v>86</v>
      </c>
      <c r="BL547" t="s">
        <v>87</v>
      </c>
    </row>
    <row r="548" spans="1:64" x14ac:dyDescent="0.3">
      <c r="A548" t="str">
        <f>"200304C0100"</f>
        <v>200304C0100</v>
      </c>
      <c r="B548" t="str">
        <f>"200304C01003"</f>
        <v>200304C01003</v>
      </c>
      <c r="C548" t="str">
        <f t="shared" si="33"/>
        <v>20</v>
      </c>
      <c r="D548" t="s">
        <v>81</v>
      </c>
      <c r="E548" t="str">
        <f t="shared" si="34"/>
        <v>043</v>
      </c>
      <c r="F548" t="s">
        <v>600</v>
      </c>
      <c r="G548" t="str">
        <f>"0304"</f>
        <v>0304</v>
      </c>
      <c r="H548" t="str">
        <f>"0001"</f>
        <v>0001</v>
      </c>
      <c r="I548" t="s">
        <v>89</v>
      </c>
      <c r="J548">
        <v>0</v>
      </c>
      <c r="K548">
        <v>1</v>
      </c>
      <c r="L548">
        <v>3</v>
      </c>
      <c r="M548">
        <v>222</v>
      </c>
      <c r="N548">
        <v>376</v>
      </c>
      <c r="O548">
        <v>3</v>
      </c>
      <c r="P548">
        <v>376</v>
      </c>
      <c r="Q548">
        <v>1</v>
      </c>
      <c r="R548">
        <v>28</v>
      </c>
      <c r="S548">
        <v>11</v>
      </c>
      <c r="U548">
        <v>87</v>
      </c>
      <c r="V548">
        <v>11</v>
      </c>
      <c r="W548">
        <v>1</v>
      </c>
      <c r="X548">
        <v>163</v>
      </c>
      <c r="Y548">
        <v>6</v>
      </c>
      <c r="Z548">
        <v>51</v>
      </c>
      <c r="AA548">
        <v>10</v>
      </c>
      <c r="AB548">
        <v>3</v>
      </c>
      <c r="AF548">
        <v>1</v>
      </c>
      <c r="AG548">
        <v>0</v>
      </c>
      <c r="AH548">
        <v>0</v>
      </c>
      <c r="AI548">
        <v>0</v>
      </c>
      <c r="AW548">
        <v>0</v>
      </c>
      <c r="AX548">
        <v>3</v>
      </c>
      <c r="AY548">
        <v>376</v>
      </c>
      <c r="AZ548">
        <v>376</v>
      </c>
      <c r="BA548">
        <v>554</v>
      </c>
      <c r="BB548">
        <v>44</v>
      </c>
      <c r="BD548">
        <v>1</v>
      </c>
      <c r="BF548" t="s">
        <v>661</v>
      </c>
      <c r="BG548" s="1">
        <v>44353.977777777778</v>
      </c>
      <c r="BH548" s="1">
        <v>44353.980208333334</v>
      </c>
      <c r="BI548" s="1">
        <v>44353.980740740742</v>
      </c>
      <c r="BJ548" t="s">
        <v>85</v>
      </c>
      <c r="BK548" t="s">
        <v>86</v>
      </c>
      <c r="BL548" t="s">
        <v>87</v>
      </c>
    </row>
    <row r="549" spans="1:64" x14ac:dyDescent="0.3">
      <c r="A549" t="str">
        <f>"200305B0000"</f>
        <v>200305B0000</v>
      </c>
      <c r="B549" t="str">
        <f>"200305B00003"</f>
        <v>200305B00003</v>
      </c>
      <c r="C549" t="str">
        <f t="shared" si="33"/>
        <v>20</v>
      </c>
      <c r="D549" t="s">
        <v>81</v>
      </c>
      <c r="E549" t="str">
        <f t="shared" si="34"/>
        <v>043</v>
      </c>
      <c r="F549" t="s">
        <v>600</v>
      </c>
      <c r="G549" t="str">
        <f>"0305"</f>
        <v>0305</v>
      </c>
      <c r="H549" t="str">
        <f>"0000"</f>
        <v>0000</v>
      </c>
      <c r="I549" t="s">
        <v>83</v>
      </c>
      <c r="J549">
        <v>0</v>
      </c>
      <c r="K549">
        <v>1</v>
      </c>
      <c r="L549">
        <v>3</v>
      </c>
      <c r="M549">
        <v>270</v>
      </c>
      <c r="N549">
        <v>404</v>
      </c>
      <c r="O549">
        <v>8</v>
      </c>
      <c r="P549">
        <v>404</v>
      </c>
      <c r="Q549">
        <v>1</v>
      </c>
      <c r="R549">
        <v>70</v>
      </c>
      <c r="S549">
        <v>4</v>
      </c>
      <c r="U549">
        <v>136</v>
      </c>
      <c r="V549">
        <v>4</v>
      </c>
      <c r="W549">
        <v>1</v>
      </c>
      <c r="X549">
        <v>128</v>
      </c>
      <c r="Y549">
        <v>4</v>
      </c>
      <c r="Z549">
        <v>28</v>
      </c>
      <c r="AA549">
        <v>19</v>
      </c>
      <c r="AB549">
        <v>2</v>
      </c>
      <c r="AF549" t="s">
        <v>95</v>
      </c>
      <c r="AG549" t="s">
        <v>95</v>
      </c>
      <c r="AH549" t="s">
        <v>95</v>
      </c>
      <c r="AI549" t="s">
        <v>95</v>
      </c>
      <c r="AW549" t="s">
        <v>95</v>
      </c>
      <c r="AX549">
        <v>7</v>
      </c>
      <c r="AY549">
        <v>404</v>
      </c>
      <c r="AZ549">
        <v>404</v>
      </c>
      <c r="BA549">
        <v>630</v>
      </c>
      <c r="BB549">
        <v>44</v>
      </c>
      <c r="BC549" t="s">
        <v>96</v>
      </c>
      <c r="BD549">
        <v>1</v>
      </c>
      <c r="BF549" t="s">
        <v>662</v>
      </c>
      <c r="BG549" s="1">
        <v>44354.17291666667</v>
      </c>
      <c r="BH549" s="1">
        <v>44354.175891203704</v>
      </c>
      <c r="BI549" s="1">
        <v>44354.176759259259</v>
      </c>
      <c r="BJ549" t="s">
        <v>85</v>
      </c>
      <c r="BK549" t="s">
        <v>86</v>
      </c>
      <c r="BL549" t="s">
        <v>87</v>
      </c>
    </row>
    <row r="550" spans="1:64" x14ac:dyDescent="0.3">
      <c r="A550" t="str">
        <f>"200306B0000"</f>
        <v>200306B0000</v>
      </c>
      <c r="B550" t="str">
        <f>"200306B00003"</f>
        <v>200306B00003</v>
      </c>
      <c r="C550" t="str">
        <f t="shared" si="33"/>
        <v>20</v>
      </c>
      <c r="D550" t="s">
        <v>81</v>
      </c>
      <c r="E550" t="str">
        <f t="shared" si="34"/>
        <v>043</v>
      </c>
      <c r="F550" t="s">
        <v>600</v>
      </c>
      <c r="G550" t="str">
        <f>"0306"</f>
        <v>0306</v>
      </c>
      <c r="H550" t="str">
        <f>"0000"</f>
        <v>0000</v>
      </c>
      <c r="I550" t="s">
        <v>83</v>
      </c>
      <c r="J550">
        <v>0</v>
      </c>
      <c r="K550">
        <v>1</v>
      </c>
      <c r="L550">
        <v>3</v>
      </c>
      <c r="M550">
        <v>199</v>
      </c>
      <c r="N550">
        <v>387</v>
      </c>
      <c r="O550">
        <v>4</v>
      </c>
      <c r="P550">
        <v>383</v>
      </c>
      <c r="Q550">
        <v>1</v>
      </c>
      <c r="R550">
        <v>44</v>
      </c>
      <c r="S550">
        <v>3</v>
      </c>
      <c r="U550">
        <v>132</v>
      </c>
      <c r="V550">
        <v>8</v>
      </c>
      <c r="W550" t="s">
        <v>95</v>
      </c>
      <c r="X550">
        <v>116</v>
      </c>
      <c r="Y550">
        <v>18</v>
      </c>
      <c r="Z550">
        <v>43</v>
      </c>
      <c r="AA550">
        <v>6</v>
      </c>
      <c r="AB550">
        <v>7</v>
      </c>
      <c r="AF550" t="s">
        <v>95</v>
      </c>
      <c r="AG550" t="s">
        <v>95</v>
      </c>
      <c r="AH550" t="s">
        <v>95</v>
      </c>
      <c r="AI550" t="s">
        <v>95</v>
      </c>
      <c r="AW550" t="s">
        <v>95</v>
      </c>
      <c r="AX550">
        <v>5</v>
      </c>
      <c r="AY550">
        <v>383</v>
      </c>
      <c r="AZ550">
        <v>383</v>
      </c>
      <c r="BA550">
        <v>538</v>
      </c>
      <c r="BB550">
        <v>44</v>
      </c>
      <c r="BC550" t="s">
        <v>96</v>
      </c>
      <c r="BD550">
        <v>1</v>
      </c>
      <c r="BF550" t="s">
        <v>663</v>
      </c>
      <c r="BG550" s="1">
        <v>44354.134722222225</v>
      </c>
      <c r="BH550" s="1">
        <v>44354.136608796296</v>
      </c>
      <c r="BI550" s="1">
        <v>44354.137013888889</v>
      </c>
      <c r="BJ550" t="s">
        <v>85</v>
      </c>
      <c r="BK550" t="s">
        <v>86</v>
      </c>
      <c r="BL550" t="s">
        <v>87</v>
      </c>
    </row>
    <row r="551" spans="1:64" x14ac:dyDescent="0.3">
      <c r="A551" t="str">
        <f>"200306C0100"</f>
        <v>200306C0100</v>
      </c>
      <c r="B551" t="str">
        <f>"200306C01003"</f>
        <v>200306C01003</v>
      </c>
      <c r="C551" t="str">
        <f t="shared" si="33"/>
        <v>20</v>
      </c>
      <c r="D551" t="s">
        <v>81</v>
      </c>
      <c r="E551" t="str">
        <f t="shared" si="34"/>
        <v>043</v>
      </c>
      <c r="F551" t="s">
        <v>600</v>
      </c>
      <c r="G551" t="str">
        <f>"0306"</f>
        <v>0306</v>
      </c>
      <c r="H551" t="str">
        <f>"0001"</f>
        <v>0001</v>
      </c>
      <c r="I551" t="s">
        <v>89</v>
      </c>
      <c r="J551">
        <v>0</v>
      </c>
      <c r="K551">
        <v>1</v>
      </c>
      <c r="L551">
        <v>3</v>
      </c>
      <c r="M551">
        <v>211</v>
      </c>
      <c r="N551">
        <v>371</v>
      </c>
      <c r="O551">
        <v>4</v>
      </c>
      <c r="P551">
        <v>371</v>
      </c>
      <c r="Q551">
        <v>0</v>
      </c>
      <c r="R551">
        <v>40</v>
      </c>
      <c r="S551">
        <v>2</v>
      </c>
      <c r="U551">
        <v>125</v>
      </c>
      <c r="V551">
        <v>1</v>
      </c>
      <c r="W551">
        <v>0</v>
      </c>
      <c r="X551">
        <v>116</v>
      </c>
      <c r="Y551">
        <v>18</v>
      </c>
      <c r="Z551">
        <v>50</v>
      </c>
      <c r="AA551">
        <v>2</v>
      </c>
      <c r="AB551">
        <v>7</v>
      </c>
      <c r="AF551">
        <v>1</v>
      </c>
      <c r="AG551">
        <v>0</v>
      </c>
      <c r="AH551">
        <v>0</v>
      </c>
      <c r="AI551">
        <v>1</v>
      </c>
      <c r="AW551">
        <v>0</v>
      </c>
      <c r="AX551">
        <v>8</v>
      </c>
      <c r="AY551">
        <v>371</v>
      </c>
      <c r="AZ551">
        <v>371</v>
      </c>
      <c r="BA551">
        <v>538</v>
      </c>
      <c r="BB551">
        <v>44</v>
      </c>
      <c r="BD551">
        <v>1</v>
      </c>
      <c r="BF551" t="s">
        <v>664</v>
      </c>
      <c r="BG551" s="1">
        <v>44354.136805555558</v>
      </c>
      <c r="BH551" s="1">
        <v>44354.138865740744</v>
      </c>
      <c r="BI551" s="1">
        <v>44354.140416666669</v>
      </c>
      <c r="BJ551" t="s">
        <v>85</v>
      </c>
      <c r="BK551" t="s">
        <v>86</v>
      </c>
      <c r="BL551" t="s">
        <v>87</v>
      </c>
    </row>
    <row r="552" spans="1:64" x14ac:dyDescent="0.3">
      <c r="A552" t="str">
        <f>"200307B0000"</f>
        <v>200307B0000</v>
      </c>
      <c r="B552" t="str">
        <f>"200307B00003"</f>
        <v>200307B00003</v>
      </c>
      <c r="C552" t="str">
        <f t="shared" si="33"/>
        <v>20</v>
      </c>
      <c r="D552" t="s">
        <v>81</v>
      </c>
      <c r="E552" t="str">
        <f t="shared" ref="E552:E583" si="36">"043"</f>
        <v>043</v>
      </c>
      <c r="F552" t="s">
        <v>600</v>
      </c>
      <c r="G552" t="str">
        <f>"0307"</f>
        <v>0307</v>
      </c>
      <c r="H552" t="str">
        <f>"0000"</f>
        <v>0000</v>
      </c>
      <c r="I552" t="s">
        <v>83</v>
      </c>
      <c r="J552">
        <v>0</v>
      </c>
      <c r="K552">
        <v>1</v>
      </c>
      <c r="L552">
        <v>3</v>
      </c>
      <c r="M552">
        <v>196</v>
      </c>
      <c r="N552">
        <v>279</v>
      </c>
      <c r="O552">
        <v>6</v>
      </c>
      <c r="P552">
        <v>279</v>
      </c>
      <c r="Q552">
        <v>0</v>
      </c>
      <c r="R552">
        <v>24</v>
      </c>
      <c r="S552">
        <v>1</v>
      </c>
      <c r="U552">
        <v>115</v>
      </c>
      <c r="V552">
        <v>4</v>
      </c>
      <c r="W552">
        <v>0</v>
      </c>
      <c r="X552">
        <v>86</v>
      </c>
      <c r="Y552">
        <v>2</v>
      </c>
      <c r="Z552">
        <v>31</v>
      </c>
      <c r="AA552">
        <v>7</v>
      </c>
      <c r="AB552">
        <v>4</v>
      </c>
      <c r="AF552" t="s">
        <v>95</v>
      </c>
      <c r="AG552" t="s">
        <v>95</v>
      </c>
      <c r="AH552" t="s">
        <v>95</v>
      </c>
      <c r="AI552" t="s">
        <v>95</v>
      </c>
      <c r="AW552" t="s">
        <v>95</v>
      </c>
      <c r="AX552">
        <v>5</v>
      </c>
      <c r="AY552">
        <v>279</v>
      </c>
      <c r="AZ552">
        <v>279</v>
      </c>
      <c r="BA552">
        <v>431</v>
      </c>
      <c r="BB552">
        <v>44</v>
      </c>
      <c r="BC552" t="s">
        <v>96</v>
      </c>
      <c r="BD552">
        <v>1</v>
      </c>
      <c r="BF552" t="s">
        <v>665</v>
      </c>
      <c r="BG552" s="1">
        <v>44354.134722222225</v>
      </c>
      <c r="BH552" s="1">
        <v>44354.137083333335</v>
      </c>
      <c r="BI552" s="1">
        <v>44354.137557870374</v>
      </c>
      <c r="BJ552" t="s">
        <v>85</v>
      </c>
      <c r="BK552" t="s">
        <v>86</v>
      </c>
      <c r="BL552" t="s">
        <v>87</v>
      </c>
    </row>
    <row r="553" spans="1:64" x14ac:dyDescent="0.3">
      <c r="A553" t="str">
        <f>"200307C0100"</f>
        <v>200307C0100</v>
      </c>
      <c r="B553" t="str">
        <f>"200307C01003"</f>
        <v>200307C01003</v>
      </c>
      <c r="C553" t="str">
        <f t="shared" si="33"/>
        <v>20</v>
      </c>
      <c r="D553" t="s">
        <v>81</v>
      </c>
      <c r="E553" t="str">
        <f t="shared" si="36"/>
        <v>043</v>
      </c>
      <c r="F553" t="s">
        <v>600</v>
      </c>
      <c r="G553" t="str">
        <f>"0307"</f>
        <v>0307</v>
      </c>
      <c r="H553" t="str">
        <f>"0001"</f>
        <v>0001</v>
      </c>
      <c r="I553" t="s">
        <v>89</v>
      </c>
      <c r="J553">
        <v>0</v>
      </c>
      <c r="K553">
        <v>1</v>
      </c>
      <c r="L553">
        <v>3</v>
      </c>
      <c r="M553">
        <v>180</v>
      </c>
      <c r="N553">
        <v>295</v>
      </c>
      <c r="O553">
        <v>6</v>
      </c>
      <c r="P553">
        <v>295</v>
      </c>
      <c r="Q553">
        <v>0</v>
      </c>
      <c r="R553">
        <v>32</v>
      </c>
      <c r="S553">
        <v>1</v>
      </c>
      <c r="U553">
        <v>111</v>
      </c>
      <c r="V553">
        <v>1</v>
      </c>
      <c r="W553">
        <v>0</v>
      </c>
      <c r="X553">
        <v>107</v>
      </c>
      <c r="Y553">
        <v>1</v>
      </c>
      <c r="Z553">
        <v>29</v>
      </c>
      <c r="AA553">
        <v>5</v>
      </c>
      <c r="AB553">
        <v>3</v>
      </c>
      <c r="AF553">
        <v>1</v>
      </c>
      <c r="AG553">
        <v>0</v>
      </c>
      <c r="AH553">
        <v>0</v>
      </c>
      <c r="AI553">
        <v>0</v>
      </c>
      <c r="AW553">
        <v>0</v>
      </c>
      <c r="AX553">
        <v>4</v>
      </c>
      <c r="AY553">
        <v>295</v>
      </c>
      <c r="AZ553">
        <v>295</v>
      </c>
      <c r="BA553">
        <v>431</v>
      </c>
      <c r="BB553">
        <v>44</v>
      </c>
      <c r="BD553">
        <v>1</v>
      </c>
      <c r="BF553" t="s">
        <v>666</v>
      </c>
      <c r="BG553" s="1">
        <v>44354.131944444445</v>
      </c>
      <c r="BH553" s="1">
        <v>44354.134386574071</v>
      </c>
      <c r="BI553" s="1">
        <v>44354.134953703702</v>
      </c>
      <c r="BJ553" t="s">
        <v>85</v>
      </c>
      <c r="BK553" t="s">
        <v>86</v>
      </c>
      <c r="BL553" t="s">
        <v>87</v>
      </c>
    </row>
    <row r="554" spans="1:64" x14ac:dyDescent="0.3">
      <c r="A554" t="str">
        <f>"200308B0000"</f>
        <v>200308B0000</v>
      </c>
      <c r="B554" t="str">
        <f>"200308B00003"</f>
        <v>200308B00003</v>
      </c>
      <c r="C554" t="str">
        <f t="shared" si="33"/>
        <v>20</v>
      </c>
      <c r="D554" t="s">
        <v>81</v>
      </c>
      <c r="E554" t="str">
        <f t="shared" si="36"/>
        <v>043</v>
      </c>
      <c r="F554" t="s">
        <v>600</v>
      </c>
      <c r="G554" t="str">
        <f>"0308"</f>
        <v>0308</v>
      </c>
      <c r="H554" t="str">
        <f>"0000"</f>
        <v>0000</v>
      </c>
      <c r="I554" t="s">
        <v>83</v>
      </c>
      <c r="J554">
        <v>0</v>
      </c>
      <c r="K554">
        <v>1</v>
      </c>
      <c r="L554">
        <v>3</v>
      </c>
      <c r="M554">
        <v>149</v>
      </c>
      <c r="N554">
        <v>245</v>
      </c>
      <c r="O554">
        <v>4</v>
      </c>
      <c r="P554">
        <v>245</v>
      </c>
      <c r="Q554">
        <v>0</v>
      </c>
      <c r="R554">
        <v>41</v>
      </c>
      <c r="S554">
        <v>1</v>
      </c>
      <c r="U554">
        <v>86</v>
      </c>
      <c r="V554">
        <v>2</v>
      </c>
      <c r="W554">
        <v>0</v>
      </c>
      <c r="X554">
        <v>68</v>
      </c>
      <c r="Y554">
        <v>4</v>
      </c>
      <c r="Z554">
        <v>20</v>
      </c>
      <c r="AA554">
        <v>10</v>
      </c>
      <c r="AB554">
        <v>8</v>
      </c>
      <c r="AF554" t="s">
        <v>95</v>
      </c>
      <c r="AG554" t="s">
        <v>95</v>
      </c>
      <c r="AH554" t="s">
        <v>95</v>
      </c>
      <c r="AI554" t="s">
        <v>95</v>
      </c>
      <c r="AW554" t="s">
        <v>95</v>
      </c>
      <c r="AX554">
        <v>5</v>
      </c>
      <c r="AY554" t="s">
        <v>95</v>
      </c>
      <c r="AZ554">
        <v>245</v>
      </c>
      <c r="BA554">
        <v>382</v>
      </c>
      <c r="BB554">
        <v>44</v>
      </c>
      <c r="BC554" t="s">
        <v>96</v>
      </c>
      <c r="BD554">
        <v>1</v>
      </c>
      <c r="BF554" t="s">
        <v>667</v>
      </c>
      <c r="BG554" s="1">
        <v>44354.182638888888</v>
      </c>
      <c r="BH554" s="1">
        <v>44354.184583333335</v>
      </c>
      <c r="BI554" s="1">
        <v>44354.184965277775</v>
      </c>
      <c r="BJ554" t="s">
        <v>85</v>
      </c>
      <c r="BK554" t="s">
        <v>86</v>
      </c>
      <c r="BL554" t="s">
        <v>87</v>
      </c>
    </row>
    <row r="555" spans="1:64" x14ac:dyDescent="0.3">
      <c r="A555" t="str">
        <f>"200308C0100"</f>
        <v>200308C0100</v>
      </c>
      <c r="B555" t="str">
        <f>"200308C01003"</f>
        <v>200308C01003</v>
      </c>
      <c r="C555" t="str">
        <f t="shared" si="33"/>
        <v>20</v>
      </c>
      <c r="D555" t="s">
        <v>81</v>
      </c>
      <c r="E555" t="str">
        <f t="shared" si="36"/>
        <v>043</v>
      </c>
      <c r="F555" t="s">
        <v>600</v>
      </c>
      <c r="G555" t="str">
        <f>"0308"</f>
        <v>0308</v>
      </c>
      <c r="H555" t="str">
        <f>"0001"</f>
        <v>0001</v>
      </c>
      <c r="I555" t="s">
        <v>89</v>
      </c>
      <c r="J555">
        <v>0</v>
      </c>
      <c r="K555">
        <v>1</v>
      </c>
      <c r="L555">
        <v>3</v>
      </c>
      <c r="M555">
        <v>181</v>
      </c>
      <c r="N555">
        <v>244</v>
      </c>
      <c r="O555">
        <v>2</v>
      </c>
      <c r="P555">
        <v>244</v>
      </c>
      <c r="Q555">
        <v>1</v>
      </c>
      <c r="R555">
        <v>52</v>
      </c>
      <c r="S555">
        <v>1</v>
      </c>
      <c r="U555">
        <v>63</v>
      </c>
      <c r="V555">
        <v>3</v>
      </c>
      <c r="W555">
        <v>1</v>
      </c>
      <c r="X555">
        <v>73</v>
      </c>
      <c r="Y555">
        <v>2</v>
      </c>
      <c r="Z555">
        <v>31</v>
      </c>
      <c r="AA555">
        <v>3</v>
      </c>
      <c r="AB555">
        <v>11</v>
      </c>
      <c r="AF555" t="s">
        <v>95</v>
      </c>
      <c r="AG555" t="s">
        <v>95</v>
      </c>
      <c r="AH555" t="s">
        <v>95</v>
      </c>
      <c r="AI555" t="s">
        <v>95</v>
      </c>
      <c r="AW555" t="s">
        <v>95</v>
      </c>
      <c r="AX555">
        <v>3</v>
      </c>
      <c r="AY555">
        <v>244</v>
      </c>
      <c r="AZ555">
        <v>244</v>
      </c>
      <c r="BA555">
        <v>381</v>
      </c>
      <c r="BB555">
        <v>44</v>
      </c>
      <c r="BC555" t="s">
        <v>96</v>
      </c>
      <c r="BD555">
        <v>1</v>
      </c>
      <c r="BF555" t="s">
        <v>668</v>
      </c>
      <c r="BG555" s="1">
        <v>44354.181250000001</v>
      </c>
      <c r="BH555" s="1">
        <v>44354.183958333335</v>
      </c>
      <c r="BI555" s="1">
        <v>44354.184444444443</v>
      </c>
      <c r="BJ555" t="s">
        <v>85</v>
      </c>
      <c r="BK555" t="s">
        <v>86</v>
      </c>
      <c r="BL555" t="s">
        <v>87</v>
      </c>
    </row>
    <row r="556" spans="1:64" x14ac:dyDescent="0.3">
      <c r="A556" t="str">
        <f>"200309B0000"</f>
        <v>200309B0000</v>
      </c>
      <c r="B556" t="str">
        <f>"200309B00003"</f>
        <v>200309B00003</v>
      </c>
      <c r="C556" t="str">
        <f t="shared" si="33"/>
        <v>20</v>
      </c>
      <c r="D556" t="s">
        <v>81</v>
      </c>
      <c r="E556" t="str">
        <f t="shared" si="36"/>
        <v>043</v>
      </c>
      <c r="F556" t="s">
        <v>600</v>
      </c>
      <c r="G556" t="str">
        <f>"0309"</f>
        <v>0309</v>
      </c>
      <c r="H556" t="str">
        <f>"0000"</f>
        <v>0000</v>
      </c>
      <c r="I556" t="s">
        <v>83</v>
      </c>
      <c r="J556">
        <v>0</v>
      </c>
      <c r="K556">
        <v>1</v>
      </c>
      <c r="L556">
        <v>3</v>
      </c>
      <c r="M556">
        <v>266</v>
      </c>
      <c r="N556">
        <v>465</v>
      </c>
      <c r="O556">
        <v>6</v>
      </c>
      <c r="P556">
        <v>465</v>
      </c>
      <c r="Q556">
        <v>3</v>
      </c>
      <c r="R556">
        <v>54</v>
      </c>
      <c r="S556">
        <v>2</v>
      </c>
      <c r="U556">
        <v>161</v>
      </c>
      <c r="V556">
        <v>1</v>
      </c>
      <c r="W556">
        <v>0</v>
      </c>
      <c r="X556">
        <v>157</v>
      </c>
      <c r="Y556">
        <v>7</v>
      </c>
      <c r="Z556">
        <v>53</v>
      </c>
      <c r="AA556">
        <v>13</v>
      </c>
      <c r="AB556">
        <v>3</v>
      </c>
      <c r="AF556">
        <v>0</v>
      </c>
      <c r="AG556">
        <v>0</v>
      </c>
      <c r="AH556">
        <v>0</v>
      </c>
      <c r="AI556">
        <v>0</v>
      </c>
      <c r="AW556">
        <v>0</v>
      </c>
      <c r="AX556">
        <v>11</v>
      </c>
      <c r="AY556">
        <v>465</v>
      </c>
      <c r="AZ556">
        <v>465</v>
      </c>
      <c r="BA556">
        <v>687</v>
      </c>
      <c r="BB556">
        <v>44</v>
      </c>
      <c r="BD556">
        <v>1</v>
      </c>
      <c r="BF556" t="s">
        <v>669</v>
      </c>
      <c r="BG556" s="1">
        <v>44354.183333333334</v>
      </c>
      <c r="BH556" s="1">
        <v>44354.186284722222</v>
      </c>
      <c r="BI556" s="1">
        <v>44354.186886574076</v>
      </c>
      <c r="BJ556" t="s">
        <v>85</v>
      </c>
      <c r="BK556" t="s">
        <v>86</v>
      </c>
      <c r="BL556" t="s">
        <v>87</v>
      </c>
    </row>
    <row r="557" spans="1:64" x14ac:dyDescent="0.3">
      <c r="A557" t="str">
        <f>"200310B0000"</f>
        <v>200310B0000</v>
      </c>
      <c r="B557" t="str">
        <f>"200310B00003"</f>
        <v>200310B00003</v>
      </c>
      <c r="C557" t="str">
        <f t="shared" si="33"/>
        <v>20</v>
      </c>
      <c r="D557" t="s">
        <v>81</v>
      </c>
      <c r="E557" t="str">
        <f t="shared" si="36"/>
        <v>043</v>
      </c>
      <c r="F557" t="s">
        <v>600</v>
      </c>
      <c r="G557" t="str">
        <f>"0310"</f>
        <v>0310</v>
      </c>
      <c r="H557" t="str">
        <f>"0000"</f>
        <v>0000</v>
      </c>
      <c r="I557" t="s">
        <v>83</v>
      </c>
      <c r="J557">
        <v>0</v>
      </c>
      <c r="K557">
        <v>1</v>
      </c>
      <c r="L557">
        <v>3</v>
      </c>
      <c r="M557">
        <v>271</v>
      </c>
      <c r="N557">
        <v>448</v>
      </c>
      <c r="O557">
        <v>4</v>
      </c>
      <c r="P557">
        <v>448</v>
      </c>
      <c r="Q557">
        <v>0</v>
      </c>
      <c r="R557">
        <v>34</v>
      </c>
      <c r="S557">
        <v>5</v>
      </c>
      <c r="U557">
        <v>111</v>
      </c>
      <c r="V557">
        <v>2</v>
      </c>
      <c r="W557">
        <v>1</v>
      </c>
      <c r="X557">
        <v>189</v>
      </c>
      <c r="Y557">
        <v>5</v>
      </c>
      <c r="Z557">
        <v>74</v>
      </c>
      <c r="AA557">
        <v>11</v>
      </c>
      <c r="AB557">
        <v>7</v>
      </c>
      <c r="AF557">
        <v>2</v>
      </c>
      <c r="AG557">
        <v>0</v>
      </c>
      <c r="AH557">
        <v>0</v>
      </c>
      <c r="AI557">
        <v>1</v>
      </c>
      <c r="AW557">
        <v>0</v>
      </c>
      <c r="AX557">
        <v>6</v>
      </c>
      <c r="AY557">
        <v>448</v>
      </c>
      <c r="AZ557">
        <v>448</v>
      </c>
      <c r="BA557">
        <v>675</v>
      </c>
      <c r="BB557">
        <v>44</v>
      </c>
      <c r="BD557">
        <v>1</v>
      </c>
      <c r="BF557" t="s">
        <v>670</v>
      </c>
      <c r="BG557" s="1">
        <v>44354.070138888892</v>
      </c>
      <c r="BH557" s="1">
        <v>44354.07708333333</v>
      </c>
      <c r="BI557" s="1">
        <v>44354.077777777777</v>
      </c>
      <c r="BJ557" t="s">
        <v>85</v>
      </c>
      <c r="BK557" t="s">
        <v>86</v>
      </c>
      <c r="BL557" t="s">
        <v>87</v>
      </c>
    </row>
    <row r="558" spans="1:64" x14ac:dyDescent="0.3">
      <c r="A558" t="str">
        <f>"200310C0100"</f>
        <v>200310C0100</v>
      </c>
      <c r="B558" t="str">
        <f>"200310C01003"</f>
        <v>200310C01003</v>
      </c>
      <c r="C558" t="str">
        <f t="shared" si="33"/>
        <v>20</v>
      </c>
      <c r="D558" t="s">
        <v>81</v>
      </c>
      <c r="E558" t="str">
        <f t="shared" si="36"/>
        <v>043</v>
      </c>
      <c r="F558" t="s">
        <v>600</v>
      </c>
      <c r="G558" t="str">
        <f>"0310"</f>
        <v>0310</v>
      </c>
      <c r="H558" t="str">
        <f>"0001"</f>
        <v>0001</v>
      </c>
      <c r="I558" t="s">
        <v>89</v>
      </c>
      <c r="J558">
        <v>0</v>
      </c>
      <c r="K558">
        <v>1</v>
      </c>
      <c r="L558">
        <v>3</v>
      </c>
      <c r="M558">
        <v>229</v>
      </c>
      <c r="N558">
        <v>489</v>
      </c>
      <c r="O558">
        <v>6</v>
      </c>
      <c r="P558">
        <v>489</v>
      </c>
      <c r="Q558">
        <v>1</v>
      </c>
      <c r="R558">
        <v>50</v>
      </c>
      <c r="S558">
        <v>2</v>
      </c>
      <c r="U558">
        <v>86</v>
      </c>
      <c r="V558">
        <v>2</v>
      </c>
      <c r="W558">
        <v>1</v>
      </c>
      <c r="X558">
        <v>264</v>
      </c>
      <c r="Y558">
        <v>8</v>
      </c>
      <c r="Z558">
        <v>45</v>
      </c>
      <c r="AA558">
        <v>13</v>
      </c>
      <c r="AB558">
        <v>11</v>
      </c>
      <c r="AF558">
        <v>1</v>
      </c>
      <c r="AG558">
        <v>0</v>
      </c>
      <c r="AH558">
        <v>0</v>
      </c>
      <c r="AI558">
        <v>0</v>
      </c>
      <c r="AW558">
        <v>0</v>
      </c>
      <c r="AX558">
        <v>5</v>
      </c>
      <c r="AY558">
        <v>489</v>
      </c>
      <c r="AZ558">
        <v>489</v>
      </c>
      <c r="BA558">
        <v>674</v>
      </c>
      <c r="BB558">
        <v>44</v>
      </c>
      <c r="BD558">
        <v>1</v>
      </c>
      <c r="BF558" t="s">
        <v>671</v>
      </c>
      <c r="BG558" s="1">
        <v>44354.071527777778</v>
      </c>
      <c r="BH558" s="1">
        <v>44354.08011574074</v>
      </c>
      <c r="BI558" s="1">
        <v>44354.08084490741</v>
      </c>
      <c r="BJ558" t="s">
        <v>85</v>
      </c>
      <c r="BK558" t="s">
        <v>86</v>
      </c>
      <c r="BL558" t="s">
        <v>87</v>
      </c>
    </row>
    <row r="559" spans="1:64" x14ac:dyDescent="0.3">
      <c r="A559" t="str">
        <f>"200311B0000"</f>
        <v>200311B0000</v>
      </c>
      <c r="B559" t="str">
        <f>"200311B00003"</f>
        <v>200311B00003</v>
      </c>
      <c r="C559" t="str">
        <f t="shared" si="33"/>
        <v>20</v>
      </c>
      <c r="D559" t="s">
        <v>81</v>
      </c>
      <c r="E559" t="str">
        <f t="shared" si="36"/>
        <v>043</v>
      </c>
      <c r="F559" t="s">
        <v>600</v>
      </c>
      <c r="G559" t="str">
        <f>"0311"</f>
        <v>0311</v>
      </c>
      <c r="H559" t="str">
        <f>"0000"</f>
        <v>0000</v>
      </c>
      <c r="I559" t="s">
        <v>83</v>
      </c>
      <c r="J559">
        <v>0</v>
      </c>
      <c r="K559">
        <v>1</v>
      </c>
      <c r="L559">
        <v>3</v>
      </c>
      <c r="M559">
        <v>253</v>
      </c>
      <c r="N559">
        <v>443</v>
      </c>
      <c r="O559">
        <v>4</v>
      </c>
      <c r="P559" t="s">
        <v>92</v>
      </c>
      <c r="Q559" t="s">
        <v>131</v>
      </c>
      <c r="R559" t="s">
        <v>131</v>
      </c>
      <c r="S559" t="s">
        <v>131</v>
      </c>
      <c r="U559">
        <v>120</v>
      </c>
      <c r="V559">
        <v>6</v>
      </c>
      <c r="W559">
        <v>0</v>
      </c>
      <c r="X559">
        <v>189</v>
      </c>
      <c r="Y559">
        <v>6</v>
      </c>
      <c r="Z559">
        <v>42</v>
      </c>
      <c r="AA559">
        <v>6</v>
      </c>
      <c r="AB559">
        <v>6</v>
      </c>
      <c r="AF559">
        <v>0</v>
      </c>
      <c r="AG559">
        <v>0</v>
      </c>
      <c r="AH559">
        <v>0</v>
      </c>
      <c r="AI559">
        <v>0</v>
      </c>
      <c r="AW559">
        <v>0</v>
      </c>
      <c r="AX559">
        <v>7</v>
      </c>
      <c r="AY559">
        <v>443</v>
      </c>
      <c r="AZ559">
        <v>382</v>
      </c>
      <c r="BA559">
        <v>656</v>
      </c>
      <c r="BB559">
        <v>44</v>
      </c>
      <c r="BC559" t="s">
        <v>96</v>
      </c>
      <c r="BD559">
        <v>1</v>
      </c>
      <c r="BF559" t="s">
        <v>672</v>
      </c>
      <c r="BG559" s="1">
        <v>44354.074999999997</v>
      </c>
      <c r="BH559" s="1">
        <v>44354.082384259258</v>
      </c>
      <c r="BI559" s="1">
        <v>44354.083252314813</v>
      </c>
      <c r="BJ559" t="s">
        <v>85</v>
      </c>
      <c r="BK559" t="s">
        <v>86</v>
      </c>
      <c r="BL559" t="s">
        <v>87</v>
      </c>
    </row>
    <row r="560" spans="1:64" x14ac:dyDescent="0.3">
      <c r="A560" t="str">
        <f>"200311C0100"</f>
        <v>200311C0100</v>
      </c>
      <c r="B560" t="str">
        <f>"200311C01003"</f>
        <v>200311C01003</v>
      </c>
      <c r="C560" t="str">
        <f t="shared" si="33"/>
        <v>20</v>
      </c>
      <c r="D560" t="s">
        <v>81</v>
      </c>
      <c r="E560" t="str">
        <f t="shared" si="36"/>
        <v>043</v>
      </c>
      <c r="F560" t="s">
        <v>600</v>
      </c>
      <c r="G560" t="str">
        <f>"0311"</f>
        <v>0311</v>
      </c>
      <c r="H560" t="str">
        <f>"0001"</f>
        <v>0001</v>
      </c>
      <c r="I560" t="s">
        <v>89</v>
      </c>
      <c r="J560">
        <v>0</v>
      </c>
      <c r="K560">
        <v>1</v>
      </c>
      <c r="L560">
        <v>3</v>
      </c>
      <c r="M560" t="s">
        <v>92</v>
      </c>
      <c r="N560" t="s">
        <v>92</v>
      </c>
      <c r="O560" t="s">
        <v>92</v>
      </c>
      <c r="P560">
        <v>700</v>
      </c>
      <c r="Q560">
        <v>1</v>
      </c>
      <c r="R560">
        <v>90</v>
      </c>
      <c r="S560">
        <v>7</v>
      </c>
      <c r="U560">
        <v>99</v>
      </c>
      <c r="V560">
        <v>7</v>
      </c>
      <c r="W560" t="s">
        <v>95</v>
      </c>
      <c r="X560">
        <v>192</v>
      </c>
      <c r="Y560">
        <v>10</v>
      </c>
      <c r="Z560">
        <v>38</v>
      </c>
      <c r="AA560">
        <v>5</v>
      </c>
      <c r="AB560">
        <v>3</v>
      </c>
      <c r="AF560">
        <v>1</v>
      </c>
      <c r="AG560">
        <v>1</v>
      </c>
      <c r="AH560" t="s">
        <v>95</v>
      </c>
      <c r="AI560" t="s">
        <v>95</v>
      </c>
      <c r="AW560" t="s">
        <v>95</v>
      </c>
      <c r="AX560">
        <v>12</v>
      </c>
      <c r="AY560">
        <v>467</v>
      </c>
      <c r="AZ560">
        <v>466</v>
      </c>
      <c r="BA560">
        <v>656</v>
      </c>
      <c r="BB560">
        <v>44</v>
      </c>
      <c r="BC560" t="s">
        <v>96</v>
      </c>
      <c r="BD560">
        <v>1</v>
      </c>
      <c r="BF560" t="s">
        <v>673</v>
      </c>
      <c r="BG560" s="1">
        <v>44354.072916666664</v>
      </c>
      <c r="BH560" s="1">
        <v>44354.081377314818</v>
      </c>
      <c r="BI560" s="1">
        <v>44354.081944444442</v>
      </c>
      <c r="BJ560" t="s">
        <v>85</v>
      </c>
      <c r="BK560" t="s">
        <v>86</v>
      </c>
      <c r="BL560" t="s">
        <v>87</v>
      </c>
    </row>
    <row r="561" spans="1:64" x14ac:dyDescent="0.3">
      <c r="A561" t="str">
        <f>"200312B0000"</f>
        <v>200312B0000</v>
      </c>
      <c r="B561" t="str">
        <f>"200312B00003"</f>
        <v>200312B00003</v>
      </c>
      <c r="C561" t="str">
        <f t="shared" si="33"/>
        <v>20</v>
      </c>
      <c r="D561" t="s">
        <v>81</v>
      </c>
      <c r="E561" t="str">
        <f t="shared" si="36"/>
        <v>043</v>
      </c>
      <c r="F561" t="s">
        <v>600</v>
      </c>
      <c r="G561" t="str">
        <f>"0312"</f>
        <v>0312</v>
      </c>
      <c r="H561" t="str">
        <f>"0000"</f>
        <v>0000</v>
      </c>
      <c r="I561" t="s">
        <v>83</v>
      </c>
      <c r="J561">
        <v>0</v>
      </c>
      <c r="K561">
        <v>1</v>
      </c>
      <c r="L561">
        <v>3</v>
      </c>
      <c r="M561">
        <v>234</v>
      </c>
      <c r="N561">
        <v>458</v>
      </c>
      <c r="O561">
        <v>6</v>
      </c>
      <c r="P561">
        <v>458</v>
      </c>
      <c r="Q561">
        <v>1</v>
      </c>
      <c r="R561">
        <v>30</v>
      </c>
      <c r="S561">
        <v>6</v>
      </c>
      <c r="U561">
        <v>136</v>
      </c>
      <c r="V561">
        <v>1</v>
      </c>
      <c r="W561">
        <v>3</v>
      </c>
      <c r="X561">
        <v>229</v>
      </c>
      <c r="Y561">
        <v>5</v>
      </c>
      <c r="Z561">
        <v>30</v>
      </c>
      <c r="AA561">
        <v>12</v>
      </c>
      <c r="AB561">
        <v>0</v>
      </c>
      <c r="AF561">
        <v>0</v>
      </c>
      <c r="AG561">
        <v>0</v>
      </c>
      <c r="AH561">
        <v>0</v>
      </c>
      <c r="AI561">
        <v>0</v>
      </c>
      <c r="AW561">
        <v>0</v>
      </c>
      <c r="AX561">
        <v>5</v>
      </c>
      <c r="AY561">
        <v>458</v>
      </c>
      <c r="AZ561">
        <v>458</v>
      </c>
      <c r="BA561">
        <v>648</v>
      </c>
      <c r="BB561">
        <v>44</v>
      </c>
      <c r="BD561">
        <v>1</v>
      </c>
      <c r="BF561" t="s">
        <v>674</v>
      </c>
      <c r="BG561" s="1">
        <v>44354.11041666667</v>
      </c>
      <c r="BH561" s="1">
        <v>44354.114884259259</v>
      </c>
      <c r="BI561" s="1">
        <v>44354.115358796298</v>
      </c>
      <c r="BJ561" t="s">
        <v>85</v>
      </c>
      <c r="BK561" t="s">
        <v>86</v>
      </c>
      <c r="BL561" t="s">
        <v>87</v>
      </c>
    </row>
    <row r="562" spans="1:64" x14ac:dyDescent="0.3">
      <c r="A562" t="str">
        <f>"200312C0100"</f>
        <v>200312C0100</v>
      </c>
      <c r="B562" t="str">
        <f>"200312C01003"</f>
        <v>200312C01003</v>
      </c>
      <c r="C562" t="str">
        <f t="shared" si="33"/>
        <v>20</v>
      </c>
      <c r="D562" t="s">
        <v>81</v>
      </c>
      <c r="E562" t="str">
        <f t="shared" si="36"/>
        <v>043</v>
      </c>
      <c r="F562" t="s">
        <v>600</v>
      </c>
      <c r="G562" t="str">
        <f>"0312"</f>
        <v>0312</v>
      </c>
      <c r="H562" t="str">
        <f>"0001"</f>
        <v>0001</v>
      </c>
      <c r="I562" t="s">
        <v>89</v>
      </c>
      <c r="J562">
        <v>0</v>
      </c>
      <c r="K562">
        <v>1</v>
      </c>
      <c r="L562">
        <v>3</v>
      </c>
      <c r="M562">
        <v>249</v>
      </c>
      <c r="N562">
        <v>443</v>
      </c>
      <c r="O562">
        <v>6</v>
      </c>
      <c r="P562">
        <v>443</v>
      </c>
      <c r="Q562">
        <v>2</v>
      </c>
      <c r="R562">
        <v>41</v>
      </c>
      <c r="S562">
        <v>5</v>
      </c>
      <c r="U562">
        <v>138</v>
      </c>
      <c r="V562">
        <v>1</v>
      </c>
      <c r="W562">
        <v>0</v>
      </c>
      <c r="X562">
        <v>200</v>
      </c>
      <c r="Y562">
        <v>1</v>
      </c>
      <c r="Z562">
        <v>36</v>
      </c>
      <c r="AA562">
        <v>7</v>
      </c>
      <c r="AB562">
        <v>4</v>
      </c>
      <c r="AF562">
        <v>0</v>
      </c>
      <c r="AG562">
        <v>0</v>
      </c>
      <c r="AH562">
        <v>0</v>
      </c>
      <c r="AI562">
        <v>0</v>
      </c>
      <c r="AW562">
        <v>0</v>
      </c>
      <c r="AX562">
        <v>8</v>
      </c>
      <c r="AY562">
        <v>443</v>
      </c>
      <c r="AZ562">
        <v>443</v>
      </c>
      <c r="BA562">
        <v>648</v>
      </c>
      <c r="BB562">
        <v>44</v>
      </c>
      <c r="BD562">
        <v>1</v>
      </c>
      <c r="BF562" t="s">
        <v>675</v>
      </c>
      <c r="BG562" s="1">
        <v>44354.081250000003</v>
      </c>
      <c r="BH562" s="1">
        <v>44354.089247685188</v>
      </c>
      <c r="BI562" s="1">
        <v>44354.089756944442</v>
      </c>
      <c r="BJ562" t="s">
        <v>85</v>
      </c>
      <c r="BK562" t="s">
        <v>86</v>
      </c>
      <c r="BL562" t="s">
        <v>87</v>
      </c>
    </row>
    <row r="563" spans="1:64" x14ac:dyDescent="0.3">
      <c r="A563" t="str">
        <f>"200313B0000"</f>
        <v>200313B0000</v>
      </c>
      <c r="B563" t="str">
        <f>"200313B00003"</f>
        <v>200313B00003</v>
      </c>
      <c r="C563" t="str">
        <f t="shared" si="33"/>
        <v>20</v>
      </c>
      <c r="D563" t="s">
        <v>81</v>
      </c>
      <c r="E563" t="str">
        <f t="shared" si="36"/>
        <v>043</v>
      </c>
      <c r="F563" t="s">
        <v>600</v>
      </c>
      <c r="G563" t="str">
        <f>"0313"</f>
        <v>0313</v>
      </c>
      <c r="H563" t="str">
        <f>"0000"</f>
        <v>0000</v>
      </c>
      <c r="I563" t="s">
        <v>83</v>
      </c>
      <c r="J563">
        <v>0</v>
      </c>
      <c r="K563">
        <v>1</v>
      </c>
      <c r="L563">
        <v>3</v>
      </c>
      <c r="M563">
        <v>253</v>
      </c>
      <c r="N563">
        <v>438</v>
      </c>
      <c r="O563">
        <v>3</v>
      </c>
      <c r="P563">
        <v>438</v>
      </c>
      <c r="Q563">
        <v>2</v>
      </c>
      <c r="R563">
        <v>30</v>
      </c>
      <c r="S563">
        <v>4</v>
      </c>
      <c r="U563">
        <v>139</v>
      </c>
      <c r="V563">
        <v>0</v>
      </c>
      <c r="W563">
        <v>2</v>
      </c>
      <c r="X563">
        <v>186</v>
      </c>
      <c r="Y563">
        <v>0</v>
      </c>
      <c r="Z563">
        <v>59</v>
      </c>
      <c r="AA563">
        <v>9</v>
      </c>
      <c r="AB563">
        <v>1</v>
      </c>
      <c r="AF563">
        <v>0</v>
      </c>
      <c r="AG563">
        <v>0</v>
      </c>
      <c r="AH563">
        <v>0</v>
      </c>
      <c r="AI563">
        <v>0</v>
      </c>
      <c r="AW563">
        <v>0</v>
      </c>
      <c r="AX563">
        <v>5</v>
      </c>
      <c r="AY563">
        <v>438</v>
      </c>
      <c r="AZ563">
        <v>437</v>
      </c>
      <c r="BA563">
        <v>647</v>
      </c>
      <c r="BB563">
        <v>44</v>
      </c>
      <c r="BD563">
        <v>1</v>
      </c>
      <c r="BF563" t="s">
        <v>676</v>
      </c>
      <c r="BG563" s="1">
        <v>44354.081944444442</v>
      </c>
      <c r="BH563" s="1">
        <v>44354.089456018519</v>
      </c>
      <c r="BI563" s="1">
        <v>44354.089907407404</v>
      </c>
      <c r="BJ563" t="s">
        <v>85</v>
      </c>
      <c r="BK563" t="s">
        <v>86</v>
      </c>
      <c r="BL563" t="s">
        <v>87</v>
      </c>
    </row>
    <row r="564" spans="1:64" x14ac:dyDescent="0.3">
      <c r="A564" t="str">
        <f>"200313C0100"</f>
        <v>200313C0100</v>
      </c>
      <c r="B564" t="str">
        <f>"200313C01003"</f>
        <v>200313C01003</v>
      </c>
      <c r="C564" t="str">
        <f t="shared" si="33"/>
        <v>20</v>
      </c>
      <c r="D564" t="s">
        <v>81</v>
      </c>
      <c r="E564" t="str">
        <f t="shared" si="36"/>
        <v>043</v>
      </c>
      <c r="F564" t="s">
        <v>600</v>
      </c>
      <c r="G564" t="str">
        <f>"0313"</f>
        <v>0313</v>
      </c>
      <c r="H564" t="str">
        <f>"0001"</f>
        <v>0001</v>
      </c>
      <c r="I564" t="s">
        <v>89</v>
      </c>
      <c r="J564">
        <v>0</v>
      </c>
      <c r="K564">
        <v>1</v>
      </c>
      <c r="L564">
        <v>3</v>
      </c>
      <c r="M564">
        <v>239</v>
      </c>
      <c r="N564">
        <v>452</v>
      </c>
      <c r="O564">
        <v>5</v>
      </c>
      <c r="P564">
        <v>452</v>
      </c>
      <c r="Q564">
        <v>2</v>
      </c>
      <c r="R564">
        <v>44</v>
      </c>
      <c r="S564">
        <v>7</v>
      </c>
      <c r="U564">
        <v>144</v>
      </c>
      <c r="V564">
        <v>2</v>
      </c>
      <c r="W564">
        <v>1</v>
      </c>
      <c r="X564">
        <v>176</v>
      </c>
      <c r="Y564">
        <v>3</v>
      </c>
      <c r="Z564">
        <v>57</v>
      </c>
      <c r="AA564">
        <v>10</v>
      </c>
      <c r="AB564">
        <v>1</v>
      </c>
      <c r="AF564">
        <v>0</v>
      </c>
      <c r="AG564">
        <v>0</v>
      </c>
      <c r="AH564">
        <v>0</v>
      </c>
      <c r="AI564">
        <v>0</v>
      </c>
      <c r="AW564">
        <v>0</v>
      </c>
      <c r="AX564">
        <v>6</v>
      </c>
      <c r="AY564">
        <v>452</v>
      </c>
      <c r="AZ564">
        <v>453</v>
      </c>
      <c r="BA564">
        <v>647</v>
      </c>
      <c r="BB564">
        <v>44</v>
      </c>
      <c r="BD564">
        <v>1</v>
      </c>
      <c r="BF564" t="s">
        <v>677</v>
      </c>
      <c r="BG564" s="1">
        <v>44354.083333333336</v>
      </c>
      <c r="BH564" s="1">
        <v>44354.090555555558</v>
      </c>
      <c r="BI564" s="1">
        <v>44354.091122685182</v>
      </c>
      <c r="BJ564" t="s">
        <v>85</v>
      </c>
      <c r="BK564" t="s">
        <v>86</v>
      </c>
      <c r="BL564" t="s">
        <v>87</v>
      </c>
    </row>
    <row r="565" spans="1:64" x14ac:dyDescent="0.3">
      <c r="A565" t="str">
        <f>"200314B0000"</f>
        <v>200314B0000</v>
      </c>
      <c r="B565" t="str">
        <f>"200314B00003"</f>
        <v>200314B00003</v>
      </c>
      <c r="C565" t="str">
        <f t="shared" si="33"/>
        <v>20</v>
      </c>
      <c r="D565" t="s">
        <v>81</v>
      </c>
      <c r="E565" t="str">
        <f t="shared" si="36"/>
        <v>043</v>
      </c>
      <c r="F565" t="s">
        <v>600</v>
      </c>
      <c r="G565" t="str">
        <f>"0314"</f>
        <v>0314</v>
      </c>
      <c r="H565" t="str">
        <f>"0000"</f>
        <v>0000</v>
      </c>
      <c r="I565" t="s">
        <v>83</v>
      </c>
      <c r="J565">
        <v>0</v>
      </c>
      <c r="K565">
        <v>1</v>
      </c>
      <c r="L565">
        <v>3</v>
      </c>
      <c r="M565">
        <v>203</v>
      </c>
      <c r="N565">
        <v>335</v>
      </c>
      <c r="O565">
        <v>5</v>
      </c>
      <c r="P565">
        <v>335</v>
      </c>
      <c r="Q565">
        <v>1</v>
      </c>
      <c r="R565">
        <v>24</v>
      </c>
      <c r="S565">
        <v>3</v>
      </c>
      <c r="U565">
        <v>78</v>
      </c>
      <c r="V565">
        <v>2</v>
      </c>
      <c r="W565">
        <v>0</v>
      </c>
      <c r="X565">
        <v>151</v>
      </c>
      <c r="Y565">
        <v>3</v>
      </c>
      <c r="Z565">
        <v>53</v>
      </c>
      <c r="AA565">
        <v>13</v>
      </c>
      <c r="AB565">
        <v>2</v>
      </c>
      <c r="AF565">
        <v>0</v>
      </c>
      <c r="AG565">
        <v>0</v>
      </c>
      <c r="AH565">
        <v>0</v>
      </c>
      <c r="AI565">
        <v>0</v>
      </c>
      <c r="AW565">
        <v>0</v>
      </c>
      <c r="AX565">
        <v>5</v>
      </c>
      <c r="AY565">
        <v>335</v>
      </c>
      <c r="AZ565">
        <v>335</v>
      </c>
      <c r="BA565">
        <v>494</v>
      </c>
      <c r="BB565">
        <v>44</v>
      </c>
      <c r="BD565">
        <v>1</v>
      </c>
      <c r="BF565" t="s">
        <v>678</v>
      </c>
      <c r="BG565" s="1">
        <v>44354.004861111112</v>
      </c>
      <c r="BH565" s="1">
        <v>44354.011053240742</v>
      </c>
      <c r="BI565" s="1">
        <v>44354.011701388888</v>
      </c>
      <c r="BJ565" t="s">
        <v>85</v>
      </c>
      <c r="BK565" t="s">
        <v>86</v>
      </c>
      <c r="BL565" t="s">
        <v>87</v>
      </c>
    </row>
    <row r="566" spans="1:64" x14ac:dyDescent="0.3">
      <c r="A566" t="str">
        <f>"200314C0100"</f>
        <v>200314C0100</v>
      </c>
      <c r="B566" t="str">
        <f>"200314C01003"</f>
        <v>200314C01003</v>
      </c>
      <c r="C566" t="str">
        <f t="shared" si="33"/>
        <v>20</v>
      </c>
      <c r="D566" t="s">
        <v>81</v>
      </c>
      <c r="E566" t="str">
        <f t="shared" si="36"/>
        <v>043</v>
      </c>
      <c r="F566" t="s">
        <v>600</v>
      </c>
      <c r="G566" t="str">
        <f>"0314"</f>
        <v>0314</v>
      </c>
      <c r="H566" t="str">
        <f>"0001"</f>
        <v>0001</v>
      </c>
      <c r="I566" t="s">
        <v>89</v>
      </c>
      <c r="J566">
        <v>0</v>
      </c>
      <c r="K566">
        <v>1</v>
      </c>
      <c r="L566">
        <v>3</v>
      </c>
      <c r="M566">
        <v>198</v>
      </c>
      <c r="N566">
        <v>340</v>
      </c>
      <c r="O566">
        <v>2</v>
      </c>
      <c r="P566">
        <v>340</v>
      </c>
      <c r="Q566">
        <v>0</v>
      </c>
      <c r="R566">
        <v>35</v>
      </c>
      <c r="S566">
        <v>6</v>
      </c>
      <c r="U566">
        <v>110</v>
      </c>
      <c r="V566">
        <v>3</v>
      </c>
      <c r="W566">
        <v>0</v>
      </c>
      <c r="X566">
        <v>130</v>
      </c>
      <c r="Y566">
        <v>2</v>
      </c>
      <c r="Z566">
        <v>40</v>
      </c>
      <c r="AA566">
        <v>7</v>
      </c>
      <c r="AB566">
        <v>2</v>
      </c>
      <c r="AF566">
        <v>0</v>
      </c>
      <c r="AG566">
        <v>0</v>
      </c>
      <c r="AH566">
        <v>0</v>
      </c>
      <c r="AI566">
        <v>0</v>
      </c>
      <c r="AW566">
        <v>0</v>
      </c>
      <c r="AX566">
        <v>5</v>
      </c>
      <c r="AY566">
        <v>340</v>
      </c>
      <c r="AZ566">
        <v>340</v>
      </c>
      <c r="BA566">
        <v>494</v>
      </c>
      <c r="BB566">
        <v>44</v>
      </c>
      <c r="BD566">
        <v>1</v>
      </c>
      <c r="BF566" t="s">
        <v>679</v>
      </c>
      <c r="BG566" s="1">
        <v>44354.001388888886</v>
      </c>
      <c r="BH566" s="1">
        <v>44354.008437500001</v>
      </c>
      <c r="BI566" s="1">
        <v>44354.00922453704</v>
      </c>
      <c r="BJ566" t="s">
        <v>85</v>
      </c>
      <c r="BK566" t="s">
        <v>86</v>
      </c>
      <c r="BL566" t="s">
        <v>87</v>
      </c>
    </row>
    <row r="567" spans="1:64" x14ac:dyDescent="0.3">
      <c r="A567" t="str">
        <f>"200315B0000"</f>
        <v>200315B0000</v>
      </c>
      <c r="B567" t="str">
        <f>"200315B00003"</f>
        <v>200315B00003</v>
      </c>
      <c r="C567" t="str">
        <f t="shared" si="33"/>
        <v>20</v>
      </c>
      <c r="D567" t="s">
        <v>81</v>
      </c>
      <c r="E567" t="str">
        <f t="shared" si="36"/>
        <v>043</v>
      </c>
      <c r="F567" t="s">
        <v>600</v>
      </c>
      <c r="G567" t="str">
        <f>"0315"</f>
        <v>0315</v>
      </c>
      <c r="H567" t="str">
        <f>"0000"</f>
        <v>0000</v>
      </c>
      <c r="I567" t="s">
        <v>83</v>
      </c>
      <c r="J567">
        <v>0</v>
      </c>
      <c r="K567">
        <v>1</v>
      </c>
      <c r="L567">
        <v>3</v>
      </c>
      <c r="M567">
        <v>216</v>
      </c>
      <c r="N567">
        <v>338</v>
      </c>
      <c r="O567">
        <v>4</v>
      </c>
      <c r="P567">
        <v>338</v>
      </c>
      <c r="Q567">
        <v>0</v>
      </c>
      <c r="R567">
        <v>46</v>
      </c>
      <c r="S567">
        <v>5</v>
      </c>
      <c r="U567">
        <v>109</v>
      </c>
      <c r="V567">
        <v>4</v>
      </c>
      <c r="W567">
        <v>0</v>
      </c>
      <c r="X567">
        <v>119</v>
      </c>
      <c r="Y567">
        <v>6</v>
      </c>
      <c r="Z567">
        <v>32</v>
      </c>
      <c r="AA567">
        <v>7</v>
      </c>
      <c r="AB567">
        <v>4</v>
      </c>
      <c r="AF567">
        <v>1</v>
      </c>
      <c r="AG567">
        <v>0</v>
      </c>
      <c r="AH567">
        <v>0</v>
      </c>
      <c r="AI567">
        <v>0</v>
      </c>
      <c r="AW567">
        <v>0</v>
      </c>
      <c r="AX567">
        <v>5</v>
      </c>
      <c r="AY567">
        <v>338</v>
      </c>
      <c r="AZ567">
        <v>338</v>
      </c>
      <c r="BA567">
        <v>510</v>
      </c>
      <c r="BB567">
        <v>44</v>
      </c>
      <c r="BD567">
        <v>1</v>
      </c>
      <c r="BF567" t="s">
        <v>680</v>
      </c>
      <c r="BG567" s="1">
        <v>44354.076388888891</v>
      </c>
      <c r="BH567" s="1">
        <v>44354.082986111112</v>
      </c>
      <c r="BI567" s="1">
        <v>44354.083356481482</v>
      </c>
      <c r="BJ567" t="s">
        <v>85</v>
      </c>
      <c r="BK567" t="s">
        <v>86</v>
      </c>
      <c r="BL567" t="s">
        <v>87</v>
      </c>
    </row>
    <row r="568" spans="1:64" x14ac:dyDescent="0.3">
      <c r="A568" t="str">
        <f>"200315C0100"</f>
        <v>200315C0100</v>
      </c>
      <c r="B568" t="str">
        <f>"200315C01003"</f>
        <v>200315C01003</v>
      </c>
      <c r="C568" t="str">
        <f t="shared" si="33"/>
        <v>20</v>
      </c>
      <c r="D568" t="s">
        <v>81</v>
      </c>
      <c r="E568" t="str">
        <f t="shared" si="36"/>
        <v>043</v>
      </c>
      <c r="F568" t="s">
        <v>600</v>
      </c>
      <c r="G568" t="str">
        <f>"0315"</f>
        <v>0315</v>
      </c>
      <c r="H568" t="str">
        <f>"0001"</f>
        <v>0001</v>
      </c>
      <c r="I568" t="s">
        <v>89</v>
      </c>
      <c r="J568">
        <v>0</v>
      </c>
      <c r="K568">
        <v>1</v>
      </c>
      <c r="L568">
        <v>3</v>
      </c>
      <c r="M568">
        <v>226</v>
      </c>
      <c r="N568">
        <v>327</v>
      </c>
      <c r="O568">
        <v>7</v>
      </c>
      <c r="P568">
        <v>327</v>
      </c>
      <c r="Q568">
        <v>0</v>
      </c>
      <c r="R568">
        <v>32</v>
      </c>
      <c r="S568">
        <v>6</v>
      </c>
      <c r="U568">
        <v>118</v>
      </c>
      <c r="V568">
        <v>1</v>
      </c>
      <c r="W568">
        <v>1</v>
      </c>
      <c r="X568">
        <v>127</v>
      </c>
      <c r="Y568">
        <v>4</v>
      </c>
      <c r="Z568">
        <v>24</v>
      </c>
      <c r="AA568">
        <v>6</v>
      </c>
      <c r="AB568">
        <v>0</v>
      </c>
      <c r="AF568">
        <v>0</v>
      </c>
      <c r="AG568">
        <v>0</v>
      </c>
      <c r="AH568">
        <v>0</v>
      </c>
      <c r="AI568">
        <v>0</v>
      </c>
      <c r="AW568">
        <v>0</v>
      </c>
      <c r="AX568">
        <v>8</v>
      </c>
      <c r="AY568">
        <v>327</v>
      </c>
      <c r="AZ568">
        <v>327</v>
      </c>
      <c r="BA568">
        <v>509</v>
      </c>
      <c r="BB568">
        <v>44</v>
      </c>
      <c r="BD568">
        <v>1</v>
      </c>
      <c r="BF568" t="s">
        <v>681</v>
      </c>
      <c r="BG568" s="1">
        <v>44354.078472222223</v>
      </c>
      <c r="BH568" s="1">
        <v>44354.089016203703</v>
      </c>
      <c r="BI568" s="1">
        <v>44354.08965277778</v>
      </c>
      <c r="BJ568" t="s">
        <v>85</v>
      </c>
      <c r="BK568" t="s">
        <v>86</v>
      </c>
      <c r="BL568" t="s">
        <v>87</v>
      </c>
    </row>
    <row r="569" spans="1:64" x14ac:dyDescent="0.3">
      <c r="A569" t="str">
        <f>"200316B0000"</f>
        <v>200316B0000</v>
      </c>
      <c r="B569" t="str">
        <f>"200316B00003"</f>
        <v>200316B00003</v>
      </c>
      <c r="C569" t="str">
        <f t="shared" si="33"/>
        <v>20</v>
      </c>
      <c r="D569" t="s">
        <v>81</v>
      </c>
      <c r="E569" t="str">
        <f t="shared" si="36"/>
        <v>043</v>
      </c>
      <c r="F569" t="s">
        <v>600</v>
      </c>
      <c r="G569" t="str">
        <f>"0316"</f>
        <v>0316</v>
      </c>
      <c r="H569" t="str">
        <f>"0000"</f>
        <v>0000</v>
      </c>
      <c r="I569" t="s">
        <v>83</v>
      </c>
      <c r="J569">
        <v>0</v>
      </c>
      <c r="K569">
        <v>1</v>
      </c>
      <c r="L569">
        <v>3</v>
      </c>
      <c r="M569">
        <v>308</v>
      </c>
      <c r="N569">
        <v>6</v>
      </c>
      <c r="O569">
        <v>6</v>
      </c>
      <c r="P569">
        <v>427</v>
      </c>
      <c r="Q569">
        <v>0</v>
      </c>
      <c r="R569">
        <v>36</v>
      </c>
      <c r="S569">
        <v>3</v>
      </c>
      <c r="U569">
        <v>187</v>
      </c>
      <c r="V569">
        <v>3</v>
      </c>
      <c r="W569">
        <v>0</v>
      </c>
      <c r="X569">
        <v>134</v>
      </c>
      <c r="Y569">
        <v>5</v>
      </c>
      <c r="Z569">
        <v>29</v>
      </c>
      <c r="AA569">
        <v>12</v>
      </c>
      <c r="AB569">
        <v>6</v>
      </c>
      <c r="AF569">
        <v>0</v>
      </c>
      <c r="AG569">
        <v>0</v>
      </c>
      <c r="AH569">
        <v>0</v>
      </c>
      <c r="AI569">
        <v>0</v>
      </c>
      <c r="AW569">
        <v>0</v>
      </c>
      <c r="AX569">
        <v>2</v>
      </c>
      <c r="AY569">
        <v>427</v>
      </c>
      <c r="AZ569">
        <v>417</v>
      </c>
      <c r="BA569">
        <v>691</v>
      </c>
      <c r="BB569">
        <v>44</v>
      </c>
      <c r="BD569">
        <v>1</v>
      </c>
      <c r="BF569" t="s">
        <v>682</v>
      </c>
      <c r="BG569" s="1">
        <v>44354.080555555556</v>
      </c>
      <c r="BH569" s="1">
        <v>44354.088692129626</v>
      </c>
      <c r="BI569" s="1">
        <v>44354.089201388888</v>
      </c>
      <c r="BJ569" t="s">
        <v>85</v>
      </c>
      <c r="BK569" t="s">
        <v>86</v>
      </c>
      <c r="BL569" t="s">
        <v>87</v>
      </c>
    </row>
    <row r="570" spans="1:64" x14ac:dyDescent="0.3">
      <c r="A570" t="str">
        <f>"200316C0100"</f>
        <v>200316C0100</v>
      </c>
      <c r="B570" t="str">
        <f>"200316C01003"</f>
        <v>200316C01003</v>
      </c>
      <c r="C570" t="str">
        <f t="shared" si="33"/>
        <v>20</v>
      </c>
      <c r="D570" t="s">
        <v>81</v>
      </c>
      <c r="E570" t="str">
        <f t="shared" si="36"/>
        <v>043</v>
      </c>
      <c r="F570" t="s">
        <v>600</v>
      </c>
      <c r="G570" t="str">
        <f>"0316"</f>
        <v>0316</v>
      </c>
      <c r="H570" t="str">
        <f>"0001"</f>
        <v>0001</v>
      </c>
      <c r="I570" t="s">
        <v>89</v>
      </c>
      <c r="J570">
        <v>0</v>
      </c>
      <c r="K570">
        <v>1</v>
      </c>
      <c r="L570">
        <v>3</v>
      </c>
      <c r="M570">
        <v>284</v>
      </c>
      <c r="N570">
        <v>454</v>
      </c>
      <c r="O570">
        <v>3</v>
      </c>
      <c r="P570">
        <v>451</v>
      </c>
      <c r="Q570">
        <v>0</v>
      </c>
      <c r="R570">
        <v>21</v>
      </c>
      <c r="S570">
        <v>2</v>
      </c>
      <c r="U570">
        <v>215</v>
      </c>
      <c r="V570">
        <v>4</v>
      </c>
      <c r="W570">
        <v>0</v>
      </c>
      <c r="X570">
        <v>153</v>
      </c>
      <c r="Y570">
        <v>2</v>
      </c>
      <c r="Z570">
        <v>29</v>
      </c>
      <c r="AA570">
        <v>12</v>
      </c>
      <c r="AB570">
        <v>8</v>
      </c>
      <c r="AF570">
        <v>0</v>
      </c>
      <c r="AG570">
        <v>0</v>
      </c>
      <c r="AH570">
        <v>0</v>
      </c>
      <c r="AI570">
        <v>0</v>
      </c>
      <c r="AW570">
        <v>0</v>
      </c>
      <c r="AX570">
        <v>3</v>
      </c>
      <c r="AY570">
        <v>451</v>
      </c>
      <c r="AZ570">
        <v>449</v>
      </c>
      <c r="BA570">
        <v>691</v>
      </c>
      <c r="BB570">
        <v>44</v>
      </c>
      <c r="BD570">
        <v>1</v>
      </c>
      <c r="BF570" t="s">
        <v>683</v>
      </c>
      <c r="BG570" s="1">
        <v>44354.07708333333</v>
      </c>
      <c r="BH570" s="1">
        <v>44354.085011574076</v>
      </c>
      <c r="BI570" s="1">
        <v>44354.085416666669</v>
      </c>
      <c r="BJ570" t="s">
        <v>85</v>
      </c>
      <c r="BK570" t="s">
        <v>86</v>
      </c>
      <c r="BL570" t="s">
        <v>87</v>
      </c>
    </row>
    <row r="571" spans="1:64" x14ac:dyDescent="0.3">
      <c r="A571" t="str">
        <f>"200317B0000"</f>
        <v>200317B0000</v>
      </c>
      <c r="B571" t="str">
        <f>"200317B00003"</f>
        <v>200317B00003</v>
      </c>
      <c r="C571" t="str">
        <f t="shared" si="33"/>
        <v>20</v>
      </c>
      <c r="D571" t="s">
        <v>81</v>
      </c>
      <c r="E571" t="str">
        <f t="shared" si="36"/>
        <v>043</v>
      </c>
      <c r="F571" t="s">
        <v>600</v>
      </c>
      <c r="G571" t="str">
        <f>"0317"</f>
        <v>0317</v>
      </c>
      <c r="H571" t="str">
        <f>"0000"</f>
        <v>0000</v>
      </c>
      <c r="I571" t="s">
        <v>83</v>
      </c>
      <c r="J571">
        <v>0</v>
      </c>
      <c r="K571">
        <v>1</v>
      </c>
      <c r="L571">
        <v>3</v>
      </c>
      <c r="M571">
        <v>197</v>
      </c>
      <c r="N571">
        <v>328</v>
      </c>
      <c r="O571">
        <v>3</v>
      </c>
      <c r="P571">
        <v>328</v>
      </c>
      <c r="Q571">
        <v>2</v>
      </c>
      <c r="R571">
        <v>15</v>
      </c>
      <c r="S571">
        <v>1</v>
      </c>
      <c r="U571">
        <v>100</v>
      </c>
      <c r="V571">
        <v>0</v>
      </c>
      <c r="W571">
        <v>1</v>
      </c>
      <c r="X571">
        <v>148</v>
      </c>
      <c r="Y571">
        <v>4</v>
      </c>
      <c r="Z571">
        <v>52</v>
      </c>
      <c r="AA571">
        <v>4</v>
      </c>
      <c r="AB571">
        <v>0</v>
      </c>
      <c r="AF571">
        <v>0</v>
      </c>
      <c r="AG571">
        <v>0</v>
      </c>
      <c r="AH571">
        <v>0</v>
      </c>
      <c r="AI571">
        <v>1</v>
      </c>
      <c r="AW571">
        <v>0</v>
      </c>
      <c r="AX571">
        <v>0</v>
      </c>
      <c r="AY571">
        <v>328</v>
      </c>
      <c r="AZ571">
        <v>328</v>
      </c>
      <c r="BA571">
        <v>481</v>
      </c>
      <c r="BB571">
        <v>44</v>
      </c>
      <c r="BD571">
        <v>1</v>
      </c>
      <c r="BF571" t="s">
        <v>684</v>
      </c>
      <c r="BG571" s="1">
        <v>44353.972916666666</v>
      </c>
      <c r="BH571" s="1">
        <v>44353.975752314815</v>
      </c>
      <c r="BI571" s="1">
        <v>44353.976261574076</v>
      </c>
      <c r="BJ571" t="s">
        <v>85</v>
      </c>
      <c r="BK571" t="s">
        <v>86</v>
      </c>
      <c r="BL571" t="s">
        <v>87</v>
      </c>
    </row>
    <row r="572" spans="1:64" x14ac:dyDescent="0.3">
      <c r="A572" t="str">
        <f>"200317C0100"</f>
        <v>200317C0100</v>
      </c>
      <c r="B572" t="str">
        <f>"200317C01003"</f>
        <v>200317C01003</v>
      </c>
      <c r="C572" t="str">
        <f t="shared" si="33"/>
        <v>20</v>
      </c>
      <c r="D572" t="s">
        <v>81</v>
      </c>
      <c r="E572" t="str">
        <f t="shared" si="36"/>
        <v>043</v>
      </c>
      <c r="F572" t="s">
        <v>600</v>
      </c>
      <c r="G572" t="str">
        <f>"0317"</f>
        <v>0317</v>
      </c>
      <c r="H572" t="str">
        <f>"0001"</f>
        <v>0001</v>
      </c>
      <c r="I572" t="s">
        <v>89</v>
      </c>
      <c r="J572">
        <v>0</v>
      </c>
      <c r="K572">
        <v>1</v>
      </c>
      <c r="L572">
        <v>3</v>
      </c>
      <c r="M572">
        <v>160</v>
      </c>
      <c r="N572">
        <v>365</v>
      </c>
      <c r="O572">
        <v>11</v>
      </c>
      <c r="P572">
        <v>363</v>
      </c>
      <c r="Q572">
        <v>0</v>
      </c>
      <c r="R572">
        <v>33</v>
      </c>
      <c r="S572">
        <v>2</v>
      </c>
      <c r="U572">
        <v>99</v>
      </c>
      <c r="V572">
        <v>0</v>
      </c>
      <c r="W572">
        <v>1</v>
      </c>
      <c r="X572">
        <v>162</v>
      </c>
      <c r="Y572">
        <v>7</v>
      </c>
      <c r="Z572">
        <v>44</v>
      </c>
      <c r="AA572">
        <v>6</v>
      </c>
      <c r="AB572">
        <v>2</v>
      </c>
      <c r="AF572">
        <v>0</v>
      </c>
      <c r="AG572">
        <v>0</v>
      </c>
      <c r="AH572">
        <v>0</v>
      </c>
      <c r="AI572">
        <v>0</v>
      </c>
      <c r="AW572">
        <v>0</v>
      </c>
      <c r="AX572">
        <v>7</v>
      </c>
      <c r="AY572">
        <v>363</v>
      </c>
      <c r="AZ572">
        <v>363</v>
      </c>
      <c r="BA572">
        <v>481</v>
      </c>
      <c r="BB572">
        <v>44</v>
      </c>
      <c r="BD572">
        <v>1</v>
      </c>
      <c r="BF572" t="s">
        <v>685</v>
      </c>
      <c r="BG572" s="1">
        <v>44353.975694444445</v>
      </c>
      <c r="BH572" s="1">
        <v>44353.977812500001</v>
      </c>
      <c r="BI572" s="1">
        <v>44353.97828703704</v>
      </c>
      <c r="BJ572" t="s">
        <v>85</v>
      </c>
      <c r="BK572" t="s">
        <v>86</v>
      </c>
      <c r="BL572" t="s">
        <v>87</v>
      </c>
    </row>
    <row r="573" spans="1:64" x14ac:dyDescent="0.3">
      <c r="A573" t="str">
        <f>"200318B0000"</f>
        <v>200318B0000</v>
      </c>
      <c r="B573" t="str">
        <f>"200318B00003"</f>
        <v>200318B00003</v>
      </c>
      <c r="C573" t="str">
        <f t="shared" si="33"/>
        <v>20</v>
      </c>
      <c r="D573" t="s">
        <v>81</v>
      </c>
      <c r="E573" t="str">
        <f t="shared" si="36"/>
        <v>043</v>
      </c>
      <c r="F573" t="s">
        <v>600</v>
      </c>
      <c r="G573" t="str">
        <f>"0318"</f>
        <v>0318</v>
      </c>
      <c r="H573" t="str">
        <f>"0000"</f>
        <v>0000</v>
      </c>
      <c r="I573" t="s">
        <v>83</v>
      </c>
      <c r="J573">
        <v>0</v>
      </c>
      <c r="K573">
        <v>1</v>
      </c>
      <c r="L573">
        <v>3</v>
      </c>
      <c r="M573">
        <v>283</v>
      </c>
      <c r="N573">
        <v>385</v>
      </c>
      <c r="O573">
        <v>6</v>
      </c>
      <c r="P573">
        <v>0</v>
      </c>
      <c r="Q573">
        <v>0</v>
      </c>
      <c r="R573">
        <v>29</v>
      </c>
      <c r="S573">
        <v>3</v>
      </c>
      <c r="U573">
        <v>93</v>
      </c>
      <c r="V573">
        <v>5</v>
      </c>
      <c r="W573">
        <v>1</v>
      </c>
      <c r="X573">
        <v>175</v>
      </c>
      <c r="Y573">
        <v>3</v>
      </c>
      <c r="Z573">
        <v>55</v>
      </c>
      <c r="AA573">
        <v>6</v>
      </c>
      <c r="AB573">
        <v>2</v>
      </c>
      <c r="AF573">
        <v>0</v>
      </c>
      <c r="AG573">
        <v>0</v>
      </c>
      <c r="AH573">
        <v>0</v>
      </c>
      <c r="AI573">
        <v>0</v>
      </c>
      <c r="AW573">
        <v>0</v>
      </c>
      <c r="AX573">
        <v>11</v>
      </c>
      <c r="AY573">
        <v>385</v>
      </c>
      <c r="AZ573">
        <v>383</v>
      </c>
      <c r="BA573">
        <v>624</v>
      </c>
      <c r="BB573">
        <v>44</v>
      </c>
      <c r="BD573">
        <v>1</v>
      </c>
      <c r="BF573" t="s">
        <v>686</v>
      </c>
      <c r="BG573" s="1">
        <v>44353.97152777778</v>
      </c>
      <c r="BH573" s="1">
        <v>44353.974317129629</v>
      </c>
      <c r="BI573" s="1">
        <v>44353.975034722222</v>
      </c>
      <c r="BJ573" t="s">
        <v>85</v>
      </c>
      <c r="BK573" t="s">
        <v>86</v>
      </c>
      <c r="BL573" t="s">
        <v>87</v>
      </c>
    </row>
    <row r="574" spans="1:64" x14ac:dyDescent="0.3">
      <c r="A574" t="str">
        <f>"200318C0100"</f>
        <v>200318C0100</v>
      </c>
      <c r="B574" t="str">
        <f>"200318C01003"</f>
        <v>200318C01003</v>
      </c>
      <c r="C574" t="str">
        <f t="shared" si="33"/>
        <v>20</v>
      </c>
      <c r="D574" t="s">
        <v>81</v>
      </c>
      <c r="E574" t="str">
        <f t="shared" si="36"/>
        <v>043</v>
      </c>
      <c r="F574" t="s">
        <v>600</v>
      </c>
      <c r="G574" t="str">
        <f>"0318"</f>
        <v>0318</v>
      </c>
      <c r="H574" t="str">
        <f>"0001"</f>
        <v>0001</v>
      </c>
      <c r="I574" t="s">
        <v>89</v>
      </c>
      <c r="J574">
        <v>0</v>
      </c>
      <c r="K574">
        <v>1</v>
      </c>
      <c r="L574">
        <v>3</v>
      </c>
      <c r="M574">
        <v>244</v>
      </c>
      <c r="N574">
        <v>423</v>
      </c>
      <c r="O574">
        <v>6</v>
      </c>
      <c r="P574" t="s">
        <v>92</v>
      </c>
      <c r="Q574">
        <v>1</v>
      </c>
      <c r="R574">
        <v>39</v>
      </c>
      <c r="S574">
        <v>8</v>
      </c>
      <c r="U574">
        <v>80</v>
      </c>
      <c r="V574">
        <v>4</v>
      </c>
      <c r="W574">
        <v>0</v>
      </c>
      <c r="X574">
        <v>194</v>
      </c>
      <c r="Y574">
        <v>9</v>
      </c>
      <c r="Z574">
        <v>68</v>
      </c>
      <c r="AA574">
        <v>14</v>
      </c>
      <c r="AB574">
        <v>0</v>
      </c>
      <c r="AF574">
        <v>0</v>
      </c>
      <c r="AG574">
        <v>0</v>
      </c>
      <c r="AH574">
        <v>0</v>
      </c>
      <c r="AI574">
        <v>0</v>
      </c>
      <c r="AW574">
        <v>0</v>
      </c>
      <c r="AX574">
        <v>6</v>
      </c>
      <c r="AY574">
        <v>423</v>
      </c>
      <c r="AZ574">
        <v>423</v>
      </c>
      <c r="BA574">
        <v>623</v>
      </c>
      <c r="BB574">
        <v>44</v>
      </c>
      <c r="BD574">
        <v>1</v>
      </c>
      <c r="BF574" t="s">
        <v>687</v>
      </c>
      <c r="BG574" s="1">
        <v>44353.973611111112</v>
      </c>
      <c r="BH574" s="1">
        <v>44353.976550925923</v>
      </c>
      <c r="BI574" s="1">
        <v>44353.977581018517</v>
      </c>
      <c r="BJ574" t="s">
        <v>85</v>
      </c>
      <c r="BK574" t="s">
        <v>86</v>
      </c>
      <c r="BL574" t="s">
        <v>87</v>
      </c>
    </row>
    <row r="575" spans="1:64" x14ac:dyDescent="0.3">
      <c r="A575" t="str">
        <f>"200319B0000"</f>
        <v>200319B0000</v>
      </c>
      <c r="B575" t="str">
        <f>"200319B00003"</f>
        <v>200319B00003</v>
      </c>
      <c r="C575" t="str">
        <f t="shared" si="33"/>
        <v>20</v>
      </c>
      <c r="D575" t="s">
        <v>81</v>
      </c>
      <c r="E575" t="str">
        <f t="shared" si="36"/>
        <v>043</v>
      </c>
      <c r="F575" t="s">
        <v>600</v>
      </c>
      <c r="G575" t="str">
        <f t="shared" ref="G575:G580" si="37">"0319"</f>
        <v>0319</v>
      </c>
      <c r="H575" t="str">
        <f>"0000"</f>
        <v>0000</v>
      </c>
      <c r="I575" t="s">
        <v>83</v>
      </c>
      <c r="J575">
        <v>0</v>
      </c>
      <c r="K575">
        <v>1</v>
      </c>
      <c r="L575">
        <v>3</v>
      </c>
      <c r="M575">
        <v>315</v>
      </c>
      <c r="N575">
        <v>432</v>
      </c>
      <c r="O575">
        <v>5</v>
      </c>
      <c r="P575">
        <v>432</v>
      </c>
      <c r="Q575">
        <v>0</v>
      </c>
      <c r="R575">
        <v>41</v>
      </c>
      <c r="S575">
        <v>5</v>
      </c>
      <c r="U575">
        <v>166</v>
      </c>
      <c r="V575">
        <v>5</v>
      </c>
      <c r="W575">
        <v>3</v>
      </c>
      <c r="X575">
        <v>140</v>
      </c>
      <c r="Y575">
        <v>0</v>
      </c>
      <c r="Z575">
        <v>55</v>
      </c>
      <c r="AA575">
        <v>7</v>
      </c>
      <c r="AB575">
        <v>2</v>
      </c>
      <c r="AF575">
        <v>1</v>
      </c>
      <c r="AG575">
        <v>0</v>
      </c>
      <c r="AH575">
        <v>0</v>
      </c>
      <c r="AI575">
        <v>0</v>
      </c>
      <c r="AW575">
        <v>0</v>
      </c>
      <c r="AX575">
        <v>7</v>
      </c>
      <c r="AY575">
        <v>432</v>
      </c>
      <c r="AZ575">
        <v>432</v>
      </c>
      <c r="BA575">
        <v>703</v>
      </c>
      <c r="BB575">
        <v>44</v>
      </c>
      <c r="BD575">
        <v>1</v>
      </c>
      <c r="BF575" t="s">
        <v>688</v>
      </c>
      <c r="BG575" s="1">
        <v>44354.123611111114</v>
      </c>
      <c r="BH575" s="1">
        <v>44354.12740740741</v>
      </c>
      <c r="BI575" s="1">
        <v>44354.128148148149</v>
      </c>
      <c r="BJ575" t="s">
        <v>85</v>
      </c>
      <c r="BK575" t="s">
        <v>86</v>
      </c>
      <c r="BL575" t="s">
        <v>87</v>
      </c>
    </row>
    <row r="576" spans="1:64" x14ac:dyDescent="0.3">
      <c r="A576" t="str">
        <f>"200319C0100"</f>
        <v>200319C0100</v>
      </c>
      <c r="B576" t="str">
        <f>"200319C01003"</f>
        <v>200319C01003</v>
      </c>
      <c r="C576" t="str">
        <f t="shared" si="33"/>
        <v>20</v>
      </c>
      <c r="D576" t="s">
        <v>81</v>
      </c>
      <c r="E576" t="str">
        <f t="shared" si="36"/>
        <v>043</v>
      </c>
      <c r="F576" t="s">
        <v>600</v>
      </c>
      <c r="G576" t="str">
        <f t="shared" si="37"/>
        <v>0319</v>
      </c>
      <c r="H576" t="str">
        <f>"0001"</f>
        <v>0001</v>
      </c>
      <c r="I576" t="s">
        <v>89</v>
      </c>
      <c r="J576">
        <v>0</v>
      </c>
      <c r="K576">
        <v>1</v>
      </c>
      <c r="L576">
        <v>3</v>
      </c>
      <c r="M576">
        <v>311</v>
      </c>
      <c r="N576">
        <v>436</v>
      </c>
      <c r="O576">
        <v>5</v>
      </c>
      <c r="P576">
        <v>436</v>
      </c>
      <c r="Q576">
        <v>0</v>
      </c>
      <c r="R576">
        <v>29</v>
      </c>
      <c r="S576">
        <v>12</v>
      </c>
      <c r="U576">
        <v>164</v>
      </c>
      <c r="V576">
        <v>7</v>
      </c>
      <c r="W576">
        <v>2</v>
      </c>
      <c r="X576">
        <v>144</v>
      </c>
      <c r="Y576">
        <v>0</v>
      </c>
      <c r="Z576">
        <v>54</v>
      </c>
      <c r="AA576">
        <v>10</v>
      </c>
      <c r="AB576">
        <v>6</v>
      </c>
      <c r="AF576">
        <v>0</v>
      </c>
      <c r="AG576">
        <v>0</v>
      </c>
      <c r="AH576">
        <v>0</v>
      </c>
      <c r="AI576">
        <v>2</v>
      </c>
      <c r="AW576">
        <v>0</v>
      </c>
      <c r="AX576">
        <v>6</v>
      </c>
      <c r="AY576">
        <v>436</v>
      </c>
      <c r="AZ576">
        <v>436</v>
      </c>
      <c r="BA576">
        <v>703</v>
      </c>
      <c r="BB576">
        <v>44</v>
      </c>
      <c r="BD576">
        <v>1</v>
      </c>
      <c r="BF576" t="s">
        <v>689</v>
      </c>
      <c r="BG576" s="1">
        <v>44354.124305555553</v>
      </c>
      <c r="BH576" s="1">
        <v>44354.127789351849</v>
      </c>
      <c r="BI576" s="1">
        <v>44354.128472222219</v>
      </c>
      <c r="BJ576" t="s">
        <v>85</v>
      </c>
      <c r="BK576" t="s">
        <v>86</v>
      </c>
      <c r="BL576" t="s">
        <v>87</v>
      </c>
    </row>
    <row r="577" spans="1:64" x14ac:dyDescent="0.3">
      <c r="A577" t="str">
        <f>"200319C0200"</f>
        <v>200319C0200</v>
      </c>
      <c r="B577" t="str">
        <f>"200319C02003"</f>
        <v>200319C02003</v>
      </c>
      <c r="C577" t="str">
        <f t="shared" si="33"/>
        <v>20</v>
      </c>
      <c r="D577" t="s">
        <v>81</v>
      </c>
      <c r="E577" t="str">
        <f t="shared" si="36"/>
        <v>043</v>
      </c>
      <c r="F577" t="s">
        <v>600</v>
      </c>
      <c r="G577" t="str">
        <f t="shared" si="37"/>
        <v>0319</v>
      </c>
      <c r="H577" t="str">
        <f>"0002"</f>
        <v>0002</v>
      </c>
      <c r="I577" t="s">
        <v>89</v>
      </c>
      <c r="J577">
        <v>0</v>
      </c>
      <c r="K577">
        <v>1</v>
      </c>
      <c r="L577">
        <v>3</v>
      </c>
      <c r="M577">
        <v>290</v>
      </c>
      <c r="N577">
        <v>461</v>
      </c>
      <c r="O577">
        <v>9</v>
      </c>
      <c r="P577" t="s">
        <v>92</v>
      </c>
      <c r="Q577">
        <v>1</v>
      </c>
      <c r="R577">
        <v>30</v>
      </c>
      <c r="S577">
        <v>5</v>
      </c>
      <c r="U577">
        <v>176</v>
      </c>
      <c r="V577">
        <v>3</v>
      </c>
      <c r="W577">
        <v>0</v>
      </c>
      <c r="X577">
        <v>166</v>
      </c>
      <c r="Y577">
        <v>1</v>
      </c>
      <c r="Z577">
        <v>62</v>
      </c>
      <c r="AA577">
        <v>5</v>
      </c>
      <c r="AB577">
        <v>4</v>
      </c>
      <c r="AF577">
        <v>0</v>
      </c>
      <c r="AG577">
        <v>0</v>
      </c>
      <c r="AH577">
        <v>0</v>
      </c>
      <c r="AI577">
        <v>0</v>
      </c>
      <c r="AW577">
        <v>0</v>
      </c>
      <c r="AX577">
        <v>4</v>
      </c>
      <c r="AY577">
        <v>455</v>
      </c>
      <c r="AZ577">
        <v>457</v>
      </c>
      <c r="BA577">
        <v>703</v>
      </c>
      <c r="BB577">
        <v>44</v>
      </c>
      <c r="BD577">
        <v>1</v>
      </c>
      <c r="BF577" t="s">
        <v>690</v>
      </c>
      <c r="BG577" s="1">
        <v>44354.149305555555</v>
      </c>
      <c r="BH577" s="1">
        <v>44354.152916666666</v>
      </c>
      <c r="BI577" s="1">
        <v>44354.153773148151</v>
      </c>
      <c r="BJ577" t="s">
        <v>85</v>
      </c>
      <c r="BK577" t="s">
        <v>86</v>
      </c>
      <c r="BL577" t="s">
        <v>87</v>
      </c>
    </row>
    <row r="578" spans="1:64" x14ac:dyDescent="0.3">
      <c r="A578" t="str">
        <f>"200319C0300"</f>
        <v>200319C0300</v>
      </c>
      <c r="B578" t="str">
        <f>"200319C03003"</f>
        <v>200319C03003</v>
      </c>
      <c r="C578" t="str">
        <f t="shared" si="33"/>
        <v>20</v>
      </c>
      <c r="D578" t="s">
        <v>81</v>
      </c>
      <c r="E578" t="str">
        <f t="shared" si="36"/>
        <v>043</v>
      </c>
      <c r="F578" t="s">
        <v>600</v>
      </c>
      <c r="G578" t="str">
        <f t="shared" si="37"/>
        <v>0319</v>
      </c>
      <c r="H578" t="str">
        <f>"0003"</f>
        <v>0003</v>
      </c>
      <c r="I578" t="s">
        <v>89</v>
      </c>
      <c r="J578">
        <v>0</v>
      </c>
      <c r="K578">
        <v>1</v>
      </c>
      <c r="L578">
        <v>3</v>
      </c>
      <c r="M578">
        <v>294</v>
      </c>
      <c r="N578">
        <v>453</v>
      </c>
      <c r="O578">
        <v>8</v>
      </c>
      <c r="P578">
        <v>453</v>
      </c>
      <c r="Q578">
        <v>0</v>
      </c>
      <c r="R578">
        <v>32</v>
      </c>
      <c r="S578">
        <v>4</v>
      </c>
      <c r="U578">
        <v>190</v>
      </c>
      <c r="V578">
        <v>3</v>
      </c>
      <c r="W578">
        <v>0</v>
      </c>
      <c r="X578">
        <v>160</v>
      </c>
      <c r="Y578">
        <v>0</v>
      </c>
      <c r="Z578">
        <v>53</v>
      </c>
      <c r="AA578">
        <v>7</v>
      </c>
      <c r="AB578">
        <v>0</v>
      </c>
      <c r="AF578">
        <v>0</v>
      </c>
      <c r="AG578">
        <v>0</v>
      </c>
      <c r="AH578">
        <v>0</v>
      </c>
      <c r="AI578">
        <v>0</v>
      </c>
      <c r="AW578">
        <v>0</v>
      </c>
      <c r="AX578">
        <v>4</v>
      </c>
      <c r="AY578">
        <v>453</v>
      </c>
      <c r="AZ578">
        <v>453</v>
      </c>
      <c r="BA578">
        <v>703</v>
      </c>
      <c r="BB578">
        <v>44</v>
      </c>
      <c r="BD578">
        <v>1</v>
      </c>
      <c r="BF578" t="s">
        <v>691</v>
      </c>
      <c r="BG578" s="1">
        <v>44354.150694444441</v>
      </c>
      <c r="BH578" s="1">
        <v>44354.155798611115</v>
      </c>
      <c r="BI578" s="1">
        <v>44354.156122685185</v>
      </c>
      <c r="BJ578" t="s">
        <v>85</v>
      </c>
      <c r="BK578" t="s">
        <v>86</v>
      </c>
      <c r="BL578" t="s">
        <v>87</v>
      </c>
    </row>
    <row r="579" spans="1:64" x14ac:dyDescent="0.3">
      <c r="A579" t="str">
        <f>"200319C0400"</f>
        <v>200319C0400</v>
      </c>
      <c r="B579" t="str">
        <f>"200319C04003"</f>
        <v>200319C04003</v>
      </c>
      <c r="C579" t="str">
        <f t="shared" si="33"/>
        <v>20</v>
      </c>
      <c r="D579" t="s">
        <v>81</v>
      </c>
      <c r="E579" t="str">
        <f t="shared" si="36"/>
        <v>043</v>
      </c>
      <c r="F579" t="s">
        <v>600</v>
      </c>
      <c r="G579" t="str">
        <f t="shared" si="37"/>
        <v>0319</v>
      </c>
      <c r="H579" t="str">
        <f>"0004"</f>
        <v>0004</v>
      </c>
      <c r="I579" t="s">
        <v>89</v>
      </c>
      <c r="J579">
        <v>0</v>
      </c>
      <c r="K579">
        <v>1</v>
      </c>
      <c r="L579">
        <v>3</v>
      </c>
      <c r="M579">
        <v>313</v>
      </c>
      <c r="N579">
        <v>433</v>
      </c>
      <c r="O579">
        <v>3</v>
      </c>
      <c r="P579">
        <v>433</v>
      </c>
      <c r="Q579">
        <v>0</v>
      </c>
      <c r="R579">
        <v>24</v>
      </c>
      <c r="S579">
        <v>5</v>
      </c>
      <c r="U579">
        <v>180</v>
      </c>
      <c r="V579">
        <v>0</v>
      </c>
      <c r="W579">
        <v>1</v>
      </c>
      <c r="X579">
        <v>149</v>
      </c>
      <c r="Y579">
        <v>6</v>
      </c>
      <c r="Z579">
        <v>54</v>
      </c>
      <c r="AA579">
        <v>6</v>
      </c>
      <c r="AB579">
        <v>1</v>
      </c>
      <c r="AF579">
        <v>0</v>
      </c>
      <c r="AG579">
        <v>0</v>
      </c>
      <c r="AH579">
        <v>0</v>
      </c>
      <c r="AI579">
        <v>0</v>
      </c>
      <c r="AW579">
        <v>0</v>
      </c>
      <c r="AX579">
        <v>7</v>
      </c>
      <c r="AY579">
        <v>433</v>
      </c>
      <c r="AZ579">
        <v>433</v>
      </c>
      <c r="BA579">
        <v>702</v>
      </c>
      <c r="BB579">
        <v>44</v>
      </c>
      <c r="BD579">
        <v>1</v>
      </c>
      <c r="BF579" t="s">
        <v>692</v>
      </c>
      <c r="BG579" s="1">
        <v>44354.125694444447</v>
      </c>
      <c r="BH579" s="1">
        <v>44354.128182870372</v>
      </c>
      <c r="BI579" s="1">
        <v>44354.128668981481</v>
      </c>
      <c r="BJ579" t="s">
        <v>85</v>
      </c>
      <c r="BK579" t="s">
        <v>86</v>
      </c>
      <c r="BL579" t="s">
        <v>87</v>
      </c>
    </row>
    <row r="580" spans="1:64" x14ac:dyDescent="0.3">
      <c r="A580" t="str">
        <f>"200319E0100"</f>
        <v>200319E0100</v>
      </c>
      <c r="B580" t="str">
        <f>"200319E01003"</f>
        <v>200319E01003</v>
      </c>
      <c r="C580" t="str">
        <f t="shared" si="33"/>
        <v>20</v>
      </c>
      <c r="D580" t="s">
        <v>81</v>
      </c>
      <c r="E580" t="str">
        <f t="shared" si="36"/>
        <v>043</v>
      </c>
      <c r="F580" t="s">
        <v>600</v>
      </c>
      <c r="G580" t="str">
        <f t="shared" si="37"/>
        <v>0319</v>
      </c>
      <c r="H580" t="str">
        <f>"0001"</f>
        <v>0001</v>
      </c>
      <c r="I580" t="s">
        <v>122</v>
      </c>
      <c r="J580">
        <v>0</v>
      </c>
      <c r="K580">
        <v>1</v>
      </c>
      <c r="L580">
        <v>3</v>
      </c>
      <c r="M580">
        <v>116</v>
      </c>
      <c r="N580">
        <v>255</v>
      </c>
      <c r="O580">
        <v>6</v>
      </c>
      <c r="P580">
        <v>255</v>
      </c>
      <c r="Q580">
        <v>0</v>
      </c>
      <c r="R580">
        <v>17</v>
      </c>
      <c r="S580">
        <v>4</v>
      </c>
      <c r="U580">
        <v>161</v>
      </c>
      <c r="V580">
        <v>0</v>
      </c>
      <c r="W580">
        <v>0</v>
      </c>
      <c r="X580">
        <v>52</v>
      </c>
      <c r="Y580">
        <v>1</v>
      </c>
      <c r="Z580">
        <v>17</v>
      </c>
      <c r="AA580">
        <v>0</v>
      </c>
      <c r="AB580">
        <v>0</v>
      </c>
      <c r="AF580">
        <v>0</v>
      </c>
      <c r="AG580">
        <v>0</v>
      </c>
      <c r="AH580">
        <v>0</v>
      </c>
      <c r="AI580">
        <v>0</v>
      </c>
      <c r="AW580">
        <v>0</v>
      </c>
      <c r="AX580">
        <v>0</v>
      </c>
      <c r="AY580">
        <v>255</v>
      </c>
      <c r="AZ580">
        <v>252</v>
      </c>
      <c r="BA580">
        <v>327</v>
      </c>
      <c r="BB580">
        <v>44</v>
      </c>
      <c r="BD580">
        <v>1</v>
      </c>
      <c r="BF580" t="s">
        <v>693</v>
      </c>
      <c r="BG580" s="1">
        <v>44353.965277777781</v>
      </c>
      <c r="BH580" s="1">
        <v>44353.967453703706</v>
      </c>
      <c r="BI580" s="1">
        <v>44353.968078703707</v>
      </c>
      <c r="BJ580" t="s">
        <v>85</v>
      </c>
      <c r="BK580" t="s">
        <v>86</v>
      </c>
      <c r="BL580" t="s">
        <v>87</v>
      </c>
    </row>
    <row r="581" spans="1:64" x14ac:dyDescent="0.3">
      <c r="A581" t="str">
        <f>"200320B0000"</f>
        <v>200320B0000</v>
      </c>
      <c r="B581" t="str">
        <f>"200320B00003"</f>
        <v>200320B00003</v>
      </c>
      <c r="C581" t="str">
        <f t="shared" si="33"/>
        <v>20</v>
      </c>
      <c r="D581" t="s">
        <v>81</v>
      </c>
      <c r="E581" t="str">
        <f t="shared" si="36"/>
        <v>043</v>
      </c>
      <c r="F581" t="s">
        <v>600</v>
      </c>
      <c r="G581" t="str">
        <f>"0320"</f>
        <v>0320</v>
      </c>
      <c r="H581" t="str">
        <f>"0000"</f>
        <v>0000</v>
      </c>
      <c r="I581" t="s">
        <v>83</v>
      </c>
      <c r="J581">
        <v>0</v>
      </c>
      <c r="K581">
        <v>1</v>
      </c>
      <c r="L581">
        <v>3</v>
      </c>
      <c r="M581">
        <v>326</v>
      </c>
      <c r="N581">
        <v>458</v>
      </c>
      <c r="O581">
        <v>0</v>
      </c>
      <c r="P581">
        <v>458</v>
      </c>
      <c r="Q581">
        <v>1</v>
      </c>
      <c r="R581">
        <v>43</v>
      </c>
      <c r="S581">
        <v>5</v>
      </c>
      <c r="U581">
        <v>136</v>
      </c>
      <c r="V581">
        <v>5</v>
      </c>
      <c r="W581">
        <v>2</v>
      </c>
      <c r="X581">
        <v>177</v>
      </c>
      <c r="Y581">
        <v>3</v>
      </c>
      <c r="Z581">
        <v>67</v>
      </c>
      <c r="AA581">
        <v>4</v>
      </c>
      <c r="AB581">
        <v>6</v>
      </c>
      <c r="AF581">
        <v>0</v>
      </c>
      <c r="AG581">
        <v>0</v>
      </c>
      <c r="AH581">
        <v>0</v>
      </c>
      <c r="AI581">
        <v>1</v>
      </c>
      <c r="AW581">
        <v>0</v>
      </c>
      <c r="AX581">
        <v>8</v>
      </c>
      <c r="AY581">
        <v>458</v>
      </c>
      <c r="AZ581">
        <v>458</v>
      </c>
      <c r="BA581">
        <v>740</v>
      </c>
      <c r="BB581">
        <v>44</v>
      </c>
      <c r="BD581">
        <v>1</v>
      </c>
      <c r="BF581" t="s">
        <v>694</v>
      </c>
      <c r="BG581" s="1">
        <v>44354</v>
      </c>
      <c r="BH581" s="1">
        <v>44354.004814814813</v>
      </c>
      <c r="BI581" s="1">
        <v>44354.005532407406</v>
      </c>
      <c r="BJ581" t="s">
        <v>85</v>
      </c>
      <c r="BK581" t="s">
        <v>86</v>
      </c>
      <c r="BL581" t="s">
        <v>87</v>
      </c>
    </row>
    <row r="582" spans="1:64" x14ac:dyDescent="0.3">
      <c r="A582" t="str">
        <f>"200320C0100"</f>
        <v>200320C0100</v>
      </c>
      <c r="B582" t="str">
        <f>"200320C01003"</f>
        <v>200320C01003</v>
      </c>
      <c r="C582" t="str">
        <f t="shared" si="33"/>
        <v>20</v>
      </c>
      <c r="D582" t="s">
        <v>81</v>
      </c>
      <c r="E582" t="str">
        <f t="shared" si="36"/>
        <v>043</v>
      </c>
      <c r="F582" t="s">
        <v>600</v>
      </c>
      <c r="G582" t="str">
        <f>"0320"</f>
        <v>0320</v>
      </c>
      <c r="H582" t="str">
        <f>"0001"</f>
        <v>0001</v>
      </c>
      <c r="I582" t="s">
        <v>89</v>
      </c>
      <c r="J582">
        <v>0</v>
      </c>
      <c r="K582">
        <v>1</v>
      </c>
      <c r="L582">
        <v>3</v>
      </c>
      <c r="M582">
        <v>330</v>
      </c>
      <c r="N582">
        <v>453</v>
      </c>
      <c r="O582">
        <v>8</v>
      </c>
      <c r="P582">
        <v>453</v>
      </c>
      <c r="Q582">
        <v>0</v>
      </c>
      <c r="R582">
        <v>45</v>
      </c>
      <c r="S582">
        <v>8</v>
      </c>
      <c r="U582">
        <v>128</v>
      </c>
      <c r="V582">
        <v>4</v>
      </c>
      <c r="W582">
        <v>1</v>
      </c>
      <c r="X582">
        <v>168</v>
      </c>
      <c r="Y582">
        <v>3</v>
      </c>
      <c r="Z582">
        <v>76</v>
      </c>
      <c r="AA582">
        <v>8</v>
      </c>
      <c r="AB582">
        <v>5</v>
      </c>
      <c r="AF582">
        <v>0</v>
      </c>
      <c r="AG582">
        <v>0</v>
      </c>
      <c r="AH582">
        <v>0</v>
      </c>
      <c r="AI582">
        <v>0</v>
      </c>
      <c r="AW582">
        <v>0</v>
      </c>
      <c r="AX582">
        <v>7</v>
      </c>
      <c r="AY582">
        <v>453</v>
      </c>
      <c r="AZ582">
        <v>453</v>
      </c>
      <c r="BA582">
        <v>739</v>
      </c>
      <c r="BB582">
        <v>44</v>
      </c>
      <c r="BD582">
        <v>1</v>
      </c>
      <c r="BF582" t="s">
        <v>695</v>
      </c>
      <c r="BG582" s="1">
        <v>44353.998611111114</v>
      </c>
      <c r="BH582" s="1">
        <v>44354.003842592596</v>
      </c>
      <c r="BI582" s="1">
        <v>44354.00440972222</v>
      </c>
      <c r="BJ582" t="s">
        <v>85</v>
      </c>
      <c r="BK582" t="s">
        <v>86</v>
      </c>
      <c r="BL582" t="s">
        <v>87</v>
      </c>
    </row>
    <row r="583" spans="1:64" x14ac:dyDescent="0.3">
      <c r="A583" t="str">
        <f>"200321B0000"</f>
        <v>200321B0000</v>
      </c>
      <c r="B583" t="str">
        <f>"200321B00003"</f>
        <v>200321B00003</v>
      </c>
      <c r="C583" t="str">
        <f t="shared" ref="C583:C646" si="38">"20"</f>
        <v>20</v>
      </c>
      <c r="D583" t="s">
        <v>81</v>
      </c>
      <c r="E583" t="str">
        <f t="shared" si="36"/>
        <v>043</v>
      </c>
      <c r="F583" t="s">
        <v>600</v>
      </c>
      <c r="G583" t="str">
        <f>"0321"</f>
        <v>0321</v>
      </c>
      <c r="H583" t="str">
        <f>"0000"</f>
        <v>0000</v>
      </c>
      <c r="I583" t="s">
        <v>83</v>
      </c>
      <c r="J583">
        <v>0</v>
      </c>
      <c r="K583">
        <v>1</v>
      </c>
      <c r="L583">
        <v>3</v>
      </c>
      <c r="M583">
        <v>272</v>
      </c>
      <c r="N583">
        <v>391</v>
      </c>
      <c r="O583">
        <v>6</v>
      </c>
      <c r="P583">
        <v>663</v>
      </c>
      <c r="Q583">
        <v>0</v>
      </c>
      <c r="R583">
        <v>31</v>
      </c>
      <c r="S583">
        <v>1</v>
      </c>
      <c r="U583">
        <v>135</v>
      </c>
      <c r="V583">
        <v>2</v>
      </c>
      <c r="W583">
        <v>0</v>
      </c>
      <c r="X583">
        <v>109</v>
      </c>
      <c r="Y583">
        <v>2</v>
      </c>
      <c r="Z583">
        <v>86</v>
      </c>
      <c r="AA583">
        <v>7</v>
      </c>
      <c r="AB583">
        <v>2</v>
      </c>
      <c r="AF583">
        <v>1</v>
      </c>
      <c r="AG583">
        <v>0</v>
      </c>
      <c r="AH583">
        <v>0</v>
      </c>
      <c r="AI583">
        <v>0</v>
      </c>
      <c r="AW583">
        <v>0</v>
      </c>
      <c r="AX583">
        <v>9</v>
      </c>
      <c r="AY583">
        <v>385</v>
      </c>
      <c r="AZ583">
        <v>385</v>
      </c>
      <c r="BA583">
        <v>618</v>
      </c>
      <c r="BB583">
        <v>44</v>
      </c>
      <c r="BD583">
        <v>1</v>
      </c>
      <c r="BF583" t="s">
        <v>696</v>
      </c>
      <c r="BG583" s="1">
        <v>44353.96875</v>
      </c>
      <c r="BH583" s="1">
        <v>44353.970775462964</v>
      </c>
      <c r="BI583" s="1">
        <v>44353.971539351849</v>
      </c>
      <c r="BJ583" t="s">
        <v>85</v>
      </c>
      <c r="BK583" t="s">
        <v>86</v>
      </c>
      <c r="BL583" t="s">
        <v>87</v>
      </c>
    </row>
    <row r="584" spans="1:64" x14ac:dyDescent="0.3">
      <c r="A584" t="str">
        <f>"200321C0100"</f>
        <v>200321C0100</v>
      </c>
      <c r="B584" t="str">
        <f>"200321C01003"</f>
        <v>200321C01003</v>
      </c>
      <c r="C584" t="str">
        <f t="shared" si="38"/>
        <v>20</v>
      </c>
      <c r="D584" t="s">
        <v>81</v>
      </c>
      <c r="E584" t="str">
        <f t="shared" ref="E584:E620" si="39">"043"</f>
        <v>043</v>
      </c>
      <c r="F584" t="s">
        <v>600</v>
      </c>
      <c r="G584" t="str">
        <f>"0321"</f>
        <v>0321</v>
      </c>
      <c r="H584" t="str">
        <f>"0001"</f>
        <v>0001</v>
      </c>
      <c r="I584" t="s">
        <v>89</v>
      </c>
      <c r="J584">
        <v>0</v>
      </c>
      <c r="K584">
        <v>1</v>
      </c>
      <c r="L584">
        <v>3</v>
      </c>
      <c r="M584">
        <v>265</v>
      </c>
      <c r="N584">
        <v>402</v>
      </c>
      <c r="O584">
        <v>7</v>
      </c>
      <c r="P584">
        <v>395</v>
      </c>
      <c r="Q584">
        <v>1</v>
      </c>
      <c r="R584">
        <v>38</v>
      </c>
      <c r="S584">
        <v>4</v>
      </c>
      <c r="U584">
        <v>120</v>
      </c>
      <c r="V584">
        <v>1</v>
      </c>
      <c r="W584">
        <v>2</v>
      </c>
      <c r="X584">
        <v>96</v>
      </c>
      <c r="Y584">
        <v>2</v>
      </c>
      <c r="Z584">
        <v>114</v>
      </c>
      <c r="AA584">
        <v>5</v>
      </c>
      <c r="AB584">
        <v>2</v>
      </c>
      <c r="AF584">
        <v>1</v>
      </c>
      <c r="AG584">
        <v>0</v>
      </c>
      <c r="AH584">
        <v>0</v>
      </c>
      <c r="AI584">
        <v>0</v>
      </c>
      <c r="AW584">
        <v>0</v>
      </c>
      <c r="AX584">
        <v>9</v>
      </c>
      <c r="AY584">
        <v>395</v>
      </c>
      <c r="AZ584">
        <v>395</v>
      </c>
      <c r="BA584">
        <v>617</v>
      </c>
      <c r="BB584">
        <v>44</v>
      </c>
      <c r="BD584">
        <v>1</v>
      </c>
      <c r="BF584" t="s">
        <v>697</v>
      </c>
      <c r="BG584" s="1">
        <v>44353.96597222222</v>
      </c>
      <c r="BH584" s="1">
        <v>44353.969085648147</v>
      </c>
      <c r="BI584" s="1">
        <v>44353.970914351848</v>
      </c>
      <c r="BJ584" t="s">
        <v>85</v>
      </c>
      <c r="BK584" t="s">
        <v>86</v>
      </c>
      <c r="BL584" t="s">
        <v>87</v>
      </c>
    </row>
    <row r="585" spans="1:64" x14ac:dyDescent="0.3">
      <c r="A585" t="str">
        <f>"200321C0200"</f>
        <v>200321C0200</v>
      </c>
      <c r="B585" t="str">
        <f>"200321C02003"</f>
        <v>200321C02003</v>
      </c>
      <c r="C585" t="str">
        <f t="shared" si="38"/>
        <v>20</v>
      </c>
      <c r="D585" t="s">
        <v>81</v>
      </c>
      <c r="E585" t="str">
        <f t="shared" si="39"/>
        <v>043</v>
      </c>
      <c r="F585" t="s">
        <v>600</v>
      </c>
      <c r="G585" t="str">
        <f>"0321"</f>
        <v>0321</v>
      </c>
      <c r="H585" t="str">
        <f>"0002"</f>
        <v>0002</v>
      </c>
      <c r="I585" t="s">
        <v>89</v>
      </c>
      <c r="J585">
        <v>0</v>
      </c>
      <c r="K585">
        <v>1</v>
      </c>
      <c r="L585">
        <v>3</v>
      </c>
      <c r="M585">
        <v>299</v>
      </c>
      <c r="N585">
        <v>362</v>
      </c>
      <c r="O585">
        <v>3</v>
      </c>
      <c r="P585" t="s">
        <v>92</v>
      </c>
      <c r="Q585">
        <v>2</v>
      </c>
      <c r="R585">
        <v>52</v>
      </c>
      <c r="S585">
        <v>2</v>
      </c>
      <c r="U585">
        <v>98</v>
      </c>
      <c r="V585">
        <v>1</v>
      </c>
      <c r="W585">
        <v>0</v>
      </c>
      <c r="X585">
        <v>98</v>
      </c>
      <c r="Y585">
        <v>2</v>
      </c>
      <c r="Z585">
        <v>91</v>
      </c>
      <c r="AA585">
        <v>7</v>
      </c>
      <c r="AB585">
        <v>3</v>
      </c>
      <c r="AF585">
        <v>0</v>
      </c>
      <c r="AG585">
        <v>0</v>
      </c>
      <c r="AH585">
        <v>0</v>
      </c>
      <c r="AI585">
        <v>0</v>
      </c>
      <c r="AW585">
        <v>0</v>
      </c>
      <c r="AX585">
        <v>6</v>
      </c>
      <c r="AY585">
        <v>362</v>
      </c>
      <c r="AZ585">
        <v>362</v>
      </c>
      <c r="BA585">
        <v>617</v>
      </c>
      <c r="BB585">
        <v>44</v>
      </c>
      <c r="BD585">
        <v>1</v>
      </c>
      <c r="BF585" t="s">
        <v>698</v>
      </c>
      <c r="BG585" s="1">
        <v>44353.968055555553</v>
      </c>
      <c r="BH585" s="1">
        <v>44353.970104166663</v>
      </c>
      <c r="BI585" s="1">
        <v>44353.97079861111</v>
      </c>
      <c r="BJ585" t="s">
        <v>85</v>
      </c>
      <c r="BK585" t="s">
        <v>86</v>
      </c>
      <c r="BL585" t="s">
        <v>87</v>
      </c>
    </row>
    <row r="586" spans="1:64" x14ac:dyDescent="0.3">
      <c r="A586" t="str">
        <f>"200322B0000"</f>
        <v>200322B0000</v>
      </c>
      <c r="B586" t="str">
        <f>"200322B00003"</f>
        <v>200322B00003</v>
      </c>
      <c r="C586" t="str">
        <f t="shared" si="38"/>
        <v>20</v>
      </c>
      <c r="D586" t="s">
        <v>81</v>
      </c>
      <c r="E586" t="str">
        <f t="shared" si="39"/>
        <v>043</v>
      </c>
      <c r="F586" t="s">
        <v>600</v>
      </c>
      <c r="G586" t="str">
        <f>"0322"</f>
        <v>0322</v>
      </c>
      <c r="H586" t="str">
        <f>"0000"</f>
        <v>0000</v>
      </c>
      <c r="I586" t="s">
        <v>83</v>
      </c>
      <c r="J586">
        <v>0</v>
      </c>
      <c r="K586">
        <v>1</v>
      </c>
      <c r="L586">
        <v>3</v>
      </c>
      <c r="M586">
        <v>283</v>
      </c>
      <c r="N586">
        <v>483</v>
      </c>
      <c r="O586">
        <v>6</v>
      </c>
      <c r="P586">
        <v>483</v>
      </c>
      <c r="Q586">
        <v>3</v>
      </c>
      <c r="R586">
        <v>37</v>
      </c>
      <c r="S586">
        <v>3</v>
      </c>
      <c r="U586">
        <v>159</v>
      </c>
      <c r="V586">
        <v>1</v>
      </c>
      <c r="W586">
        <v>2</v>
      </c>
      <c r="X586">
        <v>139</v>
      </c>
      <c r="Y586">
        <v>11</v>
      </c>
      <c r="Z586">
        <v>99</v>
      </c>
      <c r="AA586">
        <v>7</v>
      </c>
      <c r="AB586">
        <v>5</v>
      </c>
      <c r="AF586">
        <v>0</v>
      </c>
      <c r="AG586">
        <v>0</v>
      </c>
      <c r="AH586">
        <v>0</v>
      </c>
      <c r="AI586">
        <v>0</v>
      </c>
      <c r="AW586">
        <v>0</v>
      </c>
      <c r="AX586">
        <v>17</v>
      </c>
      <c r="AY586">
        <v>483</v>
      </c>
      <c r="AZ586">
        <v>483</v>
      </c>
      <c r="BA586">
        <v>722</v>
      </c>
      <c r="BB586">
        <v>44</v>
      </c>
      <c r="BD586">
        <v>1</v>
      </c>
      <c r="BF586" t="s">
        <v>699</v>
      </c>
      <c r="BG586" s="1">
        <v>44354.005555555559</v>
      </c>
      <c r="BH586" s="1">
        <v>44354.011886574073</v>
      </c>
      <c r="BI586" s="1">
        <v>44354.012557870374</v>
      </c>
      <c r="BJ586" t="s">
        <v>85</v>
      </c>
      <c r="BK586" t="s">
        <v>86</v>
      </c>
      <c r="BL586" t="s">
        <v>87</v>
      </c>
    </row>
    <row r="587" spans="1:64" x14ac:dyDescent="0.3">
      <c r="A587" t="str">
        <f>"200322C0100"</f>
        <v>200322C0100</v>
      </c>
      <c r="B587" t="str">
        <f>"200322C01003"</f>
        <v>200322C01003</v>
      </c>
      <c r="C587" t="str">
        <f t="shared" si="38"/>
        <v>20</v>
      </c>
      <c r="D587" t="s">
        <v>81</v>
      </c>
      <c r="E587" t="str">
        <f t="shared" si="39"/>
        <v>043</v>
      </c>
      <c r="F587" t="s">
        <v>600</v>
      </c>
      <c r="G587" t="str">
        <f>"0322"</f>
        <v>0322</v>
      </c>
      <c r="H587" t="str">
        <f>"0001"</f>
        <v>0001</v>
      </c>
      <c r="I587" t="s">
        <v>89</v>
      </c>
      <c r="J587">
        <v>0</v>
      </c>
      <c r="K587">
        <v>1</v>
      </c>
      <c r="L587">
        <v>3</v>
      </c>
      <c r="M587">
        <v>313</v>
      </c>
      <c r="N587">
        <v>453</v>
      </c>
      <c r="O587">
        <v>4</v>
      </c>
      <c r="P587">
        <v>453</v>
      </c>
      <c r="Q587">
        <v>1</v>
      </c>
      <c r="R587">
        <v>46</v>
      </c>
      <c r="S587">
        <v>8</v>
      </c>
      <c r="U587">
        <v>127</v>
      </c>
      <c r="V587">
        <v>3</v>
      </c>
      <c r="W587">
        <v>3</v>
      </c>
      <c r="X587">
        <v>114</v>
      </c>
      <c r="Y587">
        <v>5</v>
      </c>
      <c r="Z587">
        <v>118</v>
      </c>
      <c r="AA587">
        <v>12</v>
      </c>
      <c r="AB587">
        <v>6</v>
      </c>
      <c r="AF587">
        <v>0</v>
      </c>
      <c r="AG587">
        <v>0</v>
      </c>
      <c r="AH587">
        <v>0</v>
      </c>
      <c r="AI587">
        <v>0</v>
      </c>
      <c r="AW587">
        <v>0</v>
      </c>
      <c r="AX587">
        <v>10</v>
      </c>
      <c r="AY587">
        <v>453</v>
      </c>
      <c r="AZ587">
        <v>453</v>
      </c>
      <c r="BA587">
        <v>722</v>
      </c>
      <c r="BB587">
        <v>44</v>
      </c>
      <c r="BD587">
        <v>1</v>
      </c>
      <c r="BF587" t="s">
        <v>700</v>
      </c>
      <c r="BG587" s="1">
        <v>44354.009027777778</v>
      </c>
      <c r="BH587" s="1">
        <v>44354.017233796294</v>
      </c>
      <c r="BI587" s="1">
        <v>44354.018414351849</v>
      </c>
      <c r="BJ587" t="s">
        <v>85</v>
      </c>
      <c r="BK587" t="s">
        <v>86</v>
      </c>
      <c r="BL587" t="s">
        <v>87</v>
      </c>
    </row>
    <row r="588" spans="1:64" x14ac:dyDescent="0.3">
      <c r="A588" t="str">
        <f>"200322C0200"</f>
        <v>200322C0200</v>
      </c>
      <c r="B588" t="str">
        <f>"200322C02003"</f>
        <v>200322C02003</v>
      </c>
      <c r="C588" t="str">
        <f t="shared" si="38"/>
        <v>20</v>
      </c>
      <c r="D588" t="s">
        <v>81</v>
      </c>
      <c r="E588" t="str">
        <f t="shared" si="39"/>
        <v>043</v>
      </c>
      <c r="F588" t="s">
        <v>600</v>
      </c>
      <c r="G588" t="str">
        <f>"0322"</f>
        <v>0322</v>
      </c>
      <c r="H588" t="str">
        <f>"0002"</f>
        <v>0002</v>
      </c>
      <c r="I588" t="s">
        <v>89</v>
      </c>
      <c r="J588">
        <v>0</v>
      </c>
      <c r="K588">
        <v>1</v>
      </c>
      <c r="L588">
        <v>3</v>
      </c>
      <c r="M588">
        <v>333</v>
      </c>
      <c r="N588">
        <v>433</v>
      </c>
      <c r="O588">
        <v>8</v>
      </c>
      <c r="P588">
        <v>433</v>
      </c>
      <c r="Q588">
        <v>0</v>
      </c>
      <c r="R588">
        <v>35</v>
      </c>
      <c r="S588">
        <v>3</v>
      </c>
      <c r="U588">
        <v>148</v>
      </c>
      <c r="V588">
        <v>0</v>
      </c>
      <c r="W588">
        <v>0</v>
      </c>
      <c r="X588">
        <v>116</v>
      </c>
      <c r="Y588">
        <v>5</v>
      </c>
      <c r="Z588">
        <v>95</v>
      </c>
      <c r="AA588">
        <v>10</v>
      </c>
      <c r="AB588">
        <v>7</v>
      </c>
      <c r="AF588">
        <v>2</v>
      </c>
      <c r="AG588">
        <v>0</v>
      </c>
      <c r="AH588">
        <v>0</v>
      </c>
      <c r="AI588">
        <v>0</v>
      </c>
      <c r="AW588">
        <v>0</v>
      </c>
      <c r="AX588">
        <v>12</v>
      </c>
      <c r="AY588">
        <v>433</v>
      </c>
      <c r="AZ588">
        <v>433</v>
      </c>
      <c r="BA588">
        <v>722</v>
      </c>
      <c r="BB588">
        <v>44</v>
      </c>
      <c r="BD588">
        <v>1</v>
      </c>
      <c r="BF588" t="s">
        <v>701</v>
      </c>
      <c r="BG588" s="1">
        <v>44354.006944444445</v>
      </c>
      <c r="BH588" s="1">
        <v>44354.013842592591</v>
      </c>
      <c r="BI588" s="1">
        <v>44354.014201388891</v>
      </c>
      <c r="BJ588" t="s">
        <v>85</v>
      </c>
      <c r="BK588" t="s">
        <v>86</v>
      </c>
      <c r="BL588" t="s">
        <v>87</v>
      </c>
    </row>
    <row r="589" spans="1:64" x14ac:dyDescent="0.3">
      <c r="A589" t="str">
        <f>"200322C0300"</f>
        <v>200322C0300</v>
      </c>
      <c r="B589" t="str">
        <f>"200322C03003"</f>
        <v>200322C03003</v>
      </c>
      <c r="C589" t="str">
        <f t="shared" si="38"/>
        <v>20</v>
      </c>
      <c r="D589" t="s">
        <v>81</v>
      </c>
      <c r="E589" t="str">
        <f t="shared" si="39"/>
        <v>043</v>
      </c>
      <c r="F589" t="s">
        <v>600</v>
      </c>
      <c r="G589" t="str">
        <f>"0322"</f>
        <v>0322</v>
      </c>
      <c r="H589" t="str">
        <f>"0003"</f>
        <v>0003</v>
      </c>
      <c r="I589" t="s">
        <v>89</v>
      </c>
      <c r="J589">
        <v>0</v>
      </c>
      <c r="K589">
        <v>1</v>
      </c>
      <c r="L589">
        <v>3</v>
      </c>
      <c r="M589">
        <v>330</v>
      </c>
      <c r="N589">
        <v>436</v>
      </c>
      <c r="O589">
        <v>6</v>
      </c>
      <c r="P589">
        <v>436</v>
      </c>
      <c r="Q589">
        <v>0</v>
      </c>
      <c r="R589">
        <v>38</v>
      </c>
      <c r="S589">
        <v>1</v>
      </c>
      <c r="U589">
        <v>131</v>
      </c>
      <c r="V589">
        <v>0</v>
      </c>
      <c r="W589">
        <v>0</v>
      </c>
      <c r="X589">
        <v>125</v>
      </c>
      <c r="Y589">
        <v>6</v>
      </c>
      <c r="Z589">
        <v>112</v>
      </c>
      <c r="AA589">
        <v>8</v>
      </c>
      <c r="AB589">
        <v>4</v>
      </c>
      <c r="AF589">
        <v>0</v>
      </c>
      <c r="AG589">
        <v>0</v>
      </c>
      <c r="AH589">
        <v>0</v>
      </c>
      <c r="AI589">
        <v>0</v>
      </c>
      <c r="AW589">
        <v>0</v>
      </c>
      <c r="AX589">
        <v>11</v>
      </c>
      <c r="AY589">
        <v>436</v>
      </c>
      <c r="AZ589">
        <v>436</v>
      </c>
      <c r="BA589">
        <v>722</v>
      </c>
      <c r="BB589">
        <v>44</v>
      </c>
      <c r="BD589">
        <v>1</v>
      </c>
      <c r="BF589" t="s">
        <v>702</v>
      </c>
      <c r="BG589" s="1">
        <v>44354.011805555558</v>
      </c>
      <c r="BH589" s="1">
        <v>44354.018912037034</v>
      </c>
      <c r="BI589" s="1">
        <v>44354.019375000003</v>
      </c>
      <c r="BJ589" t="s">
        <v>85</v>
      </c>
      <c r="BK589" t="s">
        <v>86</v>
      </c>
      <c r="BL589" t="s">
        <v>87</v>
      </c>
    </row>
    <row r="590" spans="1:64" x14ac:dyDescent="0.3">
      <c r="A590" t="str">
        <f>"200323B0000"</f>
        <v>200323B0000</v>
      </c>
      <c r="B590" t="str">
        <f>"200323B00003"</f>
        <v>200323B00003</v>
      </c>
      <c r="C590" t="str">
        <f t="shared" si="38"/>
        <v>20</v>
      </c>
      <c r="D590" t="s">
        <v>81</v>
      </c>
      <c r="E590" t="str">
        <f t="shared" si="39"/>
        <v>043</v>
      </c>
      <c r="F590" t="s">
        <v>600</v>
      </c>
      <c r="G590" t="str">
        <f>"0323"</f>
        <v>0323</v>
      </c>
      <c r="H590" t="str">
        <f>"0000"</f>
        <v>0000</v>
      </c>
      <c r="I590" t="s">
        <v>83</v>
      </c>
      <c r="J590">
        <v>0</v>
      </c>
      <c r="K590">
        <v>1</v>
      </c>
      <c r="L590">
        <v>3</v>
      </c>
      <c r="M590">
        <v>243</v>
      </c>
      <c r="N590">
        <v>293</v>
      </c>
      <c r="O590">
        <v>1</v>
      </c>
      <c r="P590">
        <v>293</v>
      </c>
      <c r="Q590">
        <v>3</v>
      </c>
      <c r="R590">
        <v>33</v>
      </c>
      <c r="S590">
        <v>2</v>
      </c>
      <c r="U590">
        <v>111</v>
      </c>
      <c r="V590">
        <v>2</v>
      </c>
      <c r="W590">
        <v>0</v>
      </c>
      <c r="X590">
        <v>114</v>
      </c>
      <c r="Y590">
        <v>0</v>
      </c>
      <c r="Z590">
        <v>12</v>
      </c>
      <c r="AA590">
        <v>3</v>
      </c>
      <c r="AB590">
        <v>3</v>
      </c>
      <c r="AF590">
        <v>2</v>
      </c>
      <c r="AG590">
        <v>0</v>
      </c>
      <c r="AH590">
        <v>0</v>
      </c>
      <c r="AI590">
        <v>0</v>
      </c>
      <c r="AW590">
        <v>0</v>
      </c>
      <c r="AX590">
        <v>8</v>
      </c>
      <c r="AY590">
        <v>293</v>
      </c>
      <c r="AZ590">
        <v>293</v>
      </c>
      <c r="BA590">
        <v>492</v>
      </c>
      <c r="BB590">
        <v>44</v>
      </c>
      <c r="BD590">
        <v>1</v>
      </c>
      <c r="BF590" t="s">
        <v>703</v>
      </c>
      <c r="BG590" s="1">
        <v>44354.188194444447</v>
      </c>
      <c r="BH590" s="1">
        <v>44354.190787037034</v>
      </c>
      <c r="BI590" s="1">
        <v>44354.191261574073</v>
      </c>
      <c r="BJ590" t="s">
        <v>85</v>
      </c>
      <c r="BK590" t="s">
        <v>86</v>
      </c>
      <c r="BL590" t="s">
        <v>87</v>
      </c>
    </row>
    <row r="591" spans="1:64" x14ac:dyDescent="0.3">
      <c r="A591" t="str">
        <f>"200323C0100"</f>
        <v>200323C0100</v>
      </c>
      <c r="B591" t="str">
        <f>"200323C01003"</f>
        <v>200323C01003</v>
      </c>
      <c r="C591" t="str">
        <f t="shared" si="38"/>
        <v>20</v>
      </c>
      <c r="D591" t="s">
        <v>81</v>
      </c>
      <c r="E591" t="str">
        <f t="shared" si="39"/>
        <v>043</v>
      </c>
      <c r="F591" t="s">
        <v>600</v>
      </c>
      <c r="G591" t="str">
        <f>"0323"</f>
        <v>0323</v>
      </c>
      <c r="H591" t="str">
        <f>"0001"</f>
        <v>0001</v>
      </c>
      <c r="I591" t="s">
        <v>89</v>
      </c>
      <c r="J591">
        <v>0</v>
      </c>
      <c r="K591">
        <v>1</v>
      </c>
      <c r="L591">
        <v>3</v>
      </c>
      <c r="M591">
        <v>271</v>
      </c>
      <c r="N591">
        <v>264</v>
      </c>
      <c r="O591">
        <v>0</v>
      </c>
      <c r="P591">
        <v>264</v>
      </c>
      <c r="Q591">
        <v>1</v>
      </c>
      <c r="R591">
        <v>37</v>
      </c>
      <c r="S591">
        <v>1</v>
      </c>
      <c r="U591">
        <v>83</v>
      </c>
      <c r="V591">
        <v>6</v>
      </c>
      <c r="W591">
        <v>0</v>
      </c>
      <c r="X591">
        <v>114</v>
      </c>
      <c r="Y591">
        <v>0</v>
      </c>
      <c r="Z591">
        <v>6</v>
      </c>
      <c r="AA591">
        <v>2</v>
      </c>
      <c r="AB591">
        <v>0</v>
      </c>
      <c r="AF591">
        <v>0</v>
      </c>
      <c r="AG591">
        <v>1</v>
      </c>
      <c r="AH591">
        <v>0</v>
      </c>
      <c r="AI591">
        <v>1</v>
      </c>
      <c r="AW591">
        <v>0</v>
      </c>
      <c r="AX591">
        <v>12</v>
      </c>
      <c r="AY591">
        <v>264</v>
      </c>
      <c r="AZ591">
        <v>264</v>
      </c>
      <c r="BA591">
        <v>491</v>
      </c>
      <c r="BB591">
        <v>44</v>
      </c>
      <c r="BD591">
        <v>1</v>
      </c>
      <c r="BF591" t="s">
        <v>704</v>
      </c>
      <c r="BG591" s="1">
        <v>44354.186111111114</v>
      </c>
      <c r="BH591" s="1">
        <v>44354.18854166667</v>
      </c>
      <c r="BI591" s="1">
        <v>44354.18917824074</v>
      </c>
      <c r="BJ591" t="s">
        <v>85</v>
      </c>
      <c r="BK591" t="s">
        <v>86</v>
      </c>
      <c r="BL591" t="s">
        <v>87</v>
      </c>
    </row>
    <row r="592" spans="1:64" x14ac:dyDescent="0.3">
      <c r="A592" t="str">
        <f>"200324B0000"</f>
        <v>200324B0000</v>
      </c>
      <c r="B592" t="str">
        <f>"200324B00003"</f>
        <v>200324B00003</v>
      </c>
      <c r="C592" t="str">
        <f t="shared" si="38"/>
        <v>20</v>
      </c>
      <c r="D592" t="s">
        <v>81</v>
      </c>
      <c r="E592" t="str">
        <f t="shared" si="39"/>
        <v>043</v>
      </c>
      <c r="F592" t="s">
        <v>600</v>
      </c>
      <c r="G592" t="str">
        <f>"0324"</f>
        <v>0324</v>
      </c>
      <c r="H592" t="str">
        <f>"0000"</f>
        <v>0000</v>
      </c>
      <c r="I592" t="s">
        <v>83</v>
      </c>
      <c r="J592">
        <v>0</v>
      </c>
      <c r="K592">
        <v>1</v>
      </c>
      <c r="L592">
        <v>3</v>
      </c>
      <c r="M592">
        <v>205</v>
      </c>
      <c r="N592">
        <v>231</v>
      </c>
      <c r="O592">
        <v>0</v>
      </c>
      <c r="P592">
        <v>231</v>
      </c>
      <c r="Q592">
        <v>0</v>
      </c>
      <c r="R592">
        <v>33</v>
      </c>
      <c r="S592">
        <v>0</v>
      </c>
      <c r="U592">
        <v>85</v>
      </c>
      <c r="V592">
        <v>4</v>
      </c>
      <c r="W592">
        <v>2</v>
      </c>
      <c r="X592">
        <v>93</v>
      </c>
      <c r="Y592">
        <v>2</v>
      </c>
      <c r="Z592">
        <v>5</v>
      </c>
      <c r="AA592">
        <v>1</v>
      </c>
      <c r="AB592">
        <v>3</v>
      </c>
      <c r="AF592">
        <v>0</v>
      </c>
      <c r="AG592">
        <v>0</v>
      </c>
      <c r="AH592">
        <v>0</v>
      </c>
      <c r="AI592">
        <v>0</v>
      </c>
      <c r="AW592">
        <v>0</v>
      </c>
      <c r="AX592">
        <v>3</v>
      </c>
      <c r="AY592">
        <v>231</v>
      </c>
      <c r="AZ592">
        <v>231</v>
      </c>
      <c r="BA592">
        <v>392</v>
      </c>
      <c r="BB592">
        <v>44</v>
      </c>
      <c r="BD592">
        <v>1</v>
      </c>
      <c r="BF592" t="s">
        <v>705</v>
      </c>
      <c r="BG592" s="1">
        <v>44354.18472222222</v>
      </c>
      <c r="BH592" s="1">
        <v>44354.187395833331</v>
      </c>
      <c r="BI592" s="1">
        <v>44354.188298611109</v>
      </c>
      <c r="BJ592" t="s">
        <v>85</v>
      </c>
      <c r="BK592" t="s">
        <v>86</v>
      </c>
      <c r="BL592" t="s">
        <v>87</v>
      </c>
    </row>
    <row r="593" spans="1:64" x14ac:dyDescent="0.3">
      <c r="A593" t="str">
        <f>"200324C0100"</f>
        <v>200324C0100</v>
      </c>
      <c r="B593" t="str">
        <f>"200324C01003"</f>
        <v>200324C01003</v>
      </c>
      <c r="C593" t="str">
        <f t="shared" si="38"/>
        <v>20</v>
      </c>
      <c r="D593" t="s">
        <v>81</v>
      </c>
      <c r="E593" t="str">
        <f t="shared" si="39"/>
        <v>043</v>
      </c>
      <c r="F593" t="s">
        <v>600</v>
      </c>
      <c r="G593" t="str">
        <f>"0324"</f>
        <v>0324</v>
      </c>
      <c r="H593" t="str">
        <f>"0001"</f>
        <v>0001</v>
      </c>
      <c r="I593" t="s">
        <v>89</v>
      </c>
      <c r="J593">
        <v>0</v>
      </c>
      <c r="K593">
        <v>1</v>
      </c>
      <c r="L593">
        <v>3</v>
      </c>
      <c r="M593">
        <v>248</v>
      </c>
      <c r="N593">
        <v>188</v>
      </c>
      <c r="O593">
        <v>0</v>
      </c>
      <c r="P593">
        <v>188</v>
      </c>
      <c r="Q593">
        <v>0</v>
      </c>
      <c r="R593">
        <v>21</v>
      </c>
      <c r="S593">
        <v>3</v>
      </c>
      <c r="U593">
        <v>68</v>
      </c>
      <c r="V593">
        <v>1</v>
      </c>
      <c r="W593">
        <v>1</v>
      </c>
      <c r="X593">
        <v>82</v>
      </c>
      <c r="Y593">
        <v>1</v>
      </c>
      <c r="Z593">
        <v>3</v>
      </c>
      <c r="AA593">
        <v>1</v>
      </c>
      <c r="AB593">
        <v>1</v>
      </c>
      <c r="AF593">
        <v>0</v>
      </c>
      <c r="AG593">
        <v>0</v>
      </c>
      <c r="AH593">
        <v>0</v>
      </c>
      <c r="AI593">
        <v>0</v>
      </c>
      <c r="AW593">
        <v>0</v>
      </c>
      <c r="AX593">
        <v>6</v>
      </c>
      <c r="AY593">
        <v>188</v>
      </c>
      <c r="AZ593">
        <v>188</v>
      </c>
      <c r="BA593">
        <v>392</v>
      </c>
      <c r="BB593">
        <v>44</v>
      </c>
      <c r="BD593">
        <v>1</v>
      </c>
      <c r="BF593" t="s">
        <v>706</v>
      </c>
      <c r="BG593" s="1">
        <v>44354.189583333333</v>
      </c>
      <c r="BH593" s="1">
        <v>44354.192013888889</v>
      </c>
      <c r="BI593" s="1">
        <v>44354.192256944443</v>
      </c>
      <c r="BJ593" t="s">
        <v>85</v>
      </c>
      <c r="BK593" t="s">
        <v>86</v>
      </c>
      <c r="BL593" t="s">
        <v>87</v>
      </c>
    </row>
    <row r="594" spans="1:64" x14ac:dyDescent="0.3">
      <c r="A594" t="str">
        <f>"200325B0000"</f>
        <v>200325B0000</v>
      </c>
      <c r="B594" t="str">
        <f>"200325B00003"</f>
        <v>200325B00003</v>
      </c>
      <c r="C594" t="str">
        <f t="shared" si="38"/>
        <v>20</v>
      </c>
      <c r="D594" t="s">
        <v>81</v>
      </c>
      <c r="E594" t="str">
        <f t="shared" si="39"/>
        <v>043</v>
      </c>
      <c r="F594" t="s">
        <v>600</v>
      </c>
      <c r="G594" t="str">
        <f>"0325"</f>
        <v>0325</v>
      </c>
      <c r="H594" t="str">
        <f>"0000"</f>
        <v>0000</v>
      </c>
      <c r="I594" t="s">
        <v>83</v>
      </c>
      <c r="J594">
        <v>0</v>
      </c>
      <c r="K594">
        <v>1</v>
      </c>
      <c r="L594">
        <v>3</v>
      </c>
      <c r="M594">
        <v>316</v>
      </c>
      <c r="N594">
        <v>368</v>
      </c>
      <c r="O594">
        <v>4</v>
      </c>
      <c r="P594">
        <v>366</v>
      </c>
      <c r="Q594">
        <v>0</v>
      </c>
      <c r="R594">
        <v>20</v>
      </c>
      <c r="S594">
        <v>3</v>
      </c>
      <c r="U594">
        <v>98</v>
      </c>
      <c r="V594">
        <v>26</v>
      </c>
      <c r="W594">
        <v>1</v>
      </c>
      <c r="X594">
        <v>158</v>
      </c>
      <c r="Y594">
        <v>1</v>
      </c>
      <c r="Z594">
        <v>19</v>
      </c>
      <c r="AA594">
        <v>7</v>
      </c>
      <c r="AB594">
        <v>25</v>
      </c>
      <c r="AF594">
        <v>0</v>
      </c>
      <c r="AG594">
        <v>0</v>
      </c>
      <c r="AH594">
        <v>0</v>
      </c>
      <c r="AI594">
        <v>0</v>
      </c>
      <c r="AW594" t="s">
        <v>95</v>
      </c>
      <c r="AX594">
        <v>8</v>
      </c>
      <c r="AY594">
        <v>366</v>
      </c>
      <c r="AZ594">
        <v>366</v>
      </c>
      <c r="BA594">
        <v>636</v>
      </c>
      <c r="BB594">
        <v>44</v>
      </c>
      <c r="BC594" t="s">
        <v>96</v>
      </c>
      <c r="BD594">
        <v>1</v>
      </c>
      <c r="BF594" t="s">
        <v>707</v>
      </c>
      <c r="BG594" s="1">
        <v>44353.979166666664</v>
      </c>
      <c r="BH594" s="1">
        <v>44353.981180555558</v>
      </c>
      <c r="BI594" s="1">
        <v>44353.981446759259</v>
      </c>
      <c r="BJ594" t="s">
        <v>85</v>
      </c>
      <c r="BK594" t="s">
        <v>86</v>
      </c>
      <c r="BL594" t="s">
        <v>87</v>
      </c>
    </row>
    <row r="595" spans="1:64" x14ac:dyDescent="0.3">
      <c r="A595" t="str">
        <f>"200325C0100"</f>
        <v>200325C0100</v>
      </c>
      <c r="B595" t="str">
        <f>"200325C01003"</f>
        <v>200325C01003</v>
      </c>
      <c r="C595" t="str">
        <f t="shared" si="38"/>
        <v>20</v>
      </c>
      <c r="D595" t="s">
        <v>81</v>
      </c>
      <c r="E595" t="str">
        <f t="shared" si="39"/>
        <v>043</v>
      </c>
      <c r="F595" t="s">
        <v>600</v>
      </c>
      <c r="G595" t="str">
        <f>"0325"</f>
        <v>0325</v>
      </c>
      <c r="H595" t="str">
        <f>"0001"</f>
        <v>0001</v>
      </c>
      <c r="I595" t="s">
        <v>89</v>
      </c>
      <c r="J595">
        <v>0</v>
      </c>
      <c r="K595">
        <v>1</v>
      </c>
      <c r="L595">
        <v>3</v>
      </c>
      <c r="M595">
        <v>272</v>
      </c>
      <c r="N595">
        <v>408</v>
      </c>
      <c r="O595">
        <v>1</v>
      </c>
      <c r="P595">
        <v>405</v>
      </c>
      <c r="Q595">
        <v>1</v>
      </c>
      <c r="R595">
        <v>36</v>
      </c>
      <c r="S595">
        <v>1</v>
      </c>
      <c r="U595">
        <v>118</v>
      </c>
      <c r="V595">
        <v>52</v>
      </c>
      <c r="W595">
        <v>1</v>
      </c>
      <c r="X595">
        <v>156</v>
      </c>
      <c r="Y595">
        <v>3</v>
      </c>
      <c r="Z595">
        <v>17</v>
      </c>
      <c r="AA595">
        <v>0</v>
      </c>
      <c r="AB595">
        <v>12</v>
      </c>
      <c r="AF595">
        <v>0</v>
      </c>
      <c r="AG595">
        <v>0</v>
      </c>
      <c r="AH595">
        <v>0</v>
      </c>
      <c r="AI595">
        <v>0</v>
      </c>
      <c r="AW595">
        <v>0</v>
      </c>
      <c r="AX595">
        <v>8</v>
      </c>
      <c r="AY595">
        <v>405</v>
      </c>
      <c r="AZ595">
        <v>405</v>
      </c>
      <c r="BA595">
        <v>636</v>
      </c>
      <c r="BB595">
        <v>44</v>
      </c>
      <c r="BD595">
        <v>1</v>
      </c>
      <c r="BF595" t="s">
        <v>708</v>
      </c>
      <c r="BG595" s="1">
        <v>44353.980555555558</v>
      </c>
      <c r="BH595" s="1">
        <v>44353.983715277776</v>
      </c>
      <c r="BI595" s="1">
        <v>44353.984548611108</v>
      </c>
      <c r="BJ595" t="s">
        <v>85</v>
      </c>
      <c r="BK595" t="s">
        <v>86</v>
      </c>
      <c r="BL595" t="s">
        <v>87</v>
      </c>
    </row>
    <row r="596" spans="1:64" x14ac:dyDescent="0.3">
      <c r="A596" t="str">
        <f>"200325C0200"</f>
        <v>200325C0200</v>
      </c>
      <c r="B596" t="str">
        <f>"200325C02003"</f>
        <v>200325C02003</v>
      </c>
      <c r="C596" t="str">
        <f t="shared" si="38"/>
        <v>20</v>
      </c>
      <c r="D596" t="s">
        <v>81</v>
      </c>
      <c r="E596" t="str">
        <f t="shared" si="39"/>
        <v>043</v>
      </c>
      <c r="F596" t="s">
        <v>600</v>
      </c>
      <c r="G596" t="str">
        <f>"0325"</f>
        <v>0325</v>
      </c>
      <c r="H596" t="str">
        <f>"0002"</f>
        <v>0002</v>
      </c>
      <c r="I596" t="s">
        <v>89</v>
      </c>
      <c r="J596">
        <v>0</v>
      </c>
      <c r="K596">
        <v>1</v>
      </c>
      <c r="L596">
        <v>3</v>
      </c>
      <c r="M596">
        <v>259</v>
      </c>
      <c r="N596">
        <v>415</v>
      </c>
      <c r="O596">
        <v>4</v>
      </c>
      <c r="P596">
        <v>422</v>
      </c>
      <c r="Q596">
        <v>1</v>
      </c>
      <c r="R596">
        <v>23</v>
      </c>
      <c r="S596">
        <v>1</v>
      </c>
      <c r="U596">
        <v>125</v>
      </c>
      <c r="V596">
        <v>33</v>
      </c>
      <c r="W596">
        <v>0</v>
      </c>
      <c r="X596">
        <v>165</v>
      </c>
      <c r="Y596">
        <v>3</v>
      </c>
      <c r="Z596">
        <v>37</v>
      </c>
      <c r="AA596">
        <v>3</v>
      </c>
      <c r="AB596">
        <v>20</v>
      </c>
      <c r="AF596">
        <v>0</v>
      </c>
      <c r="AG596">
        <v>0</v>
      </c>
      <c r="AH596">
        <v>0</v>
      </c>
      <c r="AI596">
        <v>0</v>
      </c>
      <c r="AW596">
        <v>1</v>
      </c>
      <c r="AX596">
        <v>11</v>
      </c>
      <c r="AY596">
        <v>422</v>
      </c>
      <c r="AZ596">
        <v>423</v>
      </c>
      <c r="BA596">
        <v>635</v>
      </c>
      <c r="BB596">
        <v>44</v>
      </c>
      <c r="BD596">
        <v>1</v>
      </c>
      <c r="BF596" t="s">
        <v>709</v>
      </c>
      <c r="BG596" s="1">
        <v>44353.98333333333</v>
      </c>
      <c r="BH596" s="1">
        <v>44353.985127314816</v>
      </c>
      <c r="BI596" s="1">
        <v>44353.986215277779</v>
      </c>
      <c r="BJ596" t="s">
        <v>85</v>
      </c>
      <c r="BK596" t="s">
        <v>86</v>
      </c>
      <c r="BL596" t="s">
        <v>87</v>
      </c>
    </row>
    <row r="597" spans="1:64" x14ac:dyDescent="0.3">
      <c r="A597" t="str">
        <f>"200326B0000"</f>
        <v>200326B0000</v>
      </c>
      <c r="B597" t="str">
        <f>"200326B00003"</f>
        <v>200326B00003</v>
      </c>
      <c r="C597" t="str">
        <f t="shared" si="38"/>
        <v>20</v>
      </c>
      <c r="D597" t="s">
        <v>81</v>
      </c>
      <c r="E597" t="str">
        <f t="shared" si="39"/>
        <v>043</v>
      </c>
      <c r="F597" t="s">
        <v>600</v>
      </c>
      <c r="G597" t="str">
        <f>"0326"</f>
        <v>0326</v>
      </c>
      <c r="H597" t="str">
        <f>"0000"</f>
        <v>0000</v>
      </c>
      <c r="I597" t="s">
        <v>83</v>
      </c>
      <c r="J597">
        <v>0</v>
      </c>
      <c r="K597">
        <v>1</v>
      </c>
      <c r="L597">
        <v>3</v>
      </c>
      <c r="M597">
        <v>284</v>
      </c>
      <c r="N597">
        <v>338</v>
      </c>
      <c r="O597">
        <v>3</v>
      </c>
      <c r="P597">
        <v>338</v>
      </c>
      <c r="Q597">
        <v>3</v>
      </c>
      <c r="R597">
        <v>32</v>
      </c>
      <c r="S597">
        <v>5</v>
      </c>
      <c r="U597">
        <v>123</v>
      </c>
      <c r="V597">
        <v>26</v>
      </c>
      <c r="W597">
        <v>0</v>
      </c>
      <c r="X597">
        <v>124</v>
      </c>
      <c r="Y597">
        <v>1</v>
      </c>
      <c r="Z597">
        <v>11</v>
      </c>
      <c r="AA597">
        <v>2</v>
      </c>
      <c r="AB597">
        <v>9</v>
      </c>
      <c r="AF597">
        <v>0</v>
      </c>
      <c r="AG597">
        <v>0</v>
      </c>
      <c r="AH597">
        <v>0</v>
      </c>
      <c r="AI597">
        <v>0</v>
      </c>
      <c r="AW597">
        <v>0</v>
      </c>
      <c r="AX597">
        <v>2</v>
      </c>
      <c r="AY597">
        <v>338</v>
      </c>
      <c r="AZ597">
        <v>338</v>
      </c>
      <c r="BA597">
        <v>578</v>
      </c>
      <c r="BB597">
        <v>44</v>
      </c>
      <c r="BD597">
        <v>1</v>
      </c>
      <c r="BF597" t="s">
        <v>710</v>
      </c>
      <c r="BG597" s="1">
        <v>44353.947222222225</v>
      </c>
      <c r="BH597" s="1">
        <v>44353.949571759258</v>
      </c>
      <c r="BI597" s="1">
        <v>44353.950219907405</v>
      </c>
      <c r="BJ597" t="s">
        <v>85</v>
      </c>
      <c r="BK597" t="s">
        <v>86</v>
      </c>
      <c r="BL597" t="s">
        <v>87</v>
      </c>
    </row>
    <row r="598" spans="1:64" x14ac:dyDescent="0.3">
      <c r="A598" t="str">
        <f>"200326C0100"</f>
        <v>200326C0100</v>
      </c>
      <c r="B598" t="str">
        <f>"200326C01003"</f>
        <v>200326C01003</v>
      </c>
      <c r="C598" t="str">
        <f t="shared" si="38"/>
        <v>20</v>
      </c>
      <c r="D598" t="s">
        <v>81</v>
      </c>
      <c r="E598" t="str">
        <f t="shared" si="39"/>
        <v>043</v>
      </c>
      <c r="F598" t="s">
        <v>600</v>
      </c>
      <c r="G598" t="str">
        <f>"0326"</f>
        <v>0326</v>
      </c>
      <c r="H598" t="str">
        <f>"0001"</f>
        <v>0001</v>
      </c>
      <c r="I598" t="s">
        <v>89</v>
      </c>
      <c r="J598">
        <v>0</v>
      </c>
      <c r="K598">
        <v>1</v>
      </c>
      <c r="L598">
        <v>3</v>
      </c>
      <c r="M598">
        <v>270</v>
      </c>
      <c r="N598">
        <v>351</v>
      </c>
      <c r="O598">
        <v>0</v>
      </c>
      <c r="P598">
        <v>351</v>
      </c>
      <c r="Q598">
        <v>1</v>
      </c>
      <c r="R598">
        <v>22</v>
      </c>
      <c r="S598">
        <v>3</v>
      </c>
      <c r="U598">
        <v>160</v>
      </c>
      <c r="V598">
        <v>20</v>
      </c>
      <c r="W598">
        <v>0</v>
      </c>
      <c r="X598">
        <v>122</v>
      </c>
      <c r="Y598">
        <v>1</v>
      </c>
      <c r="Z598">
        <v>9</v>
      </c>
      <c r="AA598">
        <v>0</v>
      </c>
      <c r="AB598">
        <v>6</v>
      </c>
      <c r="AF598">
        <v>0</v>
      </c>
      <c r="AG598">
        <v>0</v>
      </c>
      <c r="AH598">
        <v>0</v>
      </c>
      <c r="AI598">
        <v>0</v>
      </c>
      <c r="AW598">
        <v>1</v>
      </c>
      <c r="AX598">
        <v>5</v>
      </c>
      <c r="AY598">
        <v>351</v>
      </c>
      <c r="AZ598">
        <v>350</v>
      </c>
      <c r="BA598">
        <v>577</v>
      </c>
      <c r="BB598">
        <v>44</v>
      </c>
      <c r="BD598">
        <v>1</v>
      </c>
      <c r="BF598" t="s">
        <v>711</v>
      </c>
      <c r="BG598" s="1">
        <v>44353.942361111112</v>
      </c>
      <c r="BH598" s="1">
        <v>44353.945462962962</v>
      </c>
      <c r="BI598" s="1">
        <v>44353.946006944447</v>
      </c>
      <c r="BJ598" t="s">
        <v>85</v>
      </c>
      <c r="BK598" t="s">
        <v>86</v>
      </c>
      <c r="BL598" t="s">
        <v>87</v>
      </c>
    </row>
    <row r="599" spans="1:64" x14ac:dyDescent="0.3">
      <c r="A599" t="str">
        <f>"200326C0200"</f>
        <v>200326C0200</v>
      </c>
      <c r="B599" t="str">
        <f>"200326C02003"</f>
        <v>200326C02003</v>
      </c>
      <c r="C599" t="str">
        <f t="shared" si="38"/>
        <v>20</v>
      </c>
      <c r="D599" t="s">
        <v>81</v>
      </c>
      <c r="E599" t="str">
        <f t="shared" si="39"/>
        <v>043</v>
      </c>
      <c r="F599" t="s">
        <v>600</v>
      </c>
      <c r="G599" t="str">
        <f>"0326"</f>
        <v>0326</v>
      </c>
      <c r="H599" t="str">
        <f>"0002"</f>
        <v>0002</v>
      </c>
      <c r="I599" t="s">
        <v>89</v>
      </c>
      <c r="J599">
        <v>0</v>
      </c>
      <c r="K599">
        <v>1</v>
      </c>
      <c r="L599">
        <v>3</v>
      </c>
      <c r="M599" t="s">
        <v>92</v>
      </c>
      <c r="N599" t="s">
        <v>92</v>
      </c>
      <c r="O599" t="s">
        <v>92</v>
      </c>
      <c r="P599" t="s">
        <v>92</v>
      </c>
      <c r="Q599" t="s">
        <v>95</v>
      </c>
      <c r="R599" t="s">
        <v>95</v>
      </c>
      <c r="S599" t="s">
        <v>95</v>
      </c>
      <c r="U599" t="s">
        <v>95</v>
      </c>
      <c r="V599" t="s">
        <v>95</v>
      </c>
      <c r="W599" t="s">
        <v>95</v>
      </c>
      <c r="X599" t="s">
        <v>95</v>
      </c>
      <c r="Y599" t="s">
        <v>95</v>
      </c>
      <c r="Z599" t="s">
        <v>95</v>
      </c>
      <c r="AA599" t="s">
        <v>95</v>
      </c>
      <c r="AB599" t="s">
        <v>95</v>
      </c>
      <c r="AF599" t="s">
        <v>95</v>
      </c>
      <c r="AG599" t="s">
        <v>95</v>
      </c>
      <c r="AH599" t="s">
        <v>95</v>
      </c>
      <c r="AI599" t="s">
        <v>95</v>
      </c>
      <c r="AW599" t="s">
        <v>95</v>
      </c>
      <c r="AX599" t="s">
        <v>95</v>
      </c>
      <c r="BA599">
        <v>577</v>
      </c>
      <c r="BB599">
        <v>44</v>
      </c>
      <c r="BC599" t="s">
        <v>712</v>
      </c>
      <c r="BD599">
        <v>0</v>
      </c>
      <c r="BF599" t="s">
        <v>713</v>
      </c>
      <c r="BG599" s="1">
        <v>44354.530555555553</v>
      </c>
      <c r="BH599" s="1">
        <v>44354.532939814817</v>
      </c>
      <c r="BI599" s="1">
        <v>44354.539363425924</v>
      </c>
      <c r="BJ599" t="s">
        <v>85</v>
      </c>
      <c r="BK599" t="s">
        <v>86</v>
      </c>
      <c r="BL599" t="s">
        <v>87</v>
      </c>
    </row>
    <row r="600" spans="1:64" x14ac:dyDescent="0.3">
      <c r="A600" t="str">
        <f>"200326C0300"</f>
        <v>200326C0300</v>
      </c>
      <c r="B600" t="str">
        <f>"200326C03003"</f>
        <v>200326C03003</v>
      </c>
      <c r="C600" t="str">
        <f t="shared" si="38"/>
        <v>20</v>
      </c>
      <c r="D600" t="s">
        <v>81</v>
      </c>
      <c r="E600" t="str">
        <f t="shared" si="39"/>
        <v>043</v>
      </c>
      <c r="F600" t="s">
        <v>600</v>
      </c>
      <c r="G600" t="str">
        <f>"0326"</f>
        <v>0326</v>
      </c>
      <c r="H600" t="str">
        <f>"0003"</f>
        <v>0003</v>
      </c>
      <c r="I600" t="s">
        <v>89</v>
      </c>
      <c r="J600">
        <v>0</v>
      </c>
      <c r="K600">
        <v>1</v>
      </c>
      <c r="L600">
        <v>3</v>
      </c>
      <c r="M600">
        <v>285</v>
      </c>
      <c r="N600">
        <v>336</v>
      </c>
      <c r="O600">
        <v>2</v>
      </c>
      <c r="P600">
        <v>335</v>
      </c>
      <c r="Q600">
        <v>2</v>
      </c>
      <c r="R600">
        <v>22</v>
      </c>
      <c r="S600">
        <v>6</v>
      </c>
      <c r="U600">
        <v>129</v>
      </c>
      <c r="V600">
        <v>34</v>
      </c>
      <c r="W600">
        <v>0</v>
      </c>
      <c r="X600">
        <v>116</v>
      </c>
      <c r="Y600">
        <v>0</v>
      </c>
      <c r="Z600">
        <v>12</v>
      </c>
      <c r="AA600">
        <v>0</v>
      </c>
      <c r="AB600">
        <v>9</v>
      </c>
      <c r="AF600">
        <v>1</v>
      </c>
      <c r="AG600" t="s">
        <v>95</v>
      </c>
      <c r="AH600" t="s">
        <v>95</v>
      </c>
      <c r="AI600" t="s">
        <v>95</v>
      </c>
      <c r="AW600" t="s">
        <v>95</v>
      </c>
      <c r="AX600">
        <v>4</v>
      </c>
      <c r="AY600">
        <v>335</v>
      </c>
      <c r="AZ600">
        <v>335</v>
      </c>
      <c r="BA600">
        <v>577</v>
      </c>
      <c r="BB600">
        <v>44</v>
      </c>
      <c r="BC600" t="s">
        <v>96</v>
      </c>
      <c r="BD600">
        <v>1</v>
      </c>
      <c r="BF600" t="s">
        <v>714</v>
      </c>
      <c r="BG600" s="1">
        <v>44353.939583333333</v>
      </c>
      <c r="BH600" s="1">
        <v>44353.94153935185</v>
      </c>
      <c r="BI600" s="1">
        <v>44353.942199074074</v>
      </c>
      <c r="BJ600" t="s">
        <v>85</v>
      </c>
      <c r="BK600" t="s">
        <v>86</v>
      </c>
      <c r="BL600" t="s">
        <v>87</v>
      </c>
    </row>
    <row r="601" spans="1:64" x14ac:dyDescent="0.3">
      <c r="A601" t="str">
        <f>"200327B0000"</f>
        <v>200327B0000</v>
      </c>
      <c r="B601" t="str">
        <f>"200327B00003"</f>
        <v>200327B00003</v>
      </c>
      <c r="C601" t="str">
        <f t="shared" si="38"/>
        <v>20</v>
      </c>
      <c r="D601" t="s">
        <v>81</v>
      </c>
      <c r="E601" t="str">
        <f t="shared" si="39"/>
        <v>043</v>
      </c>
      <c r="F601" t="s">
        <v>600</v>
      </c>
      <c r="G601" t="str">
        <f>"0327"</f>
        <v>0327</v>
      </c>
      <c r="H601" t="str">
        <f>"0000"</f>
        <v>0000</v>
      </c>
      <c r="I601" t="s">
        <v>83</v>
      </c>
      <c r="J601">
        <v>0</v>
      </c>
      <c r="K601">
        <v>1</v>
      </c>
      <c r="L601">
        <v>3</v>
      </c>
      <c r="M601">
        <v>195</v>
      </c>
      <c r="N601">
        <v>308</v>
      </c>
      <c r="O601">
        <v>1</v>
      </c>
      <c r="P601">
        <v>308</v>
      </c>
      <c r="Q601">
        <v>2</v>
      </c>
      <c r="R601">
        <v>37</v>
      </c>
      <c r="S601">
        <v>9</v>
      </c>
      <c r="U601">
        <v>115</v>
      </c>
      <c r="V601">
        <v>6</v>
      </c>
      <c r="W601">
        <v>0</v>
      </c>
      <c r="X601">
        <v>108</v>
      </c>
      <c r="Y601">
        <v>3</v>
      </c>
      <c r="Z601">
        <v>17</v>
      </c>
      <c r="AA601">
        <v>2</v>
      </c>
      <c r="AB601">
        <v>1</v>
      </c>
      <c r="AF601">
        <v>0</v>
      </c>
      <c r="AG601">
        <v>0</v>
      </c>
      <c r="AH601">
        <v>0</v>
      </c>
      <c r="AI601">
        <v>1</v>
      </c>
      <c r="AW601">
        <v>0</v>
      </c>
      <c r="AX601">
        <v>7</v>
      </c>
      <c r="AY601">
        <v>308</v>
      </c>
      <c r="AZ601">
        <v>308</v>
      </c>
      <c r="BA601">
        <v>459</v>
      </c>
      <c r="BB601">
        <v>44</v>
      </c>
      <c r="BD601">
        <v>1</v>
      </c>
      <c r="BF601" t="s">
        <v>715</v>
      </c>
      <c r="BG601" s="1">
        <v>44354.165972222225</v>
      </c>
      <c r="BH601" s="1">
        <v>44354.169016203705</v>
      </c>
      <c r="BI601" s="1">
        <v>44354.169502314813</v>
      </c>
      <c r="BJ601" t="s">
        <v>85</v>
      </c>
      <c r="BK601" t="s">
        <v>86</v>
      </c>
      <c r="BL601" t="s">
        <v>87</v>
      </c>
    </row>
    <row r="602" spans="1:64" x14ac:dyDescent="0.3">
      <c r="A602" t="str">
        <f>"200327C0100"</f>
        <v>200327C0100</v>
      </c>
      <c r="B602" t="str">
        <f>"200327C01003"</f>
        <v>200327C01003</v>
      </c>
      <c r="C602" t="str">
        <f t="shared" si="38"/>
        <v>20</v>
      </c>
      <c r="D602" t="s">
        <v>81</v>
      </c>
      <c r="E602" t="str">
        <f t="shared" si="39"/>
        <v>043</v>
      </c>
      <c r="F602" t="s">
        <v>600</v>
      </c>
      <c r="G602" t="str">
        <f>"0327"</f>
        <v>0327</v>
      </c>
      <c r="H602" t="str">
        <f>"0001"</f>
        <v>0001</v>
      </c>
      <c r="I602" t="s">
        <v>89</v>
      </c>
      <c r="J602">
        <v>0</v>
      </c>
      <c r="K602">
        <v>1</v>
      </c>
      <c r="L602">
        <v>3</v>
      </c>
      <c r="M602">
        <v>196</v>
      </c>
      <c r="N602">
        <v>306</v>
      </c>
      <c r="O602">
        <v>1</v>
      </c>
      <c r="P602">
        <v>306</v>
      </c>
      <c r="Q602">
        <v>3</v>
      </c>
      <c r="R602">
        <v>21</v>
      </c>
      <c r="S602">
        <v>14</v>
      </c>
      <c r="U602">
        <v>113</v>
      </c>
      <c r="V602">
        <v>4</v>
      </c>
      <c r="W602">
        <v>0</v>
      </c>
      <c r="X602">
        <v>99</v>
      </c>
      <c r="Y602">
        <v>2</v>
      </c>
      <c r="Z602">
        <v>33</v>
      </c>
      <c r="AA602">
        <v>4</v>
      </c>
      <c r="AB602">
        <v>1</v>
      </c>
      <c r="AF602">
        <v>2</v>
      </c>
      <c r="AG602">
        <v>1</v>
      </c>
      <c r="AH602">
        <v>1</v>
      </c>
      <c r="AI602">
        <v>0</v>
      </c>
      <c r="AW602">
        <v>0</v>
      </c>
      <c r="AX602">
        <v>8</v>
      </c>
      <c r="AY602">
        <v>306</v>
      </c>
      <c r="AZ602">
        <v>306</v>
      </c>
      <c r="BA602">
        <v>458</v>
      </c>
      <c r="BB602">
        <v>44</v>
      </c>
      <c r="BD602">
        <v>1</v>
      </c>
      <c r="BF602" t="s">
        <v>716</v>
      </c>
      <c r="BG602" s="1">
        <v>44354.166666666664</v>
      </c>
      <c r="BH602" s="1">
        <v>44354.169872685183</v>
      </c>
      <c r="BI602" s="1">
        <v>44354.170787037037</v>
      </c>
      <c r="BJ602" t="s">
        <v>85</v>
      </c>
      <c r="BK602" t="s">
        <v>86</v>
      </c>
      <c r="BL602" t="s">
        <v>87</v>
      </c>
    </row>
    <row r="603" spans="1:64" x14ac:dyDescent="0.3">
      <c r="A603" t="str">
        <f>"200328B0000"</f>
        <v>200328B0000</v>
      </c>
      <c r="B603" t="str">
        <f>"200328B00003"</f>
        <v>200328B00003</v>
      </c>
      <c r="C603" t="str">
        <f t="shared" si="38"/>
        <v>20</v>
      </c>
      <c r="D603" t="s">
        <v>81</v>
      </c>
      <c r="E603" t="str">
        <f t="shared" si="39"/>
        <v>043</v>
      </c>
      <c r="F603" t="s">
        <v>600</v>
      </c>
      <c r="G603" t="str">
        <f>"0328"</f>
        <v>0328</v>
      </c>
      <c r="H603" t="str">
        <f>"0000"</f>
        <v>0000</v>
      </c>
      <c r="I603" t="s">
        <v>83</v>
      </c>
      <c r="J603">
        <v>0</v>
      </c>
      <c r="K603">
        <v>1</v>
      </c>
      <c r="L603">
        <v>3</v>
      </c>
      <c r="M603">
        <v>218</v>
      </c>
      <c r="N603">
        <v>317</v>
      </c>
      <c r="O603">
        <v>9</v>
      </c>
      <c r="P603">
        <v>317</v>
      </c>
      <c r="Q603">
        <v>2</v>
      </c>
      <c r="R603">
        <v>63</v>
      </c>
      <c r="S603">
        <v>2</v>
      </c>
      <c r="U603">
        <v>121</v>
      </c>
      <c r="V603">
        <v>5</v>
      </c>
      <c r="W603">
        <v>0</v>
      </c>
      <c r="X603">
        <v>67</v>
      </c>
      <c r="Y603">
        <v>2</v>
      </c>
      <c r="Z603">
        <v>37</v>
      </c>
      <c r="AA603">
        <v>4</v>
      </c>
      <c r="AB603">
        <v>2</v>
      </c>
      <c r="AF603">
        <v>0</v>
      </c>
      <c r="AG603">
        <v>0</v>
      </c>
      <c r="AH603">
        <v>0</v>
      </c>
      <c r="AI603">
        <v>0</v>
      </c>
      <c r="AW603">
        <v>0</v>
      </c>
      <c r="AX603">
        <v>12</v>
      </c>
      <c r="AY603">
        <v>317</v>
      </c>
      <c r="AZ603">
        <v>317</v>
      </c>
      <c r="BA603">
        <v>491</v>
      </c>
      <c r="BB603">
        <v>44</v>
      </c>
      <c r="BD603">
        <v>1</v>
      </c>
      <c r="BF603" t="s">
        <v>717</v>
      </c>
      <c r="BG603" s="1">
        <v>44354.164583333331</v>
      </c>
      <c r="BH603" s="1">
        <v>44354.167303240742</v>
      </c>
      <c r="BI603" s="1">
        <v>44354.167905092596</v>
      </c>
      <c r="BJ603" t="s">
        <v>85</v>
      </c>
      <c r="BK603" t="s">
        <v>86</v>
      </c>
      <c r="BL603" t="s">
        <v>87</v>
      </c>
    </row>
    <row r="604" spans="1:64" x14ac:dyDescent="0.3">
      <c r="A604" t="str">
        <f>"200328C0100"</f>
        <v>200328C0100</v>
      </c>
      <c r="B604" t="str">
        <f>"200328C01003"</f>
        <v>200328C01003</v>
      </c>
      <c r="C604" t="str">
        <f t="shared" si="38"/>
        <v>20</v>
      </c>
      <c r="D604" t="s">
        <v>81</v>
      </c>
      <c r="E604" t="str">
        <f t="shared" si="39"/>
        <v>043</v>
      </c>
      <c r="F604" t="s">
        <v>600</v>
      </c>
      <c r="G604" t="str">
        <f>"0328"</f>
        <v>0328</v>
      </c>
      <c r="H604" t="str">
        <f>"0001"</f>
        <v>0001</v>
      </c>
      <c r="I604" t="s">
        <v>89</v>
      </c>
      <c r="J604">
        <v>0</v>
      </c>
      <c r="K604">
        <v>1</v>
      </c>
      <c r="L604">
        <v>3</v>
      </c>
      <c r="M604">
        <v>241</v>
      </c>
      <c r="N604">
        <v>294</v>
      </c>
      <c r="O604">
        <v>3</v>
      </c>
      <c r="P604">
        <v>294</v>
      </c>
      <c r="Q604">
        <v>0</v>
      </c>
      <c r="R604">
        <v>50</v>
      </c>
      <c r="S604">
        <v>6</v>
      </c>
      <c r="U604">
        <v>116</v>
      </c>
      <c r="V604">
        <v>4</v>
      </c>
      <c r="W604">
        <v>0</v>
      </c>
      <c r="X604">
        <v>72</v>
      </c>
      <c r="Y604">
        <v>3</v>
      </c>
      <c r="Z604">
        <v>28</v>
      </c>
      <c r="AA604">
        <v>2</v>
      </c>
      <c r="AB604">
        <v>1</v>
      </c>
      <c r="AF604">
        <v>1</v>
      </c>
      <c r="AG604">
        <v>0</v>
      </c>
      <c r="AH604">
        <v>0</v>
      </c>
      <c r="AI604">
        <v>1</v>
      </c>
      <c r="AW604">
        <v>0</v>
      </c>
      <c r="AX604">
        <v>10</v>
      </c>
      <c r="AY604">
        <v>294</v>
      </c>
      <c r="AZ604">
        <v>294</v>
      </c>
      <c r="BA604">
        <v>491</v>
      </c>
      <c r="BB604">
        <v>44</v>
      </c>
      <c r="BD604">
        <v>1</v>
      </c>
      <c r="BF604" t="s">
        <v>718</v>
      </c>
      <c r="BG604" s="1">
        <v>44354.167361111111</v>
      </c>
      <c r="BH604" s="1">
        <v>44354.169652777775</v>
      </c>
      <c r="BI604" s="1">
        <v>44354.170277777775</v>
      </c>
      <c r="BJ604" t="s">
        <v>85</v>
      </c>
      <c r="BK604" t="s">
        <v>86</v>
      </c>
      <c r="BL604" t="s">
        <v>87</v>
      </c>
    </row>
    <row r="605" spans="1:64" x14ac:dyDescent="0.3">
      <c r="A605" t="str">
        <f>"200329B0000"</f>
        <v>200329B0000</v>
      </c>
      <c r="B605" t="str">
        <f>"200329B00003"</f>
        <v>200329B00003</v>
      </c>
      <c r="C605" t="str">
        <f t="shared" si="38"/>
        <v>20</v>
      </c>
      <c r="D605" t="s">
        <v>81</v>
      </c>
      <c r="E605" t="str">
        <f t="shared" si="39"/>
        <v>043</v>
      </c>
      <c r="F605" t="s">
        <v>600</v>
      </c>
      <c r="G605" t="str">
        <f>"0329"</f>
        <v>0329</v>
      </c>
      <c r="H605" t="str">
        <f>"0000"</f>
        <v>0000</v>
      </c>
      <c r="I605" t="s">
        <v>83</v>
      </c>
      <c r="J605">
        <v>0</v>
      </c>
      <c r="K605">
        <v>1</v>
      </c>
      <c r="L605">
        <v>3</v>
      </c>
      <c r="M605">
        <v>179</v>
      </c>
      <c r="N605">
        <v>257</v>
      </c>
      <c r="O605">
        <v>5</v>
      </c>
      <c r="P605">
        <v>257</v>
      </c>
      <c r="Q605">
        <v>1</v>
      </c>
      <c r="R605">
        <v>37</v>
      </c>
      <c r="S605">
        <v>11</v>
      </c>
      <c r="U605">
        <v>99</v>
      </c>
      <c r="V605">
        <v>4</v>
      </c>
      <c r="W605">
        <v>1</v>
      </c>
      <c r="X605">
        <v>68</v>
      </c>
      <c r="Y605">
        <v>1</v>
      </c>
      <c r="Z605">
        <v>21</v>
      </c>
      <c r="AA605">
        <v>7</v>
      </c>
      <c r="AB605">
        <v>1</v>
      </c>
      <c r="AF605">
        <v>0</v>
      </c>
      <c r="AG605">
        <v>0</v>
      </c>
      <c r="AH605">
        <v>0</v>
      </c>
      <c r="AI605">
        <v>0</v>
      </c>
      <c r="AW605">
        <v>0</v>
      </c>
      <c r="AX605">
        <v>6</v>
      </c>
      <c r="AY605">
        <v>257</v>
      </c>
      <c r="AZ605">
        <v>257</v>
      </c>
      <c r="BA605">
        <v>392</v>
      </c>
      <c r="BB605">
        <v>44</v>
      </c>
      <c r="BD605">
        <v>1</v>
      </c>
      <c r="BF605" t="s">
        <v>719</v>
      </c>
      <c r="BG605" s="1">
        <v>44354.193749999999</v>
      </c>
      <c r="BH605" s="1">
        <v>44354.195902777778</v>
      </c>
      <c r="BI605" s="1">
        <v>44354.197280092594</v>
      </c>
      <c r="BJ605" t="s">
        <v>85</v>
      </c>
      <c r="BK605" t="s">
        <v>86</v>
      </c>
      <c r="BL605" t="s">
        <v>87</v>
      </c>
    </row>
    <row r="606" spans="1:64" x14ac:dyDescent="0.3">
      <c r="A606" t="str">
        <f>"200329C0100"</f>
        <v>200329C0100</v>
      </c>
      <c r="B606" t="str">
        <f>"200329C01003"</f>
        <v>200329C01003</v>
      </c>
      <c r="C606" t="str">
        <f t="shared" si="38"/>
        <v>20</v>
      </c>
      <c r="D606" t="s">
        <v>81</v>
      </c>
      <c r="E606" t="str">
        <f t="shared" si="39"/>
        <v>043</v>
      </c>
      <c r="F606" t="s">
        <v>600</v>
      </c>
      <c r="G606" t="str">
        <f>"0329"</f>
        <v>0329</v>
      </c>
      <c r="H606" t="str">
        <f>"0001"</f>
        <v>0001</v>
      </c>
      <c r="I606" t="s">
        <v>89</v>
      </c>
      <c r="J606">
        <v>0</v>
      </c>
      <c r="K606">
        <v>1</v>
      </c>
      <c r="L606">
        <v>3</v>
      </c>
      <c r="M606">
        <v>167</v>
      </c>
      <c r="N606">
        <v>265</v>
      </c>
      <c r="O606">
        <v>4</v>
      </c>
      <c r="P606">
        <v>269</v>
      </c>
      <c r="Q606">
        <v>0</v>
      </c>
      <c r="R606">
        <v>38</v>
      </c>
      <c r="S606">
        <v>4</v>
      </c>
      <c r="U606">
        <v>126</v>
      </c>
      <c r="V606">
        <v>2</v>
      </c>
      <c r="W606">
        <v>0</v>
      </c>
      <c r="X606">
        <v>69</v>
      </c>
      <c r="Y606">
        <v>1</v>
      </c>
      <c r="Z606">
        <v>18</v>
      </c>
      <c r="AA606">
        <v>6</v>
      </c>
      <c r="AB606">
        <v>3</v>
      </c>
      <c r="AF606">
        <v>0</v>
      </c>
      <c r="AG606">
        <v>0</v>
      </c>
      <c r="AH606">
        <v>0</v>
      </c>
      <c r="AI606">
        <v>0</v>
      </c>
      <c r="AW606">
        <v>0</v>
      </c>
      <c r="AX606">
        <v>2</v>
      </c>
      <c r="AY606">
        <v>269</v>
      </c>
      <c r="AZ606">
        <v>269</v>
      </c>
      <c r="BA606">
        <v>392</v>
      </c>
      <c r="BB606">
        <v>44</v>
      </c>
      <c r="BD606">
        <v>1</v>
      </c>
      <c r="BF606" t="s">
        <v>720</v>
      </c>
      <c r="BG606" s="1">
        <v>44354.193055555559</v>
      </c>
      <c r="BH606" s="1">
        <v>44354.196759259263</v>
      </c>
      <c r="BI606" s="1">
        <v>44354.197280092594</v>
      </c>
      <c r="BJ606" t="s">
        <v>85</v>
      </c>
      <c r="BK606" t="s">
        <v>86</v>
      </c>
      <c r="BL606" t="s">
        <v>87</v>
      </c>
    </row>
    <row r="607" spans="1:64" x14ac:dyDescent="0.3">
      <c r="A607" t="str">
        <f>"200330B0000"</f>
        <v>200330B0000</v>
      </c>
      <c r="B607" t="str">
        <f>"200330B00003"</f>
        <v>200330B00003</v>
      </c>
      <c r="C607" t="str">
        <f t="shared" si="38"/>
        <v>20</v>
      </c>
      <c r="D607" t="s">
        <v>81</v>
      </c>
      <c r="E607" t="str">
        <f t="shared" si="39"/>
        <v>043</v>
      </c>
      <c r="F607" t="s">
        <v>600</v>
      </c>
      <c r="G607" t="str">
        <f>"0330"</f>
        <v>0330</v>
      </c>
      <c r="H607" t="str">
        <f>"0000"</f>
        <v>0000</v>
      </c>
      <c r="I607" t="s">
        <v>83</v>
      </c>
      <c r="J607">
        <v>0</v>
      </c>
      <c r="K607">
        <v>1</v>
      </c>
      <c r="L607">
        <v>3</v>
      </c>
      <c r="BA607">
        <v>687</v>
      </c>
      <c r="BB607">
        <v>44</v>
      </c>
      <c r="BC607" t="s">
        <v>721</v>
      </c>
      <c r="BD607">
        <v>0</v>
      </c>
      <c r="BF607" t="s">
        <v>722</v>
      </c>
      <c r="BG607" s="1">
        <v>44354.45208333333</v>
      </c>
      <c r="BH607" s="1">
        <v>44354.474108796298</v>
      </c>
      <c r="BI607" s="1">
        <v>44354.474108796298</v>
      </c>
      <c r="BJ607" t="s">
        <v>85</v>
      </c>
      <c r="BK607" t="s">
        <v>86</v>
      </c>
      <c r="BL607" t="s">
        <v>87</v>
      </c>
    </row>
    <row r="608" spans="1:64" x14ac:dyDescent="0.3">
      <c r="A608" t="str">
        <f>"200330C0100"</f>
        <v>200330C0100</v>
      </c>
      <c r="B608" t="str">
        <f>"200330C01003"</f>
        <v>200330C01003</v>
      </c>
      <c r="C608" t="str">
        <f t="shared" si="38"/>
        <v>20</v>
      </c>
      <c r="D608" t="s">
        <v>81</v>
      </c>
      <c r="E608" t="str">
        <f t="shared" si="39"/>
        <v>043</v>
      </c>
      <c r="F608" t="s">
        <v>600</v>
      </c>
      <c r="G608" t="str">
        <f>"0330"</f>
        <v>0330</v>
      </c>
      <c r="H608" t="str">
        <f>"0001"</f>
        <v>0001</v>
      </c>
      <c r="I608" t="s">
        <v>89</v>
      </c>
      <c r="J608">
        <v>0</v>
      </c>
      <c r="K608">
        <v>1</v>
      </c>
      <c r="L608">
        <v>3</v>
      </c>
      <c r="BA608">
        <v>686</v>
      </c>
      <c r="BB608">
        <v>44</v>
      </c>
      <c r="BC608" t="s">
        <v>721</v>
      </c>
      <c r="BD608">
        <v>0</v>
      </c>
      <c r="BF608" t="s">
        <v>723</v>
      </c>
      <c r="BG608" s="1">
        <v>44354.451388888891</v>
      </c>
      <c r="BH608" s="1">
        <v>44354.473935185182</v>
      </c>
      <c r="BI608" s="1">
        <v>44354.473935185182</v>
      </c>
      <c r="BJ608" t="s">
        <v>85</v>
      </c>
      <c r="BK608" t="s">
        <v>86</v>
      </c>
      <c r="BL608" t="s">
        <v>87</v>
      </c>
    </row>
    <row r="609" spans="1:64" x14ac:dyDescent="0.3">
      <c r="A609" t="str">
        <f>"200330C0200"</f>
        <v>200330C0200</v>
      </c>
      <c r="B609" t="str">
        <f>"200330C02003"</f>
        <v>200330C02003</v>
      </c>
      <c r="C609" t="str">
        <f t="shared" si="38"/>
        <v>20</v>
      </c>
      <c r="D609" t="s">
        <v>81</v>
      </c>
      <c r="E609" t="str">
        <f t="shared" si="39"/>
        <v>043</v>
      </c>
      <c r="F609" t="s">
        <v>600</v>
      </c>
      <c r="G609" t="str">
        <f>"0330"</f>
        <v>0330</v>
      </c>
      <c r="H609" t="str">
        <f>"0002"</f>
        <v>0002</v>
      </c>
      <c r="I609" t="s">
        <v>89</v>
      </c>
      <c r="J609">
        <v>0</v>
      </c>
      <c r="K609">
        <v>1</v>
      </c>
      <c r="L609">
        <v>3</v>
      </c>
      <c r="BA609">
        <v>686</v>
      </c>
      <c r="BB609">
        <v>44</v>
      </c>
      <c r="BC609" t="s">
        <v>721</v>
      </c>
      <c r="BD609">
        <v>0</v>
      </c>
      <c r="BF609" t="s">
        <v>724</v>
      </c>
      <c r="BG609" s="1">
        <v>44354.451388888891</v>
      </c>
      <c r="BH609" s="1">
        <v>44354.473726851851</v>
      </c>
      <c r="BI609" s="1">
        <v>44354.473726851851</v>
      </c>
      <c r="BJ609" t="s">
        <v>85</v>
      </c>
      <c r="BK609" t="s">
        <v>86</v>
      </c>
      <c r="BL609" t="s">
        <v>87</v>
      </c>
    </row>
    <row r="610" spans="1:64" x14ac:dyDescent="0.3">
      <c r="A610" t="str">
        <f>"200331B0000"</f>
        <v>200331B0000</v>
      </c>
      <c r="B610" t="str">
        <f>"200331B00003"</f>
        <v>200331B00003</v>
      </c>
      <c r="C610" t="str">
        <f t="shared" si="38"/>
        <v>20</v>
      </c>
      <c r="D610" t="s">
        <v>81</v>
      </c>
      <c r="E610" t="str">
        <f t="shared" si="39"/>
        <v>043</v>
      </c>
      <c r="F610" t="s">
        <v>600</v>
      </c>
      <c r="G610" t="str">
        <f>"0331"</f>
        <v>0331</v>
      </c>
      <c r="H610" t="str">
        <f>"0000"</f>
        <v>0000</v>
      </c>
      <c r="I610" t="s">
        <v>83</v>
      </c>
      <c r="J610">
        <v>0</v>
      </c>
      <c r="K610">
        <v>1</v>
      </c>
      <c r="L610">
        <v>3</v>
      </c>
      <c r="M610">
        <v>229</v>
      </c>
      <c r="N610">
        <v>472</v>
      </c>
      <c r="O610">
        <v>3</v>
      </c>
      <c r="P610">
        <v>472</v>
      </c>
      <c r="Q610">
        <v>1</v>
      </c>
      <c r="R610">
        <v>22</v>
      </c>
      <c r="S610">
        <v>3</v>
      </c>
      <c r="U610">
        <v>279</v>
      </c>
      <c r="V610">
        <v>1</v>
      </c>
      <c r="W610">
        <v>0</v>
      </c>
      <c r="X610">
        <v>56</v>
      </c>
      <c r="Y610">
        <v>1</v>
      </c>
      <c r="Z610">
        <v>103</v>
      </c>
      <c r="AA610">
        <v>1</v>
      </c>
      <c r="AB610">
        <v>2</v>
      </c>
      <c r="AF610">
        <v>1</v>
      </c>
      <c r="AG610">
        <v>0</v>
      </c>
      <c r="AH610">
        <v>0</v>
      </c>
      <c r="AI610">
        <v>0</v>
      </c>
      <c r="AW610">
        <v>0</v>
      </c>
      <c r="AX610">
        <v>2</v>
      </c>
      <c r="AY610">
        <v>472</v>
      </c>
      <c r="AZ610">
        <v>472</v>
      </c>
      <c r="BA610">
        <v>658</v>
      </c>
      <c r="BB610">
        <v>44</v>
      </c>
      <c r="BD610">
        <v>1</v>
      </c>
      <c r="BF610" t="s">
        <v>725</v>
      </c>
      <c r="BG610" s="1">
        <v>44353.950694444444</v>
      </c>
      <c r="BH610" s="1">
        <v>44353.954733796294</v>
      </c>
      <c r="BI610" s="1">
        <v>44353.955393518518</v>
      </c>
      <c r="BJ610" t="s">
        <v>85</v>
      </c>
      <c r="BK610" t="s">
        <v>86</v>
      </c>
      <c r="BL610" t="s">
        <v>87</v>
      </c>
    </row>
    <row r="611" spans="1:64" x14ac:dyDescent="0.3">
      <c r="A611" t="str">
        <f>"200331C0100"</f>
        <v>200331C0100</v>
      </c>
      <c r="B611" t="str">
        <f>"200331C01003"</f>
        <v>200331C01003</v>
      </c>
      <c r="C611" t="str">
        <f t="shared" si="38"/>
        <v>20</v>
      </c>
      <c r="D611" t="s">
        <v>81</v>
      </c>
      <c r="E611" t="str">
        <f t="shared" si="39"/>
        <v>043</v>
      </c>
      <c r="F611" t="s">
        <v>600</v>
      </c>
      <c r="G611" t="str">
        <f>"0331"</f>
        <v>0331</v>
      </c>
      <c r="H611" t="str">
        <f>"0001"</f>
        <v>0001</v>
      </c>
      <c r="I611" t="s">
        <v>89</v>
      </c>
      <c r="J611">
        <v>0</v>
      </c>
      <c r="K611">
        <v>1</v>
      </c>
      <c r="L611">
        <v>3</v>
      </c>
      <c r="M611">
        <v>237</v>
      </c>
      <c r="N611" t="s">
        <v>92</v>
      </c>
      <c r="O611" t="s">
        <v>92</v>
      </c>
      <c r="P611" t="s">
        <v>92</v>
      </c>
      <c r="Q611">
        <v>2</v>
      </c>
      <c r="R611">
        <v>13</v>
      </c>
      <c r="S611">
        <v>3</v>
      </c>
      <c r="U611">
        <v>265</v>
      </c>
      <c r="V611">
        <v>0</v>
      </c>
      <c r="W611">
        <v>0</v>
      </c>
      <c r="X611">
        <v>67</v>
      </c>
      <c r="Y611">
        <v>0</v>
      </c>
      <c r="Z611">
        <v>106</v>
      </c>
      <c r="AA611">
        <v>6</v>
      </c>
      <c r="AB611">
        <v>0</v>
      </c>
      <c r="AF611">
        <v>0</v>
      </c>
      <c r="AG611">
        <v>0</v>
      </c>
      <c r="AH611">
        <v>0</v>
      </c>
      <c r="AI611">
        <v>0</v>
      </c>
      <c r="AW611">
        <v>0</v>
      </c>
      <c r="AX611">
        <v>3</v>
      </c>
      <c r="AY611">
        <v>465</v>
      </c>
      <c r="AZ611">
        <v>465</v>
      </c>
      <c r="BA611">
        <v>658</v>
      </c>
      <c r="BB611">
        <v>44</v>
      </c>
      <c r="BD611">
        <v>1</v>
      </c>
      <c r="BF611" t="s">
        <v>726</v>
      </c>
      <c r="BG611" s="1">
        <v>44353.957638888889</v>
      </c>
      <c r="BH611" s="1">
        <v>44353.961805555555</v>
      </c>
      <c r="BI611" s="1">
        <v>44353.962395833332</v>
      </c>
      <c r="BJ611" t="s">
        <v>85</v>
      </c>
      <c r="BK611" t="s">
        <v>86</v>
      </c>
      <c r="BL611" t="s">
        <v>87</v>
      </c>
    </row>
    <row r="612" spans="1:64" x14ac:dyDescent="0.3">
      <c r="A612" t="str">
        <f>"200331C0200"</f>
        <v>200331C0200</v>
      </c>
      <c r="B612" t="str">
        <f>"200331C02003"</f>
        <v>200331C02003</v>
      </c>
      <c r="C612" t="str">
        <f t="shared" si="38"/>
        <v>20</v>
      </c>
      <c r="D612" t="s">
        <v>81</v>
      </c>
      <c r="E612" t="str">
        <f t="shared" si="39"/>
        <v>043</v>
      </c>
      <c r="F612" t="s">
        <v>600</v>
      </c>
      <c r="G612" t="str">
        <f>"0331"</f>
        <v>0331</v>
      </c>
      <c r="H612" t="str">
        <f>"0002"</f>
        <v>0002</v>
      </c>
      <c r="I612" t="s">
        <v>89</v>
      </c>
      <c r="J612">
        <v>0</v>
      </c>
      <c r="K612">
        <v>1</v>
      </c>
      <c r="L612">
        <v>3</v>
      </c>
      <c r="M612" t="s">
        <v>92</v>
      </c>
      <c r="N612" t="s">
        <v>92</v>
      </c>
      <c r="O612" t="s">
        <v>92</v>
      </c>
      <c r="P612" t="s">
        <v>92</v>
      </c>
      <c r="Q612">
        <v>2</v>
      </c>
      <c r="R612">
        <v>28</v>
      </c>
      <c r="S612">
        <v>5</v>
      </c>
      <c r="U612">
        <v>269</v>
      </c>
      <c r="V612">
        <v>0</v>
      </c>
      <c r="W612">
        <v>0</v>
      </c>
      <c r="X612">
        <v>81</v>
      </c>
      <c r="Y612">
        <v>2</v>
      </c>
      <c r="Z612">
        <v>96</v>
      </c>
      <c r="AA612">
        <v>1</v>
      </c>
      <c r="AB612">
        <v>1</v>
      </c>
      <c r="AF612" t="s">
        <v>95</v>
      </c>
      <c r="AG612" t="s">
        <v>95</v>
      </c>
      <c r="AH612" t="s">
        <v>95</v>
      </c>
      <c r="AI612" t="s">
        <v>95</v>
      </c>
      <c r="AW612" t="s">
        <v>95</v>
      </c>
      <c r="AX612" t="s">
        <v>95</v>
      </c>
      <c r="AY612" t="s">
        <v>95</v>
      </c>
      <c r="AZ612">
        <v>485</v>
      </c>
      <c r="BA612">
        <v>657</v>
      </c>
      <c r="BB612">
        <v>44</v>
      </c>
      <c r="BC612" t="s">
        <v>96</v>
      </c>
      <c r="BD612">
        <v>1</v>
      </c>
      <c r="BF612" s="2" t="s">
        <v>727</v>
      </c>
      <c r="BG612" s="1">
        <v>44353.948611111111</v>
      </c>
      <c r="BH612" s="1">
        <v>44353.950891203705</v>
      </c>
      <c r="BI612" s="1">
        <v>44353.951979166668</v>
      </c>
      <c r="BJ612" t="s">
        <v>85</v>
      </c>
      <c r="BK612" t="s">
        <v>86</v>
      </c>
      <c r="BL612" t="s">
        <v>87</v>
      </c>
    </row>
    <row r="613" spans="1:64" x14ac:dyDescent="0.3">
      <c r="A613" t="str">
        <f>"200332B0000"</f>
        <v>200332B0000</v>
      </c>
      <c r="B613" t="str">
        <f>"200332B00003"</f>
        <v>200332B00003</v>
      </c>
      <c r="C613" t="str">
        <f t="shared" si="38"/>
        <v>20</v>
      </c>
      <c r="D613" t="s">
        <v>81</v>
      </c>
      <c r="E613" t="str">
        <f t="shared" si="39"/>
        <v>043</v>
      </c>
      <c r="F613" t="s">
        <v>600</v>
      </c>
      <c r="G613" t="str">
        <f>"0332"</f>
        <v>0332</v>
      </c>
      <c r="H613" t="str">
        <f>"0000"</f>
        <v>0000</v>
      </c>
      <c r="I613" t="s">
        <v>83</v>
      </c>
      <c r="J613">
        <v>0</v>
      </c>
      <c r="K613">
        <v>1</v>
      </c>
      <c r="L613">
        <v>3</v>
      </c>
      <c r="M613">
        <v>260</v>
      </c>
      <c r="N613">
        <v>408</v>
      </c>
      <c r="O613">
        <v>0</v>
      </c>
      <c r="P613">
        <v>408</v>
      </c>
      <c r="Q613">
        <v>2</v>
      </c>
      <c r="R613">
        <v>36</v>
      </c>
      <c r="S613">
        <v>28</v>
      </c>
      <c r="U613">
        <v>104</v>
      </c>
      <c r="V613">
        <v>14</v>
      </c>
      <c r="W613">
        <v>0</v>
      </c>
      <c r="X613">
        <v>122</v>
      </c>
      <c r="Y613">
        <v>2</v>
      </c>
      <c r="Z613">
        <v>48</v>
      </c>
      <c r="AA613">
        <v>44</v>
      </c>
      <c r="AB613">
        <v>0</v>
      </c>
      <c r="AF613">
        <v>1</v>
      </c>
      <c r="AG613">
        <v>0</v>
      </c>
      <c r="AH613">
        <v>0</v>
      </c>
      <c r="AI613">
        <v>0</v>
      </c>
      <c r="AW613">
        <v>0</v>
      </c>
      <c r="AX613">
        <v>7</v>
      </c>
      <c r="AY613">
        <v>408</v>
      </c>
      <c r="AZ613">
        <v>408</v>
      </c>
      <c r="BA613">
        <v>624</v>
      </c>
      <c r="BB613">
        <v>44</v>
      </c>
      <c r="BD613">
        <v>1</v>
      </c>
      <c r="BF613" s="2" t="s">
        <v>728</v>
      </c>
      <c r="BG613" s="1">
        <v>44354.190972222219</v>
      </c>
      <c r="BH613" s="1">
        <v>44354.192870370367</v>
      </c>
      <c r="BI613" s="1">
        <v>44354.193553240744</v>
      </c>
      <c r="BJ613" t="s">
        <v>85</v>
      </c>
      <c r="BK613" t="s">
        <v>86</v>
      </c>
      <c r="BL613" t="s">
        <v>87</v>
      </c>
    </row>
    <row r="614" spans="1:64" x14ac:dyDescent="0.3">
      <c r="A614" t="str">
        <f>"202468B0000"</f>
        <v>202468B0000</v>
      </c>
      <c r="B614" t="str">
        <f>"202468B00003"</f>
        <v>202468B00003</v>
      </c>
      <c r="C614" t="str">
        <f t="shared" si="38"/>
        <v>20</v>
      </c>
      <c r="D614" t="s">
        <v>81</v>
      </c>
      <c r="E614" t="str">
        <f t="shared" si="39"/>
        <v>043</v>
      </c>
      <c r="F614" t="s">
        <v>600</v>
      </c>
      <c r="G614" t="str">
        <f>"2468"</f>
        <v>2468</v>
      </c>
      <c r="H614" t="str">
        <f>"0000"</f>
        <v>0000</v>
      </c>
      <c r="I614" t="s">
        <v>83</v>
      </c>
      <c r="J614">
        <v>0</v>
      </c>
      <c r="K614">
        <v>1</v>
      </c>
      <c r="L614">
        <v>3</v>
      </c>
      <c r="M614">
        <v>261</v>
      </c>
      <c r="N614">
        <v>401</v>
      </c>
      <c r="O614">
        <v>5</v>
      </c>
      <c r="P614">
        <v>401</v>
      </c>
      <c r="Q614">
        <v>0</v>
      </c>
      <c r="R614">
        <v>30</v>
      </c>
      <c r="S614">
        <v>4</v>
      </c>
      <c r="U614">
        <v>155</v>
      </c>
      <c r="V614">
        <v>5</v>
      </c>
      <c r="W614">
        <v>4</v>
      </c>
      <c r="X614">
        <v>139</v>
      </c>
      <c r="Y614">
        <v>3</v>
      </c>
      <c r="Z614">
        <v>45</v>
      </c>
      <c r="AA614">
        <v>4</v>
      </c>
      <c r="AB614">
        <v>5</v>
      </c>
      <c r="AF614">
        <v>2</v>
      </c>
      <c r="AG614">
        <v>1</v>
      </c>
      <c r="AH614">
        <v>0</v>
      </c>
      <c r="AI614">
        <v>0</v>
      </c>
      <c r="AW614">
        <v>0</v>
      </c>
      <c r="AX614">
        <v>4</v>
      </c>
      <c r="AY614">
        <v>401</v>
      </c>
      <c r="AZ614">
        <v>401</v>
      </c>
      <c r="BA614">
        <v>618</v>
      </c>
      <c r="BB614">
        <v>44</v>
      </c>
      <c r="BD614">
        <v>1</v>
      </c>
      <c r="BF614" t="s">
        <v>729</v>
      </c>
      <c r="BG614" s="1">
        <v>44353.996527777781</v>
      </c>
      <c r="BH614" s="1">
        <v>44354.002233796295</v>
      </c>
      <c r="BI614" s="1">
        <v>44354.002835648149</v>
      </c>
      <c r="BJ614" t="s">
        <v>85</v>
      </c>
      <c r="BK614" t="s">
        <v>86</v>
      </c>
      <c r="BL614" t="s">
        <v>87</v>
      </c>
    </row>
    <row r="615" spans="1:64" x14ac:dyDescent="0.3">
      <c r="A615" t="str">
        <f>"202468C0100"</f>
        <v>202468C0100</v>
      </c>
      <c r="B615" t="str">
        <f>"202468C01003"</f>
        <v>202468C01003</v>
      </c>
      <c r="C615" t="str">
        <f t="shared" si="38"/>
        <v>20</v>
      </c>
      <c r="D615" t="s">
        <v>81</v>
      </c>
      <c r="E615" t="str">
        <f t="shared" si="39"/>
        <v>043</v>
      </c>
      <c r="F615" t="s">
        <v>600</v>
      </c>
      <c r="G615" t="str">
        <f>"2468"</f>
        <v>2468</v>
      </c>
      <c r="H615" t="str">
        <f>"0001"</f>
        <v>0001</v>
      </c>
      <c r="I615" t="s">
        <v>89</v>
      </c>
      <c r="J615">
        <v>0</v>
      </c>
      <c r="K615">
        <v>1</v>
      </c>
      <c r="L615">
        <v>3</v>
      </c>
      <c r="M615">
        <v>227</v>
      </c>
      <c r="N615">
        <v>435</v>
      </c>
      <c r="O615">
        <v>2</v>
      </c>
      <c r="P615">
        <v>435</v>
      </c>
      <c r="Q615">
        <v>1</v>
      </c>
      <c r="R615">
        <v>28</v>
      </c>
      <c r="S615">
        <v>3</v>
      </c>
      <c r="U615">
        <v>168</v>
      </c>
      <c r="V615">
        <v>1</v>
      </c>
      <c r="W615">
        <v>0</v>
      </c>
      <c r="X615">
        <v>161</v>
      </c>
      <c r="Y615">
        <v>7</v>
      </c>
      <c r="Z615">
        <v>51</v>
      </c>
      <c r="AA615">
        <v>6</v>
      </c>
      <c r="AB615">
        <v>5</v>
      </c>
      <c r="AF615" t="s">
        <v>95</v>
      </c>
      <c r="AG615" t="s">
        <v>95</v>
      </c>
      <c r="AH615" t="s">
        <v>95</v>
      </c>
      <c r="AI615" t="s">
        <v>95</v>
      </c>
      <c r="AW615" t="s">
        <v>95</v>
      </c>
      <c r="AX615">
        <v>4</v>
      </c>
      <c r="AY615">
        <v>435</v>
      </c>
      <c r="AZ615">
        <v>435</v>
      </c>
      <c r="BA615">
        <v>618</v>
      </c>
      <c r="BB615">
        <v>44</v>
      </c>
      <c r="BC615" t="s">
        <v>96</v>
      </c>
      <c r="BD615">
        <v>1</v>
      </c>
      <c r="BF615" t="s">
        <v>730</v>
      </c>
      <c r="BG615" s="1">
        <v>44353.994444444441</v>
      </c>
      <c r="BH615" s="1">
        <v>44353.999432870369</v>
      </c>
      <c r="BI615" s="1">
        <v>44354.000057870369</v>
      </c>
      <c r="BJ615" t="s">
        <v>85</v>
      </c>
      <c r="BK615" t="s">
        <v>86</v>
      </c>
      <c r="BL615" t="s">
        <v>87</v>
      </c>
    </row>
    <row r="616" spans="1:64" x14ac:dyDescent="0.3">
      <c r="A616" t="str">
        <f>"202468C0200"</f>
        <v>202468C0200</v>
      </c>
      <c r="B616" t="str">
        <f>"202468C02003"</f>
        <v>202468C02003</v>
      </c>
      <c r="C616" t="str">
        <f t="shared" si="38"/>
        <v>20</v>
      </c>
      <c r="D616" t="s">
        <v>81</v>
      </c>
      <c r="E616" t="str">
        <f t="shared" si="39"/>
        <v>043</v>
      </c>
      <c r="F616" t="s">
        <v>600</v>
      </c>
      <c r="G616" t="str">
        <f>"2468"</f>
        <v>2468</v>
      </c>
      <c r="H616" t="str">
        <f>"0002"</f>
        <v>0002</v>
      </c>
      <c r="I616" t="s">
        <v>89</v>
      </c>
      <c r="J616">
        <v>0</v>
      </c>
      <c r="K616">
        <v>1</v>
      </c>
      <c r="L616">
        <v>3</v>
      </c>
      <c r="M616">
        <v>243</v>
      </c>
      <c r="N616">
        <v>418</v>
      </c>
      <c r="O616">
        <v>7</v>
      </c>
      <c r="P616">
        <v>418</v>
      </c>
      <c r="Q616">
        <v>1</v>
      </c>
      <c r="R616">
        <v>22</v>
      </c>
      <c r="S616">
        <v>6</v>
      </c>
      <c r="U616">
        <v>175</v>
      </c>
      <c r="V616">
        <v>4</v>
      </c>
      <c r="W616">
        <v>1</v>
      </c>
      <c r="X616">
        <v>135</v>
      </c>
      <c r="Y616">
        <v>3</v>
      </c>
      <c r="Z616">
        <v>49</v>
      </c>
      <c r="AA616">
        <v>11</v>
      </c>
      <c r="AB616">
        <v>1</v>
      </c>
      <c r="AF616" t="s">
        <v>95</v>
      </c>
      <c r="AG616" t="s">
        <v>95</v>
      </c>
      <c r="AH616" t="s">
        <v>95</v>
      </c>
      <c r="AI616" t="s">
        <v>95</v>
      </c>
      <c r="AW616" t="s">
        <v>95</v>
      </c>
      <c r="AX616">
        <v>10</v>
      </c>
      <c r="AY616">
        <v>418</v>
      </c>
      <c r="AZ616">
        <v>418</v>
      </c>
      <c r="BA616">
        <v>617</v>
      </c>
      <c r="BB616">
        <v>44</v>
      </c>
      <c r="BC616" t="s">
        <v>96</v>
      </c>
      <c r="BD616">
        <v>1</v>
      </c>
      <c r="BF616" t="s">
        <v>731</v>
      </c>
      <c r="BG616" s="1">
        <v>44353.993055555555</v>
      </c>
      <c r="BH616" s="1">
        <v>44353.999027777776</v>
      </c>
      <c r="BI616" s="1">
        <v>44353.999583333331</v>
      </c>
      <c r="BJ616" t="s">
        <v>85</v>
      </c>
      <c r="BK616" t="s">
        <v>86</v>
      </c>
      <c r="BL616" t="s">
        <v>87</v>
      </c>
    </row>
    <row r="617" spans="1:64" x14ac:dyDescent="0.3">
      <c r="A617" t="str">
        <f>"202468C0300"</f>
        <v>202468C0300</v>
      </c>
      <c r="B617" t="str">
        <f>"202468C03003"</f>
        <v>202468C03003</v>
      </c>
      <c r="C617" t="str">
        <f t="shared" si="38"/>
        <v>20</v>
      </c>
      <c r="D617" t="s">
        <v>81</v>
      </c>
      <c r="E617" t="str">
        <f t="shared" si="39"/>
        <v>043</v>
      </c>
      <c r="F617" t="s">
        <v>600</v>
      </c>
      <c r="G617" t="str">
        <f>"2468"</f>
        <v>2468</v>
      </c>
      <c r="H617" t="str">
        <f>"0003"</f>
        <v>0003</v>
      </c>
      <c r="I617" t="s">
        <v>89</v>
      </c>
      <c r="J617">
        <v>0</v>
      </c>
      <c r="K617">
        <v>1</v>
      </c>
      <c r="L617">
        <v>3</v>
      </c>
      <c r="BA617">
        <v>617</v>
      </c>
      <c r="BB617">
        <v>44</v>
      </c>
      <c r="BC617" t="s">
        <v>381</v>
      </c>
      <c r="BD617">
        <v>0</v>
      </c>
      <c r="BF617" t="s">
        <v>732</v>
      </c>
      <c r="BG617" s="1">
        <v>44354.576388888891</v>
      </c>
      <c r="BH617" s="1">
        <v>44354.5780787037</v>
      </c>
      <c r="BI617" s="1">
        <v>44354.5780787037</v>
      </c>
      <c r="BJ617" t="s">
        <v>85</v>
      </c>
      <c r="BK617" t="s">
        <v>86</v>
      </c>
      <c r="BL617" t="s">
        <v>87</v>
      </c>
    </row>
    <row r="618" spans="1:64" x14ac:dyDescent="0.3">
      <c r="A618" t="str">
        <f>"202468S0100"</f>
        <v>202468S0100</v>
      </c>
      <c r="B618" t="str">
        <f>"202468S01003E"</f>
        <v>202468S01003E</v>
      </c>
      <c r="C618" t="str">
        <f t="shared" si="38"/>
        <v>20</v>
      </c>
      <c r="D618" t="s">
        <v>81</v>
      </c>
      <c r="E618" t="str">
        <f t="shared" si="39"/>
        <v>043</v>
      </c>
      <c r="F618" t="s">
        <v>600</v>
      </c>
      <c r="G618" t="str">
        <f>"2468"</f>
        <v>2468</v>
      </c>
      <c r="H618" t="str">
        <f>"0001"</f>
        <v>0001</v>
      </c>
      <c r="I618" t="s">
        <v>99</v>
      </c>
      <c r="J618">
        <v>0</v>
      </c>
      <c r="K618">
        <v>1</v>
      </c>
      <c r="L618" t="s">
        <v>100</v>
      </c>
      <c r="M618">
        <v>516</v>
      </c>
      <c r="N618">
        <v>484</v>
      </c>
      <c r="O618">
        <v>0</v>
      </c>
      <c r="P618">
        <v>484</v>
      </c>
      <c r="Q618">
        <v>3</v>
      </c>
      <c r="R618">
        <v>33</v>
      </c>
      <c r="S618">
        <v>10</v>
      </c>
      <c r="U618">
        <v>0</v>
      </c>
      <c r="V618">
        <v>0</v>
      </c>
      <c r="W618">
        <v>0</v>
      </c>
      <c r="X618">
        <v>57</v>
      </c>
      <c r="Y618">
        <v>9</v>
      </c>
      <c r="Z618">
        <v>92</v>
      </c>
      <c r="AA618">
        <v>4</v>
      </c>
      <c r="AB618">
        <v>1</v>
      </c>
      <c r="AF618">
        <v>1</v>
      </c>
      <c r="AG618">
        <v>0</v>
      </c>
      <c r="AH618">
        <v>0</v>
      </c>
      <c r="AI618">
        <v>0</v>
      </c>
      <c r="AW618">
        <v>0</v>
      </c>
      <c r="AX618">
        <v>9</v>
      </c>
      <c r="AY618">
        <v>484</v>
      </c>
      <c r="AZ618">
        <v>219</v>
      </c>
      <c r="BA618">
        <v>0</v>
      </c>
      <c r="BB618">
        <v>44</v>
      </c>
      <c r="BD618">
        <v>1</v>
      </c>
      <c r="BF618" t="s">
        <v>733</v>
      </c>
      <c r="BG618" s="1">
        <v>44353.992361111108</v>
      </c>
      <c r="BH618" s="1">
        <v>44353.997800925928</v>
      </c>
      <c r="BI618" s="1">
        <v>44353.999120370368</v>
      </c>
      <c r="BJ618" t="s">
        <v>85</v>
      </c>
      <c r="BK618" t="s">
        <v>86</v>
      </c>
      <c r="BL618" t="s">
        <v>87</v>
      </c>
    </row>
    <row r="619" spans="1:64" x14ac:dyDescent="0.3">
      <c r="A619" t="str">
        <f>"202469B0000"</f>
        <v>202469B0000</v>
      </c>
      <c r="B619" t="str">
        <f>"202469B00003"</f>
        <v>202469B00003</v>
      </c>
      <c r="C619" t="str">
        <f t="shared" si="38"/>
        <v>20</v>
      </c>
      <c r="D619" t="s">
        <v>81</v>
      </c>
      <c r="E619" t="str">
        <f t="shared" si="39"/>
        <v>043</v>
      </c>
      <c r="F619" t="s">
        <v>600</v>
      </c>
      <c r="G619" t="str">
        <f>"2469"</f>
        <v>2469</v>
      </c>
      <c r="H619" t="str">
        <f>"0000"</f>
        <v>0000</v>
      </c>
      <c r="I619" t="s">
        <v>83</v>
      </c>
      <c r="J619">
        <v>0</v>
      </c>
      <c r="K619">
        <v>1</v>
      </c>
      <c r="L619">
        <v>3</v>
      </c>
      <c r="M619">
        <v>216</v>
      </c>
      <c r="N619">
        <v>394</v>
      </c>
      <c r="O619">
        <v>6</v>
      </c>
      <c r="P619">
        <v>394</v>
      </c>
      <c r="Q619">
        <v>0</v>
      </c>
      <c r="R619">
        <v>27</v>
      </c>
      <c r="S619">
        <v>4</v>
      </c>
      <c r="U619">
        <v>163</v>
      </c>
      <c r="V619">
        <v>2</v>
      </c>
      <c r="W619">
        <v>0</v>
      </c>
      <c r="X619">
        <v>140</v>
      </c>
      <c r="Y619">
        <v>6</v>
      </c>
      <c r="Z619">
        <v>33</v>
      </c>
      <c r="AA619">
        <v>8</v>
      </c>
      <c r="AB619">
        <v>1</v>
      </c>
      <c r="AF619">
        <v>0</v>
      </c>
      <c r="AG619">
        <v>0</v>
      </c>
      <c r="AH619">
        <v>0</v>
      </c>
      <c r="AI619">
        <v>0</v>
      </c>
      <c r="AW619">
        <v>0</v>
      </c>
      <c r="AX619">
        <v>10</v>
      </c>
      <c r="AY619">
        <v>394</v>
      </c>
      <c r="AZ619">
        <v>394</v>
      </c>
      <c r="BA619">
        <v>566</v>
      </c>
      <c r="BB619">
        <v>44</v>
      </c>
      <c r="BD619">
        <v>1</v>
      </c>
      <c r="BF619" t="s">
        <v>734</v>
      </c>
      <c r="BG619" s="1">
        <v>44354.169444444444</v>
      </c>
      <c r="BH619" s="1">
        <v>44354.171400462961</v>
      </c>
      <c r="BI619" s="1">
        <v>44354.171898148146</v>
      </c>
      <c r="BJ619" t="s">
        <v>85</v>
      </c>
      <c r="BK619" t="s">
        <v>86</v>
      </c>
      <c r="BL619" t="s">
        <v>87</v>
      </c>
    </row>
    <row r="620" spans="1:64" x14ac:dyDescent="0.3">
      <c r="A620" t="str">
        <f>"202469C0100"</f>
        <v>202469C0100</v>
      </c>
      <c r="B620" t="str">
        <f>"202469C01003"</f>
        <v>202469C01003</v>
      </c>
      <c r="C620" t="str">
        <f t="shared" si="38"/>
        <v>20</v>
      </c>
      <c r="D620" t="s">
        <v>81</v>
      </c>
      <c r="E620" t="str">
        <f t="shared" si="39"/>
        <v>043</v>
      </c>
      <c r="F620" t="s">
        <v>600</v>
      </c>
      <c r="G620" t="str">
        <f>"2469"</f>
        <v>2469</v>
      </c>
      <c r="H620" t="str">
        <f>"0001"</f>
        <v>0001</v>
      </c>
      <c r="I620" t="s">
        <v>89</v>
      </c>
      <c r="J620">
        <v>0</v>
      </c>
      <c r="K620">
        <v>1</v>
      </c>
      <c r="L620">
        <v>3</v>
      </c>
      <c r="M620">
        <v>195</v>
      </c>
      <c r="N620">
        <v>414</v>
      </c>
      <c r="O620">
        <v>6</v>
      </c>
      <c r="P620">
        <v>414</v>
      </c>
      <c r="Q620">
        <v>0</v>
      </c>
      <c r="R620">
        <v>39</v>
      </c>
      <c r="S620">
        <v>2</v>
      </c>
      <c r="U620">
        <v>160</v>
      </c>
      <c r="V620">
        <v>1</v>
      </c>
      <c r="W620">
        <v>0</v>
      </c>
      <c r="X620">
        <v>135</v>
      </c>
      <c r="Y620">
        <v>9</v>
      </c>
      <c r="Z620">
        <v>57</v>
      </c>
      <c r="AA620">
        <v>4</v>
      </c>
      <c r="AB620">
        <v>2</v>
      </c>
      <c r="AF620">
        <v>0</v>
      </c>
      <c r="AG620">
        <v>0</v>
      </c>
      <c r="AH620">
        <v>0</v>
      </c>
      <c r="AI620">
        <v>0</v>
      </c>
      <c r="AW620">
        <v>0</v>
      </c>
      <c r="AX620">
        <v>5</v>
      </c>
      <c r="AY620">
        <v>414</v>
      </c>
      <c r="AZ620">
        <v>414</v>
      </c>
      <c r="BA620">
        <v>565</v>
      </c>
      <c r="BB620">
        <v>44</v>
      </c>
      <c r="BD620">
        <v>1</v>
      </c>
      <c r="BF620" s="2" t="s">
        <v>735</v>
      </c>
      <c r="BG620" s="1">
        <v>44354.168749999997</v>
      </c>
      <c r="BH620" s="1">
        <v>44354.170868055553</v>
      </c>
      <c r="BI620" s="1">
        <v>44354.171736111108</v>
      </c>
      <c r="BJ620" t="s">
        <v>85</v>
      </c>
      <c r="BK620" t="s">
        <v>86</v>
      </c>
      <c r="BL620" t="s">
        <v>87</v>
      </c>
    </row>
    <row r="621" spans="1:64" x14ac:dyDescent="0.3">
      <c r="A621" t="str">
        <f>"200333B0000"</f>
        <v>200333B0000</v>
      </c>
      <c r="B621" t="str">
        <f>"200333B00003"</f>
        <v>200333B00003</v>
      </c>
      <c r="C621" t="str">
        <f t="shared" si="38"/>
        <v>20</v>
      </c>
      <c r="D621" t="s">
        <v>81</v>
      </c>
      <c r="E621" t="str">
        <f t="shared" ref="E621:E652" si="40">"044"</f>
        <v>044</v>
      </c>
      <c r="F621" t="s">
        <v>736</v>
      </c>
      <c r="G621" t="str">
        <f>"0333"</f>
        <v>0333</v>
      </c>
      <c r="H621" t="str">
        <f>"0000"</f>
        <v>0000</v>
      </c>
      <c r="I621" t="s">
        <v>83</v>
      </c>
      <c r="J621">
        <v>0</v>
      </c>
      <c r="K621">
        <v>1</v>
      </c>
      <c r="L621">
        <v>3</v>
      </c>
      <c r="M621">
        <v>236</v>
      </c>
      <c r="N621">
        <v>336</v>
      </c>
      <c r="O621">
        <v>5</v>
      </c>
      <c r="P621">
        <v>336</v>
      </c>
      <c r="Q621">
        <v>7</v>
      </c>
      <c r="R621">
        <v>54</v>
      </c>
      <c r="S621">
        <v>149</v>
      </c>
      <c r="T621">
        <v>1</v>
      </c>
      <c r="U621">
        <v>0</v>
      </c>
      <c r="V621">
        <v>2</v>
      </c>
      <c r="W621">
        <v>3</v>
      </c>
      <c r="X621">
        <v>20</v>
      </c>
      <c r="Y621">
        <v>67</v>
      </c>
      <c r="Z621">
        <v>20</v>
      </c>
      <c r="AB621">
        <v>6</v>
      </c>
      <c r="AS621">
        <v>3</v>
      </c>
      <c r="AU621">
        <v>0</v>
      </c>
      <c r="AW621">
        <v>0</v>
      </c>
      <c r="AX621">
        <v>4</v>
      </c>
      <c r="AY621">
        <v>336</v>
      </c>
      <c r="AZ621">
        <v>336</v>
      </c>
      <c r="BA621">
        <v>529</v>
      </c>
      <c r="BB621">
        <v>44</v>
      </c>
      <c r="BD621">
        <v>1</v>
      </c>
      <c r="BF621" s="2" t="s">
        <v>737</v>
      </c>
      <c r="BG621" s="1">
        <v>44353.94767361111</v>
      </c>
      <c r="BH621" s="1">
        <v>44353.949317129627</v>
      </c>
      <c r="BI621" s="1">
        <v>44353.949953703705</v>
      </c>
      <c r="BJ621" t="s">
        <v>197</v>
      </c>
      <c r="BK621" t="s">
        <v>198</v>
      </c>
      <c r="BL621" t="s">
        <v>87</v>
      </c>
    </row>
    <row r="622" spans="1:64" x14ac:dyDescent="0.3">
      <c r="A622" t="str">
        <f>"200333C0100"</f>
        <v>200333C0100</v>
      </c>
      <c r="B622" t="str">
        <f>"200333C01003"</f>
        <v>200333C01003</v>
      </c>
      <c r="C622" t="str">
        <f t="shared" si="38"/>
        <v>20</v>
      </c>
      <c r="D622" t="s">
        <v>81</v>
      </c>
      <c r="E622" t="str">
        <f t="shared" si="40"/>
        <v>044</v>
      </c>
      <c r="F622" t="s">
        <v>736</v>
      </c>
      <c r="G622" t="str">
        <f>"0333"</f>
        <v>0333</v>
      </c>
      <c r="H622" t="str">
        <f>"0001"</f>
        <v>0001</v>
      </c>
      <c r="I622" t="s">
        <v>89</v>
      </c>
      <c r="J622">
        <v>0</v>
      </c>
      <c r="K622">
        <v>1</v>
      </c>
      <c r="L622">
        <v>3</v>
      </c>
      <c r="M622">
        <v>234</v>
      </c>
      <c r="N622">
        <v>338</v>
      </c>
      <c r="O622">
        <v>2</v>
      </c>
      <c r="P622">
        <v>338</v>
      </c>
      <c r="Q622">
        <v>20</v>
      </c>
      <c r="R622">
        <v>59</v>
      </c>
      <c r="S622">
        <v>154</v>
      </c>
      <c r="T622">
        <v>0</v>
      </c>
      <c r="U622">
        <v>3</v>
      </c>
      <c r="V622">
        <v>3</v>
      </c>
      <c r="W622">
        <v>2</v>
      </c>
      <c r="X622">
        <v>9</v>
      </c>
      <c r="Y622">
        <v>56</v>
      </c>
      <c r="Z622">
        <v>15</v>
      </c>
      <c r="AB622">
        <v>5</v>
      </c>
      <c r="AS622">
        <v>0</v>
      </c>
      <c r="AU622">
        <v>0</v>
      </c>
      <c r="AW622">
        <v>0</v>
      </c>
      <c r="AX622">
        <v>12</v>
      </c>
      <c r="AY622">
        <v>338</v>
      </c>
      <c r="AZ622">
        <v>338</v>
      </c>
      <c r="BA622">
        <v>528</v>
      </c>
      <c r="BB622">
        <v>44</v>
      </c>
      <c r="BD622">
        <v>1</v>
      </c>
      <c r="BF622" t="s">
        <v>738</v>
      </c>
      <c r="BG622" s="1">
        <v>44353.964375000003</v>
      </c>
      <c r="BH622" s="1">
        <v>44353.965486111112</v>
      </c>
      <c r="BI622" s="1">
        <v>44353.96670138889</v>
      </c>
      <c r="BJ622" t="s">
        <v>197</v>
      </c>
      <c r="BK622" t="s">
        <v>198</v>
      </c>
      <c r="BL622" t="s">
        <v>87</v>
      </c>
    </row>
    <row r="623" spans="1:64" x14ac:dyDescent="0.3">
      <c r="A623" t="str">
        <f>"200334B0000"</f>
        <v>200334B0000</v>
      </c>
      <c r="B623" t="str">
        <f>"200334B00003"</f>
        <v>200334B00003</v>
      </c>
      <c r="C623" t="str">
        <f t="shared" si="38"/>
        <v>20</v>
      </c>
      <c r="D623" t="s">
        <v>81</v>
      </c>
      <c r="E623" t="str">
        <f t="shared" si="40"/>
        <v>044</v>
      </c>
      <c r="F623" t="s">
        <v>736</v>
      </c>
      <c r="G623" t="str">
        <f>"0334"</f>
        <v>0334</v>
      </c>
      <c r="H623" t="str">
        <f>"0000"</f>
        <v>0000</v>
      </c>
      <c r="I623" t="s">
        <v>83</v>
      </c>
      <c r="J623">
        <v>0</v>
      </c>
      <c r="K623">
        <v>1</v>
      </c>
      <c r="L623">
        <v>3</v>
      </c>
      <c r="M623">
        <v>210</v>
      </c>
      <c r="N623">
        <v>265</v>
      </c>
      <c r="O623">
        <v>0</v>
      </c>
      <c r="P623">
        <v>265</v>
      </c>
      <c r="Q623">
        <v>5</v>
      </c>
      <c r="R623">
        <v>43</v>
      </c>
      <c r="S623">
        <v>84</v>
      </c>
      <c r="T623">
        <v>5</v>
      </c>
      <c r="U623">
        <v>1</v>
      </c>
      <c r="V623">
        <v>3</v>
      </c>
      <c r="W623">
        <v>3</v>
      </c>
      <c r="X623">
        <v>51</v>
      </c>
      <c r="Y623">
        <v>40</v>
      </c>
      <c r="Z623">
        <v>1</v>
      </c>
      <c r="AB623">
        <v>11</v>
      </c>
      <c r="AS623" t="s">
        <v>131</v>
      </c>
      <c r="AU623">
        <v>0</v>
      </c>
      <c r="AW623">
        <v>0</v>
      </c>
      <c r="AX623">
        <v>12</v>
      </c>
      <c r="AY623" t="s">
        <v>95</v>
      </c>
      <c r="AZ623">
        <v>259</v>
      </c>
      <c r="BA623">
        <v>431</v>
      </c>
      <c r="BB623">
        <v>44</v>
      </c>
      <c r="BC623" t="s">
        <v>96</v>
      </c>
      <c r="BD623">
        <v>1</v>
      </c>
      <c r="BF623" t="s">
        <v>739</v>
      </c>
      <c r="BG623" s="1">
        <v>44354.026388888888</v>
      </c>
      <c r="BH623" s="1">
        <v>44354.038530092592</v>
      </c>
      <c r="BI623" s="1">
        <v>44354.039085648146</v>
      </c>
      <c r="BJ623" t="s">
        <v>85</v>
      </c>
      <c r="BK623" t="s">
        <v>86</v>
      </c>
      <c r="BL623" t="s">
        <v>87</v>
      </c>
    </row>
    <row r="624" spans="1:64" x14ac:dyDescent="0.3">
      <c r="A624" t="str">
        <f>"200334C0100"</f>
        <v>200334C0100</v>
      </c>
      <c r="B624" t="str">
        <f>"200334C01003"</f>
        <v>200334C01003</v>
      </c>
      <c r="C624" t="str">
        <f t="shared" si="38"/>
        <v>20</v>
      </c>
      <c r="D624" t="s">
        <v>81</v>
      </c>
      <c r="E624" t="str">
        <f t="shared" si="40"/>
        <v>044</v>
      </c>
      <c r="F624" t="s">
        <v>736</v>
      </c>
      <c r="G624" t="str">
        <f>"0334"</f>
        <v>0334</v>
      </c>
      <c r="H624" t="str">
        <f>"0001"</f>
        <v>0001</v>
      </c>
      <c r="I624" t="s">
        <v>89</v>
      </c>
      <c r="J624">
        <v>0</v>
      </c>
      <c r="K624">
        <v>1</v>
      </c>
      <c r="L624">
        <v>3</v>
      </c>
      <c r="M624">
        <v>218</v>
      </c>
      <c r="N624">
        <v>257</v>
      </c>
      <c r="O624">
        <v>12</v>
      </c>
      <c r="P624" t="s">
        <v>92</v>
      </c>
      <c r="Q624">
        <v>8</v>
      </c>
      <c r="R624">
        <v>46</v>
      </c>
      <c r="S624">
        <v>118</v>
      </c>
      <c r="T624">
        <v>2</v>
      </c>
      <c r="U624">
        <v>1</v>
      </c>
      <c r="V624">
        <v>1</v>
      </c>
      <c r="W624">
        <v>4</v>
      </c>
      <c r="X624">
        <v>22</v>
      </c>
      <c r="Y624">
        <v>33</v>
      </c>
      <c r="Z624">
        <v>7</v>
      </c>
      <c r="AB624">
        <v>3</v>
      </c>
      <c r="AS624">
        <v>1</v>
      </c>
      <c r="AU624">
        <v>0</v>
      </c>
      <c r="AW624">
        <v>0</v>
      </c>
      <c r="AX624">
        <v>11</v>
      </c>
      <c r="AY624">
        <v>257</v>
      </c>
      <c r="AZ624">
        <v>257</v>
      </c>
      <c r="BA624">
        <v>431</v>
      </c>
      <c r="BB624">
        <v>44</v>
      </c>
      <c r="BD624">
        <v>1</v>
      </c>
      <c r="BF624" t="s">
        <v>740</v>
      </c>
      <c r="BG624" s="1">
        <v>44354.026388888888</v>
      </c>
      <c r="BH624" s="1">
        <v>44354.038773148146</v>
      </c>
      <c r="BI624" s="1">
        <v>44354.039166666669</v>
      </c>
      <c r="BJ624" t="s">
        <v>85</v>
      </c>
      <c r="BK624" t="s">
        <v>86</v>
      </c>
      <c r="BL624" t="s">
        <v>87</v>
      </c>
    </row>
    <row r="625" spans="1:64" x14ac:dyDescent="0.3">
      <c r="A625" t="str">
        <f>"200335B0000"</f>
        <v>200335B0000</v>
      </c>
      <c r="B625" t="str">
        <f>"200335B00003"</f>
        <v>200335B00003</v>
      </c>
      <c r="C625" t="str">
        <f t="shared" si="38"/>
        <v>20</v>
      </c>
      <c r="D625" t="s">
        <v>81</v>
      </c>
      <c r="E625" t="str">
        <f t="shared" si="40"/>
        <v>044</v>
      </c>
      <c r="F625" t="s">
        <v>736</v>
      </c>
      <c r="G625" t="str">
        <f>"0335"</f>
        <v>0335</v>
      </c>
      <c r="H625" t="str">
        <f>"0000"</f>
        <v>0000</v>
      </c>
      <c r="I625" t="s">
        <v>83</v>
      </c>
      <c r="J625">
        <v>0</v>
      </c>
      <c r="K625">
        <v>1</v>
      </c>
      <c r="L625">
        <v>3</v>
      </c>
      <c r="M625">
        <v>336</v>
      </c>
      <c r="N625">
        <v>322</v>
      </c>
      <c r="O625">
        <v>2</v>
      </c>
      <c r="P625">
        <v>322</v>
      </c>
      <c r="Q625">
        <v>15</v>
      </c>
      <c r="R625">
        <v>82</v>
      </c>
      <c r="S625">
        <v>147</v>
      </c>
      <c r="T625">
        <v>1</v>
      </c>
      <c r="U625">
        <v>0</v>
      </c>
      <c r="V625">
        <v>1</v>
      </c>
      <c r="W625">
        <v>1</v>
      </c>
      <c r="X625">
        <v>16</v>
      </c>
      <c r="Y625">
        <v>32</v>
      </c>
      <c r="Z625">
        <v>7</v>
      </c>
      <c r="AB625">
        <v>6</v>
      </c>
      <c r="AS625">
        <v>0</v>
      </c>
      <c r="AU625">
        <v>0</v>
      </c>
      <c r="AW625">
        <v>0</v>
      </c>
      <c r="AX625">
        <v>14</v>
      </c>
      <c r="AY625">
        <v>322</v>
      </c>
      <c r="AZ625">
        <v>322</v>
      </c>
      <c r="BA625">
        <v>614</v>
      </c>
      <c r="BB625">
        <v>44</v>
      </c>
      <c r="BD625">
        <v>1</v>
      </c>
      <c r="BF625" t="s">
        <v>741</v>
      </c>
      <c r="BG625" s="1">
        <v>44354.149039351854</v>
      </c>
      <c r="BH625" s="1">
        <v>44354.151018518518</v>
      </c>
      <c r="BI625" s="1">
        <v>44354.15152777778</v>
      </c>
      <c r="BJ625" t="s">
        <v>197</v>
      </c>
      <c r="BK625" t="s">
        <v>198</v>
      </c>
      <c r="BL625" t="s">
        <v>87</v>
      </c>
    </row>
    <row r="626" spans="1:64" x14ac:dyDescent="0.3">
      <c r="A626" t="str">
        <f>"200335C0100"</f>
        <v>200335C0100</v>
      </c>
      <c r="B626" t="str">
        <f>"200335C01003"</f>
        <v>200335C01003</v>
      </c>
      <c r="C626" t="str">
        <f t="shared" si="38"/>
        <v>20</v>
      </c>
      <c r="D626" t="s">
        <v>81</v>
      </c>
      <c r="E626" t="str">
        <f t="shared" si="40"/>
        <v>044</v>
      </c>
      <c r="F626" t="s">
        <v>736</v>
      </c>
      <c r="G626" t="str">
        <f>"0335"</f>
        <v>0335</v>
      </c>
      <c r="H626" t="str">
        <f>"0001"</f>
        <v>0001</v>
      </c>
      <c r="I626" t="s">
        <v>89</v>
      </c>
      <c r="J626">
        <v>0</v>
      </c>
      <c r="K626">
        <v>1</v>
      </c>
      <c r="L626">
        <v>3</v>
      </c>
      <c r="M626">
        <v>317</v>
      </c>
      <c r="N626">
        <v>341</v>
      </c>
      <c r="O626">
        <v>7</v>
      </c>
      <c r="P626" t="s">
        <v>92</v>
      </c>
      <c r="Q626">
        <v>11</v>
      </c>
      <c r="R626">
        <v>65</v>
      </c>
      <c r="S626">
        <v>163</v>
      </c>
      <c r="T626">
        <v>1</v>
      </c>
      <c r="U626">
        <v>1</v>
      </c>
      <c r="V626">
        <v>1</v>
      </c>
      <c r="W626">
        <v>1</v>
      </c>
      <c r="X626">
        <v>19</v>
      </c>
      <c r="Y626">
        <v>51</v>
      </c>
      <c r="Z626">
        <v>6</v>
      </c>
      <c r="AB626">
        <v>6</v>
      </c>
      <c r="AS626">
        <v>3</v>
      </c>
      <c r="AU626">
        <v>1</v>
      </c>
      <c r="AW626">
        <v>0</v>
      </c>
      <c r="AX626">
        <v>13</v>
      </c>
      <c r="AY626">
        <v>341</v>
      </c>
      <c r="AZ626">
        <v>342</v>
      </c>
      <c r="BA626">
        <v>614</v>
      </c>
      <c r="BB626">
        <v>44</v>
      </c>
      <c r="BD626">
        <v>1</v>
      </c>
      <c r="BF626" t="s">
        <v>742</v>
      </c>
      <c r="BG626" s="1">
        <v>44354.108923611115</v>
      </c>
      <c r="BH626" s="1">
        <v>44354.111307870371</v>
      </c>
      <c r="BI626" s="1">
        <v>44354.112303240741</v>
      </c>
      <c r="BJ626" t="s">
        <v>197</v>
      </c>
      <c r="BK626" t="s">
        <v>198</v>
      </c>
      <c r="BL626" t="s">
        <v>87</v>
      </c>
    </row>
    <row r="627" spans="1:64" x14ac:dyDescent="0.3">
      <c r="A627" t="str">
        <f>"200336B0000"</f>
        <v>200336B0000</v>
      </c>
      <c r="B627" t="str">
        <f>"200336B00003"</f>
        <v>200336B00003</v>
      </c>
      <c r="C627" t="str">
        <f t="shared" si="38"/>
        <v>20</v>
      </c>
      <c r="D627" t="s">
        <v>81</v>
      </c>
      <c r="E627" t="str">
        <f t="shared" si="40"/>
        <v>044</v>
      </c>
      <c r="F627" t="s">
        <v>736</v>
      </c>
      <c r="G627" t="str">
        <f>"0336"</f>
        <v>0336</v>
      </c>
      <c r="H627" t="str">
        <f>"0000"</f>
        <v>0000</v>
      </c>
      <c r="I627" t="s">
        <v>83</v>
      </c>
      <c r="J627">
        <v>0</v>
      </c>
      <c r="K627">
        <v>1</v>
      </c>
      <c r="L627">
        <v>3</v>
      </c>
      <c r="M627">
        <v>214</v>
      </c>
      <c r="N627">
        <v>272</v>
      </c>
      <c r="O627">
        <v>5</v>
      </c>
      <c r="P627">
        <v>272</v>
      </c>
      <c r="Q627">
        <v>6</v>
      </c>
      <c r="R627">
        <v>55</v>
      </c>
      <c r="S627">
        <v>124</v>
      </c>
      <c r="T627">
        <v>1</v>
      </c>
      <c r="U627">
        <v>3</v>
      </c>
      <c r="V627">
        <v>0</v>
      </c>
      <c r="W627">
        <v>1</v>
      </c>
      <c r="X627">
        <v>23</v>
      </c>
      <c r="Y627">
        <v>38</v>
      </c>
      <c r="Z627">
        <v>14</v>
      </c>
      <c r="AB627">
        <v>1</v>
      </c>
      <c r="AS627">
        <v>0</v>
      </c>
      <c r="AU627">
        <v>0</v>
      </c>
      <c r="AW627">
        <v>0</v>
      </c>
      <c r="AX627">
        <v>6</v>
      </c>
      <c r="AY627">
        <v>272</v>
      </c>
      <c r="AZ627">
        <v>272</v>
      </c>
      <c r="BA627">
        <v>442</v>
      </c>
      <c r="BB627">
        <v>44</v>
      </c>
      <c r="BD627">
        <v>1</v>
      </c>
      <c r="BF627" t="s">
        <v>743</v>
      </c>
      <c r="BG627" s="1">
        <v>44353.97215277778</v>
      </c>
      <c r="BH627" s="1">
        <v>44353.973703703705</v>
      </c>
      <c r="BI627" s="1">
        <v>44353.974826388891</v>
      </c>
      <c r="BJ627" t="s">
        <v>197</v>
      </c>
      <c r="BK627" t="s">
        <v>198</v>
      </c>
      <c r="BL627" t="s">
        <v>87</v>
      </c>
    </row>
    <row r="628" spans="1:64" x14ac:dyDescent="0.3">
      <c r="A628" t="str">
        <f>"200336C0100"</f>
        <v>200336C0100</v>
      </c>
      <c r="B628" t="str">
        <f>"200336C01003"</f>
        <v>200336C01003</v>
      </c>
      <c r="C628" t="str">
        <f t="shared" si="38"/>
        <v>20</v>
      </c>
      <c r="D628" t="s">
        <v>81</v>
      </c>
      <c r="E628" t="str">
        <f t="shared" si="40"/>
        <v>044</v>
      </c>
      <c r="F628" t="s">
        <v>736</v>
      </c>
      <c r="G628" t="str">
        <f>"0336"</f>
        <v>0336</v>
      </c>
      <c r="H628" t="str">
        <f>"0001"</f>
        <v>0001</v>
      </c>
      <c r="I628" t="s">
        <v>89</v>
      </c>
      <c r="J628">
        <v>0</v>
      </c>
      <c r="K628">
        <v>1</v>
      </c>
      <c r="L628">
        <v>3</v>
      </c>
      <c r="M628">
        <v>242</v>
      </c>
      <c r="N628">
        <v>244</v>
      </c>
      <c r="O628">
        <v>2</v>
      </c>
      <c r="P628">
        <v>244</v>
      </c>
      <c r="Q628">
        <v>14</v>
      </c>
      <c r="R628">
        <v>38</v>
      </c>
      <c r="S628">
        <v>115</v>
      </c>
      <c r="T628">
        <v>1</v>
      </c>
      <c r="U628">
        <v>2</v>
      </c>
      <c r="V628">
        <v>2</v>
      </c>
      <c r="W628">
        <v>1</v>
      </c>
      <c r="X628">
        <v>27</v>
      </c>
      <c r="Y628">
        <v>20</v>
      </c>
      <c r="Z628">
        <v>14</v>
      </c>
      <c r="AB628">
        <v>4</v>
      </c>
      <c r="AS628">
        <v>2</v>
      </c>
      <c r="AU628">
        <v>0</v>
      </c>
      <c r="AW628">
        <v>0</v>
      </c>
      <c r="AX628">
        <v>4</v>
      </c>
      <c r="AY628">
        <v>244</v>
      </c>
      <c r="AZ628">
        <v>244</v>
      </c>
      <c r="BA628">
        <v>442</v>
      </c>
      <c r="BB628">
        <v>44</v>
      </c>
      <c r="BD628">
        <v>1</v>
      </c>
      <c r="BF628" t="s">
        <v>744</v>
      </c>
      <c r="BG628" s="1">
        <v>44353.919664351852</v>
      </c>
      <c r="BH628" s="1">
        <v>44353.921875</v>
      </c>
      <c r="BI628" s="1">
        <v>44353.922303240739</v>
      </c>
      <c r="BJ628" t="s">
        <v>197</v>
      </c>
      <c r="BK628" t="s">
        <v>198</v>
      </c>
      <c r="BL628" t="s">
        <v>87</v>
      </c>
    </row>
    <row r="629" spans="1:64" x14ac:dyDescent="0.3">
      <c r="A629" t="str">
        <f>"200337B0000"</f>
        <v>200337B0000</v>
      </c>
      <c r="B629" t="str">
        <f>"200337B00003"</f>
        <v>200337B00003</v>
      </c>
      <c r="C629" t="str">
        <f t="shared" si="38"/>
        <v>20</v>
      </c>
      <c r="D629" t="s">
        <v>81</v>
      </c>
      <c r="E629" t="str">
        <f t="shared" si="40"/>
        <v>044</v>
      </c>
      <c r="F629" t="s">
        <v>736</v>
      </c>
      <c r="G629" t="str">
        <f>"0337"</f>
        <v>0337</v>
      </c>
      <c r="H629" t="str">
        <f>"0000"</f>
        <v>0000</v>
      </c>
      <c r="I629" t="s">
        <v>83</v>
      </c>
      <c r="J629">
        <v>0</v>
      </c>
      <c r="K629">
        <v>1</v>
      </c>
      <c r="L629">
        <v>3</v>
      </c>
      <c r="M629">
        <v>198</v>
      </c>
      <c r="N629">
        <v>250</v>
      </c>
      <c r="O629">
        <v>2</v>
      </c>
      <c r="P629">
        <v>250</v>
      </c>
      <c r="Q629">
        <v>13</v>
      </c>
      <c r="R629">
        <v>67</v>
      </c>
      <c r="S629">
        <v>89</v>
      </c>
      <c r="T629">
        <v>2</v>
      </c>
      <c r="U629">
        <v>0</v>
      </c>
      <c r="V629">
        <v>0</v>
      </c>
      <c r="W629">
        <v>0</v>
      </c>
      <c r="X629">
        <v>16</v>
      </c>
      <c r="Y629">
        <v>12</v>
      </c>
      <c r="Z629">
        <v>12</v>
      </c>
      <c r="AB629">
        <v>6</v>
      </c>
      <c r="AS629">
        <v>5</v>
      </c>
      <c r="AU629">
        <v>0</v>
      </c>
      <c r="AW629">
        <v>0</v>
      </c>
      <c r="AX629">
        <v>9</v>
      </c>
      <c r="AY629">
        <v>250</v>
      </c>
      <c r="AZ629">
        <v>231</v>
      </c>
      <c r="BA629">
        <v>404</v>
      </c>
      <c r="BB629">
        <v>44</v>
      </c>
      <c r="BD629">
        <v>1</v>
      </c>
      <c r="BF629" t="s">
        <v>745</v>
      </c>
      <c r="BG629" s="1">
        <v>44353.986400462964</v>
      </c>
      <c r="BH629" s="1">
        <v>44353.988159722219</v>
      </c>
      <c r="BI629" s="1">
        <v>44353.989189814813</v>
      </c>
      <c r="BJ629" t="s">
        <v>197</v>
      </c>
      <c r="BK629" t="s">
        <v>198</v>
      </c>
      <c r="BL629" t="s">
        <v>87</v>
      </c>
    </row>
    <row r="630" spans="1:64" x14ac:dyDescent="0.3">
      <c r="A630" t="str">
        <f>"200337C0100"</f>
        <v>200337C0100</v>
      </c>
      <c r="B630" t="str">
        <f>"200337C01003"</f>
        <v>200337C01003</v>
      </c>
      <c r="C630" t="str">
        <f t="shared" si="38"/>
        <v>20</v>
      </c>
      <c r="D630" t="s">
        <v>81</v>
      </c>
      <c r="E630" t="str">
        <f t="shared" si="40"/>
        <v>044</v>
      </c>
      <c r="F630" t="s">
        <v>736</v>
      </c>
      <c r="G630" t="str">
        <f>"0337"</f>
        <v>0337</v>
      </c>
      <c r="H630" t="str">
        <f>"0001"</f>
        <v>0001</v>
      </c>
      <c r="I630" t="s">
        <v>89</v>
      </c>
      <c r="J630">
        <v>0</v>
      </c>
      <c r="K630">
        <v>1</v>
      </c>
      <c r="L630">
        <v>3</v>
      </c>
      <c r="M630">
        <v>191</v>
      </c>
      <c r="N630">
        <v>264</v>
      </c>
      <c r="O630">
        <v>7</v>
      </c>
      <c r="P630">
        <v>257</v>
      </c>
      <c r="Q630">
        <v>14</v>
      </c>
      <c r="R630">
        <v>66</v>
      </c>
      <c r="S630">
        <v>98</v>
      </c>
      <c r="T630">
        <v>0</v>
      </c>
      <c r="U630">
        <v>0</v>
      </c>
      <c r="V630">
        <v>1</v>
      </c>
      <c r="W630">
        <v>0</v>
      </c>
      <c r="X630">
        <v>17</v>
      </c>
      <c r="Y630">
        <v>30</v>
      </c>
      <c r="Z630">
        <v>14</v>
      </c>
      <c r="AB630">
        <v>1</v>
      </c>
      <c r="AS630">
        <v>6</v>
      </c>
      <c r="AU630">
        <v>0</v>
      </c>
      <c r="AW630">
        <v>0</v>
      </c>
      <c r="AX630">
        <v>10</v>
      </c>
      <c r="AY630">
        <v>257</v>
      </c>
      <c r="AZ630">
        <v>257</v>
      </c>
      <c r="BA630">
        <v>404</v>
      </c>
      <c r="BB630">
        <v>44</v>
      </c>
      <c r="BD630">
        <v>1</v>
      </c>
      <c r="BF630" t="s">
        <v>746</v>
      </c>
      <c r="BG630" s="1">
        <v>44353.984560185185</v>
      </c>
      <c r="BH630" s="1">
        <v>44353.985682870371</v>
      </c>
      <c r="BI630" s="1">
        <v>44353.986400462964</v>
      </c>
      <c r="BJ630" t="s">
        <v>197</v>
      </c>
      <c r="BK630" t="s">
        <v>198</v>
      </c>
      <c r="BL630" t="s">
        <v>87</v>
      </c>
    </row>
    <row r="631" spans="1:64" x14ac:dyDescent="0.3">
      <c r="A631" t="str">
        <f>"200338B0000"</f>
        <v>200338B0000</v>
      </c>
      <c r="B631" t="str">
        <f>"200338B00003"</f>
        <v>200338B00003</v>
      </c>
      <c r="C631" t="str">
        <f t="shared" si="38"/>
        <v>20</v>
      </c>
      <c r="D631" t="s">
        <v>81</v>
      </c>
      <c r="E631" t="str">
        <f t="shared" si="40"/>
        <v>044</v>
      </c>
      <c r="F631" t="s">
        <v>736</v>
      </c>
      <c r="G631" t="str">
        <f>"0338"</f>
        <v>0338</v>
      </c>
      <c r="H631" t="str">
        <f>"0000"</f>
        <v>0000</v>
      </c>
      <c r="I631" t="s">
        <v>83</v>
      </c>
      <c r="J631">
        <v>0</v>
      </c>
      <c r="K631">
        <v>1</v>
      </c>
      <c r="L631">
        <v>3</v>
      </c>
      <c r="M631">
        <v>220</v>
      </c>
      <c r="N631">
        <v>306</v>
      </c>
      <c r="O631">
        <v>2</v>
      </c>
      <c r="P631">
        <v>306</v>
      </c>
      <c r="Q631">
        <v>9</v>
      </c>
      <c r="R631">
        <v>60</v>
      </c>
      <c r="S631">
        <v>138</v>
      </c>
      <c r="T631">
        <v>1</v>
      </c>
      <c r="U631">
        <v>2</v>
      </c>
      <c r="V631">
        <v>0</v>
      </c>
      <c r="W631">
        <v>3</v>
      </c>
      <c r="X631">
        <v>24</v>
      </c>
      <c r="Y631">
        <v>24</v>
      </c>
      <c r="Z631">
        <v>18</v>
      </c>
      <c r="AB631">
        <v>20</v>
      </c>
      <c r="AS631">
        <v>0</v>
      </c>
      <c r="AU631">
        <v>0</v>
      </c>
      <c r="AW631">
        <v>0</v>
      </c>
      <c r="AX631">
        <v>7</v>
      </c>
      <c r="AY631">
        <v>306</v>
      </c>
      <c r="AZ631">
        <v>306</v>
      </c>
      <c r="BA631">
        <v>484</v>
      </c>
      <c r="BB631">
        <v>44</v>
      </c>
      <c r="BD631">
        <v>1</v>
      </c>
      <c r="BF631" t="s">
        <v>747</v>
      </c>
      <c r="BG631" s="1">
        <v>44353.934224537035</v>
      </c>
      <c r="BH631" s="1">
        <v>44353.936006944445</v>
      </c>
      <c r="BI631" s="1">
        <v>44353.937083333331</v>
      </c>
      <c r="BJ631" t="s">
        <v>197</v>
      </c>
      <c r="BK631" t="s">
        <v>198</v>
      </c>
      <c r="BL631" t="s">
        <v>87</v>
      </c>
    </row>
    <row r="632" spans="1:64" x14ac:dyDescent="0.3">
      <c r="A632" t="str">
        <f>"200338C0100"</f>
        <v>200338C0100</v>
      </c>
      <c r="B632" t="str">
        <f>"200338C01003"</f>
        <v>200338C01003</v>
      </c>
      <c r="C632" t="str">
        <f t="shared" si="38"/>
        <v>20</v>
      </c>
      <c r="D632" t="s">
        <v>81</v>
      </c>
      <c r="E632" t="str">
        <f t="shared" si="40"/>
        <v>044</v>
      </c>
      <c r="F632" t="s">
        <v>736</v>
      </c>
      <c r="G632" t="str">
        <f>"0338"</f>
        <v>0338</v>
      </c>
      <c r="H632" t="str">
        <f>"0001"</f>
        <v>0001</v>
      </c>
      <c r="I632" t="s">
        <v>89</v>
      </c>
      <c r="J632">
        <v>0</v>
      </c>
      <c r="K632">
        <v>1</v>
      </c>
      <c r="L632">
        <v>3</v>
      </c>
      <c r="M632">
        <v>217</v>
      </c>
      <c r="N632">
        <v>309</v>
      </c>
      <c r="O632">
        <v>6</v>
      </c>
      <c r="P632">
        <v>310</v>
      </c>
      <c r="Q632">
        <v>11</v>
      </c>
      <c r="R632">
        <v>55</v>
      </c>
      <c r="S632">
        <v>139</v>
      </c>
      <c r="T632">
        <v>0</v>
      </c>
      <c r="U632">
        <v>2</v>
      </c>
      <c r="V632">
        <v>1</v>
      </c>
      <c r="W632">
        <v>0</v>
      </c>
      <c r="X632">
        <v>20</v>
      </c>
      <c r="Y632">
        <v>37</v>
      </c>
      <c r="Z632">
        <v>22</v>
      </c>
      <c r="AB632">
        <v>10</v>
      </c>
      <c r="AS632">
        <v>1</v>
      </c>
      <c r="AU632">
        <v>0</v>
      </c>
      <c r="AW632">
        <v>0</v>
      </c>
      <c r="AX632">
        <v>12</v>
      </c>
      <c r="AY632">
        <v>310</v>
      </c>
      <c r="AZ632">
        <v>310</v>
      </c>
      <c r="BA632">
        <v>483</v>
      </c>
      <c r="BB632">
        <v>44</v>
      </c>
      <c r="BD632">
        <v>1</v>
      </c>
      <c r="BF632" t="s">
        <v>748</v>
      </c>
      <c r="BG632" s="1">
        <v>44353.925393518519</v>
      </c>
      <c r="BH632" s="1">
        <v>44353.929074074076</v>
      </c>
      <c r="BI632" s="1">
        <v>44353.929930555554</v>
      </c>
      <c r="BJ632" t="s">
        <v>197</v>
      </c>
      <c r="BK632" t="s">
        <v>198</v>
      </c>
      <c r="BL632" t="s">
        <v>87</v>
      </c>
    </row>
    <row r="633" spans="1:64" x14ac:dyDescent="0.3">
      <c r="A633" t="str">
        <f>"200339B0000"</f>
        <v>200339B0000</v>
      </c>
      <c r="B633" t="str">
        <f>"200339B00003"</f>
        <v>200339B00003</v>
      </c>
      <c r="C633" t="str">
        <f t="shared" si="38"/>
        <v>20</v>
      </c>
      <c r="D633" t="s">
        <v>81</v>
      </c>
      <c r="E633" t="str">
        <f t="shared" si="40"/>
        <v>044</v>
      </c>
      <c r="F633" t="s">
        <v>736</v>
      </c>
      <c r="G633" t="str">
        <f>"0339"</f>
        <v>0339</v>
      </c>
      <c r="H633" t="str">
        <f>"0000"</f>
        <v>0000</v>
      </c>
      <c r="I633" t="s">
        <v>83</v>
      </c>
      <c r="J633">
        <v>0</v>
      </c>
      <c r="K633">
        <v>1</v>
      </c>
      <c r="L633">
        <v>3</v>
      </c>
      <c r="M633">
        <v>212</v>
      </c>
      <c r="N633">
        <v>322</v>
      </c>
      <c r="O633">
        <v>4</v>
      </c>
      <c r="P633">
        <v>322</v>
      </c>
      <c r="Q633">
        <v>16</v>
      </c>
      <c r="R633">
        <v>56</v>
      </c>
      <c r="S633">
        <v>135</v>
      </c>
      <c r="T633">
        <v>2</v>
      </c>
      <c r="U633">
        <v>0</v>
      </c>
      <c r="V633">
        <v>4</v>
      </c>
      <c r="W633">
        <v>2</v>
      </c>
      <c r="X633">
        <v>36</v>
      </c>
      <c r="Y633">
        <v>40</v>
      </c>
      <c r="Z633">
        <v>15</v>
      </c>
      <c r="AB633">
        <v>6</v>
      </c>
      <c r="AS633">
        <v>1</v>
      </c>
      <c r="AU633">
        <v>0</v>
      </c>
      <c r="AW633">
        <v>0</v>
      </c>
      <c r="AX633">
        <v>9</v>
      </c>
      <c r="AY633">
        <v>10</v>
      </c>
      <c r="AZ633">
        <v>322</v>
      </c>
      <c r="BA633">
        <v>490</v>
      </c>
      <c r="BB633">
        <v>44</v>
      </c>
      <c r="BD633">
        <v>1</v>
      </c>
      <c r="BF633" t="s">
        <v>749</v>
      </c>
      <c r="BG633" s="1">
        <v>44353.971574074072</v>
      </c>
      <c r="BH633" s="1">
        <v>44353.972870370373</v>
      </c>
      <c r="BI633" s="1">
        <v>44353.973402777781</v>
      </c>
      <c r="BJ633" t="s">
        <v>197</v>
      </c>
      <c r="BK633" t="s">
        <v>198</v>
      </c>
      <c r="BL633" t="s">
        <v>87</v>
      </c>
    </row>
    <row r="634" spans="1:64" x14ac:dyDescent="0.3">
      <c r="A634" t="str">
        <f>"200339C0100"</f>
        <v>200339C0100</v>
      </c>
      <c r="B634" t="str">
        <f>"200339C01003"</f>
        <v>200339C01003</v>
      </c>
      <c r="C634" t="str">
        <f t="shared" si="38"/>
        <v>20</v>
      </c>
      <c r="D634" t="s">
        <v>81</v>
      </c>
      <c r="E634" t="str">
        <f t="shared" si="40"/>
        <v>044</v>
      </c>
      <c r="F634" t="s">
        <v>736</v>
      </c>
      <c r="G634" t="str">
        <f>"0339"</f>
        <v>0339</v>
      </c>
      <c r="H634" t="str">
        <f>"0001"</f>
        <v>0001</v>
      </c>
      <c r="I634" t="s">
        <v>89</v>
      </c>
      <c r="J634">
        <v>0</v>
      </c>
      <c r="K634">
        <v>1</v>
      </c>
      <c r="L634">
        <v>3</v>
      </c>
      <c r="M634">
        <v>239</v>
      </c>
      <c r="N634">
        <v>295</v>
      </c>
      <c r="O634">
        <v>1</v>
      </c>
      <c r="P634">
        <v>295</v>
      </c>
      <c r="Q634">
        <v>7</v>
      </c>
      <c r="R634">
        <v>67</v>
      </c>
      <c r="S634">
        <v>123</v>
      </c>
      <c r="T634">
        <v>1</v>
      </c>
      <c r="U634">
        <v>2</v>
      </c>
      <c r="V634">
        <v>0</v>
      </c>
      <c r="W634">
        <v>1</v>
      </c>
      <c r="X634">
        <v>35</v>
      </c>
      <c r="Y634">
        <v>39</v>
      </c>
      <c r="Z634">
        <v>8</v>
      </c>
      <c r="AB634">
        <v>4</v>
      </c>
      <c r="AS634">
        <v>1</v>
      </c>
      <c r="AU634">
        <v>0</v>
      </c>
      <c r="AW634">
        <v>0</v>
      </c>
      <c r="AX634">
        <v>7</v>
      </c>
      <c r="AY634">
        <v>295</v>
      </c>
      <c r="AZ634">
        <v>295</v>
      </c>
      <c r="BA634">
        <v>490</v>
      </c>
      <c r="BB634">
        <v>44</v>
      </c>
      <c r="BD634">
        <v>1</v>
      </c>
      <c r="BF634" t="s">
        <v>750</v>
      </c>
      <c r="BG634" s="1">
        <v>44353.973749999997</v>
      </c>
      <c r="BH634" s="1">
        <v>44353.975034722222</v>
      </c>
      <c r="BI634" s="1">
        <v>44353.975775462961</v>
      </c>
      <c r="BJ634" t="s">
        <v>197</v>
      </c>
      <c r="BK634" t="s">
        <v>198</v>
      </c>
      <c r="BL634" t="s">
        <v>87</v>
      </c>
    </row>
    <row r="635" spans="1:64" x14ac:dyDescent="0.3">
      <c r="A635" t="str">
        <f>"200340B0000"</f>
        <v>200340B0000</v>
      </c>
      <c r="B635" t="str">
        <f>"200340B00003"</f>
        <v>200340B00003</v>
      </c>
      <c r="C635" t="str">
        <f t="shared" si="38"/>
        <v>20</v>
      </c>
      <c r="D635" t="s">
        <v>81</v>
      </c>
      <c r="E635" t="str">
        <f t="shared" si="40"/>
        <v>044</v>
      </c>
      <c r="F635" t="s">
        <v>736</v>
      </c>
      <c r="G635" t="str">
        <f>"0340"</f>
        <v>0340</v>
      </c>
      <c r="H635" t="str">
        <f>"0000"</f>
        <v>0000</v>
      </c>
      <c r="I635" t="s">
        <v>83</v>
      </c>
      <c r="J635">
        <v>0</v>
      </c>
      <c r="K635">
        <v>1</v>
      </c>
      <c r="L635">
        <v>3</v>
      </c>
      <c r="M635">
        <v>176</v>
      </c>
      <c r="N635">
        <v>263</v>
      </c>
      <c r="O635">
        <v>2</v>
      </c>
      <c r="P635">
        <v>264</v>
      </c>
      <c r="Q635">
        <v>4</v>
      </c>
      <c r="R635">
        <v>50</v>
      </c>
      <c r="S635">
        <v>126</v>
      </c>
      <c r="T635">
        <v>0</v>
      </c>
      <c r="U635">
        <v>2</v>
      </c>
      <c r="V635">
        <v>2</v>
      </c>
      <c r="W635">
        <v>0</v>
      </c>
      <c r="X635">
        <v>18</v>
      </c>
      <c r="Y635">
        <v>31</v>
      </c>
      <c r="Z635">
        <v>21</v>
      </c>
      <c r="AB635">
        <v>1</v>
      </c>
      <c r="AS635">
        <v>0</v>
      </c>
      <c r="AU635">
        <v>0</v>
      </c>
      <c r="AW635">
        <v>0</v>
      </c>
      <c r="AX635">
        <v>9</v>
      </c>
      <c r="AY635">
        <v>264</v>
      </c>
      <c r="AZ635">
        <v>264</v>
      </c>
      <c r="BA635">
        <v>396</v>
      </c>
      <c r="BB635">
        <v>44</v>
      </c>
      <c r="BD635">
        <v>1</v>
      </c>
      <c r="BF635" t="s">
        <v>751</v>
      </c>
      <c r="BG635" s="1">
        <v>44354.13958333333</v>
      </c>
      <c r="BH635" s="1">
        <v>44354.143263888887</v>
      </c>
      <c r="BI635" s="1">
        <v>44354.143541666665</v>
      </c>
      <c r="BJ635" t="s">
        <v>85</v>
      </c>
      <c r="BK635" t="s">
        <v>86</v>
      </c>
      <c r="BL635" t="s">
        <v>87</v>
      </c>
    </row>
    <row r="636" spans="1:64" x14ac:dyDescent="0.3">
      <c r="A636" t="str">
        <f>"200340C0100"</f>
        <v>200340C0100</v>
      </c>
      <c r="B636" t="str">
        <f>"200340C01003"</f>
        <v>200340C01003</v>
      </c>
      <c r="C636" t="str">
        <f t="shared" si="38"/>
        <v>20</v>
      </c>
      <c r="D636" t="s">
        <v>81</v>
      </c>
      <c r="E636" t="str">
        <f t="shared" si="40"/>
        <v>044</v>
      </c>
      <c r="F636" t="s">
        <v>736</v>
      </c>
      <c r="G636" t="str">
        <f>"0340"</f>
        <v>0340</v>
      </c>
      <c r="H636" t="str">
        <f>"0001"</f>
        <v>0001</v>
      </c>
      <c r="I636" t="s">
        <v>89</v>
      </c>
      <c r="J636">
        <v>0</v>
      </c>
      <c r="K636">
        <v>1</v>
      </c>
      <c r="L636">
        <v>3</v>
      </c>
      <c r="M636">
        <v>200</v>
      </c>
      <c r="N636">
        <v>480</v>
      </c>
      <c r="O636">
        <v>3</v>
      </c>
      <c r="P636">
        <v>237</v>
      </c>
      <c r="Q636">
        <v>6</v>
      </c>
      <c r="R636">
        <v>48</v>
      </c>
      <c r="S636">
        <v>103</v>
      </c>
      <c r="T636">
        <v>0</v>
      </c>
      <c r="U636">
        <v>1</v>
      </c>
      <c r="V636">
        <v>1</v>
      </c>
      <c r="W636">
        <v>0</v>
      </c>
      <c r="X636">
        <v>20</v>
      </c>
      <c r="Y636">
        <v>35</v>
      </c>
      <c r="Z636">
        <v>14</v>
      </c>
      <c r="AB636">
        <v>1</v>
      </c>
      <c r="AS636">
        <v>4</v>
      </c>
      <c r="AU636">
        <v>0</v>
      </c>
      <c r="AW636">
        <v>0</v>
      </c>
      <c r="AX636">
        <v>7</v>
      </c>
      <c r="AY636">
        <v>240</v>
      </c>
      <c r="AZ636">
        <v>240</v>
      </c>
      <c r="BA636">
        <v>396</v>
      </c>
      <c r="BB636">
        <v>44</v>
      </c>
      <c r="BD636">
        <v>1</v>
      </c>
      <c r="BF636" t="s">
        <v>752</v>
      </c>
      <c r="BG636" s="1">
        <v>44353.931944444441</v>
      </c>
      <c r="BH636" s="1">
        <v>44354.14298611111</v>
      </c>
      <c r="BI636" s="1">
        <v>44354.143692129626</v>
      </c>
      <c r="BJ636" t="s">
        <v>85</v>
      </c>
      <c r="BK636" t="s">
        <v>86</v>
      </c>
      <c r="BL636" t="s">
        <v>87</v>
      </c>
    </row>
    <row r="637" spans="1:64" x14ac:dyDescent="0.3">
      <c r="A637" t="str">
        <f>"200341B0000"</f>
        <v>200341B0000</v>
      </c>
      <c r="B637" t="str">
        <f>"200341B00003"</f>
        <v>200341B00003</v>
      </c>
      <c r="C637" t="str">
        <f t="shared" si="38"/>
        <v>20</v>
      </c>
      <c r="D637" t="s">
        <v>81</v>
      </c>
      <c r="E637" t="str">
        <f t="shared" si="40"/>
        <v>044</v>
      </c>
      <c r="F637" t="s">
        <v>736</v>
      </c>
      <c r="G637" t="str">
        <f>"0341"</f>
        <v>0341</v>
      </c>
      <c r="H637" t="str">
        <f>"0000"</f>
        <v>0000</v>
      </c>
      <c r="I637" t="s">
        <v>83</v>
      </c>
      <c r="J637">
        <v>0</v>
      </c>
      <c r="K637">
        <v>1</v>
      </c>
      <c r="L637">
        <v>3</v>
      </c>
      <c r="M637">
        <v>344</v>
      </c>
      <c r="N637">
        <v>379</v>
      </c>
      <c r="O637">
        <v>1</v>
      </c>
      <c r="P637" t="s">
        <v>92</v>
      </c>
      <c r="Q637">
        <v>21</v>
      </c>
      <c r="R637">
        <v>37</v>
      </c>
      <c r="S637">
        <v>193</v>
      </c>
      <c r="T637">
        <v>2</v>
      </c>
      <c r="U637">
        <v>1</v>
      </c>
      <c r="V637">
        <v>5</v>
      </c>
      <c r="W637">
        <v>0</v>
      </c>
      <c r="X637">
        <v>29</v>
      </c>
      <c r="Y637">
        <v>35</v>
      </c>
      <c r="Z637">
        <v>30</v>
      </c>
      <c r="AB637">
        <v>6</v>
      </c>
      <c r="AS637">
        <v>2</v>
      </c>
      <c r="AU637">
        <v>0</v>
      </c>
      <c r="AW637">
        <v>0</v>
      </c>
      <c r="AX637">
        <v>18</v>
      </c>
      <c r="AY637">
        <v>379</v>
      </c>
      <c r="AZ637">
        <v>379</v>
      </c>
      <c r="BA637">
        <v>679</v>
      </c>
      <c r="BB637">
        <v>44</v>
      </c>
      <c r="BD637">
        <v>1</v>
      </c>
      <c r="BF637" t="s">
        <v>753</v>
      </c>
      <c r="BG637" s="1">
        <v>44354.047222222223</v>
      </c>
      <c r="BH637" s="1">
        <v>44354.056550925925</v>
      </c>
      <c r="BI637" s="1">
        <v>44354.057314814818</v>
      </c>
      <c r="BJ637" t="s">
        <v>85</v>
      </c>
      <c r="BK637" t="s">
        <v>86</v>
      </c>
      <c r="BL637" t="s">
        <v>87</v>
      </c>
    </row>
    <row r="638" spans="1:64" x14ac:dyDescent="0.3">
      <c r="A638" t="str">
        <f>"200341C0100"</f>
        <v>200341C0100</v>
      </c>
      <c r="B638" t="str">
        <f>"200341C01003"</f>
        <v>200341C01003</v>
      </c>
      <c r="C638" t="str">
        <f t="shared" si="38"/>
        <v>20</v>
      </c>
      <c r="D638" t="s">
        <v>81</v>
      </c>
      <c r="E638" t="str">
        <f t="shared" si="40"/>
        <v>044</v>
      </c>
      <c r="F638" t="s">
        <v>736</v>
      </c>
      <c r="G638" t="str">
        <f>"0341"</f>
        <v>0341</v>
      </c>
      <c r="H638" t="str">
        <f>"0001"</f>
        <v>0001</v>
      </c>
      <c r="I638" t="s">
        <v>89</v>
      </c>
      <c r="J638">
        <v>0</v>
      </c>
      <c r="K638">
        <v>1</v>
      </c>
      <c r="L638">
        <v>3</v>
      </c>
      <c r="M638">
        <v>343</v>
      </c>
      <c r="N638">
        <v>380</v>
      </c>
      <c r="O638">
        <v>0</v>
      </c>
      <c r="P638">
        <v>379</v>
      </c>
      <c r="Q638">
        <v>21</v>
      </c>
      <c r="R638">
        <v>54</v>
      </c>
      <c r="S638">
        <v>196</v>
      </c>
      <c r="T638">
        <v>5</v>
      </c>
      <c r="U638">
        <v>2</v>
      </c>
      <c r="V638">
        <v>2</v>
      </c>
      <c r="W638">
        <v>0</v>
      </c>
      <c r="X638">
        <v>39</v>
      </c>
      <c r="Y638">
        <v>28</v>
      </c>
      <c r="Z638">
        <v>19</v>
      </c>
      <c r="AB638">
        <v>0</v>
      </c>
      <c r="AS638">
        <v>0</v>
      </c>
      <c r="AU638">
        <v>0</v>
      </c>
      <c r="AW638">
        <v>0</v>
      </c>
      <c r="AX638">
        <v>12</v>
      </c>
      <c r="AY638">
        <v>379</v>
      </c>
      <c r="AZ638">
        <v>378</v>
      </c>
      <c r="BA638">
        <v>679</v>
      </c>
      <c r="BB638">
        <v>44</v>
      </c>
      <c r="BD638">
        <v>1</v>
      </c>
      <c r="BF638" t="s">
        <v>754</v>
      </c>
      <c r="BG638" s="1">
        <v>44354.018125000002</v>
      </c>
      <c r="BH638" s="1">
        <v>44354.025740740741</v>
      </c>
      <c r="BI638" s="1">
        <v>44354.026377314818</v>
      </c>
      <c r="BJ638" t="s">
        <v>197</v>
      </c>
      <c r="BK638" t="s">
        <v>198</v>
      </c>
      <c r="BL638" t="s">
        <v>87</v>
      </c>
    </row>
    <row r="639" spans="1:64" x14ac:dyDescent="0.3">
      <c r="A639" t="str">
        <f>"200341C0200"</f>
        <v>200341C0200</v>
      </c>
      <c r="B639" t="str">
        <f>"200341C02003"</f>
        <v>200341C02003</v>
      </c>
      <c r="C639" t="str">
        <f t="shared" si="38"/>
        <v>20</v>
      </c>
      <c r="D639" t="s">
        <v>81</v>
      </c>
      <c r="E639" t="str">
        <f t="shared" si="40"/>
        <v>044</v>
      </c>
      <c r="F639" t="s">
        <v>736</v>
      </c>
      <c r="G639" t="str">
        <f>"0341"</f>
        <v>0341</v>
      </c>
      <c r="H639" t="str">
        <f>"0002"</f>
        <v>0002</v>
      </c>
      <c r="I639" t="s">
        <v>89</v>
      </c>
      <c r="J639">
        <v>0</v>
      </c>
      <c r="K639">
        <v>1</v>
      </c>
      <c r="L639">
        <v>3</v>
      </c>
      <c r="M639">
        <v>334</v>
      </c>
      <c r="N639">
        <v>389</v>
      </c>
      <c r="O639">
        <v>0</v>
      </c>
      <c r="P639">
        <v>389</v>
      </c>
      <c r="Q639">
        <v>13</v>
      </c>
      <c r="R639">
        <v>57</v>
      </c>
      <c r="S639">
        <v>196</v>
      </c>
      <c r="T639">
        <v>1</v>
      </c>
      <c r="U639">
        <v>2</v>
      </c>
      <c r="V639">
        <v>2</v>
      </c>
      <c r="W639">
        <v>0</v>
      </c>
      <c r="X639">
        <v>29</v>
      </c>
      <c r="Y639">
        <v>53</v>
      </c>
      <c r="Z639">
        <v>18</v>
      </c>
      <c r="AB639">
        <v>7</v>
      </c>
      <c r="AS639">
        <v>1</v>
      </c>
      <c r="AU639">
        <v>0</v>
      </c>
      <c r="AW639">
        <v>0</v>
      </c>
      <c r="AX639">
        <v>10</v>
      </c>
      <c r="AY639">
        <v>389</v>
      </c>
      <c r="AZ639">
        <v>389</v>
      </c>
      <c r="BA639">
        <v>679</v>
      </c>
      <c r="BB639">
        <v>44</v>
      </c>
      <c r="BD639">
        <v>1</v>
      </c>
      <c r="BF639" t="s">
        <v>755</v>
      </c>
      <c r="BG639" s="1">
        <v>44354.008437500001</v>
      </c>
      <c r="BH639" s="1">
        <v>44354.013495370367</v>
      </c>
      <c r="BI639" s="1">
        <v>44354.013993055552</v>
      </c>
      <c r="BJ639" t="s">
        <v>197</v>
      </c>
      <c r="BK639" t="s">
        <v>198</v>
      </c>
      <c r="BL639" t="s">
        <v>87</v>
      </c>
    </row>
    <row r="640" spans="1:64" x14ac:dyDescent="0.3">
      <c r="A640" t="str">
        <f>"200342B0000"</f>
        <v>200342B0000</v>
      </c>
      <c r="B640" t="str">
        <f>"200342B00003"</f>
        <v>200342B00003</v>
      </c>
      <c r="C640" t="str">
        <f t="shared" si="38"/>
        <v>20</v>
      </c>
      <c r="D640" t="s">
        <v>81</v>
      </c>
      <c r="E640" t="str">
        <f t="shared" si="40"/>
        <v>044</v>
      </c>
      <c r="F640" t="s">
        <v>736</v>
      </c>
      <c r="G640" t="str">
        <f>"0342"</f>
        <v>0342</v>
      </c>
      <c r="H640" t="str">
        <f>"0000"</f>
        <v>0000</v>
      </c>
      <c r="I640" t="s">
        <v>83</v>
      </c>
      <c r="J640">
        <v>0</v>
      </c>
      <c r="K640">
        <v>1</v>
      </c>
      <c r="L640">
        <v>3</v>
      </c>
      <c r="M640">
        <v>235</v>
      </c>
      <c r="N640">
        <v>276</v>
      </c>
      <c r="O640">
        <v>0</v>
      </c>
      <c r="P640">
        <v>277</v>
      </c>
      <c r="Q640">
        <v>4</v>
      </c>
      <c r="R640">
        <v>49</v>
      </c>
      <c r="S640">
        <v>114</v>
      </c>
      <c r="T640">
        <v>0</v>
      </c>
      <c r="U640">
        <v>4</v>
      </c>
      <c r="V640">
        <v>0</v>
      </c>
      <c r="W640">
        <v>1</v>
      </c>
      <c r="X640">
        <v>30</v>
      </c>
      <c r="Y640">
        <v>34</v>
      </c>
      <c r="Z640">
        <v>17</v>
      </c>
      <c r="AB640">
        <v>16</v>
      </c>
      <c r="AS640">
        <v>2</v>
      </c>
      <c r="AU640">
        <v>0</v>
      </c>
      <c r="AW640" t="s">
        <v>95</v>
      </c>
      <c r="AX640">
        <v>6</v>
      </c>
      <c r="AY640">
        <v>277</v>
      </c>
      <c r="AZ640">
        <v>277</v>
      </c>
      <c r="BA640">
        <v>469</v>
      </c>
      <c r="BB640">
        <v>44</v>
      </c>
      <c r="BC640" t="s">
        <v>96</v>
      </c>
      <c r="BD640">
        <v>1</v>
      </c>
      <c r="BF640" t="s">
        <v>756</v>
      </c>
      <c r="BG640" s="1">
        <v>44353.97724537037</v>
      </c>
      <c r="BH640" s="1">
        <v>44353.979664351849</v>
      </c>
      <c r="BI640" s="1">
        <v>44353.980127314811</v>
      </c>
      <c r="BJ640" t="s">
        <v>197</v>
      </c>
      <c r="BK640" t="s">
        <v>198</v>
      </c>
      <c r="BL640" t="s">
        <v>87</v>
      </c>
    </row>
    <row r="641" spans="1:64" x14ac:dyDescent="0.3">
      <c r="A641" t="str">
        <f>"200342C0100"</f>
        <v>200342C0100</v>
      </c>
      <c r="B641" t="str">
        <f>"200342C01003"</f>
        <v>200342C01003</v>
      </c>
      <c r="C641" t="str">
        <f t="shared" si="38"/>
        <v>20</v>
      </c>
      <c r="D641" t="s">
        <v>81</v>
      </c>
      <c r="E641" t="str">
        <f t="shared" si="40"/>
        <v>044</v>
      </c>
      <c r="F641" t="s">
        <v>736</v>
      </c>
      <c r="G641" t="str">
        <f>"0342"</f>
        <v>0342</v>
      </c>
      <c r="H641" t="str">
        <f>"0001"</f>
        <v>0001</v>
      </c>
      <c r="I641" t="s">
        <v>89</v>
      </c>
      <c r="J641">
        <v>0</v>
      </c>
      <c r="K641">
        <v>1</v>
      </c>
      <c r="L641">
        <v>3</v>
      </c>
      <c r="M641">
        <v>241</v>
      </c>
      <c r="N641">
        <v>272</v>
      </c>
      <c r="O641">
        <v>8</v>
      </c>
      <c r="P641">
        <v>272</v>
      </c>
      <c r="Q641">
        <v>8</v>
      </c>
      <c r="R641">
        <v>59</v>
      </c>
      <c r="S641">
        <v>111</v>
      </c>
      <c r="T641">
        <v>1</v>
      </c>
      <c r="U641">
        <v>1</v>
      </c>
      <c r="V641">
        <v>0</v>
      </c>
      <c r="W641">
        <v>1</v>
      </c>
      <c r="X641">
        <v>35</v>
      </c>
      <c r="Y641">
        <v>26</v>
      </c>
      <c r="Z641">
        <v>17</v>
      </c>
      <c r="AB641">
        <v>3</v>
      </c>
      <c r="AS641">
        <v>1</v>
      </c>
      <c r="AU641">
        <v>0</v>
      </c>
      <c r="AW641">
        <v>0</v>
      </c>
      <c r="AX641">
        <v>9</v>
      </c>
      <c r="AY641">
        <v>272</v>
      </c>
      <c r="AZ641">
        <v>272</v>
      </c>
      <c r="BA641">
        <v>469</v>
      </c>
      <c r="BB641">
        <v>44</v>
      </c>
      <c r="BD641">
        <v>1</v>
      </c>
      <c r="BF641" t="s">
        <v>757</v>
      </c>
      <c r="BG641" s="1">
        <v>44353.990497685183</v>
      </c>
      <c r="BH641" s="1">
        <v>44353.994212962964</v>
      </c>
      <c r="BI641" s="1">
        <v>44353.994618055556</v>
      </c>
      <c r="BJ641" t="s">
        <v>197</v>
      </c>
      <c r="BK641" t="s">
        <v>198</v>
      </c>
      <c r="BL641" t="s">
        <v>87</v>
      </c>
    </row>
    <row r="642" spans="1:64" x14ac:dyDescent="0.3">
      <c r="A642" t="str">
        <f>"200343B0000"</f>
        <v>200343B0000</v>
      </c>
      <c r="B642" t="str">
        <f>"200343B00003"</f>
        <v>200343B00003</v>
      </c>
      <c r="C642" t="str">
        <f t="shared" si="38"/>
        <v>20</v>
      </c>
      <c r="D642" t="s">
        <v>81</v>
      </c>
      <c r="E642" t="str">
        <f t="shared" si="40"/>
        <v>044</v>
      </c>
      <c r="F642" t="s">
        <v>736</v>
      </c>
      <c r="G642" t="str">
        <f>"0343"</f>
        <v>0343</v>
      </c>
      <c r="H642" t="str">
        <f>"0000"</f>
        <v>0000</v>
      </c>
      <c r="I642" t="s">
        <v>83</v>
      </c>
      <c r="J642">
        <v>0</v>
      </c>
      <c r="K642">
        <v>1</v>
      </c>
      <c r="L642">
        <v>3</v>
      </c>
      <c r="BA642">
        <v>723</v>
      </c>
      <c r="BB642">
        <v>44</v>
      </c>
      <c r="BC642" t="s">
        <v>161</v>
      </c>
      <c r="BD642">
        <v>0</v>
      </c>
      <c r="BF642" t="s">
        <v>758</v>
      </c>
      <c r="BG642" s="1">
        <v>44354.602083333331</v>
      </c>
      <c r="BH642" s="1">
        <v>44354.603275462963</v>
      </c>
      <c r="BI642" s="1">
        <v>44354.603275462963</v>
      </c>
      <c r="BJ642" t="s">
        <v>85</v>
      </c>
      <c r="BK642" t="s">
        <v>86</v>
      </c>
      <c r="BL642" t="s">
        <v>87</v>
      </c>
    </row>
    <row r="643" spans="1:64" x14ac:dyDescent="0.3">
      <c r="A643" t="str">
        <f>"200344B0000"</f>
        <v>200344B0000</v>
      </c>
      <c r="B643" t="str">
        <f>"200344B00003"</f>
        <v>200344B00003</v>
      </c>
      <c r="C643" t="str">
        <f t="shared" si="38"/>
        <v>20</v>
      </c>
      <c r="D643" t="s">
        <v>81</v>
      </c>
      <c r="E643" t="str">
        <f t="shared" si="40"/>
        <v>044</v>
      </c>
      <c r="F643" t="s">
        <v>736</v>
      </c>
      <c r="G643" t="str">
        <f>"0344"</f>
        <v>0344</v>
      </c>
      <c r="H643" t="str">
        <f>"0000"</f>
        <v>0000</v>
      </c>
      <c r="I643" t="s">
        <v>83</v>
      </c>
      <c r="J643">
        <v>0</v>
      </c>
      <c r="K643">
        <v>1</v>
      </c>
      <c r="L643">
        <v>3</v>
      </c>
      <c r="M643">
        <v>304</v>
      </c>
      <c r="N643">
        <v>395</v>
      </c>
      <c r="O643">
        <v>6</v>
      </c>
      <c r="P643">
        <v>395</v>
      </c>
      <c r="Q643">
        <v>21</v>
      </c>
      <c r="R643">
        <v>122</v>
      </c>
      <c r="S643">
        <v>145</v>
      </c>
      <c r="T643">
        <v>3</v>
      </c>
      <c r="U643">
        <v>3</v>
      </c>
      <c r="V643">
        <v>2</v>
      </c>
      <c r="W643">
        <v>1</v>
      </c>
      <c r="X643">
        <v>22</v>
      </c>
      <c r="Y643">
        <v>32</v>
      </c>
      <c r="Z643">
        <v>23</v>
      </c>
      <c r="AB643">
        <v>11</v>
      </c>
      <c r="AS643">
        <v>2</v>
      </c>
      <c r="AU643">
        <v>0</v>
      </c>
      <c r="AW643">
        <v>0</v>
      </c>
      <c r="AX643">
        <v>8</v>
      </c>
      <c r="AY643">
        <v>395</v>
      </c>
      <c r="AZ643">
        <v>395</v>
      </c>
      <c r="BA643">
        <v>655</v>
      </c>
      <c r="BB643">
        <v>44</v>
      </c>
      <c r="BD643">
        <v>1</v>
      </c>
      <c r="BF643" t="s">
        <v>759</v>
      </c>
      <c r="BG643" s="1">
        <v>44354.077777777777</v>
      </c>
      <c r="BH643" s="1">
        <v>44354.088553240741</v>
      </c>
      <c r="BI643" s="1">
        <v>44354.088796296295</v>
      </c>
      <c r="BJ643" t="s">
        <v>85</v>
      </c>
      <c r="BK643" t="s">
        <v>86</v>
      </c>
      <c r="BL643" t="s">
        <v>87</v>
      </c>
    </row>
    <row r="644" spans="1:64" x14ac:dyDescent="0.3">
      <c r="A644" t="str">
        <f>"200344S0100"</f>
        <v>200344S0100</v>
      </c>
      <c r="B644" t="str">
        <f>"200344S01003E"</f>
        <v>200344S01003E</v>
      </c>
      <c r="C644" t="str">
        <f t="shared" si="38"/>
        <v>20</v>
      </c>
      <c r="D644" t="s">
        <v>81</v>
      </c>
      <c r="E644" t="str">
        <f t="shared" si="40"/>
        <v>044</v>
      </c>
      <c r="F644" t="s">
        <v>736</v>
      </c>
      <c r="G644" t="str">
        <f>"0344"</f>
        <v>0344</v>
      </c>
      <c r="H644" t="str">
        <f>"0001"</f>
        <v>0001</v>
      </c>
      <c r="I644" t="s">
        <v>99</v>
      </c>
      <c r="J644">
        <v>0</v>
      </c>
      <c r="K644">
        <v>1</v>
      </c>
      <c r="L644" t="s">
        <v>100</v>
      </c>
      <c r="M644">
        <v>948</v>
      </c>
      <c r="N644">
        <v>52</v>
      </c>
      <c r="O644">
        <v>0</v>
      </c>
      <c r="P644">
        <v>52</v>
      </c>
      <c r="Q644">
        <v>0</v>
      </c>
      <c r="R644">
        <v>7</v>
      </c>
      <c r="S644">
        <v>23</v>
      </c>
      <c r="T644">
        <v>0</v>
      </c>
      <c r="U644">
        <v>0</v>
      </c>
      <c r="V644">
        <v>0</v>
      </c>
      <c r="W644">
        <v>2</v>
      </c>
      <c r="X644">
        <v>7</v>
      </c>
      <c r="Y644">
        <v>6</v>
      </c>
      <c r="Z644">
        <v>6</v>
      </c>
      <c r="AB644">
        <v>0</v>
      </c>
      <c r="AS644">
        <v>0</v>
      </c>
      <c r="AU644">
        <v>0</v>
      </c>
      <c r="AW644">
        <v>0</v>
      </c>
      <c r="AX644">
        <v>1</v>
      </c>
      <c r="AY644">
        <v>52</v>
      </c>
      <c r="AZ644">
        <v>52</v>
      </c>
      <c r="BA644">
        <v>0</v>
      </c>
      <c r="BB644">
        <v>44</v>
      </c>
      <c r="BD644">
        <v>1</v>
      </c>
      <c r="BF644" t="s">
        <v>760</v>
      </c>
      <c r="BG644" s="1">
        <v>44354.077777777777</v>
      </c>
      <c r="BH644" s="1">
        <v>44354.088055555556</v>
      </c>
      <c r="BI644" s="1">
        <v>44354.088518518518</v>
      </c>
      <c r="BJ644" t="s">
        <v>85</v>
      </c>
      <c r="BK644" t="s">
        <v>86</v>
      </c>
      <c r="BL644" t="s">
        <v>87</v>
      </c>
    </row>
    <row r="645" spans="1:64" x14ac:dyDescent="0.3">
      <c r="A645" t="str">
        <f>"200345B0000"</f>
        <v>200345B0000</v>
      </c>
      <c r="B645" t="str">
        <f>"200345B00003"</f>
        <v>200345B00003</v>
      </c>
      <c r="C645" t="str">
        <f t="shared" si="38"/>
        <v>20</v>
      </c>
      <c r="D645" t="s">
        <v>81</v>
      </c>
      <c r="E645" t="str">
        <f t="shared" si="40"/>
        <v>044</v>
      </c>
      <c r="F645" t="s">
        <v>736</v>
      </c>
      <c r="G645" t="str">
        <f>"0345"</f>
        <v>0345</v>
      </c>
      <c r="H645" t="str">
        <f>"0000"</f>
        <v>0000</v>
      </c>
      <c r="I645" t="s">
        <v>83</v>
      </c>
      <c r="J645">
        <v>0</v>
      </c>
      <c r="K645">
        <v>1</v>
      </c>
      <c r="L645">
        <v>3</v>
      </c>
      <c r="M645">
        <v>232</v>
      </c>
      <c r="N645">
        <v>280</v>
      </c>
      <c r="O645">
        <v>3</v>
      </c>
      <c r="P645">
        <v>280</v>
      </c>
      <c r="Q645">
        <v>10</v>
      </c>
      <c r="R645">
        <v>53</v>
      </c>
      <c r="S645">
        <v>132</v>
      </c>
      <c r="T645">
        <v>0</v>
      </c>
      <c r="U645">
        <v>1</v>
      </c>
      <c r="V645">
        <v>4</v>
      </c>
      <c r="W645">
        <v>0</v>
      </c>
      <c r="X645">
        <v>27</v>
      </c>
      <c r="Y645">
        <v>29</v>
      </c>
      <c r="Z645">
        <v>13</v>
      </c>
      <c r="AB645">
        <v>3</v>
      </c>
      <c r="AS645">
        <v>2</v>
      </c>
      <c r="AU645">
        <v>0</v>
      </c>
      <c r="AW645">
        <v>0</v>
      </c>
      <c r="AX645">
        <v>6</v>
      </c>
      <c r="AY645">
        <v>280</v>
      </c>
      <c r="AZ645">
        <v>280</v>
      </c>
      <c r="BA645">
        <v>468</v>
      </c>
      <c r="BB645">
        <v>44</v>
      </c>
      <c r="BD645">
        <v>1</v>
      </c>
      <c r="BF645" t="s">
        <v>761</v>
      </c>
      <c r="BG645" s="1">
        <v>44353.960428240738</v>
      </c>
      <c r="BH645" s="1">
        <v>44353.961678240739</v>
      </c>
      <c r="BI645" s="1">
        <v>44353.962326388886</v>
      </c>
      <c r="BJ645" t="s">
        <v>197</v>
      </c>
      <c r="BK645" t="s">
        <v>198</v>
      </c>
      <c r="BL645" t="s">
        <v>87</v>
      </c>
    </row>
    <row r="646" spans="1:64" x14ac:dyDescent="0.3">
      <c r="A646" t="str">
        <f>"200345C0100"</f>
        <v>200345C0100</v>
      </c>
      <c r="B646" t="str">
        <f>"200345C01003"</f>
        <v>200345C01003</v>
      </c>
      <c r="C646" t="str">
        <f t="shared" si="38"/>
        <v>20</v>
      </c>
      <c r="D646" t="s">
        <v>81</v>
      </c>
      <c r="E646" t="str">
        <f t="shared" si="40"/>
        <v>044</v>
      </c>
      <c r="F646" t="s">
        <v>736</v>
      </c>
      <c r="G646" t="str">
        <f>"0345"</f>
        <v>0345</v>
      </c>
      <c r="H646" t="str">
        <f>"0001"</f>
        <v>0001</v>
      </c>
      <c r="I646" t="s">
        <v>89</v>
      </c>
      <c r="J646">
        <v>0</v>
      </c>
      <c r="K646">
        <v>1</v>
      </c>
      <c r="L646">
        <v>3</v>
      </c>
      <c r="M646">
        <v>244</v>
      </c>
      <c r="N646">
        <v>267</v>
      </c>
      <c r="O646">
        <v>3</v>
      </c>
      <c r="P646">
        <v>267</v>
      </c>
      <c r="Q646">
        <v>10</v>
      </c>
      <c r="R646">
        <v>41</v>
      </c>
      <c r="S646">
        <v>117</v>
      </c>
      <c r="T646">
        <v>1</v>
      </c>
      <c r="U646">
        <v>1</v>
      </c>
      <c r="V646">
        <v>3</v>
      </c>
      <c r="W646">
        <v>1</v>
      </c>
      <c r="X646">
        <v>21</v>
      </c>
      <c r="Y646">
        <v>41</v>
      </c>
      <c r="Z646">
        <v>14</v>
      </c>
      <c r="AB646">
        <v>5</v>
      </c>
      <c r="AS646">
        <v>5</v>
      </c>
      <c r="AU646">
        <v>0</v>
      </c>
      <c r="AW646">
        <v>0</v>
      </c>
      <c r="AX646">
        <v>7</v>
      </c>
      <c r="AY646">
        <v>267</v>
      </c>
      <c r="AZ646">
        <v>267</v>
      </c>
      <c r="BA646">
        <v>467</v>
      </c>
      <c r="BB646">
        <v>44</v>
      </c>
      <c r="BD646">
        <v>1</v>
      </c>
      <c r="BF646" t="s">
        <v>762</v>
      </c>
      <c r="BG646" s="1">
        <v>44353.970497685186</v>
      </c>
      <c r="BH646" s="1">
        <v>44353.971562500003</v>
      </c>
      <c r="BI646" s="1">
        <v>44353.971898148149</v>
      </c>
      <c r="BJ646" t="s">
        <v>197</v>
      </c>
      <c r="BK646" t="s">
        <v>198</v>
      </c>
      <c r="BL646" t="s">
        <v>87</v>
      </c>
    </row>
    <row r="647" spans="1:64" x14ac:dyDescent="0.3">
      <c r="A647" t="str">
        <f>"200346B0000"</f>
        <v>200346B0000</v>
      </c>
      <c r="B647" t="str">
        <f>"200346B00003"</f>
        <v>200346B00003</v>
      </c>
      <c r="C647" t="str">
        <f t="shared" ref="C647:C710" si="41">"20"</f>
        <v>20</v>
      </c>
      <c r="D647" t="s">
        <v>81</v>
      </c>
      <c r="E647" t="str">
        <f t="shared" si="40"/>
        <v>044</v>
      </c>
      <c r="F647" t="s">
        <v>736</v>
      </c>
      <c r="G647" t="str">
        <f>"0346"</f>
        <v>0346</v>
      </c>
      <c r="H647" t="str">
        <f>"0000"</f>
        <v>0000</v>
      </c>
      <c r="I647" t="s">
        <v>83</v>
      </c>
      <c r="J647">
        <v>0</v>
      </c>
      <c r="K647">
        <v>1</v>
      </c>
      <c r="L647">
        <v>3</v>
      </c>
      <c r="M647">
        <v>322</v>
      </c>
      <c r="N647">
        <v>327</v>
      </c>
      <c r="O647">
        <v>7</v>
      </c>
      <c r="P647">
        <v>327</v>
      </c>
      <c r="Q647">
        <v>11</v>
      </c>
      <c r="R647">
        <v>50</v>
      </c>
      <c r="S647">
        <v>151</v>
      </c>
      <c r="T647">
        <v>3</v>
      </c>
      <c r="U647">
        <v>1</v>
      </c>
      <c r="V647">
        <v>2</v>
      </c>
      <c r="W647">
        <v>0</v>
      </c>
      <c r="X647">
        <v>31</v>
      </c>
      <c r="Y647">
        <v>37</v>
      </c>
      <c r="Z647">
        <v>21</v>
      </c>
      <c r="AB647">
        <v>5</v>
      </c>
      <c r="AS647">
        <v>1</v>
      </c>
      <c r="AU647">
        <v>0</v>
      </c>
      <c r="AW647">
        <v>0</v>
      </c>
      <c r="AX647">
        <v>14</v>
      </c>
      <c r="AY647">
        <v>327</v>
      </c>
      <c r="AZ647">
        <v>327</v>
      </c>
      <c r="BA647">
        <v>605</v>
      </c>
      <c r="BB647">
        <v>44</v>
      </c>
      <c r="BD647">
        <v>1</v>
      </c>
      <c r="BF647" t="s">
        <v>763</v>
      </c>
      <c r="BG647" s="1">
        <v>44354.003796296296</v>
      </c>
      <c r="BH647" s="1">
        <v>44354.008564814816</v>
      </c>
      <c r="BI647" s="1">
        <v>44354.009560185186</v>
      </c>
      <c r="BJ647" t="s">
        <v>197</v>
      </c>
      <c r="BK647" t="s">
        <v>198</v>
      </c>
      <c r="BL647" t="s">
        <v>87</v>
      </c>
    </row>
    <row r="648" spans="1:64" x14ac:dyDescent="0.3">
      <c r="A648" t="str">
        <f>"200347B0000"</f>
        <v>200347B0000</v>
      </c>
      <c r="B648" t="str">
        <f>"200347B00003"</f>
        <v>200347B00003</v>
      </c>
      <c r="C648" t="str">
        <f t="shared" si="41"/>
        <v>20</v>
      </c>
      <c r="D648" t="s">
        <v>81</v>
      </c>
      <c r="E648" t="str">
        <f t="shared" si="40"/>
        <v>044</v>
      </c>
      <c r="F648" t="s">
        <v>736</v>
      </c>
      <c r="G648" t="str">
        <f>"0347"</f>
        <v>0347</v>
      </c>
      <c r="H648" t="str">
        <f>"0000"</f>
        <v>0000</v>
      </c>
      <c r="I648" t="s">
        <v>83</v>
      </c>
      <c r="J648">
        <v>0</v>
      </c>
      <c r="K648">
        <v>1</v>
      </c>
      <c r="L648">
        <v>3</v>
      </c>
      <c r="M648">
        <v>309</v>
      </c>
      <c r="N648">
        <v>404</v>
      </c>
      <c r="O648">
        <v>5</v>
      </c>
      <c r="P648">
        <v>404</v>
      </c>
      <c r="Q648">
        <v>15</v>
      </c>
      <c r="R648">
        <v>44</v>
      </c>
      <c r="S648">
        <v>205</v>
      </c>
      <c r="T648">
        <v>0</v>
      </c>
      <c r="U648">
        <v>2</v>
      </c>
      <c r="V648">
        <v>2</v>
      </c>
      <c r="W648">
        <v>0</v>
      </c>
      <c r="X648">
        <v>35</v>
      </c>
      <c r="Y648">
        <v>41</v>
      </c>
      <c r="Z648">
        <v>26</v>
      </c>
      <c r="AB648">
        <v>0</v>
      </c>
      <c r="AS648">
        <v>2</v>
      </c>
      <c r="AU648">
        <v>0</v>
      </c>
      <c r="AW648">
        <v>5</v>
      </c>
      <c r="AX648">
        <v>21</v>
      </c>
      <c r="AY648">
        <v>404</v>
      </c>
      <c r="AZ648">
        <v>398</v>
      </c>
      <c r="BA648">
        <v>669</v>
      </c>
      <c r="BB648">
        <v>44</v>
      </c>
      <c r="BD648">
        <v>1</v>
      </c>
      <c r="BF648" t="s">
        <v>764</v>
      </c>
      <c r="BG648" s="1">
        <v>44354.105555555558</v>
      </c>
      <c r="BH648" s="1">
        <v>44354.153263888889</v>
      </c>
      <c r="BI648" s="1">
        <v>44354.153622685182</v>
      </c>
      <c r="BJ648" t="s">
        <v>85</v>
      </c>
      <c r="BK648" t="s">
        <v>86</v>
      </c>
      <c r="BL648" t="s">
        <v>87</v>
      </c>
    </row>
    <row r="649" spans="1:64" x14ac:dyDescent="0.3">
      <c r="A649" t="str">
        <f>"200347C0100"</f>
        <v>200347C0100</v>
      </c>
      <c r="B649" t="str">
        <f>"200347C01003"</f>
        <v>200347C01003</v>
      </c>
      <c r="C649" t="str">
        <f t="shared" si="41"/>
        <v>20</v>
      </c>
      <c r="D649" t="s">
        <v>81</v>
      </c>
      <c r="E649" t="str">
        <f t="shared" si="40"/>
        <v>044</v>
      </c>
      <c r="F649" t="s">
        <v>736</v>
      </c>
      <c r="G649" t="str">
        <f>"0347"</f>
        <v>0347</v>
      </c>
      <c r="H649" t="str">
        <f>"0001"</f>
        <v>0001</v>
      </c>
      <c r="I649" t="s">
        <v>89</v>
      </c>
      <c r="J649">
        <v>0</v>
      </c>
      <c r="K649">
        <v>1</v>
      </c>
      <c r="L649">
        <v>3</v>
      </c>
      <c r="M649">
        <v>316</v>
      </c>
      <c r="N649">
        <v>397</v>
      </c>
      <c r="O649">
        <v>1</v>
      </c>
      <c r="P649">
        <v>397</v>
      </c>
      <c r="Q649">
        <v>9</v>
      </c>
      <c r="R649">
        <v>57</v>
      </c>
      <c r="S649">
        <v>177</v>
      </c>
      <c r="T649">
        <v>2</v>
      </c>
      <c r="U649">
        <v>2</v>
      </c>
      <c r="V649">
        <v>2</v>
      </c>
      <c r="W649">
        <v>1</v>
      </c>
      <c r="X649">
        <v>30</v>
      </c>
      <c r="Y649">
        <v>64</v>
      </c>
      <c r="Z649">
        <v>30</v>
      </c>
      <c r="AB649">
        <v>7</v>
      </c>
      <c r="AS649">
        <v>0</v>
      </c>
      <c r="AU649">
        <v>0</v>
      </c>
      <c r="AW649">
        <v>0</v>
      </c>
      <c r="AX649">
        <v>16</v>
      </c>
      <c r="AY649">
        <v>397</v>
      </c>
      <c r="AZ649">
        <v>397</v>
      </c>
      <c r="BA649">
        <v>669</v>
      </c>
      <c r="BB649">
        <v>44</v>
      </c>
      <c r="BD649">
        <v>1</v>
      </c>
      <c r="BF649" t="s">
        <v>765</v>
      </c>
      <c r="BG649" s="1">
        <v>44354.095138888886</v>
      </c>
      <c r="BH649" s="1">
        <v>44354.109143518515</v>
      </c>
      <c r="BI649" s="1">
        <v>44354.111481481479</v>
      </c>
      <c r="BJ649" t="s">
        <v>85</v>
      </c>
      <c r="BK649" t="s">
        <v>86</v>
      </c>
      <c r="BL649" t="s">
        <v>87</v>
      </c>
    </row>
    <row r="650" spans="1:64" x14ac:dyDescent="0.3">
      <c r="A650" t="str">
        <f>"200348B0000"</f>
        <v>200348B0000</v>
      </c>
      <c r="B650" t="str">
        <f>"200348B00003"</f>
        <v>200348B00003</v>
      </c>
      <c r="C650" t="str">
        <f t="shared" si="41"/>
        <v>20</v>
      </c>
      <c r="D650" t="s">
        <v>81</v>
      </c>
      <c r="E650" t="str">
        <f t="shared" si="40"/>
        <v>044</v>
      </c>
      <c r="F650" t="s">
        <v>736</v>
      </c>
      <c r="G650" t="str">
        <f>"0348"</f>
        <v>0348</v>
      </c>
      <c r="H650" t="str">
        <f>"0000"</f>
        <v>0000</v>
      </c>
      <c r="I650" t="s">
        <v>83</v>
      </c>
      <c r="J650">
        <v>0</v>
      </c>
      <c r="K650">
        <v>1</v>
      </c>
      <c r="L650">
        <v>3</v>
      </c>
      <c r="M650">
        <v>234</v>
      </c>
      <c r="N650">
        <v>288</v>
      </c>
      <c r="O650">
        <v>6</v>
      </c>
      <c r="P650">
        <v>288</v>
      </c>
      <c r="Q650">
        <v>32</v>
      </c>
      <c r="R650">
        <v>46</v>
      </c>
      <c r="S650">
        <v>127</v>
      </c>
      <c r="T650">
        <v>7</v>
      </c>
      <c r="U650">
        <v>1</v>
      </c>
      <c r="V650">
        <v>2</v>
      </c>
      <c r="W650">
        <v>1</v>
      </c>
      <c r="X650">
        <v>22</v>
      </c>
      <c r="Y650">
        <v>24</v>
      </c>
      <c r="Z650">
        <v>15</v>
      </c>
      <c r="AB650">
        <v>3</v>
      </c>
      <c r="AS650">
        <v>0</v>
      </c>
      <c r="AU650">
        <v>0</v>
      </c>
      <c r="AW650">
        <v>0</v>
      </c>
      <c r="AX650">
        <v>8</v>
      </c>
      <c r="AY650">
        <v>288</v>
      </c>
      <c r="AZ650">
        <v>288</v>
      </c>
      <c r="BA650">
        <v>478</v>
      </c>
      <c r="BB650">
        <v>44</v>
      </c>
      <c r="BD650">
        <v>1</v>
      </c>
      <c r="BF650" t="s">
        <v>766</v>
      </c>
      <c r="BG650" s="1">
        <v>44354.003472222219</v>
      </c>
      <c r="BH650" s="1">
        <v>44354.008750000001</v>
      </c>
      <c r="BI650" s="1">
        <v>44354.009050925924</v>
      </c>
      <c r="BJ650" t="s">
        <v>197</v>
      </c>
      <c r="BK650" t="s">
        <v>198</v>
      </c>
      <c r="BL650" t="s">
        <v>87</v>
      </c>
    </row>
    <row r="651" spans="1:64" x14ac:dyDescent="0.3">
      <c r="A651" t="str">
        <f>"200348C0100"</f>
        <v>200348C0100</v>
      </c>
      <c r="B651" t="str">
        <f>"200348C01003"</f>
        <v>200348C01003</v>
      </c>
      <c r="C651" t="str">
        <f t="shared" si="41"/>
        <v>20</v>
      </c>
      <c r="D651" t="s">
        <v>81</v>
      </c>
      <c r="E651" t="str">
        <f t="shared" si="40"/>
        <v>044</v>
      </c>
      <c r="F651" t="s">
        <v>736</v>
      </c>
      <c r="G651" t="str">
        <f>"0348"</f>
        <v>0348</v>
      </c>
      <c r="H651" t="str">
        <f>"0001"</f>
        <v>0001</v>
      </c>
      <c r="I651" t="s">
        <v>89</v>
      </c>
      <c r="J651">
        <v>0</v>
      </c>
      <c r="K651">
        <v>1</v>
      </c>
      <c r="L651">
        <v>3</v>
      </c>
      <c r="M651">
        <v>240</v>
      </c>
      <c r="N651">
        <v>281</v>
      </c>
      <c r="O651">
        <v>5</v>
      </c>
      <c r="P651">
        <v>281</v>
      </c>
      <c r="Q651">
        <v>24</v>
      </c>
      <c r="R651">
        <v>38</v>
      </c>
      <c r="S651">
        <v>123</v>
      </c>
      <c r="T651">
        <v>3</v>
      </c>
      <c r="U651">
        <v>1</v>
      </c>
      <c r="V651">
        <v>1</v>
      </c>
      <c r="W651">
        <v>0</v>
      </c>
      <c r="X651">
        <v>25</v>
      </c>
      <c r="Y651">
        <v>30</v>
      </c>
      <c r="Z651">
        <v>20</v>
      </c>
      <c r="AB651">
        <v>7</v>
      </c>
      <c r="AS651">
        <v>2</v>
      </c>
      <c r="AU651">
        <v>0</v>
      </c>
      <c r="AW651">
        <v>1</v>
      </c>
      <c r="AX651">
        <v>6</v>
      </c>
      <c r="AY651">
        <v>281</v>
      </c>
      <c r="AZ651">
        <v>281</v>
      </c>
      <c r="BA651">
        <v>477</v>
      </c>
      <c r="BB651">
        <v>44</v>
      </c>
      <c r="BD651">
        <v>1</v>
      </c>
      <c r="BF651" t="s">
        <v>767</v>
      </c>
      <c r="BG651" s="1">
        <v>44353.957824074074</v>
      </c>
      <c r="BH651" s="1">
        <v>44353.959733796299</v>
      </c>
      <c r="BI651" s="1">
        <v>44353.960243055553</v>
      </c>
      <c r="BJ651" t="s">
        <v>197</v>
      </c>
      <c r="BK651" t="s">
        <v>198</v>
      </c>
      <c r="BL651" t="s">
        <v>87</v>
      </c>
    </row>
    <row r="652" spans="1:64" x14ac:dyDescent="0.3">
      <c r="A652" t="str">
        <f>"200349B0000"</f>
        <v>200349B0000</v>
      </c>
      <c r="B652" t="str">
        <f>"200349B00003"</f>
        <v>200349B00003</v>
      </c>
      <c r="C652" t="str">
        <f t="shared" si="41"/>
        <v>20</v>
      </c>
      <c r="D652" t="s">
        <v>81</v>
      </c>
      <c r="E652" t="str">
        <f t="shared" si="40"/>
        <v>044</v>
      </c>
      <c r="F652" t="s">
        <v>736</v>
      </c>
      <c r="G652" t="str">
        <f>"0349"</f>
        <v>0349</v>
      </c>
      <c r="H652" t="str">
        <f>"0000"</f>
        <v>0000</v>
      </c>
      <c r="I652" t="s">
        <v>83</v>
      </c>
      <c r="J652">
        <v>0</v>
      </c>
      <c r="K652">
        <v>1</v>
      </c>
      <c r="L652">
        <v>3</v>
      </c>
      <c r="M652">
        <v>207</v>
      </c>
      <c r="N652">
        <v>278</v>
      </c>
      <c r="O652">
        <v>7</v>
      </c>
      <c r="P652">
        <v>278</v>
      </c>
      <c r="Q652">
        <v>32</v>
      </c>
      <c r="R652">
        <v>49</v>
      </c>
      <c r="S652">
        <v>114</v>
      </c>
      <c r="T652">
        <v>1</v>
      </c>
      <c r="U652">
        <v>0</v>
      </c>
      <c r="V652">
        <v>0</v>
      </c>
      <c r="W652">
        <v>0</v>
      </c>
      <c r="X652">
        <v>14</v>
      </c>
      <c r="Y652">
        <v>33</v>
      </c>
      <c r="Z652">
        <v>26</v>
      </c>
      <c r="AB652">
        <v>0</v>
      </c>
      <c r="AS652">
        <v>2</v>
      </c>
      <c r="AU652">
        <v>0</v>
      </c>
      <c r="AW652">
        <v>0</v>
      </c>
      <c r="AX652">
        <v>7</v>
      </c>
      <c r="AY652">
        <v>278</v>
      </c>
      <c r="AZ652">
        <v>278</v>
      </c>
      <c r="BA652">
        <v>441</v>
      </c>
      <c r="BB652">
        <v>44</v>
      </c>
      <c r="BD652">
        <v>1</v>
      </c>
      <c r="BF652" t="s">
        <v>768</v>
      </c>
      <c r="BG652" s="1">
        <v>44353.900810185187</v>
      </c>
      <c r="BH652" s="1">
        <v>44353.902627314812</v>
      </c>
      <c r="BI652" s="1">
        <v>44353.90420138889</v>
      </c>
      <c r="BJ652" t="s">
        <v>197</v>
      </c>
      <c r="BK652" t="s">
        <v>198</v>
      </c>
      <c r="BL652" t="s">
        <v>87</v>
      </c>
    </row>
    <row r="653" spans="1:64" x14ac:dyDescent="0.3">
      <c r="A653" t="str">
        <f>"200350B0000"</f>
        <v>200350B0000</v>
      </c>
      <c r="B653" t="str">
        <f>"200350B00003"</f>
        <v>200350B00003</v>
      </c>
      <c r="C653" t="str">
        <f t="shared" si="41"/>
        <v>20</v>
      </c>
      <c r="D653" t="s">
        <v>81</v>
      </c>
      <c r="E653" t="str">
        <f t="shared" ref="E653:E680" si="42">"044"</f>
        <v>044</v>
      </c>
      <c r="F653" t="s">
        <v>736</v>
      </c>
      <c r="G653" t="str">
        <f>"0350"</f>
        <v>0350</v>
      </c>
      <c r="H653" t="str">
        <f>"0000"</f>
        <v>0000</v>
      </c>
      <c r="I653" t="s">
        <v>83</v>
      </c>
      <c r="J653">
        <v>0</v>
      </c>
      <c r="K653">
        <v>1</v>
      </c>
      <c r="L653">
        <v>3</v>
      </c>
      <c r="M653">
        <v>379</v>
      </c>
      <c r="N653">
        <v>377</v>
      </c>
      <c r="O653">
        <v>2</v>
      </c>
      <c r="P653">
        <v>377</v>
      </c>
      <c r="Q653">
        <v>13</v>
      </c>
      <c r="R653">
        <v>60</v>
      </c>
      <c r="S653">
        <v>176</v>
      </c>
      <c r="T653">
        <v>1</v>
      </c>
      <c r="U653">
        <v>2</v>
      </c>
      <c r="V653">
        <v>1</v>
      </c>
      <c r="W653">
        <v>1</v>
      </c>
      <c r="X653">
        <v>28</v>
      </c>
      <c r="Y653">
        <v>62</v>
      </c>
      <c r="Z653">
        <v>25</v>
      </c>
      <c r="AB653">
        <v>1</v>
      </c>
      <c r="AS653">
        <v>3</v>
      </c>
      <c r="AU653">
        <v>0</v>
      </c>
      <c r="AW653">
        <v>0</v>
      </c>
      <c r="AX653">
        <v>4</v>
      </c>
      <c r="AY653">
        <v>377</v>
      </c>
      <c r="AZ653">
        <v>377</v>
      </c>
      <c r="BA653">
        <v>712</v>
      </c>
      <c r="BB653">
        <v>44</v>
      </c>
      <c r="BD653">
        <v>1</v>
      </c>
      <c r="BF653" t="s">
        <v>769</v>
      </c>
      <c r="BG653" s="1">
        <v>44354.034722222219</v>
      </c>
      <c r="BH653" s="1">
        <v>44354.042187500003</v>
      </c>
      <c r="BI653" s="1">
        <v>44354.042638888888</v>
      </c>
      <c r="BJ653" t="s">
        <v>85</v>
      </c>
      <c r="BK653" t="s">
        <v>86</v>
      </c>
      <c r="BL653" t="s">
        <v>87</v>
      </c>
    </row>
    <row r="654" spans="1:64" x14ac:dyDescent="0.3">
      <c r="A654" t="str">
        <f>"200350C0100"</f>
        <v>200350C0100</v>
      </c>
      <c r="B654" t="str">
        <f>"200350C01003"</f>
        <v>200350C01003</v>
      </c>
      <c r="C654" t="str">
        <f t="shared" si="41"/>
        <v>20</v>
      </c>
      <c r="D654" t="s">
        <v>81</v>
      </c>
      <c r="E654" t="str">
        <f t="shared" si="42"/>
        <v>044</v>
      </c>
      <c r="F654" t="s">
        <v>736</v>
      </c>
      <c r="G654" t="str">
        <f>"0350"</f>
        <v>0350</v>
      </c>
      <c r="H654" t="str">
        <f>"0001"</f>
        <v>0001</v>
      </c>
      <c r="I654" t="s">
        <v>89</v>
      </c>
      <c r="J654">
        <v>0</v>
      </c>
      <c r="K654">
        <v>1</v>
      </c>
      <c r="L654">
        <v>3</v>
      </c>
      <c r="M654">
        <v>369</v>
      </c>
      <c r="N654">
        <v>385</v>
      </c>
      <c r="O654">
        <v>3</v>
      </c>
      <c r="P654" t="s">
        <v>92</v>
      </c>
      <c r="Q654">
        <v>12</v>
      </c>
      <c r="R654">
        <v>75</v>
      </c>
      <c r="S654">
        <v>163</v>
      </c>
      <c r="T654">
        <v>1</v>
      </c>
      <c r="U654">
        <v>3</v>
      </c>
      <c r="V654">
        <v>1</v>
      </c>
      <c r="W654">
        <v>0</v>
      </c>
      <c r="X654">
        <v>23</v>
      </c>
      <c r="Y654">
        <v>79</v>
      </c>
      <c r="Z654">
        <v>20</v>
      </c>
      <c r="AB654">
        <v>1</v>
      </c>
      <c r="AS654">
        <v>0</v>
      </c>
      <c r="AU654">
        <v>0</v>
      </c>
      <c r="AW654">
        <v>0</v>
      </c>
      <c r="AX654">
        <v>0</v>
      </c>
      <c r="AY654">
        <v>386</v>
      </c>
      <c r="AZ654">
        <v>378</v>
      </c>
      <c r="BA654">
        <v>711</v>
      </c>
      <c r="BB654">
        <v>44</v>
      </c>
      <c r="BD654">
        <v>1</v>
      </c>
      <c r="BF654" t="s">
        <v>770</v>
      </c>
      <c r="BG654" s="1">
        <v>44353.991666666669</v>
      </c>
      <c r="BH654" s="1">
        <v>44353.996296296296</v>
      </c>
      <c r="BI654" s="1">
        <v>44353.996712962966</v>
      </c>
      <c r="BJ654" t="s">
        <v>85</v>
      </c>
      <c r="BK654" t="s">
        <v>86</v>
      </c>
      <c r="BL654" t="s">
        <v>87</v>
      </c>
    </row>
    <row r="655" spans="1:64" x14ac:dyDescent="0.3">
      <c r="A655" t="str">
        <f>"200351B0000"</f>
        <v>200351B0000</v>
      </c>
      <c r="B655" t="str">
        <f>"200351B00003"</f>
        <v>200351B00003</v>
      </c>
      <c r="C655" t="str">
        <f t="shared" si="41"/>
        <v>20</v>
      </c>
      <c r="D655" t="s">
        <v>81</v>
      </c>
      <c r="E655" t="str">
        <f t="shared" si="42"/>
        <v>044</v>
      </c>
      <c r="F655" t="s">
        <v>736</v>
      </c>
      <c r="G655" t="str">
        <f>"0351"</f>
        <v>0351</v>
      </c>
      <c r="H655" t="str">
        <f>"0000"</f>
        <v>0000</v>
      </c>
      <c r="I655" t="s">
        <v>83</v>
      </c>
      <c r="J655">
        <v>0</v>
      </c>
      <c r="K655">
        <v>1</v>
      </c>
      <c r="L655">
        <v>3</v>
      </c>
      <c r="M655">
        <v>319</v>
      </c>
      <c r="N655">
        <v>358</v>
      </c>
      <c r="O655">
        <v>5</v>
      </c>
      <c r="P655">
        <v>358</v>
      </c>
      <c r="Q655">
        <v>27</v>
      </c>
      <c r="R655">
        <v>66</v>
      </c>
      <c r="S655">
        <v>140</v>
      </c>
      <c r="T655">
        <v>3</v>
      </c>
      <c r="U655">
        <v>2</v>
      </c>
      <c r="V655">
        <v>1</v>
      </c>
      <c r="W655">
        <v>1</v>
      </c>
      <c r="X655">
        <v>32</v>
      </c>
      <c r="Y655">
        <v>44</v>
      </c>
      <c r="Z655">
        <v>26</v>
      </c>
      <c r="AB655">
        <v>4</v>
      </c>
      <c r="AS655">
        <v>4</v>
      </c>
      <c r="AU655">
        <v>0</v>
      </c>
      <c r="AW655">
        <v>0</v>
      </c>
      <c r="AX655">
        <v>8</v>
      </c>
      <c r="AY655">
        <v>358</v>
      </c>
      <c r="AZ655">
        <v>358</v>
      </c>
      <c r="BA655">
        <v>633</v>
      </c>
      <c r="BB655">
        <v>44</v>
      </c>
      <c r="BD655">
        <v>1</v>
      </c>
      <c r="BF655" s="2" t="s">
        <v>771</v>
      </c>
      <c r="BG655" s="1">
        <v>44354.078472222223</v>
      </c>
      <c r="BH655" s="1">
        <v>44354.087708333333</v>
      </c>
      <c r="BI655" s="1">
        <v>44354.088067129633</v>
      </c>
      <c r="BJ655" t="s">
        <v>85</v>
      </c>
      <c r="BK655" t="s">
        <v>86</v>
      </c>
      <c r="BL655" t="s">
        <v>87</v>
      </c>
    </row>
    <row r="656" spans="1:64" x14ac:dyDescent="0.3">
      <c r="A656" t="str">
        <f>"200351C0100"</f>
        <v>200351C0100</v>
      </c>
      <c r="B656" t="str">
        <f>"200351C01003"</f>
        <v>200351C01003</v>
      </c>
      <c r="C656" t="str">
        <f t="shared" si="41"/>
        <v>20</v>
      </c>
      <c r="D656" t="s">
        <v>81</v>
      </c>
      <c r="E656" t="str">
        <f t="shared" si="42"/>
        <v>044</v>
      </c>
      <c r="F656" t="s">
        <v>736</v>
      </c>
      <c r="G656" t="str">
        <f>"0351"</f>
        <v>0351</v>
      </c>
      <c r="H656" t="str">
        <f>"0001"</f>
        <v>0001</v>
      </c>
      <c r="I656" t="s">
        <v>89</v>
      </c>
      <c r="J656">
        <v>0</v>
      </c>
      <c r="K656">
        <v>1</v>
      </c>
      <c r="L656">
        <v>3</v>
      </c>
      <c r="BA656">
        <v>633</v>
      </c>
      <c r="BB656">
        <v>44</v>
      </c>
      <c r="BC656" t="s">
        <v>381</v>
      </c>
      <c r="BD656">
        <v>0</v>
      </c>
      <c r="BF656" t="s">
        <v>772</v>
      </c>
      <c r="BG656" s="1">
        <v>44354.649305555555</v>
      </c>
      <c r="BH656" s="1">
        <v>44354.652291666665</v>
      </c>
      <c r="BI656" s="1">
        <v>44354.652291666665</v>
      </c>
      <c r="BJ656" t="s">
        <v>85</v>
      </c>
      <c r="BK656" t="s">
        <v>86</v>
      </c>
      <c r="BL656" t="s">
        <v>87</v>
      </c>
    </row>
    <row r="657" spans="1:64" x14ac:dyDescent="0.3">
      <c r="A657" t="str">
        <f>"200352B0000"</f>
        <v>200352B0000</v>
      </c>
      <c r="B657" t="str">
        <f>"200352B00003"</f>
        <v>200352B00003</v>
      </c>
      <c r="C657" t="str">
        <f t="shared" si="41"/>
        <v>20</v>
      </c>
      <c r="D657" t="s">
        <v>81</v>
      </c>
      <c r="E657" t="str">
        <f t="shared" si="42"/>
        <v>044</v>
      </c>
      <c r="F657" t="s">
        <v>736</v>
      </c>
      <c r="G657" t="str">
        <f>"0352"</f>
        <v>0352</v>
      </c>
      <c r="H657" t="str">
        <f>"0000"</f>
        <v>0000</v>
      </c>
      <c r="I657" t="s">
        <v>83</v>
      </c>
      <c r="J657">
        <v>0</v>
      </c>
      <c r="K657">
        <v>1</v>
      </c>
      <c r="L657">
        <v>3</v>
      </c>
      <c r="M657">
        <v>260</v>
      </c>
      <c r="N657">
        <v>304</v>
      </c>
      <c r="O657">
        <v>5</v>
      </c>
      <c r="P657">
        <v>304</v>
      </c>
      <c r="Q657">
        <v>22</v>
      </c>
      <c r="R657">
        <v>56</v>
      </c>
      <c r="S657">
        <v>131</v>
      </c>
      <c r="T657">
        <v>2</v>
      </c>
      <c r="U657" t="s">
        <v>95</v>
      </c>
      <c r="V657" t="s">
        <v>95</v>
      </c>
      <c r="W657">
        <v>1</v>
      </c>
      <c r="X657">
        <v>31</v>
      </c>
      <c r="Y657">
        <v>25</v>
      </c>
      <c r="Z657">
        <v>26</v>
      </c>
      <c r="AB657">
        <v>3</v>
      </c>
      <c r="AS657" t="s">
        <v>95</v>
      </c>
      <c r="AU657" t="s">
        <v>95</v>
      </c>
      <c r="AW657" t="s">
        <v>95</v>
      </c>
      <c r="AX657">
        <v>7</v>
      </c>
      <c r="AY657">
        <v>304</v>
      </c>
      <c r="AZ657">
        <v>304</v>
      </c>
      <c r="BA657">
        <v>520</v>
      </c>
      <c r="BB657">
        <v>44</v>
      </c>
      <c r="BC657" t="s">
        <v>96</v>
      </c>
      <c r="BD657">
        <v>1</v>
      </c>
      <c r="BF657" t="s">
        <v>773</v>
      </c>
      <c r="BG657" s="1">
        <v>44354.061979166669</v>
      </c>
      <c r="BH657" s="1">
        <v>44354.067569444444</v>
      </c>
      <c r="BI657" s="1">
        <v>44354.068067129629</v>
      </c>
      <c r="BJ657" t="s">
        <v>197</v>
      </c>
      <c r="BK657" t="s">
        <v>198</v>
      </c>
      <c r="BL657" t="s">
        <v>87</v>
      </c>
    </row>
    <row r="658" spans="1:64" x14ac:dyDescent="0.3">
      <c r="A658" t="str">
        <f>"200352C0100"</f>
        <v>200352C0100</v>
      </c>
      <c r="B658" t="str">
        <f>"200352C01003"</f>
        <v>200352C01003</v>
      </c>
      <c r="C658" t="str">
        <f t="shared" si="41"/>
        <v>20</v>
      </c>
      <c r="D658" t="s">
        <v>81</v>
      </c>
      <c r="E658" t="str">
        <f t="shared" si="42"/>
        <v>044</v>
      </c>
      <c r="F658" t="s">
        <v>736</v>
      </c>
      <c r="G658" t="str">
        <f>"0352"</f>
        <v>0352</v>
      </c>
      <c r="H658" t="str">
        <f>"0001"</f>
        <v>0001</v>
      </c>
      <c r="I658" t="s">
        <v>89</v>
      </c>
      <c r="J658">
        <v>0</v>
      </c>
      <c r="K658">
        <v>1</v>
      </c>
      <c r="L658">
        <v>3</v>
      </c>
      <c r="M658">
        <v>243</v>
      </c>
      <c r="N658">
        <v>320</v>
      </c>
      <c r="O658">
        <v>4</v>
      </c>
      <c r="P658" t="s">
        <v>92</v>
      </c>
      <c r="Q658">
        <v>12</v>
      </c>
      <c r="R658">
        <v>65</v>
      </c>
      <c r="S658">
        <v>143</v>
      </c>
      <c r="T658">
        <v>0</v>
      </c>
      <c r="U658">
        <v>2</v>
      </c>
      <c r="V658">
        <v>1</v>
      </c>
      <c r="W658">
        <v>0</v>
      </c>
      <c r="X658">
        <v>28</v>
      </c>
      <c r="Y658">
        <v>40</v>
      </c>
      <c r="Z658">
        <v>19</v>
      </c>
      <c r="AB658">
        <v>1</v>
      </c>
      <c r="AS658" t="s">
        <v>95</v>
      </c>
      <c r="AU658" t="s">
        <v>95</v>
      </c>
      <c r="AW658" t="s">
        <v>95</v>
      </c>
      <c r="AX658">
        <v>9</v>
      </c>
      <c r="AY658">
        <v>320</v>
      </c>
      <c r="AZ658">
        <v>320</v>
      </c>
      <c r="BA658">
        <v>519</v>
      </c>
      <c r="BB658">
        <v>44</v>
      </c>
      <c r="BC658" t="s">
        <v>96</v>
      </c>
      <c r="BD658">
        <v>1</v>
      </c>
      <c r="BF658" t="s">
        <v>774</v>
      </c>
      <c r="BG658" s="1">
        <v>44354.057083333333</v>
      </c>
      <c r="BH658" s="1">
        <v>44354.0621875</v>
      </c>
      <c r="BI658" s="1">
        <v>44354.062592592592</v>
      </c>
      <c r="BJ658" t="s">
        <v>197</v>
      </c>
      <c r="BK658" t="s">
        <v>198</v>
      </c>
      <c r="BL658" t="s">
        <v>87</v>
      </c>
    </row>
    <row r="659" spans="1:64" x14ac:dyDescent="0.3">
      <c r="A659" t="str">
        <f>"200353B0000"</f>
        <v>200353B0000</v>
      </c>
      <c r="B659" t="str">
        <f>"200353B00003"</f>
        <v>200353B00003</v>
      </c>
      <c r="C659" t="str">
        <f t="shared" si="41"/>
        <v>20</v>
      </c>
      <c r="D659" t="s">
        <v>81</v>
      </c>
      <c r="E659" t="str">
        <f t="shared" si="42"/>
        <v>044</v>
      </c>
      <c r="F659" t="s">
        <v>736</v>
      </c>
      <c r="G659" t="str">
        <f>"0353"</f>
        <v>0353</v>
      </c>
      <c r="H659" t="str">
        <f>"0000"</f>
        <v>0000</v>
      </c>
      <c r="I659" t="s">
        <v>83</v>
      </c>
      <c r="J659">
        <v>0</v>
      </c>
      <c r="K659">
        <v>1</v>
      </c>
      <c r="L659">
        <v>3</v>
      </c>
      <c r="BA659">
        <v>732</v>
      </c>
      <c r="BB659">
        <v>44</v>
      </c>
      <c r="BC659" t="s">
        <v>161</v>
      </c>
      <c r="BD659">
        <v>0</v>
      </c>
      <c r="BF659" t="s">
        <v>775</v>
      </c>
      <c r="BG659" s="1">
        <v>44354.602083333331</v>
      </c>
      <c r="BH659" s="1">
        <v>44354.603437500002</v>
      </c>
      <c r="BI659" s="1">
        <v>44354.603437500002</v>
      </c>
      <c r="BJ659" t="s">
        <v>85</v>
      </c>
      <c r="BK659" t="s">
        <v>86</v>
      </c>
      <c r="BL659" t="s">
        <v>87</v>
      </c>
    </row>
    <row r="660" spans="1:64" x14ac:dyDescent="0.3">
      <c r="A660" t="str">
        <f>"200354B0000"</f>
        <v>200354B0000</v>
      </c>
      <c r="B660" t="str">
        <f>"200354B00003"</f>
        <v>200354B00003</v>
      </c>
      <c r="C660" t="str">
        <f t="shared" si="41"/>
        <v>20</v>
      </c>
      <c r="D660" t="s">
        <v>81</v>
      </c>
      <c r="E660" t="str">
        <f t="shared" si="42"/>
        <v>044</v>
      </c>
      <c r="F660" t="s">
        <v>736</v>
      </c>
      <c r="G660" t="str">
        <f>"0354"</f>
        <v>0354</v>
      </c>
      <c r="H660" t="str">
        <f>"0000"</f>
        <v>0000</v>
      </c>
      <c r="I660" t="s">
        <v>83</v>
      </c>
      <c r="J660">
        <v>0</v>
      </c>
      <c r="K660">
        <v>1</v>
      </c>
      <c r="L660">
        <v>3</v>
      </c>
      <c r="BA660">
        <v>511</v>
      </c>
      <c r="BB660">
        <v>44</v>
      </c>
      <c r="BC660" t="s">
        <v>161</v>
      </c>
      <c r="BD660">
        <v>0</v>
      </c>
      <c r="BF660" t="s">
        <v>776</v>
      </c>
      <c r="BG660" s="1">
        <v>44354.602083333331</v>
      </c>
      <c r="BH660" s="1">
        <v>44354.60361111111</v>
      </c>
      <c r="BI660" s="1">
        <v>44354.60361111111</v>
      </c>
      <c r="BJ660" t="s">
        <v>85</v>
      </c>
      <c r="BK660" t="s">
        <v>86</v>
      </c>
      <c r="BL660" t="s">
        <v>87</v>
      </c>
    </row>
    <row r="661" spans="1:64" x14ac:dyDescent="0.3">
      <c r="A661" t="str">
        <f>"200354C0100"</f>
        <v>200354C0100</v>
      </c>
      <c r="B661" t="str">
        <f>"200354C01003"</f>
        <v>200354C01003</v>
      </c>
      <c r="C661" t="str">
        <f t="shared" si="41"/>
        <v>20</v>
      </c>
      <c r="D661" t="s">
        <v>81</v>
      </c>
      <c r="E661" t="str">
        <f t="shared" si="42"/>
        <v>044</v>
      </c>
      <c r="F661" t="s">
        <v>736</v>
      </c>
      <c r="G661" t="str">
        <f>"0354"</f>
        <v>0354</v>
      </c>
      <c r="H661" t="str">
        <f>"0001"</f>
        <v>0001</v>
      </c>
      <c r="I661" t="s">
        <v>89</v>
      </c>
      <c r="J661">
        <v>0</v>
      </c>
      <c r="K661">
        <v>1</v>
      </c>
      <c r="L661">
        <v>3</v>
      </c>
      <c r="BA661">
        <v>511</v>
      </c>
      <c r="BB661">
        <v>44</v>
      </c>
      <c r="BC661" t="s">
        <v>161</v>
      </c>
      <c r="BD661">
        <v>0</v>
      </c>
      <c r="BF661" t="s">
        <v>777</v>
      </c>
      <c r="BG661" s="1">
        <v>44354.602083333331</v>
      </c>
      <c r="BH661" s="1">
        <v>44354.603784722225</v>
      </c>
      <c r="BI661" s="1">
        <v>44354.603784722225</v>
      </c>
      <c r="BJ661" t="s">
        <v>85</v>
      </c>
      <c r="BK661" t="s">
        <v>86</v>
      </c>
      <c r="BL661" t="s">
        <v>87</v>
      </c>
    </row>
    <row r="662" spans="1:64" x14ac:dyDescent="0.3">
      <c r="A662" t="str">
        <f>"200355B0000"</f>
        <v>200355B0000</v>
      </c>
      <c r="B662" t="str">
        <f>"200355B00003"</f>
        <v>200355B00003</v>
      </c>
      <c r="C662" t="str">
        <f t="shared" si="41"/>
        <v>20</v>
      </c>
      <c r="D662" t="s">
        <v>81</v>
      </c>
      <c r="E662" t="str">
        <f t="shared" si="42"/>
        <v>044</v>
      </c>
      <c r="F662" t="s">
        <v>736</v>
      </c>
      <c r="G662" t="str">
        <f>"0355"</f>
        <v>0355</v>
      </c>
      <c r="H662" t="str">
        <f>"0000"</f>
        <v>0000</v>
      </c>
      <c r="I662" t="s">
        <v>83</v>
      </c>
      <c r="J662">
        <v>0</v>
      </c>
      <c r="K662">
        <v>1</v>
      </c>
      <c r="L662">
        <v>3</v>
      </c>
      <c r="M662">
        <v>210</v>
      </c>
      <c r="N662">
        <v>253</v>
      </c>
      <c r="O662">
        <v>1</v>
      </c>
      <c r="P662">
        <v>253</v>
      </c>
      <c r="Q662">
        <v>14</v>
      </c>
      <c r="R662">
        <v>39</v>
      </c>
      <c r="S662">
        <v>130</v>
      </c>
      <c r="T662">
        <v>3</v>
      </c>
      <c r="U662">
        <v>2</v>
      </c>
      <c r="V662">
        <v>0</v>
      </c>
      <c r="W662">
        <v>0</v>
      </c>
      <c r="X662">
        <v>9</v>
      </c>
      <c r="Y662">
        <v>31</v>
      </c>
      <c r="Z662">
        <v>15</v>
      </c>
      <c r="AB662">
        <v>1</v>
      </c>
      <c r="AS662">
        <v>2</v>
      </c>
      <c r="AU662">
        <v>0</v>
      </c>
      <c r="AW662">
        <v>0</v>
      </c>
      <c r="AX662">
        <v>7</v>
      </c>
      <c r="AY662">
        <v>253</v>
      </c>
      <c r="AZ662">
        <v>253</v>
      </c>
      <c r="BA662">
        <v>419</v>
      </c>
      <c r="BB662">
        <v>44</v>
      </c>
      <c r="BD662">
        <v>1</v>
      </c>
      <c r="BF662" t="s">
        <v>778</v>
      </c>
      <c r="BG662" s="1">
        <v>44353.946527777778</v>
      </c>
      <c r="BH662" s="1">
        <v>44353.948622685188</v>
      </c>
      <c r="BI662" s="1">
        <v>44353.949189814812</v>
      </c>
      <c r="BJ662" t="s">
        <v>197</v>
      </c>
      <c r="BK662" t="s">
        <v>198</v>
      </c>
      <c r="BL662" t="s">
        <v>87</v>
      </c>
    </row>
    <row r="663" spans="1:64" x14ac:dyDescent="0.3">
      <c r="A663" t="str">
        <f>"200355C0100"</f>
        <v>200355C0100</v>
      </c>
      <c r="B663" t="str">
        <f>"200355C01003"</f>
        <v>200355C01003</v>
      </c>
      <c r="C663" t="str">
        <f t="shared" si="41"/>
        <v>20</v>
      </c>
      <c r="D663" t="s">
        <v>81</v>
      </c>
      <c r="E663" t="str">
        <f t="shared" si="42"/>
        <v>044</v>
      </c>
      <c r="F663" t="s">
        <v>736</v>
      </c>
      <c r="G663" t="str">
        <f>"0355"</f>
        <v>0355</v>
      </c>
      <c r="H663" t="str">
        <f>"0001"</f>
        <v>0001</v>
      </c>
      <c r="I663" t="s">
        <v>89</v>
      </c>
      <c r="J663">
        <v>0</v>
      </c>
      <c r="K663">
        <v>1</v>
      </c>
      <c r="L663">
        <v>3</v>
      </c>
      <c r="M663">
        <v>221</v>
      </c>
      <c r="N663">
        <v>241</v>
      </c>
      <c r="O663">
        <v>2</v>
      </c>
      <c r="P663">
        <v>241</v>
      </c>
      <c r="Q663">
        <v>23</v>
      </c>
      <c r="R663">
        <v>20</v>
      </c>
      <c r="S663">
        <v>124</v>
      </c>
      <c r="T663">
        <v>0</v>
      </c>
      <c r="U663">
        <v>3</v>
      </c>
      <c r="V663">
        <v>2</v>
      </c>
      <c r="W663">
        <v>2</v>
      </c>
      <c r="X663">
        <v>18</v>
      </c>
      <c r="Y663">
        <v>26</v>
      </c>
      <c r="Z663">
        <v>11</v>
      </c>
      <c r="AB663">
        <v>3</v>
      </c>
      <c r="AS663">
        <v>0</v>
      </c>
      <c r="AU663">
        <v>0</v>
      </c>
      <c r="AW663">
        <v>0</v>
      </c>
      <c r="AX663">
        <v>9</v>
      </c>
      <c r="AY663">
        <v>241</v>
      </c>
      <c r="AZ663">
        <v>241</v>
      </c>
      <c r="BA663">
        <v>418</v>
      </c>
      <c r="BB663">
        <v>44</v>
      </c>
      <c r="BD663">
        <v>1</v>
      </c>
      <c r="BF663" t="s">
        <v>779</v>
      </c>
      <c r="BG663" s="1">
        <v>44353.974976851852</v>
      </c>
      <c r="BH663" s="1">
        <v>44353.976087962961</v>
      </c>
      <c r="BI663" s="1">
        <v>44353.976770833331</v>
      </c>
      <c r="BJ663" t="s">
        <v>197</v>
      </c>
      <c r="BK663" t="s">
        <v>198</v>
      </c>
      <c r="BL663" t="s">
        <v>87</v>
      </c>
    </row>
    <row r="664" spans="1:64" x14ac:dyDescent="0.3">
      <c r="A664" t="str">
        <f>"200356B0000"</f>
        <v>200356B0000</v>
      </c>
      <c r="B664" t="str">
        <f>"200356B00003"</f>
        <v>200356B00003</v>
      </c>
      <c r="C664" t="str">
        <f t="shared" si="41"/>
        <v>20</v>
      </c>
      <c r="D664" t="s">
        <v>81</v>
      </c>
      <c r="E664" t="str">
        <f t="shared" si="42"/>
        <v>044</v>
      </c>
      <c r="F664" t="s">
        <v>736</v>
      </c>
      <c r="G664" t="str">
        <f>"0356"</f>
        <v>0356</v>
      </c>
      <c r="H664" t="str">
        <f>"0000"</f>
        <v>0000</v>
      </c>
      <c r="I664" t="s">
        <v>83</v>
      </c>
      <c r="J664">
        <v>0</v>
      </c>
      <c r="K664">
        <v>1</v>
      </c>
      <c r="L664">
        <v>3</v>
      </c>
      <c r="M664">
        <v>251</v>
      </c>
      <c r="N664">
        <v>248</v>
      </c>
      <c r="O664">
        <v>3</v>
      </c>
      <c r="P664">
        <v>245</v>
      </c>
      <c r="Q664">
        <v>6</v>
      </c>
      <c r="R664">
        <v>37</v>
      </c>
      <c r="S664">
        <v>115</v>
      </c>
      <c r="T664">
        <v>5</v>
      </c>
      <c r="U664">
        <v>3</v>
      </c>
      <c r="V664">
        <v>2</v>
      </c>
      <c r="W664">
        <v>2</v>
      </c>
      <c r="X664">
        <v>18</v>
      </c>
      <c r="Y664">
        <v>27</v>
      </c>
      <c r="Z664">
        <v>13</v>
      </c>
      <c r="AB664">
        <v>5</v>
      </c>
      <c r="AS664">
        <v>1</v>
      </c>
      <c r="AU664" t="s">
        <v>95</v>
      </c>
      <c r="AW664" t="s">
        <v>95</v>
      </c>
      <c r="AX664">
        <v>11</v>
      </c>
      <c r="AY664">
        <v>245</v>
      </c>
      <c r="AZ664">
        <v>245</v>
      </c>
      <c r="BA664">
        <v>452</v>
      </c>
      <c r="BB664">
        <v>44</v>
      </c>
      <c r="BC664" t="s">
        <v>96</v>
      </c>
      <c r="BD664">
        <v>1</v>
      </c>
      <c r="BF664" t="s">
        <v>780</v>
      </c>
      <c r="BG664" s="1">
        <v>44354.01017361111</v>
      </c>
      <c r="BH664" s="1">
        <v>44354.01767361111</v>
      </c>
      <c r="BI664" s="1">
        <v>44354.018125000002</v>
      </c>
      <c r="BJ664" t="s">
        <v>197</v>
      </c>
      <c r="BK664" t="s">
        <v>198</v>
      </c>
      <c r="BL664" t="s">
        <v>87</v>
      </c>
    </row>
    <row r="665" spans="1:64" x14ac:dyDescent="0.3">
      <c r="A665" t="str">
        <f>"200356C0100"</f>
        <v>200356C0100</v>
      </c>
      <c r="B665" t="str">
        <f>"200356C01003"</f>
        <v>200356C01003</v>
      </c>
      <c r="C665" t="str">
        <f t="shared" si="41"/>
        <v>20</v>
      </c>
      <c r="D665" t="s">
        <v>81</v>
      </c>
      <c r="E665" t="str">
        <f t="shared" si="42"/>
        <v>044</v>
      </c>
      <c r="F665" t="s">
        <v>736</v>
      </c>
      <c r="G665" t="str">
        <f>"0356"</f>
        <v>0356</v>
      </c>
      <c r="H665" t="str">
        <f>"0001"</f>
        <v>0001</v>
      </c>
      <c r="I665" t="s">
        <v>89</v>
      </c>
      <c r="J665">
        <v>0</v>
      </c>
      <c r="K665">
        <v>1</v>
      </c>
      <c r="L665">
        <v>3</v>
      </c>
      <c r="M665">
        <v>239</v>
      </c>
      <c r="N665">
        <v>495</v>
      </c>
      <c r="O665">
        <v>0</v>
      </c>
      <c r="P665" t="s">
        <v>92</v>
      </c>
      <c r="Q665">
        <v>2</v>
      </c>
      <c r="R665">
        <v>42</v>
      </c>
      <c r="S665">
        <v>149</v>
      </c>
      <c r="T665">
        <v>0</v>
      </c>
      <c r="U665">
        <v>1</v>
      </c>
      <c r="V665">
        <v>1</v>
      </c>
      <c r="W665">
        <v>1</v>
      </c>
      <c r="X665">
        <v>24</v>
      </c>
      <c r="Y665">
        <v>18</v>
      </c>
      <c r="Z665">
        <v>9</v>
      </c>
      <c r="AB665">
        <v>3</v>
      </c>
      <c r="AS665" t="s">
        <v>95</v>
      </c>
      <c r="AU665" t="s">
        <v>95</v>
      </c>
      <c r="AW665" t="s">
        <v>95</v>
      </c>
      <c r="AX665" t="s">
        <v>95</v>
      </c>
      <c r="AY665" t="s">
        <v>95</v>
      </c>
      <c r="AZ665">
        <v>250</v>
      </c>
      <c r="BA665">
        <v>451</v>
      </c>
      <c r="BB665">
        <v>44</v>
      </c>
      <c r="BC665" t="s">
        <v>96</v>
      </c>
      <c r="BD665">
        <v>1</v>
      </c>
      <c r="BF665" t="s">
        <v>781</v>
      </c>
      <c r="BG665" s="1">
        <v>44354.075694444444</v>
      </c>
      <c r="BH665" s="1">
        <v>44354.084236111114</v>
      </c>
      <c r="BI665" s="1">
        <v>44354.084780092591</v>
      </c>
      <c r="BJ665" t="s">
        <v>85</v>
      </c>
      <c r="BK665" t="s">
        <v>86</v>
      </c>
      <c r="BL665" t="s">
        <v>87</v>
      </c>
    </row>
    <row r="666" spans="1:64" x14ac:dyDescent="0.3">
      <c r="A666" t="str">
        <f>"200357B0000"</f>
        <v>200357B0000</v>
      </c>
      <c r="B666" t="str">
        <f>"200357B00003"</f>
        <v>200357B00003</v>
      </c>
      <c r="C666" t="str">
        <f t="shared" si="41"/>
        <v>20</v>
      </c>
      <c r="D666" t="s">
        <v>81</v>
      </c>
      <c r="E666" t="str">
        <f t="shared" si="42"/>
        <v>044</v>
      </c>
      <c r="F666" t="s">
        <v>736</v>
      </c>
      <c r="G666" t="str">
        <f>"0357"</f>
        <v>0357</v>
      </c>
      <c r="H666" t="str">
        <f>"0000"</f>
        <v>0000</v>
      </c>
      <c r="I666" t="s">
        <v>83</v>
      </c>
      <c r="J666">
        <v>0</v>
      </c>
      <c r="K666">
        <v>1</v>
      </c>
      <c r="L666">
        <v>3</v>
      </c>
      <c r="M666">
        <v>196</v>
      </c>
      <c r="N666">
        <v>222</v>
      </c>
      <c r="O666">
        <v>1</v>
      </c>
      <c r="P666">
        <v>222</v>
      </c>
      <c r="Q666">
        <v>3</v>
      </c>
      <c r="R666">
        <v>45</v>
      </c>
      <c r="S666">
        <v>75</v>
      </c>
      <c r="T666">
        <v>0</v>
      </c>
      <c r="U666">
        <v>12</v>
      </c>
      <c r="V666">
        <v>1</v>
      </c>
      <c r="W666">
        <v>1</v>
      </c>
      <c r="X666">
        <v>35</v>
      </c>
      <c r="Y666">
        <v>36</v>
      </c>
      <c r="Z666">
        <v>7</v>
      </c>
      <c r="AB666">
        <v>0</v>
      </c>
      <c r="AS666">
        <v>1</v>
      </c>
      <c r="AU666">
        <v>0</v>
      </c>
      <c r="AW666">
        <v>0</v>
      </c>
      <c r="AX666">
        <v>6</v>
      </c>
      <c r="AY666">
        <v>222</v>
      </c>
      <c r="AZ666">
        <v>222</v>
      </c>
      <c r="BA666">
        <v>374</v>
      </c>
      <c r="BB666">
        <v>44</v>
      </c>
      <c r="BD666">
        <v>1</v>
      </c>
      <c r="BF666" t="s">
        <v>782</v>
      </c>
      <c r="BG666" s="1">
        <v>44353.916666666664</v>
      </c>
      <c r="BH666" s="1">
        <v>44354.066990740743</v>
      </c>
      <c r="BI666" s="1">
        <v>44354.067662037036</v>
      </c>
      <c r="BJ666" t="s">
        <v>85</v>
      </c>
      <c r="BK666" t="s">
        <v>86</v>
      </c>
      <c r="BL666" t="s">
        <v>87</v>
      </c>
    </row>
    <row r="667" spans="1:64" x14ac:dyDescent="0.3">
      <c r="A667" t="str">
        <f>"200357E0100"</f>
        <v>200357E0100</v>
      </c>
      <c r="B667" t="str">
        <f>"200357E01003"</f>
        <v>200357E01003</v>
      </c>
      <c r="C667" t="str">
        <f t="shared" si="41"/>
        <v>20</v>
      </c>
      <c r="D667" t="s">
        <v>81</v>
      </c>
      <c r="E667" t="str">
        <f t="shared" si="42"/>
        <v>044</v>
      </c>
      <c r="F667" t="s">
        <v>736</v>
      </c>
      <c r="G667" t="str">
        <f>"0357"</f>
        <v>0357</v>
      </c>
      <c r="H667" t="str">
        <f>"0001"</f>
        <v>0001</v>
      </c>
      <c r="I667" t="s">
        <v>122</v>
      </c>
      <c r="J667">
        <v>0</v>
      </c>
      <c r="K667">
        <v>1</v>
      </c>
      <c r="L667">
        <v>3</v>
      </c>
      <c r="M667">
        <v>190</v>
      </c>
      <c r="N667">
        <v>218</v>
      </c>
      <c r="O667">
        <v>5</v>
      </c>
      <c r="P667">
        <v>218</v>
      </c>
      <c r="Q667">
        <v>2</v>
      </c>
      <c r="R667">
        <v>21</v>
      </c>
      <c r="S667">
        <v>70</v>
      </c>
      <c r="T667">
        <v>3</v>
      </c>
      <c r="U667">
        <v>5</v>
      </c>
      <c r="V667">
        <v>1</v>
      </c>
      <c r="W667">
        <v>0</v>
      </c>
      <c r="X667">
        <v>13</v>
      </c>
      <c r="Y667">
        <v>86</v>
      </c>
      <c r="Z667">
        <v>7</v>
      </c>
      <c r="AB667">
        <v>0</v>
      </c>
      <c r="AS667">
        <v>2</v>
      </c>
      <c r="AU667">
        <v>0</v>
      </c>
      <c r="AW667">
        <v>0</v>
      </c>
      <c r="AX667">
        <v>8</v>
      </c>
      <c r="AY667">
        <v>218</v>
      </c>
      <c r="AZ667">
        <v>218</v>
      </c>
      <c r="BA667">
        <v>364</v>
      </c>
      <c r="BB667">
        <v>44</v>
      </c>
      <c r="BD667">
        <v>1</v>
      </c>
      <c r="BF667" t="s">
        <v>783</v>
      </c>
      <c r="BG667" s="1">
        <v>44354.05972222222</v>
      </c>
      <c r="BH667" s="1">
        <v>44354.069675925923</v>
      </c>
      <c r="BI667" s="1">
        <v>44354.070104166669</v>
      </c>
      <c r="BJ667" t="s">
        <v>85</v>
      </c>
      <c r="BK667" t="s">
        <v>86</v>
      </c>
      <c r="BL667" t="s">
        <v>87</v>
      </c>
    </row>
    <row r="668" spans="1:64" x14ac:dyDescent="0.3">
      <c r="A668" t="str">
        <f>"200357E0200"</f>
        <v>200357E0200</v>
      </c>
      <c r="B668" t="str">
        <f>"200357E02003"</f>
        <v>200357E02003</v>
      </c>
      <c r="C668" t="str">
        <f t="shared" si="41"/>
        <v>20</v>
      </c>
      <c r="D668" t="s">
        <v>81</v>
      </c>
      <c r="E668" t="str">
        <f t="shared" si="42"/>
        <v>044</v>
      </c>
      <c r="F668" t="s">
        <v>736</v>
      </c>
      <c r="G668" t="str">
        <f>"0357"</f>
        <v>0357</v>
      </c>
      <c r="H668" t="str">
        <f>"0002"</f>
        <v>0002</v>
      </c>
      <c r="I668" t="s">
        <v>122</v>
      </c>
      <c r="J668">
        <v>0</v>
      </c>
      <c r="K668">
        <v>1</v>
      </c>
      <c r="L668">
        <v>3</v>
      </c>
      <c r="M668" t="s">
        <v>92</v>
      </c>
      <c r="N668">
        <v>174</v>
      </c>
      <c r="O668">
        <v>3</v>
      </c>
      <c r="P668" t="s">
        <v>92</v>
      </c>
      <c r="Q668">
        <v>4</v>
      </c>
      <c r="R668">
        <v>19</v>
      </c>
      <c r="S668">
        <v>73</v>
      </c>
      <c r="T668">
        <v>5</v>
      </c>
      <c r="U668">
        <v>6</v>
      </c>
      <c r="V668">
        <v>1</v>
      </c>
      <c r="W668">
        <v>0</v>
      </c>
      <c r="X668">
        <v>44</v>
      </c>
      <c r="Y668">
        <v>10</v>
      </c>
      <c r="Z668">
        <v>0</v>
      </c>
      <c r="AB668">
        <v>0</v>
      </c>
      <c r="AS668">
        <v>0</v>
      </c>
      <c r="AU668">
        <v>0</v>
      </c>
      <c r="AW668">
        <v>0</v>
      </c>
      <c r="AX668">
        <v>11</v>
      </c>
      <c r="AY668">
        <v>174</v>
      </c>
      <c r="AZ668">
        <v>173</v>
      </c>
      <c r="BA668">
        <v>255</v>
      </c>
      <c r="BB668">
        <v>44</v>
      </c>
      <c r="BD668">
        <v>1</v>
      </c>
      <c r="BF668" t="s">
        <v>784</v>
      </c>
      <c r="BG668" s="1">
        <v>44354.057638888888</v>
      </c>
      <c r="BH668" s="1">
        <v>44354.064016203702</v>
      </c>
      <c r="BI668" s="1">
        <v>44354.064409722225</v>
      </c>
      <c r="BJ668" t="s">
        <v>85</v>
      </c>
      <c r="BK668" t="s">
        <v>86</v>
      </c>
      <c r="BL668" t="s">
        <v>87</v>
      </c>
    </row>
    <row r="669" spans="1:64" x14ac:dyDescent="0.3">
      <c r="A669" t="str">
        <f>"200358B0000"</f>
        <v>200358B0000</v>
      </c>
      <c r="B669" t="str">
        <f>"200358B00003"</f>
        <v>200358B00003</v>
      </c>
      <c r="C669" t="str">
        <f t="shared" si="41"/>
        <v>20</v>
      </c>
      <c r="D669" t="s">
        <v>81</v>
      </c>
      <c r="E669" t="str">
        <f t="shared" si="42"/>
        <v>044</v>
      </c>
      <c r="F669" t="s">
        <v>736</v>
      </c>
      <c r="G669" t="str">
        <f>"0358"</f>
        <v>0358</v>
      </c>
      <c r="H669" t="str">
        <f>"0000"</f>
        <v>0000</v>
      </c>
      <c r="I669" t="s">
        <v>83</v>
      </c>
      <c r="J669">
        <v>0</v>
      </c>
      <c r="K669">
        <v>1</v>
      </c>
      <c r="L669">
        <v>3</v>
      </c>
      <c r="M669">
        <v>229</v>
      </c>
      <c r="N669">
        <v>254</v>
      </c>
      <c r="O669">
        <v>3</v>
      </c>
      <c r="P669">
        <v>254</v>
      </c>
      <c r="Q669">
        <v>5</v>
      </c>
      <c r="R669">
        <v>41</v>
      </c>
      <c r="S669">
        <v>153</v>
      </c>
      <c r="T669">
        <v>1</v>
      </c>
      <c r="U669">
        <v>2</v>
      </c>
      <c r="V669">
        <v>1</v>
      </c>
      <c r="W669">
        <v>0</v>
      </c>
      <c r="X669">
        <v>23</v>
      </c>
      <c r="Y669">
        <v>19</v>
      </c>
      <c r="Z669">
        <v>2</v>
      </c>
      <c r="AB669">
        <v>0</v>
      </c>
      <c r="AS669">
        <v>1</v>
      </c>
      <c r="AU669">
        <v>0</v>
      </c>
      <c r="AW669">
        <v>0</v>
      </c>
      <c r="AX669">
        <v>6</v>
      </c>
      <c r="AY669">
        <v>254</v>
      </c>
      <c r="AZ669">
        <v>254</v>
      </c>
      <c r="BA669">
        <v>439</v>
      </c>
      <c r="BB669">
        <v>44</v>
      </c>
      <c r="BD669">
        <v>1</v>
      </c>
      <c r="BF669" t="s">
        <v>785</v>
      </c>
      <c r="BG669" s="1">
        <v>44353.860821759263</v>
      </c>
      <c r="BH669" s="1">
        <v>44354.036956018521</v>
      </c>
      <c r="BI669" s="1">
        <v>44354.037534722222</v>
      </c>
      <c r="BJ669" t="s">
        <v>197</v>
      </c>
      <c r="BK669" t="s">
        <v>198</v>
      </c>
      <c r="BL669" t="s">
        <v>87</v>
      </c>
    </row>
    <row r="670" spans="1:64" x14ac:dyDescent="0.3">
      <c r="A670" t="str">
        <f>"200359B0000"</f>
        <v>200359B0000</v>
      </c>
      <c r="B670" t="str">
        <f>"200359B00003"</f>
        <v>200359B00003</v>
      </c>
      <c r="C670" t="str">
        <f t="shared" si="41"/>
        <v>20</v>
      </c>
      <c r="D670" t="s">
        <v>81</v>
      </c>
      <c r="E670" t="str">
        <f t="shared" si="42"/>
        <v>044</v>
      </c>
      <c r="F670" t="s">
        <v>736</v>
      </c>
      <c r="G670" t="str">
        <f>"0359"</f>
        <v>0359</v>
      </c>
      <c r="H670" t="str">
        <f>"0000"</f>
        <v>0000</v>
      </c>
      <c r="I670" t="s">
        <v>83</v>
      </c>
      <c r="J670">
        <v>0</v>
      </c>
      <c r="K670">
        <v>1</v>
      </c>
      <c r="L670">
        <v>3</v>
      </c>
      <c r="M670">
        <v>169</v>
      </c>
      <c r="N670">
        <v>268</v>
      </c>
      <c r="O670">
        <v>0</v>
      </c>
      <c r="P670">
        <v>268</v>
      </c>
      <c r="Q670">
        <v>38</v>
      </c>
      <c r="R670">
        <v>15</v>
      </c>
      <c r="S670">
        <v>163</v>
      </c>
      <c r="T670">
        <v>0</v>
      </c>
      <c r="U670">
        <v>2</v>
      </c>
      <c r="V670">
        <v>0</v>
      </c>
      <c r="W670">
        <v>0</v>
      </c>
      <c r="X670">
        <v>14</v>
      </c>
      <c r="Y670">
        <v>16</v>
      </c>
      <c r="Z670">
        <v>7</v>
      </c>
      <c r="AB670">
        <v>0</v>
      </c>
      <c r="AS670">
        <v>1</v>
      </c>
      <c r="AU670">
        <v>0</v>
      </c>
      <c r="AW670">
        <v>0</v>
      </c>
      <c r="AX670">
        <v>11</v>
      </c>
      <c r="AY670">
        <v>268</v>
      </c>
      <c r="AZ670">
        <v>267</v>
      </c>
      <c r="BA670">
        <v>393</v>
      </c>
      <c r="BB670">
        <v>44</v>
      </c>
      <c r="BD670">
        <v>1</v>
      </c>
      <c r="BF670" t="s">
        <v>786</v>
      </c>
      <c r="BG670" s="1">
        <v>44354.027083333334</v>
      </c>
      <c r="BH670" s="1">
        <v>44354.03707175926</v>
      </c>
      <c r="BI670" s="1">
        <v>44354.038136574076</v>
      </c>
      <c r="BJ670" t="s">
        <v>85</v>
      </c>
      <c r="BK670" t="s">
        <v>86</v>
      </c>
      <c r="BL670" t="s">
        <v>87</v>
      </c>
    </row>
    <row r="671" spans="1:64" x14ac:dyDescent="0.3">
      <c r="A671" t="str">
        <f>"200359C0100"</f>
        <v>200359C0100</v>
      </c>
      <c r="B671" t="str">
        <f>"200359C01003"</f>
        <v>200359C01003</v>
      </c>
      <c r="C671" t="str">
        <f t="shared" si="41"/>
        <v>20</v>
      </c>
      <c r="D671" t="s">
        <v>81</v>
      </c>
      <c r="E671" t="str">
        <f t="shared" si="42"/>
        <v>044</v>
      </c>
      <c r="F671" t="s">
        <v>736</v>
      </c>
      <c r="G671" t="str">
        <f>"0359"</f>
        <v>0359</v>
      </c>
      <c r="H671" t="str">
        <f>"0001"</f>
        <v>0001</v>
      </c>
      <c r="I671" t="s">
        <v>89</v>
      </c>
      <c r="J671">
        <v>0</v>
      </c>
      <c r="K671">
        <v>1</v>
      </c>
      <c r="L671">
        <v>3</v>
      </c>
      <c r="M671">
        <v>182</v>
      </c>
      <c r="N671">
        <v>254</v>
      </c>
      <c r="O671">
        <v>5</v>
      </c>
      <c r="P671">
        <v>254</v>
      </c>
      <c r="Q671">
        <v>27</v>
      </c>
      <c r="R671">
        <v>21</v>
      </c>
      <c r="S671">
        <v>161</v>
      </c>
      <c r="T671">
        <v>2</v>
      </c>
      <c r="U671">
        <v>1</v>
      </c>
      <c r="V671">
        <v>0</v>
      </c>
      <c r="W671">
        <v>1</v>
      </c>
      <c r="X671">
        <v>12</v>
      </c>
      <c r="Y671">
        <v>15</v>
      </c>
      <c r="Z671">
        <v>6</v>
      </c>
      <c r="AB671">
        <v>0</v>
      </c>
      <c r="AS671">
        <v>0</v>
      </c>
      <c r="AU671">
        <v>0</v>
      </c>
      <c r="AW671">
        <v>0</v>
      </c>
      <c r="AX671">
        <v>8</v>
      </c>
      <c r="AY671">
        <v>254</v>
      </c>
      <c r="AZ671">
        <v>254</v>
      </c>
      <c r="BA671">
        <v>392</v>
      </c>
      <c r="BB671">
        <v>44</v>
      </c>
      <c r="BD671">
        <v>1</v>
      </c>
      <c r="BF671" t="s">
        <v>787</v>
      </c>
      <c r="BG671" s="1">
        <v>44354.027777777781</v>
      </c>
      <c r="BH671" s="1">
        <v>44354.036620370367</v>
      </c>
      <c r="BI671" s="1">
        <v>44354.037627314814</v>
      </c>
      <c r="BJ671" t="s">
        <v>85</v>
      </c>
      <c r="BK671" t="s">
        <v>86</v>
      </c>
      <c r="BL671" t="s">
        <v>87</v>
      </c>
    </row>
    <row r="672" spans="1:64" x14ac:dyDescent="0.3">
      <c r="A672" t="str">
        <f>"200360B0000"</f>
        <v>200360B0000</v>
      </c>
      <c r="B672" t="str">
        <f>"200360B00003"</f>
        <v>200360B00003</v>
      </c>
      <c r="C672" t="str">
        <f t="shared" si="41"/>
        <v>20</v>
      </c>
      <c r="D672" t="s">
        <v>81</v>
      </c>
      <c r="E672" t="str">
        <f t="shared" si="42"/>
        <v>044</v>
      </c>
      <c r="F672" t="s">
        <v>736</v>
      </c>
      <c r="G672" t="str">
        <f>"0360"</f>
        <v>0360</v>
      </c>
      <c r="H672" t="str">
        <f>"0000"</f>
        <v>0000</v>
      </c>
      <c r="I672" t="s">
        <v>83</v>
      </c>
      <c r="J672">
        <v>0</v>
      </c>
      <c r="K672">
        <v>1</v>
      </c>
      <c r="L672">
        <v>3</v>
      </c>
      <c r="M672">
        <v>213</v>
      </c>
      <c r="N672">
        <v>382</v>
      </c>
      <c r="O672">
        <v>0</v>
      </c>
      <c r="P672">
        <v>382</v>
      </c>
      <c r="Q672">
        <v>2</v>
      </c>
      <c r="R672">
        <v>44</v>
      </c>
      <c r="S672">
        <v>186</v>
      </c>
      <c r="T672">
        <v>1</v>
      </c>
      <c r="U672">
        <v>1</v>
      </c>
      <c r="V672">
        <v>0</v>
      </c>
      <c r="W672">
        <v>2</v>
      </c>
      <c r="X672">
        <v>18</v>
      </c>
      <c r="Y672">
        <v>39</v>
      </c>
      <c r="Z672">
        <v>65</v>
      </c>
      <c r="AB672">
        <v>1</v>
      </c>
      <c r="AS672">
        <v>2</v>
      </c>
      <c r="AU672">
        <v>0</v>
      </c>
      <c r="AW672">
        <v>0</v>
      </c>
      <c r="AX672">
        <v>21</v>
      </c>
      <c r="AY672">
        <v>382</v>
      </c>
      <c r="AZ672">
        <v>382</v>
      </c>
      <c r="BA672">
        <v>551</v>
      </c>
      <c r="BB672">
        <v>44</v>
      </c>
      <c r="BD672">
        <v>1</v>
      </c>
      <c r="BF672" t="s">
        <v>788</v>
      </c>
      <c r="BG672" s="1">
        <v>44353.975694444445</v>
      </c>
      <c r="BH672" s="1">
        <v>44354.002928240741</v>
      </c>
      <c r="BI672" s="1">
        <v>44354.022499999999</v>
      </c>
      <c r="BJ672" t="s">
        <v>85</v>
      </c>
      <c r="BK672" t="s">
        <v>86</v>
      </c>
      <c r="BL672" t="s">
        <v>87</v>
      </c>
    </row>
    <row r="673" spans="1:64" x14ac:dyDescent="0.3">
      <c r="A673" t="str">
        <f>"200360C0100"</f>
        <v>200360C0100</v>
      </c>
      <c r="B673" t="str">
        <f>"200360C01003"</f>
        <v>200360C01003</v>
      </c>
      <c r="C673" t="str">
        <f t="shared" si="41"/>
        <v>20</v>
      </c>
      <c r="D673" t="s">
        <v>81</v>
      </c>
      <c r="E673" t="str">
        <f t="shared" si="42"/>
        <v>044</v>
      </c>
      <c r="F673" t="s">
        <v>736</v>
      </c>
      <c r="G673" t="str">
        <f>"0360"</f>
        <v>0360</v>
      </c>
      <c r="H673" t="str">
        <f>"0001"</f>
        <v>0001</v>
      </c>
      <c r="I673" t="s">
        <v>89</v>
      </c>
      <c r="J673">
        <v>0</v>
      </c>
      <c r="K673">
        <v>1</v>
      </c>
      <c r="L673">
        <v>3</v>
      </c>
      <c r="M673">
        <v>220</v>
      </c>
      <c r="N673">
        <v>374</v>
      </c>
      <c r="O673">
        <v>0</v>
      </c>
      <c r="P673">
        <v>374</v>
      </c>
      <c r="Q673">
        <v>7</v>
      </c>
      <c r="R673">
        <v>33</v>
      </c>
      <c r="S673">
        <v>187</v>
      </c>
      <c r="T673">
        <v>2</v>
      </c>
      <c r="U673">
        <v>3</v>
      </c>
      <c r="V673">
        <v>4</v>
      </c>
      <c r="W673">
        <v>1</v>
      </c>
      <c r="X673">
        <v>15</v>
      </c>
      <c r="Y673">
        <v>44</v>
      </c>
      <c r="Z673">
        <v>55</v>
      </c>
      <c r="AB673">
        <v>2</v>
      </c>
      <c r="AS673">
        <v>3</v>
      </c>
      <c r="AU673">
        <v>0</v>
      </c>
      <c r="AW673">
        <v>0</v>
      </c>
      <c r="AX673">
        <v>18</v>
      </c>
      <c r="AY673">
        <v>374</v>
      </c>
      <c r="AZ673">
        <v>374</v>
      </c>
      <c r="BA673">
        <v>550</v>
      </c>
      <c r="BB673">
        <v>44</v>
      </c>
      <c r="BD673">
        <v>1</v>
      </c>
      <c r="BF673" t="s">
        <v>789</v>
      </c>
      <c r="BG673" s="1">
        <v>44353.975694444445</v>
      </c>
      <c r="BH673" s="1">
        <v>44353.980092592596</v>
      </c>
      <c r="BI673" s="1">
        <v>44353.980729166666</v>
      </c>
      <c r="BJ673" t="s">
        <v>85</v>
      </c>
      <c r="BK673" t="s">
        <v>86</v>
      </c>
      <c r="BL673" t="s">
        <v>87</v>
      </c>
    </row>
    <row r="674" spans="1:64" x14ac:dyDescent="0.3">
      <c r="A674" t="str">
        <f>"200360E0100"</f>
        <v>200360E0100</v>
      </c>
      <c r="B674" t="str">
        <f>"200360E01003"</f>
        <v>200360E01003</v>
      </c>
      <c r="C674" t="str">
        <f t="shared" si="41"/>
        <v>20</v>
      </c>
      <c r="D674" t="s">
        <v>81</v>
      </c>
      <c r="E674" t="str">
        <f t="shared" si="42"/>
        <v>044</v>
      </c>
      <c r="F674" t="s">
        <v>736</v>
      </c>
      <c r="G674" t="str">
        <f>"0360"</f>
        <v>0360</v>
      </c>
      <c r="H674" t="str">
        <f>"0001"</f>
        <v>0001</v>
      </c>
      <c r="I674" t="s">
        <v>122</v>
      </c>
      <c r="J674">
        <v>0</v>
      </c>
      <c r="K674">
        <v>1</v>
      </c>
      <c r="L674">
        <v>3</v>
      </c>
      <c r="M674">
        <v>186</v>
      </c>
      <c r="N674">
        <v>213</v>
      </c>
      <c r="O674">
        <v>2</v>
      </c>
      <c r="P674">
        <v>213</v>
      </c>
      <c r="Q674">
        <v>9</v>
      </c>
      <c r="R674">
        <v>40</v>
      </c>
      <c r="S674">
        <v>97</v>
      </c>
      <c r="T674">
        <v>2</v>
      </c>
      <c r="U674">
        <v>1</v>
      </c>
      <c r="V674">
        <v>0</v>
      </c>
      <c r="W674">
        <v>0</v>
      </c>
      <c r="X674">
        <v>9</v>
      </c>
      <c r="Y674">
        <v>37</v>
      </c>
      <c r="Z674">
        <v>10</v>
      </c>
      <c r="AB674">
        <v>0</v>
      </c>
      <c r="AS674">
        <v>0</v>
      </c>
      <c r="AU674">
        <v>0</v>
      </c>
      <c r="AW674">
        <v>0</v>
      </c>
      <c r="AX674">
        <v>8</v>
      </c>
      <c r="AY674">
        <v>213</v>
      </c>
      <c r="AZ674">
        <v>213</v>
      </c>
      <c r="BA674">
        <v>355</v>
      </c>
      <c r="BB674">
        <v>44</v>
      </c>
      <c r="BD674">
        <v>1</v>
      </c>
      <c r="BF674" t="s">
        <v>790</v>
      </c>
      <c r="BG674" s="1">
        <v>44353.975694444445</v>
      </c>
      <c r="BH674" s="1">
        <v>44353.979618055557</v>
      </c>
      <c r="BI674" s="1">
        <v>44353.980312500003</v>
      </c>
      <c r="BJ674" t="s">
        <v>85</v>
      </c>
      <c r="BK674" t="s">
        <v>86</v>
      </c>
      <c r="BL674" t="s">
        <v>87</v>
      </c>
    </row>
    <row r="675" spans="1:64" x14ac:dyDescent="0.3">
      <c r="A675" t="str">
        <f>"200361B0000"</f>
        <v>200361B0000</v>
      </c>
      <c r="B675" t="str">
        <f>"200361B00003"</f>
        <v>200361B00003</v>
      </c>
      <c r="C675" t="str">
        <f t="shared" si="41"/>
        <v>20</v>
      </c>
      <c r="D675" t="s">
        <v>81</v>
      </c>
      <c r="E675" t="str">
        <f t="shared" si="42"/>
        <v>044</v>
      </c>
      <c r="F675" t="s">
        <v>736</v>
      </c>
      <c r="G675" t="str">
        <f>"0361"</f>
        <v>0361</v>
      </c>
      <c r="H675" t="str">
        <f>"0000"</f>
        <v>0000</v>
      </c>
      <c r="I675" t="s">
        <v>83</v>
      </c>
      <c r="J675">
        <v>0</v>
      </c>
      <c r="K675">
        <v>1</v>
      </c>
      <c r="L675">
        <v>3</v>
      </c>
      <c r="M675">
        <v>198</v>
      </c>
      <c r="N675">
        <v>236</v>
      </c>
      <c r="O675">
        <v>2</v>
      </c>
      <c r="P675">
        <v>237</v>
      </c>
      <c r="Q675">
        <v>4</v>
      </c>
      <c r="R675">
        <v>35</v>
      </c>
      <c r="S675">
        <v>133</v>
      </c>
      <c r="T675">
        <v>0</v>
      </c>
      <c r="U675">
        <v>2</v>
      </c>
      <c r="V675">
        <v>2</v>
      </c>
      <c r="W675">
        <v>2</v>
      </c>
      <c r="X675">
        <v>8</v>
      </c>
      <c r="Y675">
        <v>33</v>
      </c>
      <c r="Z675">
        <v>6</v>
      </c>
      <c r="AB675">
        <v>1</v>
      </c>
      <c r="AS675">
        <v>0</v>
      </c>
      <c r="AU675">
        <v>0</v>
      </c>
      <c r="AW675" t="s">
        <v>95</v>
      </c>
      <c r="AX675">
        <v>11</v>
      </c>
      <c r="AY675">
        <v>237</v>
      </c>
      <c r="AZ675">
        <v>237</v>
      </c>
      <c r="BA675">
        <v>391</v>
      </c>
      <c r="BB675">
        <v>44</v>
      </c>
      <c r="BC675" t="s">
        <v>96</v>
      </c>
      <c r="BD675">
        <v>1</v>
      </c>
      <c r="BF675" t="s">
        <v>791</v>
      </c>
      <c r="BG675" s="1">
        <v>44354.1</v>
      </c>
      <c r="BH675" s="1">
        <v>44354.106249999997</v>
      </c>
      <c r="BI675" s="1">
        <v>44354.106724537036</v>
      </c>
      <c r="BJ675" t="s">
        <v>85</v>
      </c>
      <c r="BK675" t="s">
        <v>86</v>
      </c>
      <c r="BL675" t="s">
        <v>87</v>
      </c>
    </row>
    <row r="676" spans="1:64" x14ac:dyDescent="0.3">
      <c r="A676" t="str">
        <f>"200361E0100"</f>
        <v>200361E0100</v>
      </c>
      <c r="B676" t="str">
        <f>"200361E01003"</f>
        <v>200361E01003</v>
      </c>
      <c r="C676" t="str">
        <f t="shared" si="41"/>
        <v>20</v>
      </c>
      <c r="D676" t="s">
        <v>81</v>
      </c>
      <c r="E676" t="str">
        <f t="shared" si="42"/>
        <v>044</v>
      </c>
      <c r="F676" t="s">
        <v>736</v>
      </c>
      <c r="G676" t="str">
        <f>"0361"</f>
        <v>0361</v>
      </c>
      <c r="H676" t="str">
        <f>"0001"</f>
        <v>0001</v>
      </c>
      <c r="I676" t="s">
        <v>122</v>
      </c>
      <c r="J676">
        <v>0</v>
      </c>
      <c r="K676">
        <v>1</v>
      </c>
      <c r="L676">
        <v>3</v>
      </c>
      <c r="M676">
        <v>172</v>
      </c>
      <c r="N676" t="s">
        <v>92</v>
      </c>
      <c r="O676">
        <v>1</v>
      </c>
      <c r="P676">
        <v>200</v>
      </c>
      <c r="Q676">
        <v>2</v>
      </c>
      <c r="R676">
        <v>48</v>
      </c>
      <c r="S676">
        <v>78</v>
      </c>
      <c r="T676" t="s">
        <v>95</v>
      </c>
      <c r="U676">
        <v>4</v>
      </c>
      <c r="V676" t="s">
        <v>95</v>
      </c>
      <c r="W676">
        <v>1</v>
      </c>
      <c r="X676">
        <v>37</v>
      </c>
      <c r="Y676">
        <v>21</v>
      </c>
      <c r="Z676">
        <v>8</v>
      </c>
      <c r="AB676" t="s">
        <v>95</v>
      </c>
      <c r="AS676" t="s">
        <v>95</v>
      </c>
      <c r="AU676" t="s">
        <v>95</v>
      </c>
      <c r="AW676" t="s">
        <v>95</v>
      </c>
      <c r="AX676">
        <v>1</v>
      </c>
      <c r="AY676">
        <v>200</v>
      </c>
      <c r="AZ676">
        <v>200</v>
      </c>
      <c r="BA676">
        <v>328</v>
      </c>
      <c r="BB676">
        <v>44</v>
      </c>
      <c r="BC676" t="s">
        <v>96</v>
      </c>
      <c r="BD676">
        <v>1</v>
      </c>
      <c r="BF676" t="s">
        <v>792</v>
      </c>
      <c r="BG676" s="1">
        <v>44354.100694444445</v>
      </c>
      <c r="BH676" s="1">
        <v>44354.103472222225</v>
      </c>
      <c r="BI676" s="1">
        <v>44354.10428240741</v>
      </c>
      <c r="BJ676" t="s">
        <v>85</v>
      </c>
      <c r="BK676" t="s">
        <v>86</v>
      </c>
      <c r="BL676" t="s">
        <v>87</v>
      </c>
    </row>
    <row r="677" spans="1:64" x14ac:dyDescent="0.3">
      <c r="A677" t="str">
        <f>"200362B0000"</f>
        <v>200362B0000</v>
      </c>
      <c r="B677" t="str">
        <f>"200362B00003"</f>
        <v>200362B00003</v>
      </c>
      <c r="C677" t="str">
        <f t="shared" si="41"/>
        <v>20</v>
      </c>
      <c r="D677" t="s">
        <v>81</v>
      </c>
      <c r="E677" t="str">
        <f t="shared" si="42"/>
        <v>044</v>
      </c>
      <c r="F677" t="s">
        <v>736</v>
      </c>
      <c r="G677" t="str">
        <f>"0362"</f>
        <v>0362</v>
      </c>
      <c r="H677" t="str">
        <f>"0000"</f>
        <v>0000</v>
      </c>
      <c r="I677" t="s">
        <v>83</v>
      </c>
      <c r="J677">
        <v>0</v>
      </c>
      <c r="K677">
        <v>1</v>
      </c>
      <c r="L677">
        <v>3</v>
      </c>
      <c r="M677">
        <v>184</v>
      </c>
      <c r="N677">
        <v>412</v>
      </c>
      <c r="O677" t="s">
        <v>131</v>
      </c>
      <c r="P677" t="s">
        <v>92</v>
      </c>
      <c r="Q677">
        <v>7</v>
      </c>
      <c r="R677">
        <v>87</v>
      </c>
      <c r="S677">
        <v>140</v>
      </c>
      <c r="T677">
        <v>8</v>
      </c>
      <c r="U677">
        <v>2</v>
      </c>
      <c r="V677">
        <v>4</v>
      </c>
      <c r="W677">
        <v>4</v>
      </c>
      <c r="X677">
        <v>55</v>
      </c>
      <c r="Y677">
        <v>42</v>
      </c>
      <c r="Z677">
        <v>41</v>
      </c>
      <c r="AB677">
        <v>3</v>
      </c>
      <c r="AS677">
        <v>1</v>
      </c>
      <c r="AU677" t="s">
        <v>95</v>
      </c>
      <c r="AW677" t="s">
        <v>95</v>
      </c>
      <c r="AX677">
        <v>18</v>
      </c>
      <c r="AY677">
        <v>412</v>
      </c>
      <c r="AZ677">
        <v>412</v>
      </c>
      <c r="BA677">
        <v>552</v>
      </c>
      <c r="BB677">
        <v>44</v>
      </c>
      <c r="BC677" t="s">
        <v>96</v>
      </c>
      <c r="BD677">
        <v>1</v>
      </c>
      <c r="BF677" t="s">
        <v>793</v>
      </c>
      <c r="BG677" s="1">
        <v>44354.12222222222</v>
      </c>
      <c r="BH677" s="1">
        <v>44354.290312500001</v>
      </c>
      <c r="BI677" s="1">
        <v>44354.292002314818</v>
      </c>
      <c r="BJ677" t="s">
        <v>85</v>
      </c>
      <c r="BK677" t="s">
        <v>86</v>
      </c>
      <c r="BL677" t="s">
        <v>87</v>
      </c>
    </row>
    <row r="678" spans="1:64" x14ac:dyDescent="0.3">
      <c r="A678" t="str">
        <f>"200362E0100"</f>
        <v>200362E0100</v>
      </c>
      <c r="B678" t="str">
        <f>"200362E01003"</f>
        <v>200362E01003</v>
      </c>
      <c r="C678" t="str">
        <f t="shared" si="41"/>
        <v>20</v>
      </c>
      <c r="D678" t="s">
        <v>81</v>
      </c>
      <c r="E678" t="str">
        <f t="shared" si="42"/>
        <v>044</v>
      </c>
      <c r="F678" t="s">
        <v>736</v>
      </c>
      <c r="G678" t="str">
        <f>"0362"</f>
        <v>0362</v>
      </c>
      <c r="H678" t="str">
        <f>"0001"</f>
        <v>0001</v>
      </c>
      <c r="I678" t="s">
        <v>122</v>
      </c>
      <c r="J678">
        <v>0</v>
      </c>
      <c r="K678">
        <v>1</v>
      </c>
      <c r="L678">
        <v>3</v>
      </c>
      <c r="M678">
        <v>164</v>
      </c>
      <c r="N678">
        <v>188</v>
      </c>
      <c r="O678">
        <v>0</v>
      </c>
      <c r="P678" t="s">
        <v>131</v>
      </c>
      <c r="Q678">
        <v>5</v>
      </c>
      <c r="R678">
        <v>16</v>
      </c>
      <c r="S678">
        <v>93</v>
      </c>
      <c r="T678">
        <v>2</v>
      </c>
      <c r="U678">
        <v>2</v>
      </c>
      <c r="V678">
        <v>1</v>
      </c>
      <c r="W678">
        <v>0</v>
      </c>
      <c r="X678" t="s">
        <v>131</v>
      </c>
      <c r="Y678">
        <v>19</v>
      </c>
      <c r="Z678">
        <v>9</v>
      </c>
      <c r="AB678">
        <v>0</v>
      </c>
      <c r="AS678">
        <v>0</v>
      </c>
      <c r="AU678">
        <v>0</v>
      </c>
      <c r="AW678">
        <v>0</v>
      </c>
      <c r="AX678">
        <v>9</v>
      </c>
      <c r="AY678">
        <v>188</v>
      </c>
      <c r="AZ678">
        <v>156</v>
      </c>
      <c r="BA678">
        <v>309</v>
      </c>
      <c r="BB678">
        <v>44</v>
      </c>
      <c r="BC678" t="s">
        <v>96</v>
      </c>
      <c r="BD678">
        <v>1</v>
      </c>
      <c r="BF678" t="s">
        <v>794</v>
      </c>
      <c r="BG678" s="1">
        <v>44354.100694444445</v>
      </c>
      <c r="BH678" s="1">
        <v>44354.112280092595</v>
      </c>
      <c r="BI678" s="1">
        <v>44354.114502314813</v>
      </c>
      <c r="BJ678" t="s">
        <v>85</v>
      </c>
      <c r="BK678" t="s">
        <v>86</v>
      </c>
      <c r="BL678" t="s">
        <v>87</v>
      </c>
    </row>
    <row r="679" spans="1:64" x14ac:dyDescent="0.3">
      <c r="A679" t="str">
        <f>"200363B0000"</f>
        <v>200363B0000</v>
      </c>
      <c r="B679" t="str">
        <f>"200363B00003"</f>
        <v>200363B00003</v>
      </c>
      <c r="C679" t="str">
        <f t="shared" si="41"/>
        <v>20</v>
      </c>
      <c r="D679" t="s">
        <v>81</v>
      </c>
      <c r="E679" t="str">
        <f t="shared" si="42"/>
        <v>044</v>
      </c>
      <c r="F679" t="s">
        <v>736</v>
      </c>
      <c r="G679" t="str">
        <f>"0363"</f>
        <v>0363</v>
      </c>
      <c r="H679" t="str">
        <f>"0000"</f>
        <v>0000</v>
      </c>
      <c r="I679" t="s">
        <v>83</v>
      </c>
      <c r="J679">
        <v>0</v>
      </c>
      <c r="K679">
        <v>1</v>
      </c>
      <c r="L679">
        <v>3</v>
      </c>
      <c r="M679">
        <v>225</v>
      </c>
      <c r="N679">
        <v>378</v>
      </c>
      <c r="O679">
        <v>1</v>
      </c>
      <c r="P679">
        <v>378</v>
      </c>
      <c r="Q679">
        <v>1</v>
      </c>
      <c r="R679">
        <v>57</v>
      </c>
      <c r="S679">
        <v>73</v>
      </c>
      <c r="T679">
        <v>1</v>
      </c>
      <c r="U679">
        <v>0</v>
      </c>
      <c r="V679">
        <v>3</v>
      </c>
      <c r="W679">
        <v>3</v>
      </c>
      <c r="X679">
        <v>136</v>
      </c>
      <c r="Y679">
        <v>26</v>
      </c>
      <c r="Z679">
        <v>59</v>
      </c>
      <c r="AB679">
        <v>3</v>
      </c>
      <c r="AS679">
        <v>1</v>
      </c>
      <c r="AU679">
        <v>0</v>
      </c>
      <c r="AW679">
        <v>0</v>
      </c>
      <c r="AX679">
        <v>15</v>
      </c>
      <c r="AY679">
        <v>378</v>
      </c>
      <c r="AZ679">
        <v>378</v>
      </c>
      <c r="BA679">
        <v>559</v>
      </c>
      <c r="BB679">
        <v>44</v>
      </c>
      <c r="BD679">
        <v>1</v>
      </c>
      <c r="BF679" t="s">
        <v>795</v>
      </c>
      <c r="BG679" s="1">
        <v>44354.058333333334</v>
      </c>
      <c r="BH679" s="1">
        <v>44354.066122685188</v>
      </c>
      <c r="BI679" s="1">
        <v>44354.06653935185</v>
      </c>
      <c r="BJ679" t="s">
        <v>85</v>
      </c>
      <c r="BK679" t="s">
        <v>86</v>
      </c>
      <c r="BL679" t="s">
        <v>87</v>
      </c>
    </row>
    <row r="680" spans="1:64" x14ac:dyDescent="0.3">
      <c r="A680" t="str">
        <f>"200364B0000"</f>
        <v>200364B0000</v>
      </c>
      <c r="B680" t="str">
        <f>"200364B00003"</f>
        <v>200364B00003</v>
      </c>
      <c r="C680" t="str">
        <f t="shared" si="41"/>
        <v>20</v>
      </c>
      <c r="D680" t="s">
        <v>81</v>
      </c>
      <c r="E680" t="str">
        <f t="shared" si="42"/>
        <v>044</v>
      </c>
      <c r="F680" t="s">
        <v>736</v>
      </c>
      <c r="G680" t="str">
        <f>"0364"</f>
        <v>0364</v>
      </c>
      <c r="H680" t="str">
        <f>"0000"</f>
        <v>0000</v>
      </c>
      <c r="I680" t="s">
        <v>83</v>
      </c>
      <c r="J680">
        <v>0</v>
      </c>
      <c r="K680">
        <v>1</v>
      </c>
      <c r="L680">
        <v>3</v>
      </c>
      <c r="M680">
        <v>153</v>
      </c>
      <c r="N680">
        <v>207</v>
      </c>
      <c r="O680">
        <v>12</v>
      </c>
      <c r="P680">
        <v>180</v>
      </c>
      <c r="Q680">
        <v>3</v>
      </c>
      <c r="R680">
        <v>11</v>
      </c>
      <c r="S680">
        <v>134</v>
      </c>
      <c r="T680">
        <v>3</v>
      </c>
      <c r="U680">
        <v>3</v>
      </c>
      <c r="V680">
        <v>5</v>
      </c>
      <c r="W680">
        <v>3</v>
      </c>
      <c r="X680">
        <v>33</v>
      </c>
      <c r="Y680">
        <v>3</v>
      </c>
      <c r="Z680">
        <v>3</v>
      </c>
      <c r="AB680">
        <v>0</v>
      </c>
      <c r="AS680">
        <v>0</v>
      </c>
      <c r="AU680">
        <v>0</v>
      </c>
      <c r="AW680">
        <v>0</v>
      </c>
      <c r="AX680">
        <v>9</v>
      </c>
      <c r="AY680">
        <v>180</v>
      </c>
      <c r="AZ680">
        <v>210</v>
      </c>
      <c r="BA680">
        <v>316</v>
      </c>
      <c r="BB680">
        <v>44</v>
      </c>
      <c r="BD680">
        <v>1</v>
      </c>
      <c r="BF680" t="s">
        <v>796</v>
      </c>
      <c r="BG680" s="1">
        <v>44354.054861111108</v>
      </c>
      <c r="BH680" s="1">
        <v>44354.061886574076</v>
      </c>
      <c r="BI680" s="1">
        <v>44354.062303240738</v>
      </c>
      <c r="BJ680" t="s">
        <v>85</v>
      </c>
      <c r="BK680" t="s">
        <v>86</v>
      </c>
      <c r="BL680" t="s">
        <v>87</v>
      </c>
    </row>
    <row r="681" spans="1:64" x14ac:dyDescent="0.3">
      <c r="A681" t="str">
        <f>"200374B0000"</f>
        <v>200374B0000</v>
      </c>
      <c r="B681" t="str">
        <f>"200374B00003"</f>
        <v>200374B00003</v>
      </c>
      <c r="C681" t="str">
        <f t="shared" si="41"/>
        <v>20</v>
      </c>
      <c r="D681" t="s">
        <v>81</v>
      </c>
      <c r="E681" t="str">
        <f>"048"</f>
        <v>048</v>
      </c>
      <c r="F681" t="s">
        <v>797</v>
      </c>
      <c r="G681" t="str">
        <f>"0374"</f>
        <v>0374</v>
      </c>
      <c r="H681" t="str">
        <f>"0000"</f>
        <v>0000</v>
      </c>
      <c r="I681" t="s">
        <v>83</v>
      </c>
      <c r="J681">
        <v>0</v>
      </c>
      <c r="K681">
        <v>1</v>
      </c>
      <c r="L681">
        <v>3</v>
      </c>
      <c r="BA681">
        <v>430</v>
      </c>
      <c r="BB681">
        <v>44</v>
      </c>
      <c r="BC681" t="s">
        <v>381</v>
      </c>
      <c r="BD681">
        <v>0</v>
      </c>
      <c r="BF681" t="s">
        <v>798</v>
      </c>
      <c r="BG681" s="1">
        <v>44354.411805555559</v>
      </c>
      <c r="BH681" s="1">
        <v>44354.417384259257</v>
      </c>
      <c r="BI681" s="1">
        <v>44354.417384259257</v>
      </c>
      <c r="BJ681" t="s">
        <v>85</v>
      </c>
      <c r="BK681" t="s">
        <v>86</v>
      </c>
      <c r="BL681" t="s">
        <v>87</v>
      </c>
    </row>
    <row r="682" spans="1:64" x14ac:dyDescent="0.3">
      <c r="A682" t="str">
        <f>"200374C0100"</f>
        <v>200374C0100</v>
      </c>
      <c r="B682" t="str">
        <f>"200374C01003"</f>
        <v>200374C01003</v>
      </c>
      <c r="C682" t="str">
        <f t="shared" si="41"/>
        <v>20</v>
      </c>
      <c r="D682" t="s">
        <v>81</v>
      </c>
      <c r="E682" t="str">
        <f>"048"</f>
        <v>048</v>
      </c>
      <c r="F682" t="s">
        <v>797</v>
      </c>
      <c r="G682" t="str">
        <f>"0374"</f>
        <v>0374</v>
      </c>
      <c r="H682" t="str">
        <f>"0001"</f>
        <v>0001</v>
      </c>
      <c r="I682" t="s">
        <v>89</v>
      </c>
      <c r="J682">
        <v>0</v>
      </c>
      <c r="K682">
        <v>1</v>
      </c>
      <c r="L682">
        <v>3</v>
      </c>
      <c r="M682">
        <v>102</v>
      </c>
      <c r="N682">
        <v>372</v>
      </c>
      <c r="O682">
        <v>0</v>
      </c>
      <c r="P682">
        <v>372</v>
      </c>
      <c r="Q682">
        <v>4</v>
      </c>
      <c r="R682">
        <v>146</v>
      </c>
      <c r="S682">
        <v>205</v>
      </c>
      <c r="T682">
        <v>1</v>
      </c>
      <c r="U682">
        <v>3</v>
      </c>
      <c r="Y682">
        <v>1</v>
      </c>
      <c r="Z682">
        <v>0</v>
      </c>
      <c r="AO682">
        <v>1</v>
      </c>
      <c r="AW682">
        <v>0</v>
      </c>
      <c r="AX682">
        <v>11</v>
      </c>
      <c r="AY682">
        <v>372</v>
      </c>
      <c r="AZ682">
        <v>372</v>
      </c>
      <c r="BA682">
        <v>429</v>
      </c>
      <c r="BB682">
        <v>44</v>
      </c>
      <c r="BD682">
        <v>1</v>
      </c>
      <c r="BF682" t="s">
        <v>799</v>
      </c>
      <c r="BG682" s="1">
        <v>44354.068055555559</v>
      </c>
      <c r="BH682" s="1">
        <v>44354.076840277776</v>
      </c>
      <c r="BI682" s="1">
        <v>44354.077407407407</v>
      </c>
      <c r="BJ682" t="s">
        <v>85</v>
      </c>
      <c r="BK682" t="s">
        <v>86</v>
      </c>
      <c r="BL682" t="s">
        <v>87</v>
      </c>
    </row>
    <row r="683" spans="1:64" x14ac:dyDescent="0.3">
      <c r="A683" t="str">
        <f>"200380B0000"</f>
        <v>200380B0000</v>
      </c>
      <c r="B683" t="str">
        <f>"200380B00003"</f>
        <v>200380B00003</v>
      </c>
      <c r="C683" t="str">
        <f t="shared" si="41"/>
        <v>20</v>
      </c>
      <c r="D683" t="s">
        <v>81</v>
      </c>
      <c r="E683" t="str">
        <f t="shared" ref="E683:E693" si="43">"051"</f>
        <v>051</v>
      </c>
      <c r="F683" t="s">
        <v>800</v>
      </c>
      <c r="G683" t="str">
        <f>"0380"</f>
        <v>0380</v>
      </c>
      <c r="H683" t="str">
        <f>"0000"</f>
        <v>0000</v>
      </c>
      <c r="I683" t="s">
        <v>83</v>
      </c>
      <c r="J683">
        <v>0</v>
      </c>
      <c r="K683">
        <v>1</v>
      </c>
      <c r="L683">
        <v>3</v>
      </c>
      <c r="M683">
        <v>163</v>
      </c>
      <c r="N683">
        <v>517</v>
      </c>
      <c r="O683">
        <v>0</v>
      </c>
      <c r="P683">
        <v>517</v>
      </c>
      <c r="Q683" t="s">
        <v>95</v>
      </c>
      <c r="R683">
        <v>17</v>
      </c>
      <c r="S683">
        <v>17</v>
      </c>
      <c r="T683">
        <v>55</v>
      </c>
      <c r="U683">
        <v>70</v>
      </c>
      <c r="V683">
        <v>7</v>
      </c>
      <c r="W683">
        <v>101</v>
      </c>
      <c r="X683">
        <v>104</v>
      </c>
      <c r="Y683" t="s">
        <v>95</v>
      </c>
      <c r="Z683" t="s">
        <v>95</v>
      </c>
      <c r="AA683" t="s">
        <v>95</v>
      </c>
      <c r="AB683">
        <v>49</v>
      </c>
      <c r="AC683">
        <v>83</v>
      </c>
      <c r="AK683" t="s">
        <v>95</v>
      </c>
      <c r="AO683" t="s">
        <v>95</v>
      </c>
      <c r="AP683" t="s">
        <v>95</v>
      </c>
      <c r="AR683">
        <v>1</v>
      </c>
      <c r="AW683" t="s">
        <v>95</v>
      </c>
      <c r="AX683">
        <v>13</v>
      </c>
      <c r="AY683">
        <v>517</v>
      </c>
      <c r="AZ683">
        <v>517</v>
      </c>
      <c r="BA683">
        <v>634</v>
      </c>
      <c r="BB683">
        <v>46</v>
      </c>
      <c r="BC683" t="s">
        <v>96</v>
      </c>
      <c r="BD683">
        <v>1</v>
      </c>
      <c r="BF683" s="2" t="s">
        <v>801</v>
      </c>
      <c r="BG683" s="1">
        <v>44354.13958333333</v>
      </c>
      <c r="BH683" s="1">
        <v>44354.141041666669</v>
      </c>
      <c r="BI683" s="1">
        <v>44354.141701388886</v>
      </c>
      <c r="BJ683" t="s">
        <v>85</v>
      </c>
      <c r="BK683" t="s">
        <v>86</v>
      </c>
      <c r="BL683" t="s">
        <v>87</v>
      </c>
    </row>
    <row r="684" spans="1:64" x14ac:dyDescent="0.3">
      <c r="A684" t="str">
        <f>"200380C0100"</f>
        <v>200380C0100</v>
      </c>
      <c r="B684" t="str">
        <f>"200380C01003"</f>
        <v>200380C01003</v>
      </c>
      <c r="C684" t="str">
        <f t="shared" si="41"/>
        <v>20</v>
      </c>
      <c r="D684" t="s">
        <v>81</v>
      </c>
      <c r="E684" t="str">
        <f t="shared" si="43"/>
        <v>051</v>
      </c>
      <c r="F684" t="s">
        <v>800</v>
      </c>
      <c r="G684" t="str">
        <f>"0380"</f>
        <v>0380</v>
      </c>
      <c r="H684" t="str">
        <f>"0001"</f>
        <v>0001</v>
      </c>
      <c r="I684" t="s">
        <v>89</v>
      </c>
      <c r="J684">
        <v>0</v>
      </c>
      <c r="K684">
        <v>1</v>
      </c>
      <c r="L684">
        <v>3</v>
      </c>
      <c r="M684">
        <v>164</v>
      </c>
      <c r="N684">
        <v>515</v>
      </c>
      <c r="O684">
        <v>4</v>
      </c>
      <c r="P684">
        <v>515</v>
      </c>
      <c r="Q684">
        <v>3</v>
      </c>
      <c r="R684">
        <v>29</v>
      </c>
      <c r="S684">
        <v>6</v>
      </c>
      <c r="T684">
        <v>65</v>
      </c>
      <c r="U684">
        <v>52</v>
      </c>
      <c r="V684">
        <v>3</v>
      </c>
      <c r="W684">
        <v>124</v>
      </c>
      <c r="X684">
        <v>99</v>
      </c>
      <c r="Y684" t="s">
        <v>95</v>
      </c>
      <c r="Z684" t="s">
        <v>95</v>
      </c>
      <c r="AA684">
        <v>1</v>
      </c>
      <c r="AB684">
        <v>33</v>
      </c>
      <c r="AC684">
        <v>77</v>
      </c>
      <c r="AK684" t="s">
        <v>95</v>
      </c>
      <c r="AO684" t="s">
        <v>95</v>
      </c>
      <c r="AP684" t="s">
        <v>95</v>
      </c>
      <c r="AR684" t="s">
        <v>95</v>
      </c>
      <c r="AW684" t="s">
        <v>95</v>
      </c>
      <c r="AX684">
        <v>23</v>
      </c>
      <c r="AY684">
        <v>515</v>
      </c>
      <c r="AZ684">
        <v>515</v>
      </c>
      <c r="BA684">
        <v>633</v>
      </c>
      <c r="BB684">
        <v>46</v>
      </c>
      <c r="BC684" t="s">
        <v>96</v>
      </c>
      <c r="BD684">
        <v>1</v>
      </c>
      <c r="BF684" t="s">
        <v>802</v>
      </c>
      <c r="BG684" s="1">
        <v>44354.136805555558</v>
      </c>
      <c r="BH684" s="1">
        <v>44354.138032407405</v>
      </c>
      <c r="BI684" s="1">
        <v>44354.138553240744</v>
      </c>
      <c r="BJ684" t="s">
        <v>85</v>
      </c>
      <c r="BK684" t="s">
        <v>86</v>
      </c>
      <c r="BL684" t="s">
        <v>87</v>
      </c>
    </row>
    <row r="685" spans="1:64" x14ac:dyDescent="0.3">
      <c r="A685" t="str">
        <f>"200381B0000"</f>
        <v>200381B0000</v>
      </c>
      <c r="B685" t="str">
        <f>"200381B00003"</f>
        <v>200381B00003</v>
      </c>
      <c r="C685" t="str">
        <f t="shared" si="41"/>
        <v>20</v>
      </c>
      <c r="D685" t="s">
        <v>81</v>
      </c>
      <c r="E685" t="str">
        <f t="shared" si="43"/>
        <v>051</v>
      </c>
      <c r="F685" t="s">
        <v>800</v>
      </c>
      <c r="G685" t="str">
        <f>"0381"</f>
        <v>0381</v>
      </c>
      <c r="H685" t="str">
        <f>"0000"</f>
        <v>0000</v>
      </c>
      <c r="I685" t="s">
        <v>83</v>
      </c>
      <c r="J685">
        <v>0</v>
      </c>
      <c r="K685">
        <v>1</v>
      </c>
      <c r="L685">
        <v>3</v>
      </c>
      <c r="M685">
        <v>188</v>
      </c>
      <c r="N685">
        <v>520</v>
      </c>
      <c r="O685">
        <v>5</v>
      </c>
      <c r="P685" t="s">
        <v>92</v>
      </c>
      <c r="Q685">
        <v>2</v>
      </c>
      <c r="R685">
        <v>37</v>
      </c>
      <c r="S685">
        <v>18</v>
      </c>
      <c r="T685">
        <v>71</v>
      </c>
      <c r="U685">
        <v>44</v>
      </c>
      <c r="V685">
        <v>3</v>
      </c>
      <c r="W685">
        <v>68</v>
      </c>
      <c r="X685">
        <v>97</v>
      </c>
      <c r="Y685">
        <v>0</v>
      </c>
      <c r="Z685">
        <v>0</v>
      </c>
      <c r="AA685">
        <v>1</v>
      </c>
      <c r="AB685">
        <v>54</v>
      </c>
      <c r="AC685">
        <v>102</v>
      </c>
      <c r="AK685">
        <v>0</v>
      </c>
      <c r="AO685">
        <v>5</v>
      </c>
      <c r="AP685">
        <v>0</v>
      </c>
      <c r="AR685">
        <v>0</v>
      </c>
      <c r="AW685">
        <v>0</v>
      </c>
      <c r="AX685">
        <v>16</v>
      </c>
      <c r="AY685">
        <v>518</v>
      </c>
      <c r="AZ685">
        <v>518</v>
      </c>
      <c r="BA685">
        <v>662</v>
      </c>
      <c r="BB685">
        <v>46</v>
      </c>
      <c r="BD685">
        <v>1</v>
      </c>
      <c r="BF685" t="s">
        <v>803</v>
      </c>
      <c r="BG685" s="1">
        <v>44354.009513888886</v>
      </c>
      <c r="BH685" s="1">
        <v>44354.014814814815</v>
      </c>
      <c r="BI685" s="1">
        <v>44354.015833333331</v>
      </c>
      <c r="BJ685" t="s">
        <v>197</v>
      </c>
      <c r="BK685" t="s">
        <v>198</v>
      </c>
      <c r="BL685" t="s">
        <v>87</v>
      </c>
    </row>
    <row r="686" spans="1:64" x14ac:dyDescent="0.3">
      <c r="A686" t="str">
        <f>"200381C0100"</f>
        <v>200381C0100</v>
      </c>
      <c r="B686" t="str">
        <f>"200381C01003"</f>
        <v>200381C01003</v>
      </c>
      <c r="C686" t="str">
        <f t="shared" si="41"/>
        <v>20</v>
      </c>
      <c r="D686" t="s">
        <v>81</v>
      </c>
      <c r="E686" t="str">
        <f t="shared" si="43"/>
        <v>051</v>
      </c>
      <c r="F686" t="s">
        <v>800</v>
      </c>
      <c r="G686" t="str">
        <f>"0381"</f>
        <v>0381</v>
      </c>
      <c r="H686" t="str">
        <f>"0001"</f>
        <v>0001</v>
      </c>
      <c r="I686" t="s">
        <v>89</v>
      </c>
      <c r="J686">
        <v>0</v>
      </c>
      <c r="K686">
        <v>1</v>
      </c>
      <c r="L686">
        <v>3</v>
      </c>
      <c r="M686">
        <v>187</v>
      </c>
      <c r="N686">
        <v>521</v>
      </c>
      <c r="O686">
        <v>6</v>
      </c>
      <c r="P686">
        <v>521</v>
      </c>
      <c r="Q686">
        <v>2</v>
      </c>
      <c r="R686">
        <v>23</v>
      </c>
      <c r="S686">
        <v>19</v>
      </c>
      <c r="T686">
        <v>78</v>
      </c>
      <c r="U686">
        <v>80</v>
      </c>
      <c r="V686">
        <v>1</v>
      </c>
      <c r="W686">
        <v>57</v>
      </c>
      <c r="X686">
        <v>103</v>
      </c>
      <c r="Y686">
        <v>0</v>
      </c>
      <c r="Z686">
        <v>0</v>
      </c>
      <c r="AA686">
        <v>0</v>
      </c>
      <c r="AB686">
        <v>44</v>
      </c>
      <c r="AC686">
        <v>108</v>
      </c>
      <c r="AK686">
        <v>0</v>
      </c>
      <c r="AO686">
        <v>0</v>
      </c>
      <c r="AP686">
        <v>0</v>
      </c>
      <c r="AR686">
        <v>0</v>
      </c>
      <c r="AW686">
        <v>0</v>
      </c>
      <c r="AX686">
        <v>6</v>
      </c>
      <c r="AY686">
        <v>521</v>
      </c>
      <c r="AZ686">
        <v>521</v>
      </c>
      <c r="BA686">
        <v>662</v>
      </c>
      <c r="BB686">
        <v>46</v>
      </c>
      <c r="BD686">
        <v>1</v>
      </c>
      <c r="BF686" t="s">
        <v>804</v>
      </c>
      <c r="BG686" s="1">
        <v>44354.120138888888</v>
      </c>
      <c r="BH686" s="1">
        <v>44354.121979166666</v>
      </c>
      <c r="BI686" s="1">
        <v>44354.122395833336</v>
      </c>
      <c r="BJ686" t="s">
        <v>85</v>
      </c>
      <c r="BK686" t="s">
        <v>86</v>
      </c>
      <c r="BL686" t="s">
        <v>87</v>
      </c>
    </row>
    <row r="687" spans="1:64" x14ac:dyDescent="0.3">
      <c r="A687" t="str">
        <f>"200382B0000"</f>
        <v>200382B0000</v>
      </c>
      <c r="B687" t="str">
        <f>"200382B00003"</f>
        <v>200382B00003</v>
      </c>
      <c r="C687" t="str">
        <f t="shared" si="41"/>
        <v>20</v>
      </c>
      <c r="D687" t="s">
        <v>81</v>
      </c>
      <c r="E687" t="str">
        <f t="shared" si="43"/>
        <v>051</v>
      </c>
      <c r="F687" t="s">
        <v>800</v>
      </c>
      <c r="G687" t="str">
        <f>"0382"</f>
        <v>0382</v>
      </c>
      <c r="H687" t="str">
        <f>"0000"</f>
        <v>0000</v>
      </c>
      <c r="I687" t="s">
        <v>83</v>
      </c>
      <c r="J687">
        <v>0</v>
      </c>
      <c r="K687">
        <v>1</v>
      </c>
      <c r="L687">
        <v>3</v>
      </c>
      <c r="M687">
        <v>152</v>
      </c>
      <c r="N687">
        <v>435</v>
      </c>
      <c r="O687">
        <v>6</v>
      </c>
      <c r="P687">
        <v>435</v>
      </c>
      <c r="Q687">
        <v>0</v>
      </c>
      <c r="R687">
        <v>27</v>
      </c>
      <c r="S687">
        <v>12</v>
      </c>
      <c r="T687">
        <v>55</v>
      </c>
      <c r="U687">
        <v>37</v>
      </c>
      <c r="V687">
        <v>8</v>
      </c>
      <c r="W687">
        <v>61</v>
      </c>
      <c r="X687">
        <v>65</v>
      </c>
      <c r="Y687">
        <v>1</v>
      </c>
      <c r="Z687">
        <v>0</v>
      </c>
      <c r="AA687">
        <v>2</v>
      </c>
      <c r="AB687">
        <v>50</v>
      </c>
      <c r="AC687">
        <v>105</v>
      </c>
      <c r="AK687">
        <v>0</v>
      </c>
      <c r="AO687">
        <v>0</v>
      </c>
      <c r="AP687">
        <v>0</v>
      </c>
      <c r="AR687">
        <v>0</v>
      </c>
      <c r="AW687">
        <v>0</v>
      </c>
      <c r="AX687">
        <v>12</v>
      </c>
      <c r="AY687">
        <v>435</v>
      </c>
      <c r="AZ687">
        <v>435</v>
      </c>
      <c r="BA687">
        <v>541</v>
      </c>
      <c r="BB687">
        <v>46</v>
      </c>
      <c r="BD687">
        <v>1</v>
      </c>
      <c r="BF687" t="s">
        <v>805</v>
      </c>
      <c r="BG687" s="1">
        <v>44353.929305555554</v>
      </c>
      <c r="BH687" s="1">
        <v>44353.932557870372</v>
      </c>
      <c r="BI687" s="1">
        <v>44353.933171296296</v>
      </c>
      <c r="BJ687" t="s">
        <v>197</v>
      </c>
      <c r="BK687" t="s">
        <v>198</v>
      </c>
      <c r="BL687" t="s">
        <v>87</v>
      </c>
    </row>
    <row r="688" spans="1:64" x14ac:dyDescent="0.3">
      <c r="A688" t="str">
        <f>"200382C0100"</f>
        <v>200382C0100</v>
      </c>
      <c r="B688" t="str">
        <f>"200382C01003"</f>
        <v>200382C01003</v>
      </c>
      <c r="C688" t="str">
        <f t="shared" si="41"/>
        <v>20</v>
      </c>
      <c r="D688" t="s">
        <v>81</v>
      </c>
      <c r="E688" t="str">
        <f t="shared" si="43"/>
        <v>051</v>
      </c>
      <c r="F688" t="s">
        <v>800</v>
      </c>
      <c r="G688" t="str">
        <f>"0382"</f>
        <v>0382</v>
      </c>
      <c r="H688" t="str">
        <f>"0001"</f>
        <v>0001</v>
      </c>
      <c r="I688" t="s">
        <v>89</v>
      </c>
      <c r="J688">
        <v>0</v>
      </c>
      <c r="K688">
        <v>1</v>
      </c>
      <c r="L688">
        <v>3</v>
      </c>
      <c r="M688">
        <v>183</v>
      </c>
      <c r="N688">
        <v>403</v>
      </c>
      <c r="O688">
        <v>3</v>
      </c>
      <c r="P688">
        <v>403</v>
      </c>
      <c r="Q688" t="s">
        <v>95</v>
      </c>
      <c r="R688">
        <v>29</v>
      </c>
      <c r="S688">
        <v>9</v>
      </c>
      <c r="T688">
        <v>42</v>
      </c>
      <c r="U688">
        <v>48</v>
      </c>
      <c r="V688">
        <v>11</v>
      </c>
      <c r="W688">
        <v>66</v>
      </c>
      <c r="X688">
        <v>64</v>
      </c>
      <c r="Y688" t="s">
        <v>95</v>
      </c>
      <c r="Z688">
        <v>3</v>
      </c>
      <c r="AA688">
        <v>1</v>
      </c>
      <c r="AB688">
        <v>37</v>
      </c>
      <c r="AC688">
        <v>83</v>
      </c>
      <c r="AK688">
        <v>2</v>
      </c>
      <c r="AO688" t="s">
        <v>95</v>
      </c>
      <c r="AP688" t="s">
        <v>95</v>
      </c>
      <c r="AR688" t="s">
        <v>95</v>
      </c>
      <c r="AW688" t="s">
        <v>95</v>
      </c>
      <c r="AX688">
        <v>8</v>
      </c>
      <c r="AY688">
        <v>403</v>
      </c>
      <c r="AZ688">
        <v>403</v>
      </c>
      <c r="BA688">
        <v>540</v>
      </c>
      <c r="BB688">
        <v>46</v>
      </c>
      <c r="BC688" t="s">
        <v>96</v>
      </c>
      <c r="BD688">
        <v>1</v>
      </c>
      <c r="BF688" t="s">
        <v>806</v>
      </c>
      <c r="BG688" s="1">
        <v>44353.935312499998</v>
      </c>
      <c r="BH688" s="1">
        <v>44353.939108796294</v>
      </c>
      <c r="BI688" s="1">
        <v>44353.939652777779</v>
      </c>
      <c r="BJ688" t="s">
        <v>197</v>
      </c>
      <c r="BK688" t="s">
        <v>198</v>
      </c>
      <c r="BL688" t="s">
        <v>87</v>
      </c>
    </row>
    <row r="689" spans="1:64" x14ac:dyDescent="0.3">
      <c r="A689" t="str">
        <f>"200382C0200"</f>
        <v>200382C0200</v>
      </c>
      <c r="B689" t="str">
        <f>"200382C02003"</f>
        <v>200382C02003</v>
      </c>
      <c r="C689" t="str">
        <f t="shared" si="41"/>
        <v>20</v>
      </c>
      <c r="D689" t="s">
        <v>81</v>
      </c>
      <c r="E689" t="str">
        <f t="shared" si="43"/>
        <v>051</v>
      </c>
      <c r="F689" t="s">
        <v>800</v>
      </c>
      <c r="G689" t="str">
        <f>"0382"</f>
        <v>0382</v>
      </c>
      <c r="H689" t="str">
        <f>"0002"</f>
        <v>0002</v>
      </c>
      <c r="I689" t="s">
        <v>89</v>
      </c>
      <c r="J689">
        <v>0</v>
      </c>
      <c r="K689">
        <v>1</v>
      </c>
      <c r="L689">
        <v>3</v>
      </c>
      <c r="M689">
        <v>166</v>
      </c>
      <c r="N689">
        <v>420</v>
      </c>
      <c r="O689">
        <v>8</v>
      </c>
      <c r="P689">
        <v>420</v>
      </c>
      <c r="Q689">
        <v>1</v>
      </c>
      <c r="R689">
        <v>22</v>
      </c>
      <c r="S689">
        <v>14</v>
      </c>
      <c r="T689">
        <v>59</v>
      </c>
      <c r="U689">
        <v>28</v>
      </c>
      <c r="V689">
        <v>6</v>
      </c>
      <c r="W689">
        <v>55</v>
      </c>
      <c r="X689">
        <v>86</v>
      </c>
      <c r="Y689" t="s">
        <v>95</v>
      </c>
      <c r="Z689" t="s">
        <v>95</v>
      </c>
      <c r="AA689">
        <v>1</v>
      </c>
      <c r="AB689">
        <v>35</v>
      </c>
      <c r="AC689">
        <v>106</v>
      </c>
      <c r="AK689" t="s">
        <v>95</v>
      </c>
      <c r="AO689" t="s">
        <v>95</v>
      </c>
      <c r="AP689" t="s">
        <v>95</v>
      </c>
      <c r="AR689" t="s">
        <v>95</v>
      </c>
      <c r="AW689" t="s">
        <v>95</v>
      </c>
      <c r="AX689">
        <v>7</v>
      </c>
      <c r="AY689">
        <v>420</v>
      </c>
      <c r="AZ689">
        <v>420</v>
      </c>
      <c r="BA689">
        <v>540</v>
      </c>
      <c r="BB689">
        <v>46</v>
      </c>
      <c r="BC689" t="s">
        <v>96</v>
      </c>
      <c r="BD689">
        <v>1</v>
      </c>
      <c r="BF689" t="s">
        <v>807</v>
      </c>
      <c r="BG689" s="1">
        <v>44353.985266203701</v>
      </c>
      <c r="BH689" s="1">
        <v>44353.988310185188</v>
      </c>
      <c r="BI689" s="1">
        <v>44353.989027777781</v>
      </c>
      <c r="BJ689" t="s">
        <v>197</v>
      </c>
      <c r="BK689" t="s">
        <v>198</v>
      </c>
      <c r="BL689" t="s">
        <v>87</v>
      </c>
    </row>
    <row r="690" spans="1:64" x14ac:dyDescent="0.3">
      <c r="A690" t="str">
        <f>"200382E0100"</f>
        <v>200382E0100</v>
      </c>
      <c r="B690" t="str">
        <f>"200382E01003"</f>
        <v>200382E01003</v>
      </c>
      <c r="C690" t="str">
        <f t="shared" si="41"/>
        <v>20</v>
      </c>
      <c r="D690" t="s">
        <v>81</v>
      </c>
      <c r="E690" t="str">
        <f t="shared" si="43"/>
        <v>051</v>
      </c>
      <c r="F690" t="s">
        <v>800</v>
      </c>
      <c r="G690" t="str">
        <f>"0382"</f>
        <v>0382</v>
      </c>
      <c r="H690" t="str">
        <f>"0001"</f>
        <v>0001</v>
      </c>
      <c r="I690" t="s">
        <v>122</v>
      </c>
      <c r="J690">
        <v>0</v>
      </c>
      <c r="K690">
        <v>1</v>
      </c>
      <c r="L690">
        <v>3</v>
      </c>
      <c r="M690">
        <v>114</v>
      </c>
      <c r="N690">
        <v>284</v>
      </c>
      <c r="O690">
        <v>7</v>
      </c>
      <c r="P690">
        <v>284</v>
      </c>
      <c r="Q690">
        <v>0</v>
      </c>
      <c r="R690">
        <v>17</v>
      </c>
      <c r="S690">
        <v>2</v>
      </c>
      <c r="T690">
        <v>39</v>
      </c>
      <c r="U690">
        <v>3</v>
      </c>
      <c r="V690">
        <v>1</v>
      </c>
      <c r="W690">
        <v>1</v>
      </c>
      <c r="X690">
        <v>81</v>
      </c>
      <c r="Y690">
        <v>0</v>
      </c>
      <c r="Z690">
        <v>1</v>
      </c>
      <c r="AA690">
        <v>0</v>
      </c>
      <c r="AB690">
        <v>50</v>
      </c>
      <c r="AC690">
        <v>77</v>
      </c>
      <c r="AK690">
        <v>0</v>
      </c>
      <c r="AO690">
        <v>0</v>
      </c>
      <c r="AP690">
        <v>0</v>
      </c>
      <c r="AR690">
        <v>0</v>
      </c>
      <c r="AW690">
        <v>0</v>
      </c>
      <c r="AX690">
        <v>12</v>
      </c>
      <c r="AY690">
        <v>284</v>
      </c>
      <c r="AZ690">
        <v>284</v>
      </c>
      <c r="BA690">
        <v>352</v>
      </c>
      <c r="BB690">
        <v>46</v>
      </c>
      <c r="BD690">
        <v>1</v>
      </c>
      <c r="BF690" t="s">
        <v>808</v>
      </c>
      <c r="BG690" s="1">
        <v>44354.095138888886</v>
      </c>
      <c r="BH690" s="1">
        <v>44354.099305555559</v>
      </c>
      <c r="BI690" s="1">
        <v>44354.100300925929</v>
      </c>
      <c r="BJ690" t="s">
        <v>85</v>
      </c>
      <c r="BK690" t="s">
        <v>86</v>
      </c>
      <c r="BL690" t="s">
        <v>87</v>
      </c>
    </row>
    <row r="691" spans="1:64" x14ac:dyDescent="0.3">
      <c r="A691" t="str">
        <f>"200383B0000"</f>
        <v>200383B0000</v>
      </c>
      <c r="B691" t="str">
        <f>"200383B00003"</f>
        <v>200383B00003</v>
      </c>
      <c r="C691" t="str">
        <f t="shared" si="41"/>
        <v>20</v>
      </c>
      <c r="D691" t="s">
        <v>81</v>
      </c>
      <c r="E691" t="str">
        <f t="shared" si="43"/>
        <v>051</v>
      </c>
      <c r="F691" t="s">
        <v>800</v>
      </c>
      <c r="G691" t="str">
        <f>"0383"</f>
        <v>0383</v>
      </c>
      <c r="H691" t="str">
        <f>"0000"</f>
        <v>0000</v>
      </c>
      <c r="I691" t="s">
        <v>83</v>
      </c>
      <c r="J691">
        <v>0</v>
      </c>
      <c r="K691">
        <v>1</v>
      </c>
      <c r="L691">
        <v>3</v>
      </c>
      <c r="M691">
        <v>67</v>
      </c>
      <c r="N691">
        <v>131</v>
      </c>
      <c r="O691">
        <v>5</v>
      </c>
      <c r="P691">
        <v>131</v>
      </c>
      <c r="Q691">
        <v>0</v>
      </c>
      <c r="R691">
        <v>2</v>
      </c>
      <c r="S691">
        <v>0</v>
      </c>
      <c r="T691">
        <v>23</v>
      </c>
      <c r="U691">
        <v>0</v>
      </c>
      <c r="V691">
        <v>0</v>
      </c>
      <c r="W691">
        <v>3</v>
      </c>
      <c r="X691">
        <v>55</v>
      </c>
      <c r="Y691">
        <v>0</v>
      </c>
      <c r="Z691">
        <v>0</v>
      </c>
      <c r="AA691">
        <v>1</v>
      </c>
      <c r="AB691">
        <v>1</v>
      </c>
      <c r="AC691">
        <v>43</v>
      </c>
      <c r="AK691">
        <v>0</v>
      </c>
      <c r="AO691">
        <v>0</v>
      </c>
      <c r="AP691">
        <v>0</v>
      </c>
      <c r="AR691">
        <v>0</v>
      </c>
      <c r="AW691">
        <v>0</v>
      </c>
      <c r="AX691">
        <v>3</v>
      </c>
      <c r="AY691">
        <v>131</v>
      </c>
      <c r="AZ691">
        <v>131</v>
      </c>
      <c r="BA691">
        <v>152</v>
      </c>
      <c r="BB691">
        <v>46</v>
      </c>
      <c r="BD691">
        <v>1</v>
      </c>
      <c r="BF691" t="s">
        <v>809</v>
      </c>
      <c r="BG691" s="1">
        <v>44354.117361111108</v>
      </c>
      <c r="BH691" s="1">
        <v>44354.118495370371</v>
      </c>
      <c r="BI691" s="1">
        <v>44354.119131944448</v>
      </c>
      <c r="BJ691" t="s">
        <v>85</v>
      </c>
      <c r="BK691" t="s">
        <v>86</v>
      </c>
      <c r="BL691" t="s">
        <v>87</v>
      </c>
    </row>
    <row r="692" spans="1:64" x14ac:dyDescent="0.3">
      <c r="A692" t="str">
        <f>"200384B0000"</f>
        <v>200384B0000</v>
      </c>
      <c r="B692" t="str">
        <f>"200384B00003"</f>
        <v>200384B00003</v>
      </c>
      <c r="C692" t="str">
        <f t="shared" si="41"/>
        <v>20</v>
      </c>
      <c r="D692" t="s">
        <v>81</v>
      </c>
      <c r="E692" t="str">
        <f t="shared" si="43"/>
        <v>051</v>
      </c>
      <c r="F692" t="s">
        <v>800</v>
      </c>
      <c r="G692" t="str">
        <f>"0384"</f>
        <v>0384</v>
      </c>
      <c r="H692" t="str">
        <f>"0000"</f>
        <v>0000</v>
      </c>
      <c r="I692" t="s">
        <v>83</v>
      </c>
      <c r="J692">
        <v>0</v>
      </c>
      <c r="K692">
        <v>1</v>
      </c>
      <c r="L692">
        <v>3</v>
      </c>
      <c r="M692">
        <v>61</v>
      </c>
      <c r="N692">
        <v>111</v>
      </c>
      <c r="O692">
        <v>3</v>
      </c>
      <c r="P692">
        <v>111</v>
      </c>
      <c r="Q692">
        <v>0</v>
      </c>
      <c r="R692">
        <v>2</v>
      </c>
      <c r="S692">
        <v>1</v>
      </c>
      <c r="T692">
        <v>21</v>
      </c>
      <c r="U692">
        <v>7</v>
      </c>
      <c r="V692">
        <v>0</v>
      </c>
      <c r="W692">
        <v>8</v>
      </c>
      <c r="X692">
        <v>18</v>
      </c>
      <c r="Y692">
        <v>0</v>
      </c>
      <c r="Z692">
        <v>0</v>
      </c>
      <c r="AA692">
        <v>0</v>
      </c>
      <c r="AB692">
        <v>10</v>
      </c>
      <c r="AC692">
        <v>44</v>
      </c>
      <c r="AK692">
        <v>0</v>
      </c>
      <c r="AO692">
        <v>0</v>
      </c>
      <c r="AP692">
        <v>0</v>
      </c>
      <c r="AR692">
        <v>0</v>
      </c>
      <c r="AW692">
        <v>0</v>
      </c>
      <c r="AX692">
        <v>0</v>
      </c>
      <c r="AY692">
        <v>111</v>
      </c>
      <c r="AZ692">
        <v>111</v>
      </c>
      <c r="BA692">
        <v>126</v>
      </c>
      <c r="BB692">
        <v>46</v>
      </c>
      <c r="BD692">
        <v>1</v>
      </c>
      <c r="BF692" t="s">
        <v>810</v>
      </c>
      <c r="BG692" s="1">
        <v>44354.140277777777</v>
      </c>
      <c r="BH692" s="1">
        <v>44354.141400462962</v>
      </c>
      <c r="BI692" s="1">
        <v>44354.141689814816</v>
      </c>
      <c r="BJ692" t="s">
        <v>85</v>
      </c>
      <c r="BK692" t="s">
        <v>86</v>
      </c>
      <c r="BL692" t="s">
        <v>87</v>
      </c>
    </row>
    <row r="693" spans="1:64" x14ac:dyDescent="0.3">
      <c r="A693" t="str">
        <f>"200385B0000"</f>
        <v>200385B0000</v>
      </c>
      <c r="B693" t="str">
        <f>"200385B00003"</f>
        <v>200385B00003</v>
      </c>
      <c r="C693" t="str">
        <f t="shared" si="41"/>
        <v>20</v>
      </c>
      <c r="D693" t="s">
        <v>81</v>
      </c>
      <c r="E693" t="str">
        <f t="shared" si="43"/>
        <v>051</v>
      </c>
      <c r="F693" t="s">
        <v>800</v>
      </c>
      <c r="G693" t="str">
        <f>"0385"</f>
        <v>0385</v>
      </c>
      <c r="H693" t="str">
        <f>"0000"</f>
        <v>0000</v>
      </c>
      <c r="I693" t="s">
        <v>83</v>
      </c>
      <c r="J693">
        <v>0</v>
      </c>
      <c r="K693">
        <v>1</v>
      </c>
      <c r="L693">
        <v>3</v>
      </c>
      <c r="M693">
        <v>150</v>
      </c>
      <c r="N693">
        <v>584</v>
      </c>
      <c r="O693">
        <v>5</v>
      </c>
      <c r="P693" t="s">
        <v>92</v>
      </c>
      <c r="Q693">
        <v>1</v>
      </c>
      <c r="R693">
        <v>48</v>
      </c>
      <c r="S693">
        <v>1</v>
      </c>
      <c r="T693">
        <v>138</v>
      </c>
      <c r="U693">
        <v>5</v>
      </c>
      <c r="V693">
        <v>2</v>
      </c>
      <c r="W693">
        <v>44</v>
      </c>
      <c r="X693">
        <v>71</v>
      </c>
      <c r="Y693">
        <v>1</v>
      </c>
      <c r="Z693">
        <v>0</v>
      </c>
      <c r="AA693">
        <v>1</v>
      </c>
      <c r="AB693">
        <v>46</v>
      </c>
      <c r="AC693">
        <v>203</v>
      </c>
      <c r="AK693" t="s">
        <v>95</v>
      </c>
      <c r="AO693" t="s">
        <v>95</v>
      </c>
      <c r="AP693" t="s">
        <v>95</v>
      </c>
      <c r="AR693" t="s">
        <v>95</v>
      </c>
      <c r="AW693" t="s">
        <v>95</v>
      </c>
      <c r="AX693" t="s">
        <v>95</v>
      </c>
      <c r="AY693" t="s">
        <v>95</v>
      </c>
      <c r="AZ693">
        <v>561</v>
      </c>
      <c r="BA693">
        <v>688</v>
      </c>
      <c r="BB693">
        <v>46</v>
      </c>
      <c r="BC693" t="s">
        <v>96</v>
      </c>
      <c r="BD693">
        <v>1</v>
      </c>
      <c r="BF693" t="s">
        <v>811</v>
      </c>
      <c r="BG693" s="1">
        <v>44354.213194444441</v>
      </c>
      <c r="BH693" s="1">
        <v>44354.215173611112</v>
      </c>
      <c r="BI693" s="1">
        <v>44354.216041666667</v>
      </c>
      <c r="BJ693" t="s">
        <v>85</v>
      </c>
      <c r="BK693" t="s">
        <v>86</v>
      </c>
      <c r="BL693" t="s">
        <v>87</v>
      </c>
    </row>
    <row r="694" spans="1:64" x14ac:dyDescent="0.3">
      <c r="A694" t="str">
        <f>"200386B0000"</f>
        <v>200386B0000</v>
      </c>
      <c r="B694" t="str">
        <f>"200386B00003"</f>
        <v>200386B00003</v>
      </c>
      <c r="C694" t="str">
        <f t="shared" si="41"/>
        <v>20</v>
      </c>
      <c r="D694" t="s">
        <v>81</v>
      </c>
      <c r="E694" t="str">
        <f>"052"</f>
        <v>052</v>
      </c>
      <c r="F694" t="s">
        <v>812</v>
      </c>
      <c r="G694" t="str">
        <f>"0386"</f>
        <v>0386</v>
      </c>
      <c r="H694" t="str">
        <f>"0000"</f>
        <v>0000</v>
      </c>
      <c r="I694" t="s">
        <v>83</v>
      </c>
      <c r="J694">
        <v>0</v>
      </c>
      <c r="K694">
        <v>1</v>
      </c>
      <c r="L694">
        <v>3</v>
      </c>
      <c r="M694">
        <v>114</v>
      </c>
      <c r="N694">
        <v>523</v>
      </c>
      <c r="O694">
        <v>0</v>
      </c>
      <c r="P694">
        <v>523</v>
      </c>
      <c r="R694">
        <v>1</v>
      </c>
      <c r="T694">
        <v>174</v>
      </c>
      <c r="U694">
        <v>141</v>
      </c>
      <c r="W694">
        <v>179</v>
      </c>
      <c r="X694">
        <v>3</v>
      </c>
      <c r="Y694">
        <v>13</v>
      </c>
      <c r="Z694" t="s">
        <v>95</v>
      </c>
      <c r="AW694" t="s">
        <v>95</v>
      </c>
      <c r="AX694">
        <v>12</v>
      </c>
      <c r="AY694">
        <v>523</v>
      </c>
      <c r="AZ694">
        <v>523</v>
      </c>
      <c r="BA694">
        <v>593</v>
      </c>
      <c r="BB694">
        <v>44</v>
      </c>
      <c r="BC694" t="s">
        <v>96</v>
      </c>
      <c r="BD694">
        <v>1</v>
      </c>
      <c r="BF694" t="s">
        <v>813</v>
      </c>
      <c r="BG694" s="1">
        <v>44354.263888888891</v>
      </c>
      <c r="BH694" s="1">
        <v>44354.265497685185</v>
      </c>
      <c r="BI694" s="1">
        <v>44354.2659375</v>
      </c>
      <c r="BJ694" t="s">
        <v>85</v>
      </c>
      <c r="BK694" t="s">
        <v>86</v>
      </c>
      <c r="BL694" t="s">
        <v>87</v>
      </c>
    </row>
    <row r="695" spans="1:64" x14ac:dyDescent="0.3">
      <c r="A695" t="str">
        <f>"200386C0100"</f>
        <v>200386C0100</v>
      </c>
      <c r="B695" t="str">
        <f>"200386C01003"</f>
        <v>200386C01003</v>
      </c>
      <c r="C695" t="str">
        <f t="shared" si="41"/>
        <v>20</v>
      </c>
      <c r="D695" t="s">
        <v>81</v>
      </c>
      <c r="E695" t="str">
        <f>"052"</f>
        <v>052</v>
      </c>
      <c r="F695" t="s">
        <v>812</v>
      </c>
      <c r="G695" t="str">
        <f>"0386"</f>
        <v>0386</v>
      </c>
      <c r="H695" t="str">
        <f>"0001"</f>
        <v>0001</v>
      </c>
      <c r="I695" t="s">
        <v>89</v>
      </c>
      <c r="J695">
        <v>0</v>
      </c>
      <c r="K695">
        <v>1</v>
      </c>
      <c r="L695">
        <v>3</v>
      </c>
      <c r="M695">
        <v>133</v>
      </c>
      <c r="N695">
        <v>503</v>
      </c>
      <c r="O695">
        <v>9</v>
      </c>
      <c r="P695">
        <v>503</v>
      </c>
      <c r="R695">
        <v>1</v>
      </c>
      <c r="T695">
        <v>181</v>
      </c>
      <c r="U695">
        <v>113</v>
      </c>
      <c r="W695">
        <v>190</v>
      </c>
      <c r="X695">
        <v>2</v>
      </c>
      <c r="Y695">
        <v>9</v>
      </c>
      <c r="Z695" t="s">
        <v>95</v>
      </c>
      <c r="AW695" t="s">
        <v>95</v>
      </c>
      <c r="AX695">
        <v>7</v>
      </c>
      <c r="AY695">
        <v>503</v>
      </c>
      <c r="AZ695">
        <v>503</v>
      </c>
      <c r="BA695">
        <v>592</v>
      </c>
      <c r="BB695">
        <v>44</v>
      </c>
      <c r="BC695" t="s">
        <v>96</v>
      </c>
      <c r="BD695">
        <v>1</v>
      </c>
      <c r="BF695" t="s">
        <v>814</v>
      </c>
      <c r="BG695" s="1">
        <v>44354.265277777777</v>
      </c>
      <c r="BH695" s="1">
        <v>44354.266898148147</v>
      </c>
      <c r="BI695" s="1">
        <v>44354.267280092594</v>
      </c>
      <c r="BJ695" t="s">
        <v>85</v>
      </c>
      <c r="BK695" t="s">
        <v>86</v>
      </c>
      <c r="BL695" t="s">
        <v>87</v>
      </c>
    </row>
    <row r="696" spans="1:64" x14ac:dyDescent="0.3">
      <c r="A696" t="str">
        <f>"200389B0000"</f>
        <v>200389B0000</v>
      </c>
      <c r="B696" t="str">
        <f>"200389B00003"</f>
        <v>200389B00003</v>
      </c>
      <c r="C696" t="str">
        <f t="shared" si="41"/>
        <v>20</v>
      </c>
      <c r="D696" t="s">
        <v>81</v>
      </c>
      <c r="E696" t="str">
        <f t="shared" ref="E696:E703" si="44">"055"</f>
        <v>055</v>
      </c>
      <c r="F696" t="s">
        <v>815</v>
      </c>
      <c r="G696" t="str">
        <f>"0389"</f>
        <v>0389</v>
      </c>
      <c r="H696" t="str">
        <f>"0000"</f>
        <v>0000</v>
      </c>
      <c r="I696" t="s">
        <v>83</v>
      </c>
      <c r="J696">
        <v>0</v>
      </c>
      <c r="K696">
        <v>1</v>
      </c>
      <c r="L696">
        <v>3</v>
      </c>
      <c r="M696">
        <v>177</v>
      </c>
      <c r="N696">
        <v>365</v>
      </c>
      <c r="O696">
        <v>6</v>
      </c>
      <c r="P696">
        <v>365</v>
      </c>
      <c r="Q696">
        <v>21</v>
      </c>
      <c r="R696">
        <v>117</v>
      </c>
      <c r="S696">
        <v>2</v>
      </c>
      <c r="T696">
        <v>5</v>
      </c>
      <c r="U696">
        <v>47</v>
      </c>
      <c r="W696">
        <v>28</v>
      </c>
      <c r="X696">
        <v>52</v>
      </c>
      <c r="Y696">
        <v>81</v>
      </c>
      <c r="Z696">
        <v>5</v>
      </c>
      <c r="AB696">
        <v>0</v>
      </c>
      <c r="AW696">
        <v>0</v>
      </c>
      <c r="AX696">
        <v>7</v>
      </c>
      <c r="AY696">
        <v>365</v>
      </c>
      <c r="AZ696">
        <v>365</v>
      </c>
      <c r="BA696">
        <v>499</v>
      </c>
      <c r="BB696">
        <v>44</v>
      </c>
      <c r="BD696">
        <v>1</v>
      </c>
      <c r="BF696" t="s">
        <v>816</v>
      </c>
      <c r="BG696" s="1">
        <v>44354.394444444442</v>
      </c>
      <c r="BH696" s="1">
        <v>44354.412395833337</v>
      </c>
      <c r="BI696" s="1">
        <v>44354.412939814814</v>
      </c>
      <c r="BJ696" t="s">
        <v>85</v>
      </c>
      <c r="BK696" t="s">
        <v>86</v>
      </c>
      <c r="BL696" t="s">
        <v>87</v>
      </c>
    </row>
    <row r="697" spans="1:64" x14ac:dyDescent="0.3">
      <c r="A697" t="str">
        <f>"200389C0100"</f>
        <v>200389C0100</v>
      </c>
      <c r="B697" t="str">
        <f>"200389C01003"</f>
        <v>200389C01003</v>
      </c>
      <c r="C697" t="str">
        <f t="shared" si="41"/>
        <v>20</v>
      </c>
      <c r="D697" t="s">
        <v>81</v>
      </c>
      <c r="E697" t="str">
        <f t="shared" si="44"/>
        <v>055</v>
      </c>
      <c r="F697" t="s">
        <v>815</v>
      </c>
      <c r="G697" t="str">
        <f>"0389"</f>
        <v>0389</v>
      </c>
      <c r="H697" t="str">
        <f>"0001"</f>
        <v>0001</v>
      </c>
      <c r="I697" t="s">
        <v>89</v>
      </c>
      <c r="J697">
        <v>0</v>
      </c>
      <c r="K697">
        <v>1</v>
      </c>
      <c r="L697">
        <v>3</v>
      </c>
      <c r="M697">
        <v>180</v>
      </c>
      <c r="N697">
        <v>362</v>
      </c>
      <c r="O697">
        <v>3</v>
      </c>
      <c r="P697">
        <v>362</v>
      </c>
      <c r="Q697">
        <v>18</v>
      </c>
      <c r="R697">
        <v>114</v>
      </c>
      <c r="S697">
        <v>1</v>
      </c>
      <c r="T697">
        <v>6</v>
      </c>
      <c r="U697">
        <v>49</v>
      </c>
      <c r="W697">
        <v>37</v>
      </c>
      <c r="X697">
        <v>47</v>
      </c>
      <c r="Y697">
        <v>78</v>
      </c>
      <c r="Z697">
        <v>5</v>
      </c>
      <c r="AB697">
        <v>0</v>
      </c>
      <c r="AW697">
        <v>0</v>
      </c>
      <c r="AX697">
        <v>7</v>
      </c>
      <c r="AY697">
        <v>362</v>
      </c>
      <c r="AZ697">
        <v>362</v>
      </c>
      <c r="BA697">
        <v>498</v>
      </c>
      <c r="BB697">
        <v>44</v>
      </c>
      <c r="BD697">
        <v>1</v>
      </c>
      <c r="BF697" t="s">
        <v>817</v>
      </c>
      <c r="BG697" s="1">
        <v>44354.397916666669</v>
      </c>
      <c r="BH697" s="1">
        <v>44354.40084490741</v>
      </c>
      <c r="BI697" s="1">
        <v>44354.401597222219</v>
      </c>
      <c r="BJ697" t="s">
        <v>85</v>
      </c>
      <c r="BK697" t="s">
        <v>86</v>
      </c>
      <c r="BL697" t="s">
        <v>87</v>
      </c>
    </row>
    <row r="698" spans="1:64" x14ac:dyDescent="0.3">
      <c r="A698" t="str">
        <f>"200390B0000"</f>
        <v>200390B0000</v>
      </c>
      <c r="B698" t="str">
        <f>"200390B00003"</f>
        <v>200390B00003</v>
      </c>
      <c r="C698" t="str">
        <f t="shared" si="41"/>
        <v>20</v>
      </c>
      <c r="D698" t="s">
        <v>81</v>
      </c>
      <c r="E698" t="str">
        <f t="shared" si="44"/>
        <v>055</v>
      </c>
      <c r="F698" t="s">
        <v>815</v>
      </c>
      <c r="G698" t="str">
        <f>"0390"</f>
        <v>0390</v>
      </c>
      <c r="H698" t="str">
        <f t="shared" ref="H698:H704" si="45">"0000"</f>
        <v>0000</v>
      </c>
      <c r="I698" t="s">
        <v>83</v>
      </c>
      <c r="J698">
        <v>0</v>
      </c>
      <c r="K698">
        <v>1</v>
      </c>
      <c r="L698">
        <v>3</v>
      </c>
      <c r="M698">
        <v>149</v>
      </c>
      <c r="N698">
        <v>248</v>
      </c>
      <c r="O698">
        <v>11</v>
      </c>
      <c r="P698">
        <v>248</v>
      </c>
      <c r="Q698">
        <v>14</v>
      </c>
      <c r="R698">
        <v>56</v>
      </c>
      <c r="S698">
        <v>1</v>
      </c>
      <c r="T698">
        <v>4</v>
      </c>
      <c r="U698">
        <v>67</v>
      </c>
      <c r="W698">
        <v>11</v>
      </c>
      <c r="X698">
        <v>18</v>
      </c>
      <c r="Y698">
        <v>66</v>
      </c>
      <c r="Z698">
        <v>5</v>
      </c>
      <c r="AB698">
        <v>1</v>
      </c>
      <c r="AW698">
        <v>0</v>
      </c>
      <c r="AX698">
        <v>5</v>
      </c>
      <c r="AY698">
        <v>248</v>
      </c>
      <c r="AZ698">
        <v>248</v>
      </c>
      <c r="BA698">
        <v>353</v>
      </c>
      <c r="BB698">
        <v>44</v>
      </c>
      <c r="BD698">
        <v>1</v>
      </c>
      <c r="BF698" t="s">
        <v>818</v>
      </c>
      <c r="BG698" s="1">
        <v>44354.395833333336</v>
      </c>
      <c r="BH698" s="1">
        <v>44354.405844907407</v>
      </c>
      <c r="BI698" s="1">
        <v>44354.406655092593</v>
      </c>
      <c r="BJ698" t="s">
        <v>85</v>
      </c>
      <c r="BK698" t="s">
        <v>86</v>
      </c>
      <c r="BL698" t="s">
        <v>87</v>
      </c>
    </row>
    <row r="699" spans="1:64" x14ac:dyDescent="0.3">
      <c r="A699" t="str">
        <f>"200391B0000"</f>
        <v>200391B0000</v>
      </c>
      <c r="B699" t="str">
        <f>"200391B00003"</f>
        <v>200391B00003</v>
      </c>
      <c r="C699" t="str">
        <f t="shared" si="41"/>
        <v>20</v>
      </c>
      <c r="D699" t="s">
        <v>81</v>
      </c>
      <c r="E699" t="str">
        <f t="shared" si="44"/>
        <v>055</v>
      </c>
      <c r="F699" t="s">
        <v>815</v>
      </c>
      <c r="G699" t="str">
        <f>"0391"</f>
        <v>0391</v>
      </c>
      <c r="H699" t="str">
        <f t="shared" si="45"/>
        <v>0000</v>
      </c>
      <c r="I699" t="s">
        <v>83</v>
      </c>
      <c r="J699">
        <v>0</v>
      </c>
      <c r="K699">
        <v>1</v>
      </c>
      <c r="L699">
        <v>3</v>
      </c>
      <c r="M699">
        <v>202</v>
      </c>
      <c r="N699">
        <v>403</v>
      </c>
      <c r="O699">
        <v>8</v>
      </c>
      <c r="P699">
        <v>403</v>
      </c>
      <c r="Q699">
        <v>24</v>
      </c>
      <c r="R699">
        <v>104</v>
      </c>
      <c r="S699">
        <v>0</v>
      </c>
      <c r="T699">
        <v>3</v>
      </c>
      <c r="U699">
        <v>88</v>
      </c>
      <c r="W699">
        <v>46</v>
      </c>
      <c r="X699">
        <v>55</v>
      </c>
      <c r="Y699">
        <v>56</v>
      </c>
      <c r="Z699">
        <v>15</v>
      </c>
      <c r="AB699">
        <v>0</v>
      </c>
      <c r="AW699">
        <v>0</v>
      </c>
      <c r="AX699">
        <v>12</v>
      </c>
      <c r="AY699">
        <v>403</v>
      </c>
      <c r="AZ699">
        <v>403</v>
      </c>
      <c r="BA699">
        <v>561</v>
      </c>
      <c r="BB699">
        <v>44</v>
      </c>
      <c r="BD699">
        <v>1</v>
      </c>
      <c r="BF699" t="s">
        <v>819</v>
      </c>
      <c r="BG699" s="1">
        <v>44354.397222222222</v>
      </c>
      <c r="BH699" s="1">
        <v>44354.404861111114</v>
      </c>
      <c r="BI699" s="1">
        <v>44354.405115740738</v>
      </c>
      <c r="BJ699" t="s">
        <v>85</v>
      </c>
      <c r="BK699" t="s">
        <v>86</v>
      </c>
      <c r="BL699" t="s">
        <v>87</v>
      </c>
    </row>
    <row r="700" spans="1:64" x14ac:dyDescent="0.3">
      <c r="A700" t="str">
        <f>"200392B0000"</f>
        <v>200392B0000</v>
      </c>
      <c r="B700" t="str">
        <f>"200392B00003"</f>
        <v>200392B00003</v>
      </c>
      <c r="C700" t="str">
        <f t="shared" si="41"/>
        <v>20</v>
      </c>
      <c r="D700" t="s">
        <v>81</v>
      </c>
      <c r="E700" t="str">
        <f t="shared" si="44"/>
        <v>055</v>
      </c>
      <c r="F700" t="s">
        <v>815</v>
      </c>
      <c r="G700" t="str">
        <f>"0392"</f>
        <v>0392</v>
      </c>
      <c r="H700" t="str">
        <f t="shared" si="45"/>
        <v>0000</v>
      </c>
      <c r="I700" t="s">
        <v>83</v>
      </c>
      <c r="J700">
        <v>0</v>
      </c>
      <c r="K700">
        <v>1</v>
      </c>
      <c r="L700">
        <v>3</v>
      </c>
      <c r="M700">
        <v>87</v>
      </c>
      <c r="N700">
        <v>62</v>
      </c>
      <c r="O700">
        <v>5</v>
      </c>
      <c r="P700">
        <v>62</v>
      </c>
      <c r="Q700">
        <v>4</v>
      </c>
      <c r="R700">
        <v>11</v>
      </c>
      <c r="S700">
        <v>0</v>
      </c>
      <c r="T700">
        <v>0</v>
      </c>
      <c r="U700">
        <v>7</v>
      </c>
      <c r="W700">
        <v>3</v>
      </c>
      <c r="X700">
        <v>22</v>
      </c>
      <c r="Y700">
        <v>11</v>
      </c>
      <c r="Z700">
        <v>4</v>
      </c>
      <c r="AB700">
        <v>0</v>
      </c>
      <c r="AW700">
        <v>0</v>
      </c>
      <c r="AX700">
        <v>0</v>
      </c>
      <c r="AY700">
        <v>62</v>
      </c>
      <c r="AZ700">
        <v>62</v>
      </c>
      <c r="BA700">
        <v>105</v>
      </c>
      <c r="BB700">
        <v>44</v>
      </c>
      <c r="BD700">
        <v>1</v>
      </c>
      <c r="BF700" t="s">
        <v>820</v>
      </c>
      <c r="BG700" s="1">
        <v>44354.396527777775</v>
      </c>
      <c r="BH700" s="1">
        <v>44354.404999999999</v>
      </c>
      <c r="BI700" s="1">
        <v>44354.405277777776</v>
      </c>
      <c r="BJ700" t="s">
        <v>85</v>
      </c>
      <c r="BK700" t="s">
        <v>86</v>
      </c>
      <c r="BL700" t="s">
        <v>87</v>
      </c>
    </row>
    <row r="701" spans="1:64" x14ac:dyDescent="0.3">
      <c r="A701" t="str">
        <f>"200393B0000"</f>
        <v>200393B0000</v>
      </c>
      <c r="B701" t="str">
        <f>"200393B00003"</f>
        <v>200393B00003</v>
      </c>
      <c r="C701" t="str">
        <f t="shared" si="41"/>
        <v>20</v>
      </c>
      <c r="D701" t="s">
        <v>81</v>
      </c>
      <c r="E701" t="str">
        <f t="shared" si="44"/>
        <v>055</v>
      </c>
      <c r="F701" t="s">
        <v>815</v>
      </c>
      <c r="G701" t="str">
        <f>"0393"</f>
        <v>0393</v>
      </c>
      <c r="H701" t="str">
        <f t="shared" si="45"/>
        <v>0000</v>
      </c>
      <c r="I701" t="s">
        <v>83</v>
      </c>
      <c r="J701">
        <v>0</v>
      </c>
      <c r="K701">
        <v>1</v>
      </c>
      <c r="L701">
        <v>3</v>
      </c>
      <c r="M701">
        <v>185</v>
      </c>
      <c r="N701">
        <v>200</v>
      </c>
      <c r="O701">
        <v>12</v>
      </c>
      <c r="P701">
        <v>200</v>
      </c>
      <c r="Q701">
        <v>1</v>
      </c>
      <c r="R701">
        <v>45</v>
      </c>
      <c r="S701">
        <v>0</v>
      </c>
      <c r="T701">
        <v>0</v>
      </c>
      <c r="U701">
        <v>11</v>
      </c>
      <c r="W701">
        <v>23</v>
      </c>
      <c r="X701">
        <v>13</v>
      </c>
      <c r="Y701">
        <v>9</v>
      </c>
      <c r="Z701">
        <v>90</v>
      </c>
      <c r="AB701">
        <v>1</v>
      </c>
      <c r="AW701">
        <v>0</v>
      </c>
      <c r="AX701">
        <v>7</v>
      </c>
      <c r="AY701">
        <v>200</v>
      </c>
      <c r="AZ701">
        <v>200</v>
      </c>
      <c r="BA701">
        <v>341</v>
      </c>
      <c r="BB701">
        <v>44</v>
      </c>
      <c r="BD701">
        <v>1</v>
      </c>
      <c r="BF701" t="s">
        <v>821</v>
      </c>
      <c r="BG701" s="1">
        <v>44354.396527777775</v>
      </c>
      <c r="BH701" s="1">
        <v>44354.403009259258</v>
      </c>
      <c r="BI701" s="1">
        <v>44354.403657407405</v>
      </c>
      <c r="BJ701" t="s">
        <v>85</v>
      </c>
      <c r="BK701" t="s">
        <v>86</v>
      </c>
      <c r="BL701" t="s">
        <v>87</v>
      </c>
    </row>
    <row r="702" spans="1:64" x14ac:dyDescent="0.3">
      <c r="A702" t="str">
        <f>"200394B0000"</f>
        <v>200394B0000</v>
      </c>
      <c r="B702" t="str">
        <f>"200394B00003"</f>
        <v>200394B00003</v>
      </c>
      <c r="C702" t="str">
        <f t="shared" si="41"/>
        <v>20</v>
      </c>
      <c r="D702" t="s">
        <v>81</v>
      </c>
      <c r="E702" t="str">
        <f t="shared" si="44"/>
        <v>055</v>
      </c>
      <c r="F702" t="s">
        <v>815</v>
      </c>
      <c r="G702" t="str">
        <f>"0394"</f>
        <v>0394</v>
      </c>
      <c r="H702" t="str">
        <f t="shared" si="45"/>
        <v>0000</v>
      </c>
      <c r="I702" t="s">
        <v>83</v>
      </c>
      <c r="J702">
        <v>0</v>
      </c>
      <c r="K702">
        <v>1</v>
      </c>
      <c r="L702">
        <v>3</v>
      </c>
      <c r="M702">
        <v>162</v>
      </c>
      <c r="N702">
        <v>231</v>
      </c>
      <c r="O702">
        <v>5</v>
      </c>
      <c r="P702">
        <v>231</v>
      </c>
      <c r="Q702">
        <v>5</v>
      </c>
      <c r="R702">
        <v>48</v>
      </c>
      <c r="S702">
        <v>3</v>
      </c>
      <c r="T702">
        <v>1</v>
      </c>
      <c r="U702">
        <v>6</v>
      </c>
      <c r="W702">
        <v>56</v>
      </c>
      <c r="X702">
        <v>34</v>
      </c>
      <c r="Y702">
        <v>53</v>
      </c>
      <c r="Z702">
        <v>19</v>
      </c>
      <c r="AB702">
        <v>1</v>
      </c>
      <c r="AW702" t="s">
        <v>95</v>
      </c>
      <c r="AX702">
        <v>5</v>
      </c>
      <c r="AY702">
        <v>231</v>
      </c>
      <c r="AZ702">
        <v>231</v>
      </c>
      <c r="BA702">
        <v>349</v>
      </c>
      <c r="BB702">
        <v>44</v>
      </c>
      <c r="BC702" t="s">
        <v>96</v>
      </c>
      <c r="BD702">
        <v>1</v>
      </c>
      <c r="BF702" t="s">
        <v>822</v>
      </c>
      <c r="BG702" s="1">
        <v>44353.951585648145</v>
      </c>
      <c r="BH702" s="1">
        <v>44353.957766203705</v>
      </c>
      <c r="BI702" s="1">
        <v>44353.95820601852</v>
      </c>
      <c r="BJ702" t="s">
        <v>197</v>
      </c>
      <c r="BK702" t="s">
        <v>198</v>
      </c>
      <c r="BL702" t="s">
        <v>87</v>
      </c>
    </row>
    <row r="703" spans="1:64" x14ac:dyDescent="0.3">
      <c r="A703" t="str">
        <f>"200395B0000"</f>
        <v>200395B0000</v>
      </c>
      <c r="B703" t="str">
        <f>"200395B00003"</f>
        <v>200395B00003</v>
      </c>
      <c r="C703" t="str">
        <f t="shared" si="41"/>
        <v>20</v>
      </c>
      <c r="D703" t="s">
        <v>81</v>
      </c>
      <c r="E703" t="str">
        <f t="shared" si="44"/>
        <v>055</v>
      </c>
      <c r="F703" t="s">
        <v>815</v>
      </c>
      <c r="G703" t="str">
        <f>"0395"</f>
        <v>0395</v>
      </c>
      <c r="H703" t="str">
        <f t="shared" si="45"/>
        <v>0000</v>
      </c>
      <c r="I703" t="s">
        <v>83</v>
      </c>
      <c r="J703">
        <v>0</v>
      </c>
      <c r="K703">
        <v>1</v>
      </c>
      <c r="L703">
        <v>3</v>
      </c>
      <c r="M703">
        <v>105</v>
      </c>
      <c r="N703">
        <v>106</v>
      </c>
      <c r="O703">
        <v>8</v>
      </c>
      <c r="P703">
        <v>106</v>
      </c>
      <c r="Q703">
        <v>0</v>
      </c>
      <c r="R703">
        <v>24</v>
      </c>
      <c r="S703">
        <v>1</v>
      </c>
      <c r="T703">
        <v>1</v>
      </c>
      <c r="U703">
        <v>16</v>
      </c>
      <c r="W703">
        <v>10</v>
      </c>
      <c r="X703">
        <v>17</v>
      </c>
      <c r="Y703">
        <v>28</v>
      </c>
      <c r="Z703">
        <v>8</v>
      </c>
      <c r="AB703">
        <v>0</v>
      </c>
      <c r="AW703">
        <v>0</v>
      </c>
      <c r="AX703">
        <v>1</v>
      </c>
      <c r="AY703">
        <v>106</v>
      </c>
      <c r="AZ703">
        <v>106</v>
      </c>
      <c r="BA703">
        <v>167</v>
      </c>
      <c r="BB703">
        <v>44</v>
      </c>
      <c r="BD703">
        <v>1</v>
      </c>
      <c r="BF703" t="s">
        <v>823</v>
      </c>
      <c r="BG703" s="1">
        <v>44354.397222222222</v>
      </c>
      <c r="BH703" s="1">
        <v>44354.402037037034</v>
      </c>
      <c r="BI703" s="1">
        <v>44354.402418981481</v>
      </c>
      <c r="BJ703" t="s">
        <v>85</v>
      </c>
      <c r="BK703" t="s">
        <v>86</v>
      </c>
      <c r="BL703" t="s">
        <v>87</v>
      </c>
    </row>
    <row r="704" spans="1:64" x14ac:dyDescent="0.3">
      <c r="A704" t="str">
        <f>"200396B0000"</f>
        <v>200396B0000</v>
      </c>
      <c r="B704" t="str">
        <f>"200396B00003"</f>
        <v>200396B00003</v>
      </c>
      <c r="C704" t="str">
        <f t="shared" si="41"/>
        <v>20</v>
      </c>
      <c r="D704" t="s">
        <v>81</v>
      </c>
      <c r="E704" t="str">
        <f>"056"</f>
        <v>056</v>
      </c>
      <c r="F704" t="s">
        <v>824</v>
      </c>
      <c r="G704" t="str">
        <f>"0396"</f>
        <v>0396</v>
      </c>
      <c r="H704" t="str">
        <f t="shared" si="45"/>
        <v>0000</v>
      </c>
      <c r="I704" t="s">
        <v>83</v>
      </c>
      <c r="J704">
        <v>0</v>
      </c>
      <c r="K704">
        <v>1</v>
      </c>
      <c r="L704">
        <v>3</v>
      </c>
      <c r="M704">
        <v>123</v>
      </c>
      <c r="N704">
        <v>313</v>
      </c>
      <c r="O704">
        <v>0</v>
      </c>
      <c r="P704">
        <v>312</v>
      </c>
      <c r="Q704">
        <v>0</v>
      </c>
      <c r="R704">
        <v>103</v>
      </c>
      <c r="S704">
        <v>0</v>
      </c>
      <c r="T704">
        <v>0</v>
      </c>
      <c r="U704">
        <v>1</v>
      </c>
      <c r="V704">
        <v>23</v>
      </c>
      <c r="X704">
        <v>70</v>
      </c>
      <c r="Z704">
        <v>0</v>
      </c>
      <c r="AB704">
        <v>101</v>
      </c>
      <c r="AF704">
        <v>3</v>
      </c>
      <c r="AG704">
        <v>0</v>
      </c>
      <c r="AH704">
        <v>0</v>
      </c>
      <c r="AI704">
        <v>2</v>
      </c>
      <c r="AW704">
        <v>0</v>
      </c>
      <c r="AX704">
        <v>9</v>
      </c>
      <c r="AY704">
        <v>312</v>
      </c>
      <c r="AZ704">
        <v>312</v>
      </c>
      <c r="BA704">
        <v>391</v>
      </c>
      <c r="BB704">
        <v>44</v>
      </c>
      <c r="BD704">
        <v>1</v>
      </c>
      <c r="BF704" t="s">
        <v>825</v>
      </c>
      <c r="BG704" s="1">
        <v>44354.207638888889</v>
      </c>
      <c r="BH704" s="1">
        <v>44354.210069444445</v>
      </c>
      <c r="BI704" s="1">
        <v>44354.210590277777</v>
      </c>
      <c r="BJ704" t="s">
        <v>85</v>
      </c>
      <c r="BK704" t="s">
        <v>86</v>
      </c>
      <c r="BL704" t="s">
        <v>87</v>
      </c>
    </row>
    <row r="705" spans="1:64" x14ac:dyDescent="0.3">
      <c r="A705" t="str">
        <f>"200396C0100"</f>
        <v>200396C0100</v>
      </c>
      <c r="B705" t="str">
        <f>"200396C01003"</f>
        <v>200396C01003</v>
      </c>
      <c r="C705" t="str">
        <f t="shared" si="41"/>
        <v>20</v>
      </c>
      <c r="D705" t="s">
        <v>81</v>
      </c>
      <c r="E705" t="str">
        <f>"056"</f>
        <v>056</v>
      </c>
      <c r="F705" t="s">
        <v>824</v>
      </c>
      <c r="G705" t="str">
        <f>"0396"</f>
        <v>0396</v>
      </c>
      <c r="H705" t="str">
        <f>"0001"</f>
        <v>0001</v>
      </c>
      <c r="I705" t="s">
        <v>89</v>
      </c>
      <c r="J705">
        <v>0</v>
      </c>
      <c r="K705">
        <v>1</v>
      </c>
      <c r="L705">
        <v>3</v>
      </c>
      <c r="M705">
        <v>116</v>
      </c>
      <c r="N705">
        <v>318</v>
      </c>
      <c r="O705">
        <v>0</v>
      </c>
      <c r="P705">
        <v>318</v>
      </c>
      <c r="Q705">
        <v>1</v>
      </c>
      <c r="R705">
        <v>102</v>
      </c>
      <c r="S705">
        <v>0</v>
      </c>
      <c r="T705">
        <v>0</v>
      </c>
      <c r="U705">
        <v>1</v>
      </c>
      <c r="V705">
        <v>20</v>
      </c>
      <c r="X705">
        <v>100</v>
      </c>
      <c r="Z705">
        <v>2</v>
      </c>
      <c r="AB705">
        <v>85</v>
      </c>
      <c r="AF705">
        <v>5</v>
      </c>
      <c r="AG705">
        <v>0</v>
      </c>
      <c r="AH705">
        <v>0</v>
      </c>
      <c r="AI705">
        <v>0</v>
      </c>
      <c r="AW705">
        <v>0</v>
      </c>
      <c r="AX705">
        <v>2</v>
      </c>
      <c r="AY705">
        <v>318</v>
      </c>
      <c r="AZ705">
        <v>318</v>
      </c>
      <c r="BA705">
        <v>390</v>
      </c>
      <c r="BB705">
        <v>44</v>
      </c>
      <c r="BD705">
        <v>1</v>
      </c>
      <c r="BF705" t="s">
        <v>826</v>
      </c>
      <c r="BG705" s="1">
        <v>44354.207638888889</v>
      </c>
      <c r="BH705" s="1">
        <v>44354.209513888891</v>
      </c>
      <c r="BI705" s="1">
        <v>44354.20994212963</v>
      </c>
      <c r="BJ705" t="s">
        <v>85</v>
      </c>
      <c r="BK705" t="s">
        <v>86</v>
      </c>
      <c r="BL705" t="s">
        <v>87</v>
      </c>
    </row>
    <row r="706" spans="1:64" x14ac:dyDescent="0.3">
      <c r="A706" t="str">
        <f>"200396E0100"</f>
        <v>200396E0100</v>
      </c>
      <c r="B706" t="str">
        <f>"200396E01003"</f>
        <v>200396E01003</v>
      </c>
      <c r="C706" t="str">
        <f t="shared" si="41"/>
        <v>20</v>
      </c>
      <c r="D706" t="s">
        <v>81</v>
      </c>
      <c r="E706" t="str">
        <f>"056"</f>
        <v>056</v>
      </c>
      <c r="F706" t="s">
        <v>824</v>
      </c>
      <c r="G706" t="str">
        <f>"0396"</f>
        <v>0396</v>
      </c>
      <c r="H706" t="str">
        <f>"0001"</f>
        <v>0001</v>
      </c>
      <c r="I706" t="s">
        <v>122</v>
      </c>
      <c r="J706">
        <v>0</v>
      </c>
      <c r="K706">
        <v>1</v>
      </c>
      <c r="L706">
        <v>3</v>
      </c>
      <c r="M706">
        <v>92</v>
      </c>
      <c r="N706">
        <v>316</v>
      </c>
      <c r="O706">
        <v>0</v>
      </c>
      <c r="P706">
        <v>316</v>
      </c>
      <c r="Q706">
        <v>0</v>
      </c>
      <c r="R706">
        <v>71</v>
      </c>
      <c r="S706">
        <v>2</v>
      </c>
      <c r="T706">
        <v>0</v>
      </c>
      <c r="U706">
        <v>0</v>
      </c>
      <c r="V706">
        <v>126</v>
      </c>
      <c r="X706">
        <v>27</v>
      </c>
      <c r="Z706">
        <v>3</v>
      </c>
      <c r="AB706">
        <v>82</v>
      </c>
      <c r="AF706" t="s">
        <v>95</v>
      </c>
      <c r="AG706" t="s">
        <v>95</v>
      </c>
      <c r="AH706" t="s">
        <v>95</v>
      </c>
      <c r="AI706" t="s">
        <v>95</v>
      </c>
      <c r="AW706" t="s">
        <v>95</v>
      </c>
      <c r="AX706">
        <v>5</v>
      </c>
      <c r="AY706">
        <v>316</v>
      </c>
      <c r="AZ706">
        <v>316</v>
      </c>
      <c r="BA706">
        <v>364</v>
      </c>
      <c r="BB706">
        <v>44</v>
      </c>
      <c r="BC706" t="s">
        <v>96</v>
      </c>
      <c r="BD706">
        <v>1</v>
      </c>
      <c r="BF706" t="s">
        <v>827</v>
      </c>
      <c r="BG706" s="1">
        <v>44354.214583333334</v>
      </c>
      <c r="BH706" s="1">
        <v>44354.218206018515</v>
      </c>
      <c r="BI706" s="1">
        <v>44354.218819444446</v>
      </c>
      <c r="BJ706" t="s">
        <v>85</v>
      </c>
      <c r="BK706" t="s">
        <v>86</v>
      </c>
      <c r="BL706" t="s">
        <v>87</v>
      </c>
    </row>
    <row r="707" spans="1:64" x14ac:dyDescent="0.3">
      <c r="A707" t="str">
        <f>"200397B0000"</f>
        <v>200397B0000</v>
      </c>
      <c r="B707" t="str">
        <f>"200397B00003"</f>
        <v>200397B00003</v>
      </c>
      <c r="C707" t="str">
        <f t="shared" si="41"/>
        <v>20</v>
      </c>
      <c r="D707" t="s">
        <v>81</v>
      </c>
      <c r="E707" t="str">
        <f t="shared" ref="E707:E738" si="46">"057"</f>
        <v>057</v>
      </c>
      <c r="F707" t="s">
        <v>828</v>
      </c>
      <c r="G707" t="str">
        <f>"0397"</f>
        <v>0397</v>
      </c>
      <c r="H707" t="str">
        <f>"0000"</f>
        <v>0000</v>
      </c>
      <c r="I707" t="s">
        <v>83</v>
      </c>
      <c r="J707">
        <v>0</v>
      </c>
      <c r="K707">
        <v>1</v>
      </c>
      <c r="L707">
        <v>3</v>
      </c>
      <c r="M707">
        <v>305</v>
      </c>
      <c r="N707">
        <v>343</v>
      </c>
      <c r="O707">
        <v>0</v>
      </c>
      <c r="P707">
        <v>343</v>
      </c>
      <c r="Q707">
        <v>63</v>
      </c>
      <c r="R707">
        <v>60</v>
      </c>
      <c r="T707">
        <v>16</v>
      </c>
      <c r="U707">
        <v>47</v>
      </c>
      <c r="V707">
        <v>7</v>
      </c>
      <c r="W707">
        <v>3</v>
      </c>
      <c r="X707">
        <v>119</v>
      </c>
      <c r="Y707">
        <v>1</v>
      </c>
      <c r="Z707">
        <v>4</v>
      </c>
      <c r="AA707">
        <v>5</v>
      </c>
      <c r="AB707">
        <v>13</v>
      </c>
      <c r="AW707">
        <v>0</v>
      </c>
      <c r="AX707">
        <v>5</v>
      </c>
      <c r="AY707">
        <v>343</v>
      </c>
      <c r="AZ707">
        <v>343</v>
      </c>
      <c r="BA707">
        <v>604</v>
      </c>
      <c r="BB707">
        <v>44</v>
      </c>
      <c r="BD707">
        <v>1</v>
      </c>
      <c r="BF707" t="s">
        <v>829</v>
      </c>
      <c r="BG707" s="1">
        <v>44354.143055555556</v>
      </c>
      <c r="BH707" s="1">
        <v>44354.145046296297</v>
      </c>
      <c r="BI707" s="1">
        <v>44354.145914351851</v>
      </c>
      <c r="BJ707" t="s">
        <v>85</v>
      </c>
      <c r="BK707" t="s">
        <v>86</v>
      </c>
      <c r="BL707" t="s">
        <v>87</v>
      </c>
    </row>
    <row r="708" spans="1:64" x14ac:dyDescent="0.3">
      <c r="A708" t="str">
        <f>"200397C0100"</f>
        <v>200397C0100</v>
      </c>
      <c r="B708" t="str">
        <f>"200397C01003"</f>
        <v>200397C01003</v>
      </c>
      <c r="C708" t="str">
        <f t="shared" si="41"/>
        <v>20</v>
      </c>
      <c r="D708" t="s">
        <v>81</v>
      </c>
      <c r="E708" t="str">
        <f t="shared" si="46"/>
        <v>057</v>
      </c>
      <c r="F708" t="s">
        <v>828</v>
      </c>
      <c r="G708" t="str">
        <f>"0397"</f>
        <v>0397</v>
      </c>
      <c r="H708" t="str">
        <f>"0001"</f>
        <v>0001</v>
      </c>
      <c r="I708" t="s">
        <v>89</v>
      </c>
      <c r="J708">
        <v>0</v>
      </c>
      <c r="K708">
        <v>1</v>
      </c>
      <c r="L708">
        <v>3</v>
      </c>
      <c r="M708">
        <v>308</v>
      </c>
      <c r="N708">
        <v>340</v>
      </c>
      <c r="O708">
        <v>2</v>
      </c>
      <c r="P708">
        <v>340</v>
      </c>
      <c r="Q708">
        <v>43</v>
      </c>
      <c r="R708">
        <v>61</v>
      </c>
      <c r="T708">
        <v>16</v>
      </c>
      <c r="U708">
        <v>44</v>
      </c>
      <c r="V708">
        <v>3</v>
      </c>
      <c r="W708">
        <v>3</v>
      </c>
      <c r="X708">
        <v>142</v>
      </c>
      <c r="Y708">
        <v>0</v>
      </c>
      <c r="Z708">
        <v>6</v>
      </c>
      <c r="AA708">
        <v>6</v>
      </c>
      <c r="AB708">
        <v>6</v>
      </c>
      <c r="AW708">
        <v>0</v>
      </c>
      <c r="AX708">
        <v>10</v>
      </c>
      <c r="AY708">
        <v>340</v>
      </c>
      <c r="AZ708">
        <v>340</v>
      </c>
      <c r="BA708">
        <v>604</v>
      </c>
      <c r="BB708">
        <v>44</v>
      </c>
      <c r="BD708">
        <v>1</v>
      </c>
      <c r="BF708" t="s">
        <v>830</v>
      </c>
      <c r="BG708" s="1">
        <v>44354.138194444444</v>
      </c>
      <c r="BH708" s="1">
        <v>44354.141238425924</v>
      </c>
      <c r="BI708" s="1">
        <v>44354.141516203701</v>
      </c>
      <c r="BJ708" t="s">
        <v>85</v>
      </c>
      <c r="BK708" t="s">
        <v>86</v>
      </c>
      <c r="BL708" t="s">
        <v>87</v>
      </c>
    </row>
    <row r="709" spans="1:64" x14ac:dyDescent="0.3">
      <c r="A709" t="str">
        <f>"200397C0200"</f>
        <v>200397C0200</v>
      </c>
      <c r="B709" t="str">
        <f>"200397C02003"</f>
        <v>200397C02003</v>
      </c>
      <c r="C709" t="str">
        <f t="shared" si="41"/>
        <v>20</v>
      </c>
      <c r="D709" t="s">
        <v>81</v>
      </c>
      <c r="E709" t="str">
        <f t="shared" si="46"/>
        <v>057</v>
      </c>
      <c r="F709" t="s">
        <v>828</v>
      </c>
      <c r="G709" t="str">
        <f>"0397"</f>
        <v>0397</v>
      </c>
      <c r="H709" t="str">
        <f>"0002"</f>
        <v>0002</v>
      </c>
      <c r="I709" t="s">
        <v>89</v>
      </c>
      <c r="J709">
        <v>0</v>
      </c>
      <c r="K709">
        <v>1</v>
      </c>
      <c r="L709">
        <v>3</v>
      </c>
      <c r="M709">
        <v>309</v>
      </c>
      <c r="N709">
        <v>339</v>
      </c>
      <c r="O709">
        <v>2</v>
      </c>
      <c r="P709">
        <v>339</v>
      </c>
      <c r="Q709">
        <v>60</v>
      </c>
      <c r="R709">
        <v>65</v>
      </c>
      <c r="T709">
        <v>19</v>
      </c>
      <c r="U709">
        <v>45</v>
      </c>
      <c r="V709">
        <v>8</v>
      </c>
      <c r="W709">
        <v>0</v>
      </c>
      <c r="X709">
        <v>117</v>
      </c>
      <c r="Y709">
        <v>0</v>
      </c>
      <c r="Z709">
        <v>4</v>
      </c>
      <c r="AA709">
        <v>1</v>
      </c>
      <c r="AB709">
        <v>9</v>
      </c>
      <c r="AW709">
        <v>0</v>
      </c>
      <c r="AX709">
        <v>11</v>
      </c>
      <c r="AY709">
        <v>339</v>
      </c>
      <c r="AZ709">
        <v>339</v>
      </c>
      <c r="BA709">
        <v>604</v>
      </c>
      <c r="BB709">
        <v>44</v>
      </c>
      <c r="BD709">
        <v>1</v>
      </c>
      <c r="BF709" t="s">
        <v>831</v>
      </c>
      <c r="BG709" s="1">
        <v>44354.138194444444</v>
      </c>
      <c r="BH709" s="1">
        <v>44354.142939814818</v>
      </c>
      <c r="BI709" s="1">
        <v>44354.143287037034</v>
      </c>
      <c r="BJ709" t="s">
        <v>85</v>
      </c>
      <c r="BK709" t="s">
        <v>86</v>
      </c>
      <c r="BL709" t="s">
        <v>87</v>
      </c>
    </row>
    <row r="710" spans="1:64" x14ac:dyDescent="0.3">
      <c r="A710" t="str">
        <f>"200398B0000"</f>
        <v>200398B0000</v>
      </c>
      <c r="B710" t="str">
        <f>"200398B00003"</f>
        <v>200398B00003</v>
      </c>
      <c r="C710" t="str">
        <f t="shared" si="41"/>
        <v>20</v>
      </c>
      <c r="D710" t="s">
        <v>81</v>
      </c>
      <c r="E710" t="str">
        <f t="shared" si="46"/>
        <v>057</v>
      </c>
      <c r="F710" t="s">
        <v>828</v>
      </c>
      <c r="G710" t="str">
        <f>"0398"</f>
        <v>0398</v>
      </c>
      <c r="H710" t="str">
        <f>"0000"</f>
        <v>0000</v>
      </c>
      <c r="I710" t="s">
        <v>83</v>
      </c>
      <c r="J710">
        <v>0</v>
      </c>
      <c r="K710">
        <v>1</v>
      </c>
      <c r="L710">
        <v>3</v>
      </c>
      <c r="M710">
        <v>222</v>
      </c>
      <c r="N710">
        <v>273</v>
      </c>
      <c r="O710">
        <v>3</v>
      </c>
      <c r="P710">
        <v>273</v>
      </c>
      <c r="Q710">
        <v>51</v>
      </c>
      <c r="R710">
        <v>45</v>
      </c>
      <c r="T710">
        <v>10</v>
      </c>
      <c r="U710">
        <v>25</v>
      </c>
      <c r="V710">
        <v>7</v>
      </c>
      <c r="W710">
        <v>1</v>
      </c>
      <c r="X710">
        <v>109</v>
      </c>
      <c r="Y710">
        <v>1</v>
      </c>
      <c r="Z710">
        <v>2</v>
      </c>
      <c r="AA710">
        <v>7</v>
      </c>
      <c r="AB710">
        <v>6</v>
      </c>
      <c r="AW710">
        <v>0</v>
      </c>
      <c r="AX710">
        <v>9</v>
      </c>
      <c r="AY710">
        <v>273</v>
      </c>
      <c r="AZ710">
        <v>273</v>
      </c>
      <c r="BA710">
        <v>451</v>
      </c>
      <c r="BB710">
        <v>44</v>
      </c>
      <c r="BD710">
        <v>1</v>
      </c>
      <c r="BF710" t="s">
        <v>832</v>
      </c>
      <c r="BG710" s="1">
        <v>44354.135416666664</v>
      </c>
      <c r="BH710" s="1">
        <v>44354.138240740744</v>
      </c>
      <c r="BI710" s="1">
        <v>44354.138599537036</v>
      </c>
      <c r="BJ710" t="s">
        <v>85</v>
      </c>
      <c r="BK710" t="s">
        <v>86</v>
      </c>
      <c r="BL710" t="s">
        <v>87</v>
      </c>
    </row>
    <row r="711" spans="1:64" x14ac:dyDescent="0.3">
      <c r="A711" t="str">
        <f>"200398C0100"</f>
        <v>200398C0100</v>
      </c>
      <c r="B711" t="str">
        <f>"200398C01003"</f>
        <v>200398C01003</v>
      </c>
      <c r="C711" t="str">
        <f t="shared" ref="C711:C774" si="47">"20"</f>
        <v>20</v>
      </c>
      <c r="D711" t="s">
        <v>81</v>
      </c>
      <c r="E711" t="str">
        <f t="shared" si="46"/>
        <v>057</v>
      </c>
      <c r="F711" t="s">
        <v>828</v>
      </c>
      <c r="G711" t="str">
        <f>"0398"</f>
        <v>0398</v>
      </c>
      <c r="H711" t="str">
        <f>"0001"</f>
        <v>0001</v>
      </c>
      <c r="I711" t="s">
        <v>89</v>
      </c>
      <c r="J711">
        <v>0</v>
      </c>
      <c r="K711">
        <v>1</v>
      </c>
      <c r="L711">
        <v>3</v>
      </c>
      <c r="M711">
        <v>226</v>
      </c>
      <c r="N711">
        <v>269</v>
      </c>
      <c r="O711">
        <v>7</v>
      </c>
      <c r="P711">
        <v>269</v>
      </c>
      <c r="Q711">
        <v>48</v>
      </c>
      <c r="R711">
        <v>34</v>
      </c>
      <c r="T711">
        <v>18</v>
      </c>
      <c r="U711">
        <v>30</v>
      </c>
      <c r="V711">
        <v>5</v>
      </c>
      <c r="W711">
        <v>1</v>
      </c>
      <c r="X711">
        <v>110</v>
      </c>
      <c r="Y711">
        <v>1</v>
      </c>
      <c r="Z711">
        <v>1</v>
      </c>
      <c r="AA711">
        <v>7</v>
      </c>
      <c r="AB711">
        <v>10</v>
      </c>
      <c r="AW711">
        <v>0</v>
      </c>
      <c r="AX711">
        <v>4</v>
      </c>
      <c r="AY711">
        <v>269</v>
      </c>
      <c r="AZ711">
        <v>269</v>
      </c>
      <c r="BA711">
        <v>451</v>
      </c>
      <c r="BB711">
        <v>44</v>
      </c>
      <c r="BD711">
        <v>1</v>
      </c>
      <c r="BF711" t="s">
        <v>833</v>
      </c>
      <c r="BG711" s="1">
        <v>44354.134722222225</v>
      </c>
      <c r="BH711" s="1">
        <v>44354.138402777775</v>
      </c>
      <c r="BI711" s="1">
        <v>44354.138969907406</v>
      </c>
      <c r="BJ711" t="s">
        <v>85</v>
      </c>
      <c r="BK711" t="s">
        <v>86</v>
      </c>
      <c r="BL711" t="s">
        <v>87</v>
      </c>
    </row>
    <row r="712" spans="1:64" x14ac:dyDescent="0.3">
      <c r="A712" t="str">
        <f>"200399B0000"</f>
        <v>200399B0000</v>
      </c>
      <c r="B712" t="str">
        <f>"200399B00003"</f>
        <v>200399B00003</v>
      </c>
      <c r="C712" t="str">
        <f t="shared" si="47"/>
        <v>20</v>
      </c>
      <c r="D712" t="s">
        <v>81</v>
      </c>
      <c r="E712" t="str">
        <f t="shared" si="46"/>
        <v>057</v>
      </c>
      <c r="F712" t="s">
        <v>828</v>
      </c>
      <c r="G712" t="str">
        <f>"0399"</f>
        <v>0399</v>
      </c>
      <c r="H712" t="str">
        <f>"0000"</f>
        <v>0000</v>
      </c>
      <c r="I712" t="s">
        <v>83</v>
      </c>
      <c r="J712">
        <v>0</v>
      </c>
      <c r="K712">
        <v>1</v>
      </c>
      <c r="L712">
        <v>3</v>
      </c>
      <c r="M712">
        <v>355</v>
      </c>
      <c r="N712">
        <v>373</v>
      </c>
      <c r="O712">
        <v>4</v>
      </c>
      <c r="P712" t="s">
        <v>92</v>
      </c>
      <c r="Q712">
        <v>102</v>
      </c>
      <c r="R712">
        <v>56</v>
      </c>
      <c r="T712">
        <v>10</v>
      </c>
      <c r="U712">
        <v>44</v>
      </c>
      <c r="V712">
        <v>14</v>
      </c>
      <c r="W712">
        <v>8</v>
      </c>
      <c r="X712">
        <v>115</v>
      </c>
      <c r="Y712" t="s">
        <v>95</v>
      </c>
      <c r="Z712">
        <v>5</v>
      </c>
      <c r="AA712">
        <v>2</v>
      </c>
      <c r="AB712">
        <v>7</v>
      </c>
      <c r="AW712" t="s">
        <v>95</v>
      </c>
      <c r="AX712">
        <v>10</v>
      </c>
      <c r="AY712">
        <v>373</v>
      </c>
      <c r="AZ712">
        <v>373</v>
      </c>
      <c r="BA712">
        <v>684</v>
      </c>
      <c r="BB712">
        <v>44</v>
      </c>
      <c r="BC712" t="s">
        <v>96</v>
      </c>
      <c r="BD712">
        <v>1</v>
      </c>
      <c r="BF712" t="s">
        <v>834</v>
      </c>
      <c r="BG712" s="1">
        <v>44354.217361111114</v>
      </c>
      <c r="BH712" s="1">
        <v>44354.222905092596</v>
      </c>
      <c r="BI712" s="1">
        <v>44354.223391203705</v>
      </c>
      <c r="BJ712" t="s">
        <v>85</v>
      </c>
      <c r="BK712" t="s">
        <v>86</v>
      </c>
      <c r="BL712" t="s">
        <v>87</v>
      </c>
    </row>
    <row r="713" spans="1:64" x14ac:dyDescent="0.3">
      <c r="A713" t="str">
        <f>"200399C0100"</f>
        <v>200399C0100</v>
      </c>
      <c r="B713" t="str">
        <f>"200399C01003"</f>
        <v>200399C01003</v>
      </c>
      <c r="C713" t="str">
        <f t="shared" si="47"/>
        <v>20</v>
      </c>
      <c r="D713" t="s">
        <v>81</v>
      </c>
      <c r="E713" t="str">
        <f t="shared" si="46"/>
        <v>057</v>
      </c>
      <c r="F713" t="s">
        <v>828</v>
      </c>
      <c r="G713" t="str">
        <f>"0399"</f>
        <v>0399</v>
      </c>
      <c r="H713" t="str">
        <f>"0001"</f>
        <v>0001</v>
      </c>
      <c r="I713" t="s">
        <v>89</v>
      </c>
      <c r="J713">
        <v>0</v>
      </c>
      <c r="K713">
        <v>1</v>
      </c>
      <c r="L713">
        <v>3</v>
      </c>
      <c r="M713">
        <v>334</v>
      </c>
      <c r="N713">
        <v>393</v>
      </c>
      <c r="O713">
        <v>0</v>
      </c>
      <c r="P713" t="s">
        <v>92</v>
      </c>
      <c r="Q713">
        <v>120</v>
      </c>
      <c r="R713">
        <v>47</v>
      </c>
      <c r="T713">
        <v>6</v>
      </c>
      <c r="U713">
        <v>43</v>
      </c>
      <c r="V713">
        <v>12</v>
      </c>
      <c r="W713">
        <v>7</v>
      </c>
      <c r="X713">
        <v>140</v>
      </c>
      <c r="Y713">
        <v>2</v>
      </c>
      <c r="Z713">
        <v>1</v>
      </c>
      <c r="AA713">
        <v>2</v>
      </c>
      <c r="AB713">
        <v>10</v>
      </c>
      <c r="AW713">
        <v>0</v>
      </c>
      <c r="AX713">
        <v>3</v>
      </c>
      <c r="AY713">
        <v>393</v>
      </c>
      <c r="AZ713">
        <v>393</v>
      </c>
      <c r="BA713">
        <v>683</v>
      </c>
      <c r="BB713">
        <v>44</v>
      </c>
      <c r="BD713">
        <v>1</v>
      </c>
      <c r="BF713" t="s">
        <v>835</v>
      </c>
      <c r="BG713" s="1">
        <v>44354.217361111114</v>
      </c>
      <c r="BH713" s="1">
        <v>44354.222685185188</v>
      </c>
      <c r="BI713" s="1">
        <v>44354.223298611112</v>
      </c>
      <c r="BJ713" t="s">
        <v>85</v>
      </c>
      <c r="BK713" t="s">
        <v>86</v>
      </c>
      <c r="BL713" t="s">
        <v>87</v>
      </c>
    </row>
    <row r="714" spans="1:64" x14ac:dyDescent="0.3">
      <c r="A714" t="str">
        <f>"200400B0000"</f>
        <v>200400B0000</v>
      </c>
      <c r="B714" t="str">
        <f>"200400B00003"</f>
        <v>200400B00003</v>
      </c>
      <c r="C714" t="str">
        <f t="shared" si="47"/>
        <v>20</v>
      </c>
      <c r="D714" t="s">
        <v>81</v>
      </c>
      <c r="E714" t="str">
        <f t="shared" si="46"/>
        <v>057</v>
      </c>
      <c r="F714" t="s">
        <v>828</v>
      </c>
      <c r="G714" t="str">
        <f>"0400"</f>
        <v>0400</v>
      </c>
      <c r="H714" t="str">
        <f>"0000"</f>
        <v>0000</v>
      </c>
      <c r="I714" t="s">
        <v>83</v>
      </c>
      <c r="J714">
        <v>0</v>
      </c>
      <c r="K714">
        <v>1</v>
      </c>
      <c r="L714">
        <v>3</v>
      </c>
      <c r="BA714">
        <v>748</v>
      </c>
      <c r="BB714">
        <v>44</v>
      </c>
      <c r="BC714" t="s">
        <v>381</v>
      </c>
      <c r="BD714">
        <v>0</v>
      </c>
      <c r="BF714" t="s">
        <v>836</v>
      </c>
      <c r="BG714" s="1">
        <v>44354.446527777778</v>
      </c>
      <c r="BH714" s="1">
        <v>44354.468321759261</v>
      </c>
      <c r="BI714" s="1">
        <v>44354.468321759261</v>
      </c>
      <c r="BJ714" t="s">
        <v>85</v>
      </c>
      <c r="BK714" t="s">
        <v>86</v>
      </c>
      <c r="BL714" t="s">
        <v>87</v>
      </c>
    </row>
    <row r="715" spans="1:64" x14ac:dyDescent="0.3">
      <c r="A715" t="str">
        <f>"200400C0100"</f>
        <v>200400C0100</v>
      </c>
      <c r="B715" t="str">
        <f>"200400C01003"</f>
        <v>200400C01003</v>
      </c>
      <c r="C715" t="str">
        <f t="shared" si="47"/>
        <v>20</v>
      </c>
      <c r="D715" t="s">
        <v>81</v>
      </c>
      <c r="E715" t="str">
        <f t="shared" si="46"/>
        <v>057</v>
      </c>
      <c r="F715" t="s">
        <v>828</v>
      </c>
      <c r="G715" t="str">
        <f>"0400"</f>
        <v>0400</v>
      </c>
      <c r="H715" t="str">
        <f>"0001"</f>
        <v>0001</v>
      </c>
      <c r="I715" t="s">
        <v>89</v>
      </c>
      <c r="J715">
        <v>0</v>
      </c>
      <c r="K715">
        <v>1</v>
      </c>
      <c r="L715">
        <v>3</v>
      </c>
      <c r="M715">
        <v>365</v>
      </c>
      <c r="N715">
        <v>424</v>
      </c>
      <c r="O715">
        <v>1</v>
      </c>
      <c r="P715">
        <v>424</v>
      </c>
      <c r="Q715">
        <v>83</v>
      </c>
      <c r="R715">
        <v>53</v>
      </c>
      <c r="T715">
        <v>17</v>
      </c>
      <c r="U715">
        <v>75</v>
      </c>
      <c r="V715">
        <v>11</v>
      </c>
      <c r="W715">
        <v>3</v>
      </c>
      <c r="X715">
        <v>141</v>
      </c>
      <c r="Y715">
        <v>7</v>
      </c>
      <c r="Z715">
        <v>1</v>
      </c>
      <c r="AA715">
        <v>4</v>
      </c>
      <c r="AB715">
        <v>17</v>
      </c>
      <c r="AW715" t="s">
        <v>95</v>
      </c>
      <c r="AX715">
        <v>14</v>
      </c>
      <c r="AY715">
        <v>424</v>
      </c>
      <c r="AZ715">
        <v>426</v>
      </c>
      <c r="BA715">
        <v>747</v>
      </c>
      <c r="BB715">
        <v>44</v>
      </c>
      <c r="BC715" t="s">
        <v>96</v>
      </c>
      <c r="BD715">
        <v>1</v>
      </c>
      <c r="BF715" t="s">
        <v>837</v>
      </c>
      <c r="BG715" s="1">
        <v>44354.143055555556</v>
      </c>
      <c r="BH715" s="1">
        <v>44354.145798611113</v>
      </c>
      <c r="BI715" s="1">
        <v>44354.146458333336</v>
      </c>
      <c r="BJ715" t="s">
        <v>85</v>
      </c>
      <c r="BK715" t="s">
        <v>86</v>
      </c>
      <c r="BL715" t="s">
        <v>87</v>
      </c>
    </row>
    <row r="716" spans="1:64" x14ac:dyDescent="0.3">
      <c r="A716" t="str">
        <f>"200400C0200"</f>
        <v>200400C0200</v>
      </c>
      <c r="B716" t="str">
        <f>"200400C02003"</f>
        <v>200400C02003</v>
      </c>
      <c r="C716" t="str">
        <f t="shared" si="47"/>
        <v>20</v>
      </c>
      <c r="D716" t="s">
        <v>81</v>
      </c>
      <c r="E716" t="str">
        <f t="shared" si="46"/>
        <v>057</v>
      </c>
      <c r="F716" t="s">
        <v>828</v>
      </c>
      <c r="G716" t="str">
        <f>"0400"</f>
        <v>0400</v>
      </c>
      <c r="H716" t="str">
        <f>"0002"</f>
        <v>0002</v>
      </c>
      <c r="I716" t="s">
        <v>89</v>
      </c>
      <c r="J716">
        <v>0</v>
      </c>
      <c r="K716">
        <v>1</v>
      </c>
      <c r="L716">
        <v>3</v>
      </c>
      <c r="M716">
        <v>387</v>
      </c>
      <c r="N716">
        <v>404</v>
      </c>
      <c r="O716">
        <v>0</v>
      </c>
      <c r="P716">
        <v>404</v>
      </c>
      <c r="Q716">
        <v>74</v>
      </c>
      <c r="R716">
        <v>44</v>
      </c>
      <c r="T716">
        <v>17</v>
      </c>
      <c r="U716">
        <v>84</v>
      </c>
      <c r="V716">
        <v>10</v>
      </c>
      <c r="W716">
        <v>2</v>
      </c>
      <c r="X716">
        <v>141</v>
      </c>
      <c r="Y716">
        <v>1</v>
      </c>
      <c r="Z716">
        <v>1</v>
      </c>
      <c r="AA716">
        <v>0</v>
      </c>
      <c r="AB716">
        <v>14</v>
      </c>
      <c r="AW716">
        <v>2</v>
      </c>
      <c r="AX716">
        <v>14</v>
      </c>
      <c r="AY716">
        <v>404</v>
      </c>
      <c r="AZ716">
        <v>404</v>
      </c>
      <c r="BA716">
        <v>747</v>
      </c>
      <c r="BB716">
        <v>44</v>
      </c>
      <c r="BD716">
        <v>1</v>
      </c>
      <c r="BF716" t="s">
        <v>838</v>
      </c>
      <c r="BG716" s="1">
        <v>44354.143055555556</v>
      </c>
      <c r="BH716" s="1">
        <v>44354.145497685182</v>
      </c>
      <c r="BI716" s="1">
        <v>44354.145995370367</v>
      </c>
      <c r="BJ716" t="s">
        <v>85</v>
      </c>
      <c r="BK716" t="s">
        <v>86</v>
      </c>
      <c r="BL716" t="s">
        <v>87</v>
      </c>
    </row>
    <row r="717" spans="1:64" x14ac:dyDescent="0.3">
      <c r="A717" t="str">
        <f>"200401B0000"</f>
        <v>200401B0000</v>
      </c>
      <c r="B717" t="str">
        <f>"200401B00003"</f>
        <v>200401B00003</v>
      </c>
      <c r="C717" t="str">
        <f t="shared" si="47"/>
        <v>20</v>
      </c>
      <c r="D717" t="s">
        <v>81</v>
      </c>
      <c r="E717" t="str">
        <f t="shared" si="46"/>
        <v>057</v>
      </c>
      <c r="F717" t="s">
        <v>828</v>
      </c>
      <c r="G717" t="str">
        <f>"0401"</f>
        <v>0401</v>
      </c>
      <c r="H717" t="str">
        <f>"0000"</f>
        <v>0000</v>
      </c>
      <c r="I717" t="s">
        <v>83</v>
      </c>
      <c r="J717">
        <v>0</v>
      </c>
      <c r="K717">
        <v>1</v>
      </c>
      <c r="L717">
        <v>3</v>
      </c>
      <c r="M717">
        <v>281</v>
      </c>
      <c r="N717">
        <v>278</v>
      </c>
      <c r="O717">
        <v>3</v>
      </c>
      <c r="P717">
        <v>278</v>
      </c>
      <c r="Q717">
        <v>70</v>
      </c>
      <c r="R717">
        <v>33</v>
      </c>
      <c r="T717">
        <v>6</v>
      </c>
      <c r="U717">
        <v>32</v>
      </c>
      <c r="V717">
        <v>8</v>
      </c>
      <c r="W717">
        <v>1</v>
      </c>
      <c r="X717">
        <v>92</v>
      </c>
      <c r="Y717" t="s">
        <v>95</v>
      </c>
      <c r="Z717" t="s">
        <v>95</v>
      </c>
      <c r="AA717">
        <v>1</v>
      </c>
      <c r="AB717">
        <v>29</v>
      </c>
      <c r="AW717">
        <v>1</v>
      </c>
      <c r="AX717">
        <v>5</v>
      </c>
      <c r="AY717">
        <v>278</v>
      </c>
      <c r="AZ717">
        <v>278</v>
      </c>
      <c r="BA717">
        <v>515</v>
      </c>
      <c r="BB717">
        <v>44</v>
      </c>
      <c r="BC717" t="s">
        <v>96</v>
      </c>
      <c r="BD717">
        <v>1</v>
      </c>
      <c r="BF717" t="s">
        <v>839</v>
      </c>
      <c r="BG717" s="1">
        <v>44354.15</v>
      </c>
      <c r="BH717" s="1">
        <v>44354.15421296296</v>
      </c>
      <c r="BI717" s="1">
        <v>44354.154537037037</v>
      </c>
      <c r="BJ717" t="s">
        <v>85</v>
      </c>
      <c r="BK717" t="s">
        <v>86</v>
      </c>
      <c r="BL717" t="s">
        <v>87</v>
      </c>
    </row>
    <row r="718" spans="1:64" x14ac:dyDescent="0.3">
      <c r="A718" t="str">
        <f>"200401C0100"</f>
        <v>200401C0100</v>
      </c>
      <c r="B718" t="str">
        <f>"200401C01003"</f>
        <v>200401C01003</v>
      </c>
      <c r="C718" t="str">
        <f t="shared" si="47"/>
        <v>20</v>
      </c>
      <c r="D718" t="s">
        <v>81</v>
      </c>
      <c r="E718" t="str">
        <f t="shared" si="46"/>
        <v>057</v>
      </c>
      <c r="F718" t="s">
        <v>828</v>
      </c>
      <c r="G718" t="str">
        <f>"0401"</f>
        <v>0401</v>
      </c>
      <c r="H718" t="str">
        <f>"0001"</f>
        <v>0001</v>
      </c>
      <c r="I718" t="s">
        <v>89</v>
      </c>
      <c r="J718">
        <v>0</v>
      </c>
      <c r="K718">
        <v>1</v>
      </c>
      <c r="L718">
        <v>3</v>
      </c>
      <c r="M718">
        <v>276</v>
      </c>
      <c r="N718">
        <v>282</v>
      </c>
      <c r="O718">
        <v>5</v>
      </c>
      <c r="P718">
        <v>282</v>
      </c>
      <c r="Q718">
        <v>69</v>
      </c>
      <c r="R718">
        <v>25</v>
      </c>
      <c r="T718">
        <v>6</v>
      </c>
      <c r="U718">
        <v>27</v>
      </c>
      <c r="V718">
        <v>3</v>
      </c>
      <c r="W718">
        <v>1</v>
      </c>
      <c r="X718">
        <v>117</v>
      </c>
      <c r="Y718">
        <v>1</v>
      </c>
      <c r="Z718">
        <v>0</v>
      </c>
      <c r="AA718">
        <v>1</v>
      </c>
      <c r="AB718">
        <v>24</v>
      </c>
      <c r="AW718">
        <v>0</v>
      </c>
      <c r="AX718">
        <v>8</v>
      </c>
      <c r="AY718">
        <v>282</v>
      </c>
      <c r="AZ718">
        <v>282</v>
      </c>
      <c r="BA718">
        <v>514</v>
      </c>
      <c r="BB718">
        <v>44</v>
      </c>
      <c r="BD718">
        <v>1</v>
      </c>
      <c r="BF718" t="s">
        <v>840</v>
      </c>
      <c r="BG718" s="1">
        <v>44354.15</v>
      </c>
      <c r="BH718" s="1">
        <v>44354.154918981483</v>
      </c>
      <c r="BI718" s="1">
        <v>44354.155439814815</v>
      </c>
      <c r="BJ718" t="s">
        <v>85</v>
      </c>
      <c r="BK718" t="s">
        <v>86</v>
      </c>
      <c r="BL718" t="s">
        <v>87</v>
      </c>
    </row>
    <row r="719" spans="1:64" x14ac:dyDescent="0.3">
      <c r="A719" t="str">
        <f>"200402B0000"</f>
        <v>200402B0000</v>
      </c>
      <c r="B719" t="str">
        <f>"200402B00003"</f>
        <v>200402B00003</v>
      </c>
      <c r="C719" t="str">
        <f t="shared" si="47"/>
        <v>20</v>
      </c>
      <c r="D719" t="s">
        <v>81</v>
      </c>
      <c r="E719" t="str">
        <f t="shared" si="46"/>
        <v>057</v>
      </c>
      <c r="F719" t="s">
        <v>828</v>
      </c>
      <c r="G719" t="str">
        <f>"0402"</f>
        <v>0402</v>
      </c>
      <c r="H719" t="str">
        <f>"0000"</f>
        <v>0000</v>
      </c>
      <c r="I719" t="s">
        <v>83</v>
      </c>
      <c r="J719">
        <v>0</v>
      </c>
      <c r="K719">
        <v>1</v>
      </c>
      <c r="L719">
        <v>3</v>
      </c>
      <c r="M719">
        <v>230</v>
      </c>
      <c r="N719">
        <v>269</v>
      </c>
      <c r="O719">
        <v>3</v>
      </c>
      <c r="P719">
        <v>269</v>
      </c>
      <c r="Q719">
        <v>102</v>
      </c>
      <c r="R719">
        <v>30</v>
      </c>
      <c r="T719">
        <v>1</v>
      </c>
      <c r="U719">
        <v>22</v>
      </c>
      <c r="V719">
        <v>4</v>
      </c>
      <c r="W719">
        <v>7</v>
      </c>
      <c r="X719">
        <v>79</v>
      </c>
      <c r="Y719">
        <v>1</v>
      </c>
      <c r="Z719">
        <v>3</v>
      </c>
      <c r="AA719">
        <v>2</v>
      </c>
      <c r="AB719">
        <v>16</v>
      </c>
      <c r="AW719">
        <v>0</v>
      </c>
      <c r="AX719">
        <v>2</v>
      </c>
      <c r="AY719">
        <v>269</v>
      </c>
      <c r="AZ719">
        <v>269</v>
      </c>
      <c r="BA719">
        <v>455</v>
      </c>
      <c r="BB719">
        <v>44</v>
      </c>
      <c r="BD719">
        <v>1</v>
      </c>
      <c r="BF719" t="s">
        <v>841</v>
      </c>
      <c r="BG719" s="1">
        <v>44354.137499999997</v>
      </c>
      <c r="BH719" s="1">
        <v>44354.141481481478</v>
      </c>
      <c r="BI719" s="1">
        <v>44354.141840277778</v>
      </c>
      <c r="BJ719" t="s">
        <v>85</v>
      </c>
      <c r="BK719" t="s">
        <v>86</v>
      </c>
      <c r="BL719" t="s">
        <v>87</v>
      </c>
    </row>
    <row r="720" spans="1:64" x14ac:dyDescent="0.3">
      <c r="A720" t="str">
        <f>"200402C0100"</f>
        <v>200402C0100</v>
      </c>
      <c r="B720" t="str">
        <f>"200402C01003"</f>
        <v>200402C01003</v>
      </c>
      <c r="C720" t="str">
        <f t="shared" si="47"/>
        <v>20</v>
      </c>
      <c r="D720" t="s">
        <v>81</v>
      </c>
      <c r="E720" t="str">
        <f t="shared" si="46"/>
        <v>057</v>
      </c>
      <c r="F720" t="s">
        <v>828</v>
      </c>
      <c r="G720" t="str">
        <f>"0402"</f>
        <v>0402</v>
      </c>
      <c r="H720" t="str">
        <f>"0001"</f>
        <v>0001</v>
      </c>
      <c r="I720" t="s">
        <v>89</v>
      </c>
      <c r="J720">
        <v>0</v>
      </c>
      <c r="K720">
        <v>1</v>
      </c>
      <c r="L720">
        <v>3</v>
      </c>
      <c r="M720">
        <v>245</v>
      </c>
      <c r="N720">
        <v>253</v>
      </c>
      <c r="O720">
        <v>5</v>
      </c>
      <c r="P720">
        <v>253</v>
      </c>
      <c r="Q720">
        <v>86</v>
      </c>
      <c r="R720">
        <v>43</v>
      </c>
      <c r="T720">
        <v>10</v>
      </c>
      <c r="U720">
        <v>19</v>
      </c>
      <c r="V720">
        <v>5</v>
      </c>
      <c r="W720">
        <v>4</v>
      </c>
      <c r="X720">
        <v>65</v>
      </c>
      <c r="Y720">
        <v>0</v>
      </c>
      <c r="Z720">
        <v>0</v>
      </c>
      <c r="AA720">
        <v>2</v>
      </c>
      <c r="AB720">
        <v>16</v>
      </c>
      <c r="AW720">
        <v>0</v>
      </c>
      <c r="AX720">
        <v>3</v>
      </c>
      <c r="AY720">
        <v>253</v>
      </c>
      <c r="AZ720">
        <v>253</v>
      </c>
      <c r="BA720">
        <v>454</v>
      </c>
      <c r="BB720">
        <v>44</v>
      </c>
      <c r="BD720">
        <v>1</v>
      </c>
      <c r="BF720" t="s">
        <v>842</v>
      </c>
      <c r="BG720" s="1">
        <v>44354.137499999997</v>
      </c>
      <c r="BH720" s="1">
        <v>44354.142488425925</v>
      </c>
      <c r="BI720" s="1">
        <v>44354.142847222225</v>
      </c>
      <c r="BJ720" t="s">
        <v>85</v>
      </c>
      <c r="BK720" t="s">
        <v>86</v>
      </c>
      <c r="BL720" t="s">
        <v>87</v>
      </c>
    </row>
    <row r="721" spans="1:64" x14ac:dyDescent="0.3">
      <c r="A721" t="str">
        <f>"200402S0100"</f>
        <v>200402S0100</v>
      </c>
      <c r="B721" t="str">
        <f>"200402S01003E"</f>
        <v>200402S01003E</v>
      </c>
      <c r="C721" t="str">
        <f t="shared" si="47"/>
        <v>20</v>
      </c>
      <c r="D721" t="s">
        <v>81</v>
      </c>
      <c r="E721" t="str">
        <f t="shared" si="46"/>
        <v>057</v>
      </c>
      <c r="F721" t="s">
        <v>828</v>
      </c>
      <c r="G721" t="str">
        <f>"0402"</f>
        <v>0402</v>
      </c>
      <c r="H721" t="str">
        <f>"0001"</f>
        <v>0001</v>
      </c>
      <c r="I721" t="s">
        <v>99</v>
      </c>
      <c r="J721">
        <v>0</v>
      </c>
      <c r="K721">
        <v>1</v>
      </c>
      <c r="L721" t="s">
        <v>100</v>
      </c>
      <c r="M721">
        <v>958</v>
      </c>
      <c r="N721">
        <v>42</v>
      </c>
      <c r="O721">
        <v>0</v>
      </c>
      <c r="P721">
        <v>42</v>
      </c>
      <c r="Q721">
        <v>7</v>
      </c>
      <c r="R721">
        <v>5</v>
      </c>
      <c r="T721">
        <v>1</v>
      </c>
      <c r="U721">
        <v>8</v>
      </c>
      <c r="V721">
        <v>1</v>
      </c>
      <c r="W721">
        <v>0</v>
      </c>
      <c r="X721">
        <v>17</v>
      </c>
      <c r="Y721">
        <v>0</v>
      </c>
      <c r="Z721">
        <v>1</v>
      </c>
      <c r="AA721">
        <v>0</v>
      </c>
      <c r="AB721">
        <v>1</v>
      </c>
      <c r="AW721">
        <v>0</v>
      </c>
      <c r="AX721">
        <v>1</v>
      </c>
      <c r="AY721">
        <v>42</v>
      </c>
      <c r="AZ721">
        <v>42</v>
      </c>
      <c r="BA721">
        <v>0</v>
      </c>
      <c r="BB721">
        <v>44</v>
      </c>
      <c r="BD721">
        <v>1</v>
      </c>
      <c r="BF721" t="s">
        <v>843</v>
      </c>
      <c r="BG721" s="1">
        <v>44354.135416666664</v>
      </c>
      <c r="BH721" s="1">
        <v>44354.138749999998</v>
      </c>
      <c r="BI721" s="1">
        <v>44354.139166666668</v>
      </c>
      <c r="BJ721" t="s">
        <v>85</v>
      </c>
      <c r="BK721" t="s">
        <v>86</v>
      </c>
      <c r="BL721" t="s">
        <v>87</v>
      </c>
    </row>
    <row r="722" spans="1:64" x14ac:dyDescent="0.3">
      <c r="A722" t="str">
        <f>"200403B0000"</f>
        <v>200403B0000</v>
      </c>
      <c r="B722" t="str">
        <f>"200403B00003"</f>
        <v>200403B00003</v>
      </c>
      <c r="C722" t="str">
        <f t="shared" si="47"/>
        <v>20</v>
      </c>
      <c r="D722" t="s">
        <v>81</v>
      </c>
      <c r="E722" t="str">
        <f t="shared" si="46"/>
        <v>057</v>
      </c>
      <c r="F722" t="s">
        <v>828</v>
      </c>
      <c r="G722" t="str">
        <f>"0403"</f>
        <v>0403</v>
      </c>
      <c r="H722" t="str">
        <f>"0000"</f>
        <v>0000</v>
      </c>
      <c r="I722" t="s">
        <v>83</v>
      </c>
      <c r="J722">
        <v>0</v>
      </c>
      <c r="K722">
        <v>1</v>
      </c>
      <c r="L722">
        <v>3</v>
      </c>
      <c r="M722">
        <v>279</v>
      </c>
      <c r="N722">
        <v>401</v>
      </c>
      <c r="O722">
        <v>0</v>
      </c>
      <c r="P722">
        <v>401</v>
      </c>
      <c r="Q722">
        <v>60</v>
      </c>
      <c r="R722">
        <v>59</v>
      </c>
      <c r="T722">
        <v>17</v>
      </c>
      <c r="U722">
        <v>108</v>
      </c>
      <c r="V722">
        <v>6</v>
      </c>
      <c r="W722" t="s">
        <v>95</v>
      </c>
      <c r="X722">
        <v>134</v>
      </c>
      <c r="Y722" t="s">
        <v>95</v>
      </c>
      <c r="Z722">
        <v>2</v>
      </c>
      <c r="AA722">
        <v>4</v>
      </c>
      <c r="AB722">
        <v>8</v>
      </c>
      <c r="AW722" t="s">
        <v>95</v>
      </c>
      <c r="AX722">
        <v>3</v>
      </c>
      <c r="AY722">
        <v>401</v>
      </c>
      <c r="AZ722">
        <v>401</v>
      </c>
      <c r="BA722">
        <v>636</v>
      </c>
      <c r="BB722">
        <v>44</v>
      </c>
      <c r="BC722" t="s">
        <v>96</v>
      </c>
      <c r="BD722">
        <v>1</v>
      </c>
      <c r="BF722" t="s">
        <v>844</v>
      </c>
      <c r="BG722" s="1">
        <v>44354.217361111114</v>
      </c>
      <c r="BH722" s="1">
        <v>44354.222256944442</v>
      </c>
      <c r="BI722" s="1">
        <v>44354.222777777781</v>
      </c>
      <c r="BJ722" t="s">
        <v>85</v>
      </c>
      <c r="BK722" t="s">
        <v>86</v>
      </c>
      <c r="BL722" t="s">
        <v>87</v>
      </c>
    </row>
    <row r="723" spans="1:64" x14ac:dyDescent="0.3">
      <c r="A723" t="str">
        <f>"200403C0100"</f>
        <v>200403C0100</v>
      </c>
      <c r="B723" t="str">
        <f>"200403C01003"</f>
        <v>200403C01003</v>
      </c>
      <c r="C723" t="str">
        <f t="shared" si="47"/>
        <v>20</v>
      </c>
      <c r="D723" t="s">
        <v>81</v>
      </c>
      <c r="E723" t="str">
        <f t="shared" si="46"/>
        <v>057</v>
      </c>
      <c r="F723" t="s">
        <v>828</v>
      </c>
      <c r="G723" t="str">
        <f>"0403"</f>
        <v>0403</v>
      </c>
      <c r="H723" t="str">
        <f>"0001"</f>
        <v>0001</v>
      </c>
      <c r="I723" t="s">
        <v>89</v>
      </c>
      <c r="J723">
        <v>0</v>
      </c>
      <c r="K723">
        <v>1</v>
      </c>
      <c r="L723">
        <v>3</v>
      </c>
      <c r="M723">
        <v>273</v>
      </c>
      <c r="N723">
        <v>407</v>
      </c>
      <c r="O723">
        <v>1</v>
      </c>
      <c r="P723">
        <v>406</v>
      </c>
      <c r="Q723">
        <v>70</v>
      </c>
      <c r="R723">
        <v>50</v>
      </c>
      <c r="T723">
        <v>26</v>
      </c>
      <c r="U723">
        <v>76</v>
      </c>
      <c r="V723">
        <v>3</v>
      </c>
      <c r="W723">
        <v>1</v>
      </c>
      <c r="X723">
        <v>163</v>
      </c>
      <c r="Y723">
        <v>1</v>
      </c>
      <c r="Z723">
        <v>1</v>
      </c>
      <c r="AA723">
        <v>3</v>
      </c>
      <c r="AB723">
        <v>7</v>
      </c>
      <c r="AW723">
        <v>0</v>
      </c>
      <c r="AX723">
        <v>5</v>
      </c>
      <c r="AY723">
        <v>400</v>
      </c>
      <c r="AZ723">
        <v>406</v>
      </c>
      <c r="BA723">
        <v>636</v>
      </c>
      <c r="BB723">
        <v>44</v>
      </c>
      <c r="BD723">
        <v>1</v>
      </c>
      <c r="BF723" t="s">
        <v>845</v>
      </c>
      <c r="BG723" s="1">
        <v>44354.216666666667</v>
      </c>
      <c r="BH723" s="1">
        <v>44354.221296296295</v>
      </c>
      <c r="BI723" s="1">
        <v>44354.221620370372</v>
      </c>
      <c r="BJ723" t="s">
        <v>85</v>
      </c>
      <c r="BK723" t="s">
        <v>86</v>
      </c>
      <c r="BL723" t="s">
        <v>87</v>
      </c>
    </row>
    <row r="724" spans="1:64" x14ac:dyDescent="0.3">
      <c r="A724" t="str">
        <f>"200404B0000"</f>
        <v>200404B0000</v>
      </c>
      <c r="B724" t="str">
        <f>"200404B00003"</f>
        <v>200404B00003</v>
      </c>
      <c r="C724" t="str">
        <f t="shared" si="47"/>
        <v>20</v>
      </c>
      <c r="D724" t="s">
        <v>81</v>
      </c>
      <c r="E724" t="str">
        <f t="shared" si="46"/>
        <v>057</v>
      </c>
      <c r="F724" t="s">
        <v>828</v>
      </c>
      <c r="G724" t="str">
        <f>"0404"</f>
        <v>0404</v>
      </c>
      <c r="H724" t="str">
        <f>"0000"</f>
        <v>0000</v>
      </c>
      <c r="I724" t="s">
        <v>83</v>
      </c>
      <c r="J724">
        <v>0</v>
      </c>
      <c r="K724">
        <v>1</v>
      </c>
      <c r="L724">
        <v>3</v>
      </c>
      <c r="M724" t="s">
        <v>92</v>
      </c>
      <c r="N724">
        <v>345</v>
      </c>
      <c r="O724">
        <v>0</v>
      </c>
      <c r="P724">
        <v>345</v>
      </c>
      <c r="Q724">
        <v>63</v>
      </c>
      <c r="R724">
        <v>50</v>
      </c>
      <c r="T724">
        <v>46</v>
      </c>
      <c r="U724">
        <v>47</v>
      </c>
      <c r="V724">
        <v>4</v>
      </c>
      <c r="W724">
        <v>2</v>
      </c>
      <c r="X724">
        <v>114</v>
      </c>
      <c r="Y724">
        <v>1</v>
      </c>
      <c r="Z724">
        <v>0</v>
      </c>
      <c r="AA724">
        <v>3</v>
      </c>
      <c r="AB724">
        <v>6</v>
      </c>
      <c r="AW724">
        <v>0</v>
      </c>
      <c r="AX724">
        <v>10</v>
      </c>
      <c r="AY724">
        <v>345</v>
      </c>
      <c r="AZ724">
        <v>346</v>
      </c>
      <c r="BA724">
        <v>543</v>
      </c>
      <c r="BB724">
        <v>44</v>
      </c>
      <c r="BD724">
        <v>1</v>
      </c>
      <c r="BF724" t="s">
        <v>846</v>
      </c>
      <c r="BG724" s="1">
        <v>44354.132638888892</v>
      </c>
      <c r="BH724" s="1">
        <v>44354.136203703703</v>
      </c>
      <c r="BI724" s="1">
        <v>44354.136793981481</v>
      </c>
      <c r="BJ724" t="s">
        <v>85</v>
      </c>
      <c r="BK724" t="s">
        <v>86</v>
      </c>
      <c r="BL724" t="s">
        <v>87</v>
      </c>
    </row>
    <row r="725" spans="1:64" x14ac:dyDescent="0.3">
      <c r="A725" t="str">
        <f>"200404C0100"</f>
        <v>200404C0100</v>
      </c>
      <c r="B725" t="str">
        <f>"200404C01003"</f>
        <v>200404C01003</v>
      </c>
      <c r="C725" t="str">
        <f t="shared" si="47"/>
        <v>20</v>
      </c>
      <c r="D725" t="s">
        <v>81</v>
      </c>
      <c r="E725" t="str">
        <f t="shared" si="46"/>
        <v>057</v>
      </c>
      <c r="F725" t="s">
        <v>828</v>
      </c>
      <c r="G725" t="str">
        <f>"0404"</f>
        <v>0404</v>
      </c>
      <c r="H725" t="str">
        <f>"0001"</f>
        <v>0001</v>
      </c>
      <c r="I725" t="s">
        <v>89</v>
      </c>
      <c r="J725">
        <v>0</v>
      </c>
      <c r="K725">
        <v>1</v>
      </c>
      <c r="L725">
        <v>3</v>
      </c>
      <c r="M725" t="s">
        <v>92</v>
      </c>
      <c r="N725" t="s">
        <v>92</v>
      </c>
      <c r="O725" t="s">
        <v>92</v>
      </c>
      <c r="P725" t="s">
        <v>92</v>
      </c>
      <c r="Q725">
        <v>67</v>
      </c>
      <c r="R725">
        <v>46</v>
      </c>
      <c r="T725">
        <v>52</v>
      </c>
      <c r="U725">
        <v>43</v>
      </c>
      <c r="V725">
        <v>3</v>
      </c>
      <c r="W725">
        <v>1</v>
      </c>
      <c r="X725">
        <v>111</v>
      </c>
      <c r="Y725">
        <v>1</v>
      </c>
      <c r="Z725">
        <v>1</v>
      </c>
      <c r="AA725">
        <v>2</v>
      </c>
      <c r="AB725">
        <v>4</v>
      </c>
      <c r="AW725" t="s">
        <v>95</v>
      </c>
      <c r="AX725" t="s">
        <v>95</v>
      </c>
      <c r="AY725" t="s">
        <v>95</v>
      </c>
      <c r="AZ725">
        <v>331</v>
      </c>
      <c r="BA725">
        <v>543</v>
      </c>
      <c r="BB725">
        <v>44</v>
      </c>
      <c r="BC725" t="s">
        <v>96</v>
      </c>
      <c r="BD725">
        <v>1</v>
      </c>
      <c r="BF725" t="s">
        <v>847</v>
      </c>
      <c r="BG725" s="1">
        <v>44354.133333333331</v>
      </c>
      <c r="BH725" s="1">
        <v>44354.136354166665</v>
      </c>
      <c r="BI725" s="1">
        <v>44354.136921296296</v>
      </c>
      <c r="BJ725" t="s">
        <v>85</v>
      </c>
      <c r="BK725" t="s">
        <v>86</v>
      </c>
      <c r="BL725" t="s">
        <v>87</v>
      </c>
    </row>
    <row r="726" spans="1:64" x14ac:dyDescent="0.3">
      <c r="A726" t="str">
        <f>"200405B0000"</f>
        <v>200405B0000</v>
      </c>
      <c r="B726" t="str">
        <f>"200405B00003"</f>
        <v>200405B00003</v>
      </c>
      <c r="C726" t="str">
        <f t="shared" si="47"/>
        <v>20</v>
      </c>
      <c r="D726" t="s">
        <v>81</v>
      </c>
      <c r="E726" t="str">
        <f t="shared" si="46"/>
        <v>057</v>
      </c>
      <c r="F726" t="s">
        <v>828</v>
      </c>
      <c r="G726" t="str">
        <f>"0405"</f>
        <v>0405</v>
      </c>
      <c r="H726" t="str">
        <f>"0000"</f>
        <v>0000</v>
      </c>
      <c r="I726" t="s">
        <v>83</v>
      </c>
      <c r="J726">
        <v>0</v>
      </c>
      <c r="K726">
        <v>1</v>
      </c>
      <c r="L726">
        <v>3</v>
      </c>
      <c r="M726">
        <v>254</v>
      </c>
      <c r="N726">
        <v>276</v>
      </c>
      <c r="O726">
        <v>4</v>
      </c>
      <c r="P726">
        <v>276</v>
      </c>
      <c r="Q726">
        <v>86</v>
      </c>
      <c r="R726">
        <v>40</v>
      </c>
      <c r="T726">
        <v>10</v>
      </c>
      <c r="U726">
        <v>30</v>
      </c>
      <c r="V726">
        <v>5</v>
      </c>
      <c r="W726">
        <v>5</v>
      </c>
      <c r="X726">
        <v>87</v>
      </c>
      <c r="Y726">
        <v>1</v>
      </c>
      <c r="Z726">
        <v>0</v>
      </c>
      <c r="AA726">
        <v>0</v>
      </c>
      <c r="AB726">
        <v>8</v>
      </c>
      <c r="AW726">
        <v>0</v>
      </c>
      <c r="AX726">
        <v>4</v>
      </c>
      <c r="AY726">
        <v>276</v>
      </c>
      <c r="AZ726">
        <v>276</v>
      </c>
      <c r="BA726">
        <v>486</v>
      </c>
      <c r="BB726">
        <v>44</v>
      </c>
      <c r="BD726">
        <v>1</v>
      </c>
      <c r="BF726" t="s">
        <v>848</v>
      </c>
      <c r="BG726" s="1">
        <v>44354.136805555558</v>
      </c>
      <c r="BH726" s="1">
        <v>44354.139039351852</v>
      </c>
      <c r="BI726" s="1">
        <v>44354.139456018522</v>
      </c>
      <c r="BJ726" t="s">
        <v>85</v>
      </c>
      <c r="BK726" t="s">
        <v>86</v>
      </c>
      <c r="BL726" t="s">
        <v>87</v>
      </c>
    </row>
    <row r="727" spans="1:64" x14ac:dyDescent="0.3">
      <c r="A727" t="str">
        <f>"200405C0100"</f>
        <v>200405C0100</v>
      </c>
      <c r="B727" t="str">
        <f>"200405C01003"</f>
        <v>200405C01003</v>
      </c>
      <c r="C727" t="str">
        <f t="shared" si="47"/>
        <v>20</v>
      </c>
      <c r="D727" t="s">
        <v>81</v>
      </c>
      <c r="E727" t="str">
        <f t="shared" si="46"/>
        <v>057</v>
      </c>
      <c r="F727" t="s">
        <v>828</v>
      </c>
      <c r="G727" t="str">
        <f>"0405"</f>
        <v>0405</v>
      </c>
      <c r="H727" t="str">
        <f>"0001"</f>
        <v>0001</v>
      </c>
      <c r="I727" t="s">
        <v>89</v>
      </c>
      <c r="J727">
        <v>0</v>
      </c>
      <c r="K727">
        <v>1</v>
      </c>
      <c r="L727">
        <v>3</v>
      </c>
      <c r="M727">
        <v>244</v>
      </c>
      <c r="N727">
        <v>285</v>
      </c>
      <c r="O727">
        <v>4</v>
      </c>
      <c r="P727">
        <v>285</v>
      </c>
      <c r="Q727">
        <v>71</v>
      </c>
      <c r="R727">
        <v>44</v>
      </c>
      <c r="T727">
        <v>7</v>
      </c>
      <c r="U727">
        <v>37</v>
      </c>
      <c r="V727">
        <v>9</v>
      </c>
      <c r="W727">
        <v>0</v>
      </c>
      <c r="X727">
        <v>90</v>
      </c>
      <c r="Y727">
        <v>0</v>
      </c>
      <c r="Z727">
        <v>2</v>
      </c>
      <c r="AA727">
        <v>1</v>
      </c>
      <c r="AB727">
        <v>20</v>
      </c>
      <c r="AW727">
        <v>0</v>
      </c>
      <c r="AX727">
        <v>4</v>
      </c>
      <c r="AY727">
        <v>285</v>
      </c>
      <c r="AZ727">
        <v>285</v>
      </c>
      <c r="BA727">
        <v>485</v>
      </c>
      <c r="BB727">
        <v>44</v>
      </c>
      <c r="BD727">
        <v>1</v>
      </c>
      <c r="BF727" t="s">
        <v>849</v>
      </c>
      <c r="BG727" s="1">
        <v>44354.136805555558</v>
      </c>
      <c r="BH727" s="1">
        <v>44354.140763888892</v>
      </c>
      <c r="BI727" s="1">
        <v>44354.142060185186</v>
      </c>
      <c r="BJ727" t="s">
        <v>85</v>
      </c>
      <c r="BK727" t="s">
        <v>86</v>
      </c>
      <c r="BL727" t="s">
        <v>87</v>
      </c>
    </row>
    <row r="728" spans="1:64" x14ac:dyDescent="0.3">
      <c r="A728" t="str">
        <f>"200406B0000"</f>
        <v>200406B0000</v>
      </c>
      <c r="B728" t="str">
        <f>"200406B00003"</f>
        <v>200406B00003</v>
      </c>
      <c r="C728" t="str">
        <f t="shared" si="47"/>
        <v>20</v>
      </c>
      <c r="D728" t="s">
        <v>81</v>
      </c>
      <c r="E728" t="str">
        <f t="shared" si="46"/>
        <v>057</v>
      </c>
      <c r="F728" t="s">
        <v>828</v>
      </c>
      <c r="G728" t="str">
        <f>"0406"</f>
        <v>0406</v>
      </c>
      <c r="H728" t="str">
        <f>"0000"</f>
        <v>0000</v>
      </c>
      <c r="I728" t="s">
        <v>83</v>
      </c>
      <c r="J728">
        <v>0</v>
      </c>
      <c r="K728">
        <v>1</v>
      </c>
      <c r="L728">
        <v>3</v>
      </c>
      <c r="M728" t="s">
        <v>131</v>
      </c>
      <c r="N728" t="s">
        <v>131</v>
      </c>
      <c r="O728" t="s">
        <v>131</v>
      </c>
      <c r="P728" t="s">
        <v>131</v>
      </c>
      <c r="Q728" t="s">
        <v>131</v>
      </c>
      <c r="R728" t="s">
        <v>131</v>
      </c>
      <c r="T728" t="s">
        <v>131</v>
      </c>
      <c r="U728" t="s">
        <v>131</v>
      </c>
      <c r="V728" t="s">
        <v>131</v>
      </c>
      <c r="W728" t="s">
        <v>131</v>
      </c>
      <c r="X728" t="s">
        <v>131</v>
      </c>
      <c r="Y728" t="s">
        <v>131</v>
      </c>
      <c r="Z728" t="s">
        <v>131</v>
      </c>
      <c r="AA728" t="s">
        <v>131</v>
      </c>
      <c r="AB728" t="s">
        <v>131</v>
      </c>
      <c r="AW728" t="s">
        <v>131</v>
      </c>
      <c r="AX728" t="s">
        <v>131</v>
      </c>
      <c r="BA728">
        <v>681</v>
      </c>
      <c r="BB728">
        <v>44</v>
      </c>
      <c r="BC728" t="s">
        <v>712</v>
      </c>
      <c r="BD728">
        <v>0</v>
      </c>
      <c r="BF728" t="s">
        <v>850</v>
      </c>
      <c r="BG728" s="1">
        <v>44354.138194444444</v>
      </c>
      <c r="BH728" s="1">
        <v>44354.147152777776</v>
      </c>
      <c r="BI728" s="1">
        <v>44354.162418981483</v>
      </c>
      <c r="BJ728" t="s">
        <v>85</v>
      </c>
      <c r="BK728" t="s">
        <v>86</v>
      </c>
      <c r="BL728" t="s">
        <v>87</v>
      </c>
    </row>
    <row r="729" spans="1:64" x14ac:dyDescent="0.3">
      <c r="A729" t="str">
        <f>"200406C0100"</f>
        <v>200406C0100</v>
      </c>
      <c r="B729" t="str">
        <f>"200406C01003"</f>
        <v>200406C01003</v>
      </c>
      <c r="C729" t="str">
        <f t="shared" si="47"/>
        <v>20</v>
      </c>
      <c r="D729" t="s">
        <v>81</v>
      </c>
      <c r="E729" t="str">
        <f t="shared" si="46"/>
        <v>057</v>
      </c>
      <c r="F729" t="s">
        <v>828</v>
      </c>
      <c r="G729" t="str">
        <f>"0406"</f>
        <v>0406</v>
      </c>
      <c r="H729" t="str">
        <f>"0001"</f>
        <v>0001</v>
      </c>
      <c r="I729" t="s">
        <v>89</v>
      </c>
      <c r="J729">
        <v>0</v>
      </c>
      <c r="K729">
        <v>1</v>
      </c>
      <c r="L729">
        <v>3</v>
      </c>
      <c r="M729">
        <v>325</v>
      </c>
      <c r="N729">
        <v>400</v>
      </c>
      <c r="O729">
        <v>5</v>
      </c>
      <c r="P729">
        <v>400</v>
      </c>
      <c r="Q729">
        <v>87</v>
      </c>
      <c r="R729">
        <v>25</v>
      </c>
      <c r="T729">
        <v>14</v>
      </c>
      <c r="U729">
        <v>82</v>
      </c>
      <c r="V729">
        <v>10</v>
      </c>
      <c r="W729">
        <v>2</v>
      </c>
      <c r="X729">
        <v>153</v>
      </c>
      <c r="Y729">
        <v>2</v>
      </c>
      <c r="Z729">
        <v>1</v>
      </c>
      <c r="AA729">
        <v>0</v>
      </c>
      <c r="AB729">
        <v>19</v>
      </c>
      <c r="AW729">
        <v>0</v>
      </c>
      <c r="AX729">
        <v>5</v>
      </c>
      <c r="AY729">
        <v>400</v>
      </c>
      <c r="AZ729">
        <v>400</v>
      </c>
      <c r="BA729">
        <v>681</v>
      </c>
      <c r="BB729">
        <v>44</v>
      </c>
      <c r="BD729">
        <v>1</v>
      </c>
      <c r="BF729" t="s">
        <v>851</v>
      </c>
      <c r="BG729" s="1">
        <v>44354.15</v>
      </c>
      <c r="BH729" s="1">
        <v>44354.155335648145</v>
      </c>
      <c r="BI729" s="1">
        <v>44354.155960648146</v>
      </c>
      <c r="BJ729" t="s">
        <v>85</v>
      </c>
      <c r="BK729" t="s">
        <v>86</v>
      </c>
      <c r="BL729" t="s">
        <v>87</v>
      </c>
    </row>
    <row r="730" spans="1:64" x14ac:dyDescent="0.3">
      <c r="A730" t="str">
        <f>"200407B0000"</f>
        <v>200407B0000</v>
      </c>
      <c r="B730" t="str">
        <f>"200407B00003"</f>
        <v>200407B00003</v>
      </c>
      <c r="C730" t="str">
        <f t="shared" si="47"/>
        <v>20</v>
      </c>
      <c r="D730" t="s">
        <v>81</v>
      </c>
      <c r="E730" t="str">
        <f t="shared" si="46"/>
        <v>057</v>
      </c>
      <c r="F730" t="s">
        <v>828</v>
      </c>
      <c r="G730" t="str">
        <f>"0407"</f>
        <v>0407</v>
      </c>
      <c r="H730" t="str">
        <f>"0000"</f>
        <v>0000</v>
      </c>
      <c r="I730" t="s">
        <v>83</v>
      </c>
      <c r="J730">
        <v>0</v>
      </c>
      <c r="K730">
        <v>1</v>
      </c>
      <c r="L730">
        <v>3</v>
      </c>
      <c r="M730">
        <v>348</v>
      </c>
      <c r="N730">
        <v>420</v>
      </c>
      <c r="O730">
        <v>0</v>
      </c>
      <c r="P730" t="s">
        <v>92</v>
      </c>
      <c r="Q730">
        <v>93</v>
      </c>
      <c r="R730">
        <v>53</v>
      </c>
      <c r="T730">
        <v>22</v>
      </c>
      <c r="U730">
        <v>57</v>
      </c>
      <c r="V730">
        <v>7</v>
      </c>
      <c r="W730">
        <v>2</v>
      </c>
      <c r="X730">
        <v>159</v>
      </c>
      <c r="Y730">
        <v>3</v>
      </c>
      <c r="Z730">
        <v>0</v>
      </c>
      <c r="AA730">
        <v>7</v>
      </c>
      <c r="AB730">
        <v>11</v>
      </c>
      <c r="AW730" t="s">
        <v>95</v>
      </c>
      <c r="AX730">
        <v>6</v>
      </c>
      <c r="AY730">
        <v>420</v>
      </c>
      <c r="AZ730">
        <v>420</v>
      </c>
      <c r="BA730">
        <v>724</v>
      </c>
      <c r="BB730">
        <v>44</v>
      </c>
      <c r="BC730" t="s">
        <v>96</v>
      </c>
      <c r="BD730">
        <v>1</v>
      </c>
      <c r="BF730" t="s">
        <v>852</v>
      </c>
      <c r="BG730" s="1">
        <v>44354.136805555558</v>
      </c>
      <c r="BH730" s="1">
        <v>44354.139409722222</v>
      </c>
      <c r="BI730" s="1">
        <v>44354.139826388891</v>
      </c>
      <c r="BJ730" t="s">
        <v>85</v>
      </c>
      <c r="BK730" t="s">
        <v>86</v>
      </c>
      <c r="BL730" t="s">
        <v>87</v>
      </c>
    </row>
    <row r="731" spans="1:64" x14ac:dyDescent="0.3">
      <c r="A731" t="str">
        <f>"200407C0100"</f>
        <v>200407C0100</v>
      </c>
      <c r="B731" t="str">
        <f>"200407C01003"</f>
        <v>200407C01003</v>
      </c>
      <c r="C731" t="str">
        <f t="shared" si="47"/>
        <v>20</v>
      </c>
      <c r="D731" t="s">
        <v>81</v>
      </c>
      <c r="E731" t="str">
        <f t="shared" si="46"/>
        <v>057</v>
      </c>
      <c r="F731" t="s">
        <v>828</v>
      </c>
      <c r="G731" t="str">
        <f>"0407"</f>
        <v>0407</v>
      </c>
      <c r="H731" t="str">
        <f>"0001"</f>
        <v>0001</v>
      </c>
      <c r="I731" t="s">
        <v>89</v>
      </c>
      <c r="J731">
        <v>0</v>
      </c>
      <c r="K731">
        <v>1</v>
      </c>
      <c r="L731">
        <v>3</v>
      </c>
      <c r="M731">
        <v>353</v>
      </c>
      <c r="N731">
        <v>415</v>
      </c>
      <c r="O731">
        <v>1</v>
      </c>
      <c r="P731">
        <v>415</v>
      </c>
      <c r="Q731">
        <v>101</v>
      </c>
      <c r="R731">
        <v>59</v>
      </c>
      <c r="T731">
        <v>17</v>
      </c>
      <c r="U731">
        <v>79</v>
      </c>
      <c r="V731">
        <v>6</v>
      </c>
      <c r="W731">
        <v>0</v>
      </c>
      <c r="X731">
        <v>124</v>
      </c>
      <c r="Y731">
        <v>1</v>
      </c>
      <c r="Z731">
        <v>3</v>
      </c>
      <c r="AA731">
        <v>4</v>
      </c>
      <c r="AB731">
        <v>8</v>
      </c>
      <c r="AW731">
        <v>1</v>
      </c>
      <c r="AX731">
        <v>12</v>
      </c>
      <c r="AY731">
        <v>415</v>
      </c>
      <c r="AZ731">
        <v>415</v>
      </c>
      <c r="BA731">
        <v>724</v>
      </c>
      <c r="BB731">
        <v>44</v>
      </c>
      <c r="BD731">
        <v>1</v>
      </c>
      <c r="BF731" t="s">
        <v>853</v>
      </c>
      <c r="BG731" s="1">
        <v>44354.136805555558</v>
      </c>
      <c r="BH731" s="1">
        <v>44354.139560185184</v>
      </c>
      <c r="BI731" s="1">
        <v>44354.1408912037</v>
      </c>
      <c r="BJ731" t="s">
        <v>85</v>
      </c>
      <c r="BK731" t="s">
        <v>86</v>
      </c>
      <c r="BL731" t="s">
        <v>87</v>
      </c>
    </row>
    <row r="732" spans="1:64" x14ac:dyDescent="0.3">
      <c r="A732" t="str">
        <f>"200407C0200"</f>
        <v>200407C0200</v>
      </c>
      <c r="B732" t="str">
        <f>"200407C02003"</f>
        <v>200407C02003</v>
      </c>
      <c r="C732" t="str">
        <f t="shared" si="47"/>
        <v>20</v>
      </c>
      <c r="D732" t="s">
        <v>81</v>
      </c>
      <c r="E732" t="str">
        <f t="shared" si="46"/>
        <v>057</v>
      </c>
      <c r="F732" t="s">
        <v>828</v>
      </c>
      <c r="G732" t="str">
        <f>"0407"</f>
        <v>0407</v>
      </c>
      <c r="H732" t="str">
        <f>"0002"</f>
        <v>0002</v>
      </c>
      <c r="I732" t="s">
        <v>89</v>
      </c>
      <c r="J732">
        <v>0</v>
      </c>
      <c r="K732">
        <v>1</v>
      </c>
      <c r="L732">
        <v>3</v>
      </c>
      <c r="M732">
        <v>364</v>
      </c>
      <c r="N732">
        <v>403</v>
      </c>
      <c r="O732">
        <v>2</v>
      </c>
      <c r="P732">
        <v>403</v>
      </c>
      <c r="Q732">
        <v>98</v>
      </c>
      <c r="R732">
        <v>48</v>
      </c>
      <c r="T732">
        <v>15</v>
      </c>
      <c r="U732">
        <v>44</v>
      </c>
      <c r="V732">
        <v>7</v>
      </c>
      <c r="W732">
        <v>3</v>
      </c>
      <c r="X732">
        <v>164</v>
      </c>
      <c r="Y732">
        <v>1</v>
      </c>
      <c r="Z732">
        <v>1</v>
      </c>
      <c r="AA732">
        <v>5</v>
      </c>
      <c r="AB732">
        <v>10</v>
      </c>
      <c r="AW732" t="s">
        <v>95</v>
      </c>
      <c r="AX732">
        <v>8</v>
      </c>
      <c r="AY732">
        <v>403</v>
      </c>
      <c r="AZ732">
        <v>404</v>
      </c>
      <c r="BA732">
        <v>724</v>
      </c>
      <c r="BB732">
        <v>44</v>
      </c>
      <c r="BC732" t="s">
        <v>96</v>
      </c>
      <c r="BD732">
        <v>1</v>
      </c>
      <c r="BF732" t="s">
        <v>854</v>
      </c>
      <c r="BG732" s="1">
        <v>44354.136111111111</v>
      </c>
      <c r="BH732" s="1">
        <v>44354.138877314814</v>
      </c>
      <c r="BI732" s="1">
        <v>44354.14</v>
      </c>
      <c r="BJ732" t="s">
        <v>85</v>
      </c>
      <c r="BK732" t="s">
        <v>86</v>
      </c>
      <c r="BL732" t="s">
        <v>87</v>
      </c>
    </row>
    <row r="733" spans="1:64" x14ac:dyDescent="0.3">
      <c r="A733" t="str">
        <f>"200408B0000"</f>
        <v>200408B0000</v>
      </c>
      <c r="B733" t="str">
        <f>"200408B00003"</f>
        <v>200408B00003</v>
      </c>
      <c r="C733" t="str">
        <f t="shared" si="47"/>
        <v>20</v>
      </c>
      <c r="D733" t="s">
        <v>81</v>
      </c>
      <c r="E733" t="str">
        <f t="shared" si="46"/>
        <v>057</v>
      </c>
      <c r="F733" t="s">
        <v>828</v>
      </c>
      <c r="G733" t="str">
        <f>"0408"</f>
        <v>0408</v>
      </c>
      <c r="H733" t="str">
        <f>"0000"</f>
        <v>0000</v>
      </c>
      <c r="I733" t="s">
        <v>83</v>
      </c>
      <c r="J733">
        <v>0</v>
      </c>
      <c r="K733">
        <v>1</v>
      </c>
      <c r="L733">
        <v>3</v>
      </c>
      <c r="M733">
        <v>317</v>
      </c>
      <c r="N733">
        <v>363</v>
      </c>
      <c r="O733">
        <v>1</v>
      </c>
      <c r="P733">
        <v>363</v>
      </c>
      <c r="Q733">
        <v>51</v>
      </c>
      <c r="R733">
        <v>53</v>
      </c>
      <c r="T733">
        <v>19</v>
      </c>
      <c r="U733">
        <v>84</v>
      </c>
      <c r="V733">
        <v>3</v>
      </c>
      <c r="W733">
        <v>2</v>
      </c>
      <c r="X733">
        <v>136</v>
      </c>
      <c r="Y733" t="s">
        <v>95</v>
      </c>
      <c r="Z733" t="s">
        <v>95</v>
      </c>
      <c r="AA733">
        <v>7</v>
      </c>
      <c r="AB733">
        <v>2</v>
      </c>
      <c r="AW733" t="s">
        <v>95</v>
      </c>
      <c r="AX733">
        <v>6</v>
      </c>
      <c r="AY733">
        <v>363</v>
      </c>
      <c r="AZ733">
        <v>363</v>
      </c>
      <c r="BA733">
        <v>636</v>
      </c>
      <c r="BB733">
        <v>44</v>
      </c>
      <c r="BC733" t="s">
        <v>96</v>
      </c>
      <c r="BD733">
        <v>1</v>
      </c>
      <c r="BF733" t="s">
        <v>855</v>
      </c>
      <c r="BG733" s="1">
        <v>44354.133333333331</v>
      </c>
      <c r="BH733" s="1">
        <v>44354.136400462965</v>
      </c>
      <c r="BI733" s="1">
        <v>44354.136874999997</v>
      </c>
      <c r="BJ733" t="s">
        <v>85</v>
      </c>
      <c r="BK733" t="s">
        <v>86</v>
      </c>
      <c r="BL733" t="s">
        <v>87</v>
      </c>
    </row>
    <row r="734" spans="1:64" x14ac:dyDescent="0.3">
      <c r="A734" t="str">
        <f>"200408C0100"</f>
        <v>200408C0100</v>
      </c>
      <c r="B734" t="str">
        <f>"200408C01003"</f>
        <v>200408C01003</v>
      </c>
      <c r="C734" t="str">
        <f t="shared" si="47"/>
        <v>20</v>
      </c>
      <c r="D734" t="s">
        <v>81</v>
      </c>
      <c r="E734" t="str">
        <f t="shared" si="46"/>
        <v>057</v>
      </c>
      <c r="F734" t="s">
        <v>828</v>
      </c>
      <c r="G734" t="str">
        <f>"0408"</f>
        <v>0408</v>
      </c>
      <c r="H734" t="str">
        <f>"0001"</f>
        <v>0001</v>
      </c>
      <c r="I734" t="s">
        <v>89</v>
      </c>
      <c r="J734">
        <v>0</v>
      </c>
      <c r="K734">
        <v>1</v>
      </c>
      <c r="L734">
        <v>3</v>
      </c>
      <c r="M734">
        <v>315</v>
      </c>
      <c r="N734">
        <v>365</v>
      </c>
      <c r="O734">
        <v>0</v>
      </c>
      <c r="P734">
        <v>365</v>
      </c>
      <c r="Q734">
        <v>40</v>
      </c>
      <c r="R734">
        <v>46</v>
      </c>
      <c r="T734">
        <v>36</v>
      </c>
      <c r="U734">
        <v>94</v>
      </c>
      <c r="V734">
        <v>2</v>
      </c>
      <c r="W734">
        <v>3</v>
      </c>
      <c r="X734">
        <v>122</v>
      </c>
      <c r="Y734">
        <v>0</v>
      </c>
      <c r="Z734">
        <v>1</v>
      </c>
      <c r="AA734">
        <v>4</v>
      </c>
      <c r="AB734">
        <v>5</v>
      </c>
      <c r="AW734">
        <v>0</v>
      </c>
      <c r="AX734">
        <v>12</v>
      </c>
      <c r="AY734">
        <v>365</v>
      </c>
      <c r="AZ734">
        <v>365</v>
      </c>
      <c r="BA734">
        <v>636</v>
      </c>
      <c r="BB734">
        <v>44</v>
      </c>
      <c r="BD734">
        <v>1</v>
      </c>
      <c r="BF734" t="s">
        <v>856</v>
      </c>
      <c r="BG734" s="1">
        <v>44354.134027777778</v>
      </c>
      <c r="BH734" s="1">
        <v>44354.136608796296</v>
      </c>
      <c r="BI734" s="1">
        <v>44354.13721064815</v>
      </c>
      <c r="BJ734" t="s">
        <v>85</v>
      </c>
      <c r="BK734" t="s">
        <v>86</v>
      </c>
      <c r="BL734" t="s">
        <v>87</v>
      </c>
    </row>
    <row r="735" spans="1:64" x14ac:dyDescent="0.3">
      <c r="A735" t="str">
        <f>"200408C0200"</f>
        <v>200408C0200</v>
      </c>
      <c r="B735" t="str">
        <f>"200408C02003"</f>
        <v>200408C02003</v>
      </c>
      <c r="C735" t="str">
        <f t="shared" si="47"/>
        <v>20</v>
      </c>
      <c r="D735" t="s">
        <v>81</v>
      </c>
      <c r="E735" t="str">
        <f t="shared" si="46"/>
        <v>057</v>
      </c>
      <c r="F735" t="s">
        <v>828</v>
      </c>
      <c r="G735" t="str">
        <f>"0408"</f>
        <v>0408</v>
      </c>
      <c r="H735" t="str">
        <f>"0002"</f>
        <v>0002</v>
      </c>
      <c r="I735" t="s">
        <v>89</v>
      </c>
      <c r="J735">
        <v>0</v>
      </c>
      <c r="K735">
        <v>1</v>
      </c>
      <c r="L735">
        <v>3</v>
      </c>
      <c r="M735" t="s">
        <v>131</v>
      </c>
      <c r="N735">
        <v>384</v>
      </c>
      <c r="O735">
        <v>1</v>
      </c>
      <c r="P735">
        <v>384</v>
      </c>
      <c r="Q735">
        <v>41</v>
      </c>
      <c r="R735">
        <v>52</v>
      </c>
      <c r="T735">
        <v>32</v>
      </c>
      <c r="U735">
        <v>91</v>
      </c>
      <c r="V735">
        <v>3</v>
      </c>
      <c r="W735">
        <v>5</v>
      </c>
      <c r="X735">
        <v>133</v>
      </c>
      <c r="Y735">
        <v>2</v>
      </c>
      <c r="Z735">
        <v>0</v>
      </c>
      <c r="AA735">
        <v>3</v>
      </c>
      <c r="AB735">
        <v>6</v>
      </c>
      <c r="AW735">
        <v>0</v>
      </c>
      <c r="AX735">
        <v>16</v>
      </c>
      <c r="AY735">
        <v>384</v>
      </c>
      <c r="AZ735">
        <v>384</v>
      </c>
      <c r="BA735">
        <v>635</v>
      </c>
      <c r="BB735">
        <v>44</v>
      </c>
      <c r="BD735">
        <v>1</v>
      </c>
      <c r="BF735" t="s">
        <v>857</v>
      </c>
      <c r="BG735" s="1">
        <v>44354.134027777778</v>
      </c>
      <c r="BH735" s="1">
        <v>44354.137499999997</v>
      </c>
      <c r="BI735" s="1">
        <v>44354.138449074075</v>
      </c>
      <c r="BJ735" t="s">
        <v>85</v>
      </c>
      <c r="BK735" t="s">
        <v>86</v>
      </c>
      <c r="BL735" t="s">
        <v>87</v>
      </c>
    </row>
    <row r="736" spans="1:64" x14ac:dyDescent="0.3">
      <c r="A736" t="str">
        <f>"200409B0000"</f>
        <v>200409B0000</v>
      </c>
      <c r="B736" t="str">
        <f>"200409B00003"</f>
        <v>200409B00003</v>
      </c>
      <c r="C736" t="str">
        <f t="shared" si="47"/>
        <v>20</v>
      </c>
      <c r="D736" t="s">
        <v>81</v>
      </c>
      <c r="E736" t="str">
        <f t="shared" si="46"/>
        <v>057</v>
      </c>
      <c r="F736" t="s">
        <v>828</v>
      </c>
      <c r="G736" t="str">
        <f>"0409"</f>
        <v>0409</v>
      </c>
      <c r="H736" t="str">
        <f>"0000"</f>
        <v>0000</v>
      </c>
      <c r="I736" t="s">
        <v>83</v>
      </c>
      <c r="J736">
        <v>0</v>
      </c>
      <c r="K736">
        <v>1</v>
      </c>
      <c r="L736">
        <v>3</v>
      </c>
      <c r="M736">
        <v>320</v>
      </c>
      <c r="N736">
        <v>404</v>
      </c>
      <c r="O736">
        <v>3</v>
      </c>
      <c r="P736">
        <v>404</v>
      </c>
      <c r="Q736">
        <v>19</v>
      </c>
      <c r="R736">
        <v>121</v>
      </c>
      <c r="T736">
        <v>4</v>
      </c>
      <c r="U736">
        <v>48</v>
      </c>
      <c r="V736">
        <v>5</v>
      </c>
      <c r="W736">
        <v>1</v>
      </c>
      <c r="X736">
        <v>125</v>
      </c>
      <c r="Y736">
        <v>1</v>
      </c>
      <c r="Z736">
        <v>7</v>
      </c>
      <c r="AA736">
        <v>3</v>
      </c>
      <c r="AB736">
        <v>58</v>
      </c>
      <c r="AW736">
        <v>0</v>
      </c>
      <c r="AX736">
        <v>12</v>
      </c>
      <c r="AY736">
        <v>404</v>
      </c>
      <c r="AZ736">
        <v>404</v>
      </c>
      <c r="BA736">
        <v>680</v>
      </c>
      <c r="BB736">
        <v>44</v>
      </c>
      <c r="BD736">
        <v>1</v>
      </c>
      <c r="BF736" t="s">
        <v>858</v>
      </c>
      <c r="BG736" s="1">
        <v>44354.150694444441</v>
      </c>
      <c r="BH736" s="1">
        <v>44354.155671296299</v>
      </c>
      <c r="BI736" s="1">
        <v>44354.156192129631</v>
      </c>
      <c r="BJ736" t="s">
        <v>85</v>
      </c>
      <c r="BK736" t="s">
        <v>86</v>
      </c>
      <c r="BL736" t="s">
        <v>87</v>
      </c>
    </row>
    <row r="737" spans="1:64" x14ac:dyDescent="0.3">
      <c r="A737" t="str">
        <f>"200409C0100"</f>
        <v>200409C0100</v>
      </c>
      <c r="B737" t="str">
        <f>"200409C01003"</f>
        <v>200409C01003</v>
      </c>
      <c r="C737" t="str">
        <f t="shared" si="47"/>
        <v>20</v>
      </c>
      <c r="D737" t="s">
        <v>81</v>
      </c>
      <c r="E737" t="str">
        <f t="shared" si="46"/>
        <v>057</v>
      </c>
      <c r="F737" t="s">
        <v>828</v>
      </c>
      <c r="G737" t="str">
        <f>"0409"</f>
        <v>0409</v>
      </c>
      <c r="H737" t="str">
        <f>"0001"</f>
        <v>0001</v>
      </c>
      <c r="I737" t="s">
        <v>89</v>
      </c>
      <c r="J737">
        <v>0</v>
      </c>
      <c r="K737">
        <v>1</v>
      </c>
      <c r="L737">
        <v>3</v>
      </c>
      <c r="BA737">
        <v>680</v>
      </c>
      <c r="BB737">
        <v>44</v>
      </c>
      <c r="BC737" t="s">
        <v>161</v>
      </c>
      <c r="BD737">
        <v>0</v>
      </c>
      <c r="BF737" t="s">
        <v>859</v>
      </c>
      <c r="BG737" s="1">
        <v>44354.464583333334</v>
      </c>
      <c r="BH737" s="1">
        <v>44354.481423611112</v>
      </c>
      <c r="BI737" s="1">
        <v>44354.481423611112</v>
      </c>
      <c r="BJ737" t="s">
        <v>85</v>
      </c>
      <c r="BK737" t="s">
        <v>86</v>
      </c>
      <c r="BL737" t="s">
        <v>87</v>
      </c>
    </row>
    <row r="738" spans="1:64" x14ac:dyDescent="0.3">
      <c r="A738" t="str">
        <f>"200409E0100"</f>
        <v>200409E0100</v>
      </c>
      <c r="B738" t="str">
        <f>"200409E01003"</f>
        <v>200409E01003</v>
      </c>
      <c r="C738" t="str">
        <f t="shared" si="47"/>
        <v>20</v>
      </c>
      <c r="D738" t="s">
        <v>81</v>
      </c>
      <c r="E738" t="str">
        <f t="shared" si="46"/>
        <v>057</v>
      </c>
      <c r="F738" t="s">
        <v>828</v>
      </c>
      <c r="G738" t="str">
        <f>"0409"</f>
        <v>0409</v>
      </c>
      <c r="H738" t="str">
        <f>"0001"</f>
        <v>0001</v>
      </c>
      <c r="I738" t="s">
        <v>122</v>
      </c>
      <c r="J738">
        <v>0</v>
      </c>
      <c r="K738">
        <v>1</v>
      </c>
      <c r="L738">
        <v>3</v>
      </c>
      <c r="M738">
        <v>172</v>
      </c>
      <c r="N738">
        <v>210</v>
      </c>
      <c r="O738">
        <v>0</v>
      </c>
      <c r="P738">
        <v>210</v>
      </c>
      <c r="Q738">
        <v>16</v>
      </c>
      <c r="R738">
        <v>30</v>
      </c>
      <c r="T738">
        <v>2</v>
      </c>
      <c r="U738">
        <v>80</v>
      </c>
      <c r="V738">
        <v>2</v>
      </c>
      <c r="W738">
        <v>0</v>
      </c>
      <c r="X738">
        <v>54</v>
      </c>
      <c r="Y738">
        <v>2</v>
      </c>
      <c r="Z738">
        <v>1</v>
      </c>
      <c r="AA738">
        <v>0</v>
      </c>
      <c r="AB738">
        <v>20</v>
      </c>
      <c r="AW738">
        <v>0</v>
      </c>
      <c r="AX738">
        <v>3</v>
      </c>
      <c r="AY738">
        <v>210</v>
      </c>
      <c r="AZ738">
        <v>210</v>
      </c>
      <c r="BA738">
        <v>338</v>
      </c>
      <c r="BB738">
        <v>44</v>
      </c>
      <c r="BD738">
        <v>1</v>
      </c>
      <c r="BF738" t="s">
        <v>860</v>
      </c>
      <c r="BG738" s="1">
        <v>44354.213194444441</v>
      </c>
      <c r="BH738" s="1">
        <v>44354.216331018521</v>
      </c>
      <c r="BI738" s="1">
        <v>44354.216782407406</v>
      </c>
      <c r="BJ738" t="s">
        <v>85</v>
      </c>
      <c r="BK738" t="s">
        <v>86</v>
      </c>
      <c r="BL738" t="s">
        <v>87</v>
      </c>
    </row>
    <row r="739" spans="1:64" x14ac:dyDescent="0.3">
      <c r="A739" t="str">
        <f>"200410B0000"</f>
        <v>200410B0000</v>
      </c>
      <c r="B739" t="str">
        <f>"200410B00003"</f>
        <v>200410B00003</v>
      </c>
      <c r="C739" t="str">
        <f t="shared" si="47"/>
        <v>20</v>
      </c>
      <c r="D739" t="s">
        <v>81</v>
      </c>
      <c r="E739" t="str">
        <f t="shared" ref="E739:E764" si="48">"057"</f>
        <v>057</v>
      </c>
      <c r="F739" t="s">
        <v>828</v>
      </c>
      <c r="G739" t="str">
        <f>"0410"</f>
        <v>0410</v>
      </c>
      <c r="H739" t="str">
        <f>"0000"</f>
        <v>0000</v>
      </c>
      <c r="I739" t="s">
        <v>83</v>
      </c>
      <c r="J739">
        <v>0</v>
      </c>
      <c r="K739">
        <v>1</v>
      </c>
      <c r="L739">
        <v>3</v>
      </c>
      <c r="M739">
        <v>298</v>
      </c>
      <c r="N739">
        <v>366</v>
      </c>
      <c r="O739">
        <v>0</v>
      </c>
      <c r="P739">
        <v>0</v>
      </c>
      <c r="Q739">
        <v>11</v>
      </c>
      <c r="R739">
        <v>114</v>
      </c>
      <c r="T739">
        <v>2</v>
      </c>
      <c r="U739">
        <v>48</v>
      </c>
      <c r="V739">
        <v>1</v>
      </c>
      <c r="W739">
        <v>1</v>
      </c>
      <c r="X739">
        <v>144</v>
      </c>
      <c r="Y739">
        <v>6</v>
      </c>
      <c r="Z739">
        <v>16</v>
      </c>
      <c r="AA739">
        <v>7</v>
      </c>
      <c r="AB739">
        <v>8</v>
      </c>
      <c r="AW739">
        <v>0</v>
      </c>
      <c r="AX739">
        <v>8</v>
      </c>
      <c r="AY739">
        <v>366</v>
      </c>
      <c r="AZ739">
        <v>366</v>
      </c>
      <c r="BA739">
        <v>620</v>
      </c>
      <c r="BB739">
        <v>44</v>
      </c>
      <c r="BD739">
        <v>1</v>
      </c>
      <c r="BF739" t="s">
        <v>861</v>
      </c>
      <c r="BG739" s="1">
        <v>44354.150694444441</v>
      </c>
      <c r="BH739" s="1">
        <v>44354.155115740738</v>
      </c>
      <c r="BI739" s="1">
        <v>44354.155740740738</v>
      </c>
      <c r="BJ739" t="s">
        <v>85</v>
      </c>
      <c r="BK739" t="s">
        <v>86</v>
      </c>
      <c r="BL739" t="s">
        <v>87</v>
      </c>
    </row>
    <row r="740" spans="1:64" x14ac:dyDescent="0.3">
      <c r="A740" t="str">
        <f>"200410C0100"</f>
        <v>200410C0100</v>
      </c>
      <c r="B740" t="str">
        <f>"200410C01003"</f>
        <v>200410C01003</v>
      </c>
      <c r="C740" t="str">
        <f t="shared" si="47"/>
        <v>20</v>
      </c>
      <c r="D740" t="s">
        <v>81</v>
      </c>
      <c r="E740" t="str">
        <f t="shared" si="48"/>
        <v>057</v>
      </c>
      <c r="F740" t="s">
        <v>828</v>
      </c>
      <c r="G740" t="str">
        <f>"0410"</f>
        <v>0410</v>
      </c>
      <c r="H740" t="str">
        <f>"0001"</f>
        <v>0001</v>
      </c>
      <c r="I740" t="s">
        <v>89</v>
      </c>
      <c r="J740">
        <v>0</v>
      </c>
      <c r="K740">
        <v>1</v>
      </c>
      <c r="L740">
        <v>3</v>
      </c>
      <c r="M740">
        <v>357</v>
      </c>
      <c r="N740">
        <v>306</v>
      </c>
      <c r="O740" t="s">
        <v>92</v>
      </c>
      <c r="P740" t="s">
        <v>92</v>
      </c>
      <c r="Q740">
        <v>16</v>
      </c>
      <c r="R740">
        <v>74</v>
      </c>
      <c r="T740">
        <v>4</v>
      </c>
      <c r="U740">
        <v>31</v>
      </c>
      <c r="V740">
        <v>2</v>
      </c>
      <c r="W740">
        <v>0</v>
      </c>
      <c r="X740">
        <v>143</v>
      </c>
      <c r="Y740">
        <v>4</v>
      </c>
      <c r="Z740">
        <v>13</v>
      </c>
      <c r="AA740">
        <v>0</v>
      </c>
      <c r="AB740">
        <v>13</v>
      </c>
      <c r="AW740">
        <v>0</v>
      </c>
      <c r="AX740">
        <v>6</v>
      </c>
      <c r="AY740">
        <v>306</v>
      </c>
      <c r="AZ740">
        <v>306</v>
      </c>
      <c r="BA740">
        <v>619</v>
      </c>
      <c r="BB740">
        <v>44</v>
      </c>
      <c r="BD740">
        <v>1</v>
      </c>
      <c r="BF740" t="s">
        <v>862</v>
      </c>
      <c r="BG740" s="1">
        <v>44354.150694444441</v>
      </c>
      <c r="BH740" s="1">
        <v>44354.156805555554</v>
      </c>
      <c r="BI740" s="1">
        <v>44354.157256944447</v>
      </c>
      <c r="BJ740" t="s">
        <v>85</v>
      </c>
      <c r="BK740" t="s">
        <v>86</v>
      </c>
      <c r="BL740" t="s">
        <v>87</v>
      </c>
    </row>
    <row r="741" spans="1:64" x14ac:dyDescent="0.3">
      <c r="A741" t="str">
        <f>"200411B0000"</f>
        <v>200411B0000</v>
      </c>
      <c r="B741" t="str">
        <f>"200411B00003"</f>
        <v>200411B00003</v>
      </c>
      <c r="C741" t="str">
        <f t="shared" si="47"/>
        <v>20</v>
      </c>
      <c r="D741" t="s">
        <v>81</v>
      </c>
      <c r="E741" t="str">
        <f t="shared" si="48"/>
        <v>057</v>
      </c>
      <c r="F741" t="s">
        <v>828</v>
      </c>
      <c r="G741" t="str">
        <f>"0411"</f>
        <v>0411</v>
      </c>
      <c r="H741" t="str">
        <f>"0000"</f>
        <v>0000</v>
      </c>
      <c r="I741" t="s">
        <v>83</v>
      </c>
      <c r="J741">
        <v>0</v>
      </c>
      <c r="K741">
        <v>1</v>
      </c>
      <c r="L741">
        <v>3</v>
      </c>
      <c r="M741">
        <v>277</v>
      </c>
      <c r="N741">
        <v>210</v>
      </c>
      <c r="O741">
        <v>1</v>
      </c>
      <c r="P741">
        <v>210</v>
      </c>
      <c r="Q741">
        <v>23</v>
      </c>
      <c r="R741">
        <v>19</v>
      </c>
      <c r="T741">
        <v>5</v>
      </c>
      <c r="U741">
        <v>49</v>
      </c>
      <c r="V741">
        <v>2</v>
      </c>
      <c r="W741">
        <v>0</v>
      </c>
      <c r="X741">
        <v>97</v>
      </c>
      <c r="Y741">
        <v>1</v>
      </c>
      <c r="Z741">
        <v>2</v>
      </c>
      <c r="AA741">
        <v>2</v>
      </c>
      <c r="AB741">
        <v>7</v>
      </c>
      <c r="AW741">
        <v>0</v>
      </c>
      <c r="AX741">
        <v>3</v>
      </c>
      <c r="AY741">
        <v>210</v>
      </c>
      <c r="AZ741">
        <v>210</v>
      </c>
      <c r="BA741">
        <v>443</v>
      </c>
      <c r="BB741">
        <v>44</v>
      </c>
      <c r="BD741">
        <v>1</v>
      </c>
      <c r="BF741" t="s">
        <v>863</v>
      </c>
      <c r="BG741" s="1">
        <v>44354.216666666667</v>
      </c>
      <c r="BH741" s="1">
        <v>44354.220173611109</v>
      </c>
      <c r="BI741" s="1">
        <v>44354.220648148148</v>
      </c>
      <c r="BJ741" t="s">
        <v>85</v>
      </c>
      <c r="BK741" t="s">
        <v>86</v>
      </c>
      <c r="BL741" t="s">
        <v>87</v>
      </c>
    </row>
    <row r="742" spans="1:64" x14ac:dyDescent="0.3">
      <c r="A742" t="str">
        <f>"200411C0100"</f>
        <v>200411C0100</v>
      </c>
      <c r="B742" t="str">
        <f>"200411C01003"</f>
        <v>200411C01003</v>
      </c>
      <c r="C742" t="str">
        <f t="shared" si="47"/>
        <v>20</v>
      </c>
      <c r="D742" t="s">
        <v>81</v>
      </c>
      <c r="E742" t="str">
        <f t="shared" si="48"/>
        <v>057</v>
      </c>
      <c r="F742" t="s">
        <v>828</v>
      </c>
      <c r="G742" t="str">
        <f>"0411"</f>
        <v>0411</v>
      </c>
      <c r="H742" t="str">
        <f>"0001"</f>
        <v>0001</v>
      </c>
      <c r="I742" t="s">
        <v>89</v>
      </c>
      <c r="J742">
        <v>0</v>
      </c>
      <c r="K742">
        <v>1</v>
      </c>
      <c r="L742">
        <v>3</v>
      </c>
      <c r="M742">
        <v>265</v>
      </c>
      <c r="N742">
        <v>222</v>
      </c>
      <c r="O742">
        <v>1</v>
      </c>
      <c r="P742">
        <v>222</v>
      </c>
      <c r="Q742">
        <v>27</v>
      </c>
      <c r="R742">
        <v>29</v>
      </c>
      <c r="T742">
        <v>4</v>
      </c>
      <c r="U742">
        <v>65</v>
      </c>
      <c r="V742">
        <v>0</v>
      </c>
      <c r="W742">
        <v>0</v>
      </c>
      <c r="X742">
        <v>80</v>
      </c>
      <c r="Y742">
        <v>0</v>
      </c>
      <c r="Z742">
        <v>3</v>
      </c>
      <c r="AA742">
        <v>0</v>
      </c>
      <c r="AB742">
        <v>7</v>
      </c>
      <c r="AW742">
        <v>0</v>
      </c>
      <c r="AX742">
        <v>7</v>
      </c>
      <c r="AY742">
        <v>222</v>
      </c>
      <c r="AZ742">
        <v>222</v>
      </c>
      <c r="BA742">
        <v>443</v>
      </c>
      <c r="BB742">
        <v>44</v>
      </c>
      <c r="BD742">
        <v>1</v>
      </c>
      <c r="BF742" t="s">
        <v>864</v>
      </c>
      <c r="BG742" s="1">
        <v>44354.216666666667</v>
      </c>
      <c r="BH742" s="1">
        <v>44354.219756944447</v>
      </c>
      <c r="BI742" s="1">
        <v>44354.22011574074</v>
      </c>
      <c r="BJ742" t="s">
        <v>85</v>
      </c>
      <c r="BK742" t="s">
        <v>86</v>
      </c>
      <c r="BL742" t="s">
        <v>87</v>
      </c>
    </row>
    <row r="743" spans="1:64" x14ac:dyDescent="0.3">
      <c r="A743" t="str">
        <f>"200412B0000"</f>
        <v>200412B0000</v>
      </c>
      <c r="B743" t="str">
        <f>"200412B00003"</f>
        <v>200412B00003</v>
      </c>
      <c r="C743" t="str">
        <f t="shared" si="47"/>
        <v>20</v>
      </c>
      <c r="D743" t="s">
        <v>81</v>
      </c>
      <c r="E743" t="str">
        <f t="shared" si="48"/>
        <v>057</v>
      </c>
      <c r="F743" t="s">
        <v>828</v>
      </c>
      <c r="G743" t="str">
        <f>"0412"</f>
        <v>0412</v>
      </c>
      <c r="H743" t="str">
        <f>"0000"</f>
        <v>0000</v>
      </c>
      <c r="I743" t="s">
        <v>83</v>
      </c>
      <c r="J743">
        <v>0</v>
      </c>
      <c r="K743">
        <v>1</v>
      </c>
      <c r="L743">
        <v>3</v>
      </c>
      <c r="M743">
        <v>199</v>
      </c>
      <c r="N743">
        <v>260</v>
      </c>
      <c r="O743">
        <v>0</v>
      </c>
      <c r="P743" t="s">
        <v>92</v>
      </c>
      <c r="Q743">
        <v>27</v>
      </c>
      <c r="R743">
        <v>31</v>
      </c>
      <c r="T743">
        <v>2</v>
      </c>
      <c r="U743">
        <v>73</v>
      </c>
      <c r="V743">
        <v>2</v>
      </c>
      <c r="W743">
        <v>1</v>
      </c>
      <c r="X743">
        <v>114</v>
      </c>
      <c r="Y743">
        <v>2</v>
      </c>
      <c r="Z743">
        <v>2</v>
      </c>
      <c r="AA743">
        <v>0</v>
      </c>
      <c r="AB743">
        <v>2</v>
      </c>
      <c r="AW743">
        <v>0</v>
      </c>
      <c r="AX743">
        <v>4</v>
      </c>
      <c r="AY743">
        <v>260</v>
      </c>
      <c r="AZ743">
        <v>260</v>
      </c>
      <c r="BA743">
        <v>415</v>
      </c>
      <c r="BB743">
        <v>44</v>
      </c>
      <c r="BD743">
        <v>1</v>
      </c>
      <c r="BF743" t="s">
        <v>865</v>
      </c>
      <c r="BG743" s="1">
        <v>44354.15</v>
      </c>
      <c r="BH743" s="1">
        <v>44354.154803240737</v>
      </c>
      <c r="BI743" s="1">
        <v>44354.155300925922</v>
      </c>
      <c r="BJ743" t="s">
        <v>85</v>
      </c>
      <c r="BK743" t="s">
        <v>86</v>
      </c>
      <c r="BL743" t="s">
        <v>87</v>
      </c>
    </row>
    <row r="744" spans="1:64" x14ac:dyDescent="0.3">
      <c r="A744" t="str">
        <f>"200412C0100"</f>
        <v>200412C0100</v>
      </c>
      <c r="B744" t="str">
        <f>"200412C01003"</f>
        <v>200412C01003</v>
      </c>
      <c r="C744" t="str">
        <f t="shared" si="47"/>
        <v>20</v>
      </c>
      <c r="D744" t="s">
        <v>81</v>
      </c>
      <c r="E744" t="str">
        <f t="shared" si="48"/>
        <v>057</v>
      </c>
      <c r="F744" t="s">
        <v>828</v>
      </c>
      <c r="G744" t="str">
        <f>"0412"</f>
        <v>0412</v>
      </c>
      <c r="H744" t="str">
        <f>"0001"</f>
        <v>0001</v>
      </c>
      <c r="I744" t="s">
        <v>89</v>
      </c>
      <c r="J744">
        <v>0</v>
      </c>
      <c r="K744">
        <v>1</v>
      </c>
      <c r="L744">
        <v>3</v>
      </c>
      <c r="M744">
        <v>201</v>
      </c>
      <c r="N744">
        <v>0</v>
      </c>
      <c r="O744">
        <v>0</v>
      </c>
      <c r="P744">
        <v>257</v>
      </c>
      <c r="Q744">
        <v>15</v>
      </c>
      <c r="R744">
        <v>41</v>
      </c>
      <c r="T744">
        <v>5</v>
      </c>
      <c r="U744">
        <v>73</v>
      </c>
      <c r="V744">
        <v>0</v>
      </c>
      <c r="W744">
        <v>2</v>
      </c>
      <c r="X744">
        <v>106</v>
      </c>
      <c r="Y744">
        <v>3</v>
      </c>
      <c r="Z744">
        <v>3</v>
      </c>
      <c r="AA744">
        <v>1</v>
      </c>
      <c r="AB744">
        <v>3</v>
      </c>
      <c r="AW744">
        <v>0</v>
      </c>
      <c r="AX744">
        <v>5</v>
      </c>
      <c r="AY744">
        <v>257</v>
      </c>
      <c r="AZ744">
        <v>257</v>
      </c>
      <c r="BA744">
        <v>414</v>
      </c>
      <c r="BB744">
        <v>44</v>
      </c>
      <c r="BD744">
        <v>1</v>
      </c>
      <c r="BF744" t="s">
        <v>866</v>
      </c>
      <c r="BG744" s="1">
        <v>44354.15</v>
      </c>
      <c r="BH744" s="1">
        <v>44354.153865740744</v>
      </c>
      <c r="BI744" s="1">
        <v>44354.154560185183</v>
      </c>
      <c r="BJ744" t="s">
        <v>85</v>
      </c>
      <c r="BK744" t="s">
        <v>86</v>
      </c>
      <c r="BL744" t="s">
        <v>87</v>
      </c>
    </row>
    <row r="745" spans="1:64" x14ac:dyDescent="0.3">
      <c r="A745" t="str">
        <f>"200412E0100"</f>
        <v>200412E0100</v>
      </c>
      <c r="B745" t="str">
        <f>"200412E01003"</f>
        <v>200412E01003</v>
      </c>
      <c r="C745" t="str">
        <f t="shared" si="47"/>
        <v>20</v>
      </c>
      <c r="D745" t="s">
        <v>81</v>
      </c>
      <c r="E745" t="str">
        <f t="shared" si="48"/>
        <v>057</v>
      </c>
      <c r="F745" t="s">
        <v>828</v>
      </c>
      <c r="G745" t="str">
        <f>"0412"</f>
        <v>0412</v>
      </c>
      <c r="H745" t="str">
        <f>"0001"</f>
        <v>0001</v>
      </c>
      <c r="I745" t="s">
        <v>122</v>
      </c>
      <c r="J745">
        <v>0</v>
      </c>
      <c r="K745">
        <v>1</v>
      </c>
      <c r="L745">
        <v>3</v>
      </c>
      <c r="M745">
        <v>141</v>
      </c>
      <c r="N745">
        <v>170</v>
      </c>
      <c r="O745">
        <v>4</v>
      </c>
      <c r="P745" t="s">
        <v>92</v>
      </c>
      <c r="Q745">
        <v>15</v>
      </c>
      <c r="R745">
        <v>25</v>
      </c>
      <c r="T745">
        <v>9</v>
      </c>
      <c r="U745">
        <v>10</v>
      </c>
      <c r="V745">
        <v>2</v>
      </c>
      <c r="W745">
        <v>0</v>
      </c>
      <c r="X745">
        <v>97</v>
      </c>
      <c r="Y745">
        <v>3</v>
      </c>
      <c r="Z745">
        <v>0</v>
      </c>
      <c r="AA745">
        <v>1</v>
      </c>
      <c r="AB745">
        <v>4</v>
      </c>
      <c r="AW745">
        <v>0</v>
      </c>
      <c r="AX745">
        <v>4</v>
      </c>
      <c r="AY745">
        <v>170</v>
      </c>
      <c r="AZ745">
        <v>170</v>
      </c>
      <c r="BA745">
        <v>267</v>
      </c>
      <c r="BB745">
        <v>44</v>
      </c>
      <c r="BD745">
        <v>1</v>
      </c>
      <c r="BF745" t="s">
        <v>867</v>
      </c>
      <c r="BG745" s="1">
        <v>44354.15</v>
      </c>
      <c r="BH745" s="1">
        <v>44354.153703703705</v>
      </c>
      <c r="BI745" s="1">
        <v>44354.154178240744</v>
      </c>
      <c r="BJ745" t="s">
        <v>85</v>
      </c>
      <c r="BK745" t="s">
        <v>86</v>
      </c>
      <c r="BL745" t="s">
        <v>87</v>
      </c>
    </row>
    <row r="746" spans="1:64" x14ac:dyDescent="0.3">
      <c r="A746" t="str">
        <f>"200413B0000"</f>
        <v>200413B0000</v>
      </c>
      <c r="B746" t="str">
        <f>"200413B00003"</f>
        <v>200413B00003</v>
      </c>
      <c r="C746" t="str">
        <f t="shared" si="47"/>
        <v>20</v>
      </c>
      <c r="D746" t="s">
        <v>81</v>
      </c>
      <c r="E746" t="str">
        <f t="shared" si="48"/>
        <v>057</v>
      </c>
      <c r="F746" t="s">
        <v>828</v>
      </c>
      <c r="G746" t="str">
        <f>"0413"</f>
        <v>0413</v>
      </c>
      <c r="H746" t="str">
        <f>"0000"</f>
        <v>0000</v>
      </c>
      <c r="I746" t="s">
        <v>83</v>
      </c>
      <c r="J746">
        <v>0</v>
      </c>
      <c r="K746">
        <v>1</v>
      </c>
      <c r="L746">
        <v>3</v>
      </c>
      <c r="M746">
        <v>218</v>
      </c>
      <c r="N746">
        <v>308</v>
      </c>
      <c r="O746">
        <v>0</v>
      </c>
      <c r="P746">
        <v>308</v>
      </c>
      <c r="Q746">
        <v>64</v>
      </c>
      <c r="R746">
        <v>29</v>
      </c>
      <c r="T746">
        <v>1</v>
      </c>
      <c r="U746">
        <v>69</v>
      </c>
      <c r="V746">
        <v>2</v>
      </c>
      <c r="W746">
        <v>1</v>
      </c>
      <c r="X746">
        <v>117</v>
      </c>
      <c r="Y746">
        <v>1</v>
      </c>
      <c r="Z746">
        <v>4</v>
      </c>
      <c r="AA746">
        <v>3</v>
      </c>
      <c r="AB746">
        <v>9</v>
      </c>
      <c r="AW746">
        <v>0</v>
      </c>
      <c r="AX746">
        <v>8</v>
      </c>
      <c r="AY746">
        <v>308</v>
      </c>
      <c r="AZ746">
        <v>308</v>
      </c>
      <c r="BA746">
        <v>482</v>
      </c>
      <c r="BB746">
        <v>44</v>
      </c>
      <c r="BD746">
        <v>1</v>
      </c>
      <c r="BF746" t="s">
        <v>868</v>
      </c>
      <c r="BG746" s="1">
        <v>44354.15</v>
      </c>
      <c r="BH746" s="1">
        <v>44354.154918981483</v>
      </c>
      <c r="BI746" s="1">
        <v>44354.155497685184</v>
      </c>
      <c r="BJ746" t="s">
        <v>85</v>
      </c>
      <c r="BK746" t="s">
        <v>86</v>
      </c>
      <c r="BL746" t="s">
        <v>87</v>
      </c>
    </row>
    <row r="747" spans="1:64" x14ac:dyDescent="0.3">
      <c r="A747" t="str">
        <f>"200414B0000"</f>
        <v>200414B0000</v>
      </c>
      <c r="B747" t="str">
        <f>"200414B00003"</f>
        <v>200414B00003</v>
      </c>
      <c r="C747" t="str">
        <f t="shared" si="47"/>
        <v>20</v>
      </c>
      <c r="D747" t="s">
        <v>81</v>
      </c>
      <c r="E747" t="str">
        <f t="shared" si="48"/>
        <v>057</v>
      </c>
      <c r="F747" t="s">
        <v>828</v>
      </c>
      <c r="G747" t="str">
        <f>"0414"</f>
        <v>0414</v>
      </c>
      <c r="H747" t="str">
        <f>"0000"</f>
        <v>0000</v>
      </c>
      <c r="I747" t="s">
        <v>83</v>
      </c>
      <c r="J747">
        <v>0</v>
      </c>
      <c r="K747">
        <v>1</v>
      </c>
      <c r="L747">
        <v>3</v>
      </c>
      <c r="M747">
        <v>213</v>
      </c>
      <c r="N747">
        <v>231</v>
      </c>
      <c r="O747">
        <v>1</v>
      </c>
      <c r="P747">
        <v>231</v>
      </c>
      <c r="Q747">
        <v>23</v>
      </c>
      <c r="R747">
        <v>38</v>
      </c>
      <c r="T747">
        <v>2</v>
      </c>
      <c r="U747">
        <v>46</v>
      </c>
      <c r="V747">
        <v>6</v>
      </c>
      <c r="W747">
        <v>0</v>
      </c>
      <c r="X747">
        <v>95</v>
      </c>
      <c r="Y747">
        <v>2</v>
      </c>
      <c r="Z747">
        <v>8</v>
      </c>
      <c r="AA747">
        <v>1</v>
      </c>
      <c r="AB747">
        <v>2</v>
      </c>
      <c r="AW747">
        <v>0</v>
      </c>
      <c r="AX747">
        <v>8</v>
      </c>
      <c r="AY747">
        <v>231</v>
      </c>
      <c r="AZ747">
        <v>231</v>
      </c>
      <c r="BA747">
        <v>400</v>
      </c>
      <c r="BB747">
        <v>44</v>
      </c>
      <c r="BD747">
        <v>1</v>
      </c>
      <c r="BF747" t="s">
        <v>869</v>
      </c>
      <c r="BG747" s="1">
        <v>44354.213194444441</v>
      </c>
      <c r="BH747" s="1">
        <v>44354.216134259259</v>
      </c>
      <c r="BI747" s="1">
        <v>44354.217164351852</v>
      </c>
      <c r="BJ747" t="s">
        <v>85</v>
      </c>
      <c r="BK747" t="s">
        <v>86</v>
      </c>
      <c r="BL747" t="s">
        <v>87</v>
      </c>
    </row>
    <row r="748" spans="1:64" x14ac:dyDescent="0.3">
      <c r="A748" t="str">
        <f>"200414C0100"</f>
        <v>200414C0100</v>
      </c>
      <c r="B748" t="str">
        <f>"200414C01003"</f>
        <v>200414C01003</v>
      </c>
      <c r="C748" t="str">
        <f t="shared" si="47"/>
        <v>20</v>
      </c>
      <c r="D748" t="s">
        <v>81</v>
      </c>
      <c r="E748" t="str">
        <f t="shared" si="48"/>
        <v>057</v>
      </c>
      <c r="F748" t="s">
        <v>828</v>
      </c>
      <c r="G748" t="str">
        <f>"0414"</f>
        <v>0414</v>
      </c>
      <c r="H748" t="str">
        <f>"0001"</f>
        <v>0001</v>
      </c>
      <c r="I748" t="s">
        <v>89</v>
      </c>
      <c r="J748">
        <v>0</v>
      </c>
      <c r="K748">
        <v>1</v>
      </c>
      <c r="L748">
        <v>3</v>
      </c>
      <c r="M748">
        <v>222</v>
      </c>
      <c r="N748">
        <v>222</v>
      </c>
      <c r="O748">
        <v>2</v>
      </c>
      <c r="P748">
        <v>222</v>
      </c>
      <c r="Q748">
        <v>27</v>
      </c>
      <c r="R748">
        <v>24</v>
      </c>
      <c r="T748">
        <v>7</v>
      </c>
      <c r="U748">
        <v>33</v>
      </c>
      <c r="V748">
        <v>6</v>
      </c>
      <c r="W748">
        <v>0</v>
      </c>
      <c r="X748">
        <v>113</v>
      </c>
      <c r="Y748">
        <v>2</v>
      </c>
      <c r="Z748">
        <v>3</v>
      </c>
      <c r="AA748">
        <v>1</v>
      </c>
      <c r="AB748">
        <v>5</v>
      </c>
      <c r="AW748">
        <v>0</v>
      </c>
      <c r="AX748">
        <v>7</v>
      </c>
      <c r="AY748">
        <v>222</v>
      </c>
      <c r="AZ748">
        <v>228</v>
      </c>
      <c r="BA748">
        <v>400</v>
      </c>
      <c r="BB748">
        <v>44</v>
      </c>
      <c r="BD748">
        <v>1</v>
      </c>
      <c r="BF748" t="s">
        <v>870</v>
      </c>
      <c r="BG748" s="1">
        <v>44354.213194444441</v>
      </c>
      <c r="BH748" s="1">
        <v>44354.223379629628</v>
      </c>
      <c r="BI748" s="1">
        <v>44354.22388888889</v>
      </c>
      <c r="BJ748" t="s">
        <v>85</v>
      </c>
      <c r="BK748" t="s">
        <v>86</v>
      </c>
      <c r="BL748" t="s">
        <v>87</v>
      </c>
    </row>
    <row r="749" spans="1:64" x14ac:dyDescent="0.3">
      <c r="A749" t="str">
        <f>"200414E0100"</f>
        <v>200414E0100</v>
      </c>
      <c r="B749" t="str">
        <f>"200414E01003"</f>
        <v>200414E01003</v>
      </c>
      <c r="C749" t="str">
        <f t="shared" si="47"/>
        <v>20</v>
      </c>
      <c r="D749" t="s">
        <v>81</v>
      </c>
      <c r="E749" t="str">
        <f t="shared" si="48"/>
        <v>057</v>
      </c>
      <c r="F749" t="s">
        <v>828</v>
      </c>
      <c r="G749" t="str">
        <f>"0414"</f>
        <v>0414</v>
      </c>
      <c r="H749" t="str">
        <f>"0001"</f>
        <v>0001</v>
      </c>
      <c r="I749" t="s">
        <v>122</v>
      </c>
      <c r="J749">
        <v>0</v>
      </c>
      <c r="K749">
        <v>1</v>
      </c>
      <c r="L749">
        <v>3</v>
      </c>
      <c r="M749">
        <v>82</v>
      </c>
      <c r="N749">
        <v>93</v>
      </c>
      <c r="O749">
        <v>1</v>
      </c>
      <c r="P749">
        <v>93</v>
      </c>
      <c r="Q749">
        <v>2</v>
      </c>
      <c r="R749">
        <v>31</v>
      </c>
      <c r="T749">
        <v>9</v>
      </c>
      <c r="U749">
        <v>20</v>
      </c>
      <c r="V749">
        <v>0</v>
      </c>
      <c r="W749">
        <v>0</v>
      </c>
      <c r="X749">
        <v>25</v>
      </c>
      <c r="Y749">
        <v>1</v>
      </c>
      <c r="Z749">
        <v>2</v>
      </c>
      <c r="AA749">
        <v>0</v>
      </c>
      <c r="AB749">
        <v>0</v>
      </c>
      <c r="AW749">
        <v>0</v>
      </c>
      <c r="AX749">
        <v>3</v>
      </c>
      <c r="AY749">
        <v>93</v>
      </c>
      <c r="AZ749">
        <v>93</v>
      </c>
      <c r="BA749">
        <v>131</v>
      </c>
      <c r="BB749">
        <v>44</v>
      </c>
      <c r="BD749">
        <v>1</v>
      </c>
      <c r="BF749" t="s">
        <v>871</v>
      </c>
      <c r="BG749" s="1">
        <v>44354.213194444441</v>
      </c>
      <c r="BH749" s="1">
        <v>44354.21601851852</v>
      </c>
      <c r="BI749" s="1">
        <v>44354.21634259259</v>
      </c>
      <c r="BJ749" t="s">
        <v>85</v>
      </c>
      <c r="BK749" t="s">
        <v>86</v>
      </c>
      <c r="BL749" t="s">
        <v>87</v>
      </c>
    </row>
    <row r="750" spans="1:64" x14ac:dyDescent="0.3">
      <c r="A750" t="str">
        <f>"200415B0000"</f>
        <v>200415B0000</v>
      </c>
      <c r="B750" t="str">
        <f>"200415B00003"</f>
        <v>200415B00003</v>
      </c>
      <c r="C750" t="str">
        <f t="shared" si="47"/>
        <v>20</v>
      </c>
      <c r="D750" t="s">
        <v>81</v>
      </c>
      <c r="E750" t="str">
        <f t="shared" si="48"/>
        <v>057</v>
      </c>
      <c r="F750" t="s">
        <v>828</v>
      </c>
      <c r="G750" t="str">
        <f>"0415"</f>
        <v>0415</v>
      </c>
      <c r="H750" t="str">
        <f>"0000"</f>
        <v>0000</v>
      </c>
      <c r="I750" t="s">
        <v>83</v>
      </c>
      <c r="J750">
        <v>0</v>
      </c>
      <c r="K750">
        <v>1</v>
      </c>
      <c r="L750">
        <v>3</v>
      </c>
      <c r="M750">
        <v>286</v>
      </c>
      <c r="N750">
        <v>320</v>
      </c>
      <c r="O750">
        <v>2</v>
      </c>
      <c r="P750">
        <v>320</v>
      </c>
      <c r="Q750">
        <v>46</v>
      </c>
      <c r="R750">
        <v>40</v>
      </c>
      <c r="T750">
        <v>2</v>
      </c>
      <c r="U750">
        <v>51</v>
      </c>
      <c r="V750">
        <v>3</v>
      </c>
      <c r="W750">
        <v>0</v>
      </c>
      <c r="X750">
        <v>153</v>
      </c>
      <c r="Y750">
        <v>4</v>
      </c>
      <c r="Z750">
        <v>5</v>
      </c>
      <c r="AA750">
        <v>2</v>
      </c>
      <c r="AB750">
        <v>3</v>
      </c>
      <c r="AW750">
        <v>0</v>
      </c>
      <c r="AX750">
        <v>11</v>
      </c>
      <c r="AY750">
        <v>320</v>
      </c>
      <c r="AZ750">
        <v>320</v>
      </c>
      <c r="BA750">
        <v>562</v>
      </c>
      <c r="BB750">
        <v>44</v>
      </c>
      <c r="BD750">
        <v>1</v>
      </c>
      <c r="BF750" t="s">
        <v>872</v>
      </c>
      <c r="BG750" s="1">
        <v>44354.134027777778</v>
      </c>
      <c r="BH750" s="1">
        <v>44354.137476851851</v>
      </c>
      <c r="BI750" s="1">
        <v>44354.137870370374</v>
      </c>
      <c r="BJ750" t="s">
        <v>85</v>
      </c>
      <c r="BK750" t="s">
        <v>86</v>
      </c>
      <c r="BL750" t="s">
        <v>87</v>
      </c>
    </row>
    <row r="751" spans="1:64" x14ac:dyDescent="0.3">
      <c r="A751" t="str">
        <f>"200415C0100"</f>
        <v>200415C0100</v>
      </c>
      <c r="B751" t="str">
        <f>"200415C01003"</f>
        <v>200415C01003</v>
      </c>
      <c r="C751" t="str">
        <f t="shared" si="47"/>
        <v>20</v>
      </c>
      <c r="D751" t="s">
        <v>81</v>
      </c>
      <c r="E751" t="str">
        <f t="shared" si="48"/>
        <v>057</v>
      </c>
      <c r="F751" t="s">
        <v>828</v>
      </c>
      <c r="G751" t="str">
        <f>"0415"</f>
        <v>0415</v>
      </c>
      <c r="H751" t="str">
        <f>"0001"</f>
        <v>0001</v>
      </c>
      <c r="I751" t="s">
        <v>89</v>
      </c>
      <c r="J751">
        <v>0</v>
      </c>
      <c r="K751">
        <v>1</v>
      </c>
      <c r="L751">
        <v>3</v>
      </c>
      <c r="M751" t="s">
        <v>92</v>
      </c>
      <c r="N751" t="s">
        <v>92</v>
      </c>
      <c r="O751" t="s">
        <v>92</v>
      </c>
      <c r="P751" t="s">
        <v>92</v>
      </c>
      <c r="Q751">
        <v>40</v>
      </c>
      <c r="R751">
        <v>52</v>
      </c>
      <c r="T751">
        <v>3</v>
      </c>
      <c r="U751">
        <v>66</v>
      </c>
      <c r="V751">
        <v>1</v>
      </c>
      <c r="W751">
        <v>0</v>
      </c>
      <c r="X751">
        <v>124</v>
      </c>
      <c r="Y751">
        <v>0</v>
      </c>
      <c r="Z751">
        <v>2</v>
      </c>
      <c r="AA751">
        <v>2</v>
      </c>
      <c r="AB751">
        <v>2</v>
      </c>
      <c r="AW751">
        <v>0</v>
      </c>
      <c r="AX751">
        <v>10</v>
      </c>
      <c r="AY751">
        <v>302</v>
      </c>
      <c r="AZ751">
        <v>302</v>
      </c>
      <c r="BA751">
        <v>561</v>
      </c>
      <c r="BB751">
        <v>44</v>
      </c>
      <c r="BD751">
        <v>1</v>
      </c>
      <c r="BF751" t="s">
        <v>873</v>
      </c>
      <c r="BG751" s="1">
        <v>44354.132638888892</v>
      </c>
      <c r="BH751" s="1">
        <v>44354.136493055557</v>
      </c>
      <c r="BI751" s="1">
        <v>44354.136921296296</v>
      </c>
      <c r="BJ751" t="s">
        <v>85</v>
      </c>
      <c r="BK751" t="s">
        <v>86</v>
      </c>
      <c r="BL751" t="s">
        <v>87</v>
      </c>
    </row>
    <row r="752" spans="1:64" x14ac:dyDescent="0.3">
      <c r="A752" t="str">
        <f>"200415C0200"</f>
        <v>200415C0200</v>
      </c>
      <c r="B752" t="str">
        <f>"200415C02003"</f>
        <v>200415C02003</v>
      </c>
      <c r="C752" t="str">
        <f t="shared" si="47"/>
        <v>20</v>
      </c>
      <c r="D752" t="s">
        <v>81</v>
      </c>
      <c r="E752" t="str">
        <f t="shared" si="48"/>
        <v>057</v>
      </c>
      <c r="F752" t="s">
        <v>828</v>
      </c>
      <c r="G752" t="str">
        <f>"0415"</f>
        <v>0415</v>
      </c>
      <c r="H752" t="str">
        <f>"0002"</f>
        <v>0002</v>
      </c>
      <c r="I752" t="s">
        <v>89</v>
      </c>
      <c r="J752">
        <v>0</v>
      </c>
      <c r="K752">
        <v>1</v>
      </c>
      <c r="L752">
        <v>3</v>
      </c>
      <c r="M752">
        <v>310</v>
      </c>
      <c r="N752">
        <v>295</v>
      </c>
      <c r="O752">
        <v>0</v>
      </c>
      <c r="P752">
        <v>295</v>
      </c>
      <c r="Q752">
        <v>33</v>
      </c>
      <c r="R752">
        <v>36</v>
      </c>
      <c r="T752">
        <v>2</v>
      </c>
      <c r="U752">
        <v>71</v>
      </c>
      <c r="V752">
        <v>2</v>
      </c>
      <c r="W752">
        <v>2</v>
      </c>
      <c r="X752">
        <v>136</v>
      </c>
      <c r="Y752">
        <v>0</v>
      </c>
      <c r="Z752">
        <v>3</v>
      </c>
      <c r="AA752">
        <v>2</v>
      </c>
      <c r="AB752">
        <v>3</v>
      </c>
      <c r="AW752">
        <v>0</v>
      </c>
      <c r="AX752">
        <v>5</v>
      </c>
      <c r="AY752">
        <v>295</v>
      </c>
      <c r="AZ752">
        <v>295</v>
      </c>
      <c r="BA752">
        <v>561</v>
      </c>
      <c r="BB752">
        <v>44</v>
      </c>
      <c r="BD752">
        <v>1</v>
      </c>
      <c r="BF752" t="s">
        <v>874</v>
      </c>
      <c r="BG752" s="1">
        <v>44354.137499999997</v>
      </c>
      <c r="BH752" s="1">
        <v>44354.141134259262</v>
      </c>
      <c r="BI752" s="1">
        <v>44354.141412037039</v>
      </c>
      <c r="BJ752" t="s">
        <v>85</v>
      </c>
      <c r="BK752" t="s">
        <v>86</v>
      </c>
      <c r="BL752" t="s">
        <v>87</v>
      </c>
    </row>
    <row r="753" spans="1:64" x14ac:dyDescent="0.3">
      <c r="A753" t="str">
        <f>"200416B0000"</f>
        <v>200416B0000</v>
      </c>
      <c r="B753" t="str">
        <f>"200416B00003"</f>
        <v>200416B00003</v>
      </c>
      <c r="C753" t="str">
        <f t="shared" si="47"/>
        <v>20</v>
      </c>
      <c r="D753" t="s">
        <v>81</v>
      </c>
      <c r="E753" t="str">
        <f t="shared" si="48"/>
        <v>057</v>
      </c>
      <c r="F753" t="s">
        <v>828</v>
      </c>
      <c r="G753" t="str">
        <f>"0416"</f>
        <v>0416</v>
      </c>
      <c r="H753" t="str">
        <f>"0000"</f>
        <v>0000</v>
      </c>
      <c r="I753" t="s">
        <v>83</v>
      </c>
      <c r="J753">
        <v>0</v>
      </c>
      <c r="K753">
        <v>1</v>
      </c>
      <c r="L753">
        <v>3</v>
      </c>
      <c r="M753">
        <v>185</v>
      </c>
      <c r="N753">
        <v>279</v>
      </c>
      <c r="O753">
        <v>1</v>
      </c>
      <c r="P753" t="s">
        <v>92</v>
      </c>
      <c r="Q753">
        <v>11</v>
      </c>
      <c r="R753">
        <v>115</v>
      </c>
      <c r="T753">
        <v>1</v>
      </c>
      <c r="U753">
        <v>76</v>
      </c>
      <c r="V753">
        <v>3</v>
      </c>
      <c r="W753">
        <v>0</v>
      </c>
      <c r="X753">
        <v>54</v>
      </c>
      <c r="Y753">
        <v>1</v>
      </c>
      <c r="Z753">
        <v>2</v>
      </c>
      <c r="AA753">
        <v>0</v>
      </c>
      <c r="AB753">
        <v>8</v>
      </c>
      <c r="AW753">
        <v>1</v>
      </c>
      <c r="AX753">
        <v>7</v>
      </c>
      <c r="AY753">
        <v>279</v>
      </c>
      <c r="AZ753">
        <v>279</v>
      </c>
      <c r="BA753">
        <v>420</v>
      </c>
      <c r="BB753">
        <v>44</v>
      </c>
      <c r="BD753">
        <v>1</v>
      </c>
      <c r="BF753" t="s">
        <v>875</v>
      </c>
      <c r="BG753" s="1">
        <v>44354.135416666664</v>
      </c>
      <c r="BH753" s="1">
        <v>44354.138402777775</v>
      </c>
      <c r="BI753" s="1">
        <v>44354.138865740744</v>
      </c>
      <c r="BJ753" t="s">
        <v>85</v>
      </c>
      <c r="BK753" t="s">
        <v>86</v>
      </c>
      <c r="BL753" t="s">
        <v>87</v>
      </c>
    </row>
    <row r="754" spans="1:64" x14ac:dyDescent="0.3">
      <c r="A754" t="str">
        <f>"200416E0100"</f>
        <v>200416E0100</v>
      </c>
      <c r="B754" t="str">
        <f>"200416E01003"</f>
        <v>200416E01003</v>
      </c>
      <c r="C754" t="str">
        <f t="shared" si="47"/>
        <v>20</v>
      </c>
      <c r="D754" t="s">
        <v>81</v>
      </c>
      <c r="E754" t="str">
        <f t="shared" si="48"/>
        <v>057</v>
      </c>
      <c r="F754" t="s">
        <v>828</v>
      </c>
      <c r="G754" t="str">
        <f>"0416"</f>
        <v>0416</v>
      </c>
      <c r="H754" t="str">
        <f>"0001"</f>
        <v>0001</v>
      </c>
      <c r="I754" t="s">
        <v>122</v>
      </c>
      <c r="J754">
        <v>0</v>
      </c>
      <c r="K754">
        <v>1</v>
      </c>
      <c r="L754">
        <v>3</v>
      </c>
      <c r="M754">
        <v>117</v>
      </c>
      <c r="N754">
        <v>122</v>
      </c>
      <c r="O754">
        <v>0</v>
      </c>
      <c r="P754">
        <v>122</v>
      </c>
      <c r="Q754">
        <v>37</v>
      </c>
      <c r="R754">
        <v>10</v>
      </c>
      <c r="T754">
        <v>1</v>
      </c>
      <c r="U754">
        <v>16</v>
      </c>
      <c r="V754">
        <v>1</v>
      </c>
      <c r="W754">
        <v>0</v>
      </c>
      <c r="X754">
        <v>40</v>
      </c>
      <c r="Y754">
        <v>2</v>
      </c>
      <c r="Z754">
        <v>2</v>
      </c>
      <c r="AA754">
        <v>2</v>
      </c>
      <c r="AB754">
        <v>6</v>
      </c>
      <c r="AW754">
        <v>0</v>
      </c>
      <c r="AX754">
        <v>5</v>
      </c>
      <c r="AY754">
        <v>122</v>
      </c>
      <c r="AZ754">
        <v>122</v>
      </c>
      <c r="BA754">
        <v>195</v>
      </c>
      <c r="BB754">
        <v>44</v>
      </c>
      <c r="BD754">
        <v>1</v>
      </c>
      <c r="BF754" t="s">
        <v>876</v>
      </c>
      <c r="BG754" s="1">
        <v>44354.136111111111</v>
      </c>
      <c r="BH754" s="1">
        <v>44354.138425925928</v>
      </c>
      <c r="BI754" s="1">
        <v>44354.138923611114</v>
      </c>
      <c r="BJ754" t="s">
        <v>85</v>
      </c>
      <c r="BK754" t="s">
        <v>86</v>
      </c>
      <c r="BL754" t="s">
        <v>87</v>
      </c>
    </row>
    <row r="755" spans="1:64" x14ac:dyDescent="0.3">
      <c r="A755" t="str">
        <f>"200417B0000"</f>
        <v>200417B0000</v>
      </c>
      <c r="B755" t="str">
        <f>"200417B00003"</f>
        <v>200417B00003</v>
      </c>
      <c r="C755" t="str">
        <f t="shared" si="47"/>
        <v>20</v>
      </c>
      <c r="D755" t="s">
        <v>81</v>
      </c>
      <c r="E755" t="str">
        <f t="shared" si="48"/>
        <v>057</v>
      </c>
      <c r="F755" t="s">
        <v>828</v>
      </c>
      <c r="G755" t="str">
        <f>"0417"</f>
        <v>0417</v>
      </c>
      <c r="H755" t="str">
        <f>"0000"</f>
        <v>0000</v>
      </c>
      <c r="I755" t="s">
        <v>83</v>
      </c>
      <c r="J755">
        <v>0</v>
      </c>
      <c r="K755">
        <v>1</v>
      </c>
      <c r="L755">
        <v>3</v>
      </c>
      <c r="M755">
        <v>290</v>
      </c>
      <c r="N755">
        <v>340</v>
      </c>
      <c r="O755">
        <v>0</v>
      </c>
      <c r="P755">
        <v>0</v>
      </c>
      <c r="Q755">
        <v>35</v>
      </c>
      <c r="R755">
        <v>67</v>
      </c>
      <c r="T755">
        <v>6</v>
      </c>
      <c r="U755">
        <v>45</v>
      </c>
      <c r="V755">
        <v>3</v>
      </c>
      <c r="W755">
        <v>2</v>
      </c>
      <c r="X755">
        <v>139</v>
      </c>
      <c r="Y755">
        <v>5</v>
      </c>
      <c r="Z755">
        <v>15</v>
      </c>
      <c r="AA755">
        <v>4</v>
      </c>
      <c r="AB755">
        <v>7</v>
      </c>
      <c r="AW755">
        <v>0</v>
      </c>
      <c r="AX755">
        <v>12</v>
      </c>
      <c r="AY755">
        <v>340</v>
      </c>
      <c r="AZ755">
        <v>340</v>
      </c>
      <c r="BA755">
        <v>586</v>
      </c>
      <c r="BB755">
        <v>44</v>
      </c>
      <c r="BD755">
        <v>1</v>
      </c>
      <c r="BF755" t="s">
        <v>877</v>
      </c>
      <c r="BG755" s="1">
        <v>44354.216666666667</v>
      </c>
      <c r="BH755" s="1">
        <v>44354.219236111108</v>
      </c>
      <c r="BI755" s="1">
        <v>44354.21974537037</v>
      </c>
      <c r="BJ755" t="s">
        <v>85</v>
      </c>
      <c r="BK755" t="s">
        <v>86</v>
      </c>
      <c r="BL755" t="s">
        <v>87</v>
      </c>
    </row>
    <row r="756" spans="1:64" x14ac:dyDescent="0.3">
      <c r="A756" t="str">
        <f>"200417E0100"</f>
        <v>200417E0100</v>
      </c>
      <c r="B756" t="str">
        <f>"200417E01003"</f>
        <v>200417E01003</v>
      </c>
      <c r="C756" t="str">
        <f t="shared" si="47"/>
        <v>20</v>
      </c>
      <c r="D756" t="s">
        <v>81</v>
      </c>
      <c r="E756" t="str">
        <f t="shared" si="48"/>
        <v>057</v>
      </c>
      <c r="F756" t="s">
        <v>828</v>
      </c>
      <c r="G756" t="str">
        <f>"0417"</f>
        <v>0417</v>
      </c>
      <c r="H756" t="str">
        <f>"0001"</f>
        <v>0001</v>
      </c>
      <c r="I756" t="s">
        <v>122</v>
      </c>
      <c r="J756">
        <v>0</v>
      </c>
      <c r="K756">
        <v>1</v>
      </c>
      <c r="L756">
        <v>3</v>
      </c>
      <c r="M756">
        <v>114</v>
      </c>
      <c r="N756">
        <v>109</v>
      </c>
      <c r="O756">
        <v>3</v>
      </c>
      <c r="P756">
        <v>109</v>
      </c>
      <c r="Q756">
        <v>17</v>
      </c>
      <c r="R756">
        <v>38</v>
      </c>
      <c r="T756">
        <v>1</v>
      </c>
      <c r="U756">
        <v>9</v>
      </c>
      <c r="V756">
        <v>0</v>
      </c>
      <c r="W756">
        <v>0</v>
      </c>
      <c r="X756">
        <v>38</v>
      </c>
      <c r="Y756">
        <v>0</v>
      </c>
      <c r="Z756">
        <v>0</v>
      </c>
      <c r="AA756">
        <v>1</v>
      </c>
      <c r="AB756">
        <v>2</v>
      </c>
      <c r="AW756">
        <v>0</v>
      </c>
      <c r="AX756">
        <v>3</v>
      </c>
      <c r="AY756">
        <v>109</v>
      </c>
      <c r="AZ756">
        <v>109</v>
      </c>
      <c r="BA756">
        <v>179</v>
      </c>
      <c r="BB756">
        <v>44</v>
      </c>
      <c r="BD756">
        <v>1</v>
      </c>
      <c r="BF756" t="s">
        <v>878</v>
      </c>
      <c r="BG756" s="1">
        <v>44354.133333333331</v>
      </c>
      <c r="BH756" s="1">
        <v>44354.136597222219</v>
      </c>
      <c r="BI756" s="1">
        <v>44354.136886574073</v>
      </c>
      <c r="BJ756" t="s">
        <v>85</v>
      </c>
      <c r="BK756" t="s">
        <v>86</v>
      </c>
      <c r="BL756" t="s">
        <v>87</v>
      </c>
    </row>
    <row r="757" spans="1:64" x14ac:dyDescent="0.3">
      <c r="A757" t="str">
        <f>"200418B0000"</f>
        <v>200418B0000</v>
      </c>
      <c r="B757" t="str">
        <f>"200418B00003"</f>
        <v>200418B00003</v>
      </c>
      <c r="C757" t="str">
        <f t="shared" si="47"/>
        <v>20</v>
      </c>
      <c r="D757" t="s">
        <v>81</v>
      </c>
      <c r="E757" t="str">
        <f t="shared" si="48"/>
        <v>057</v>
      </c>
      <c r="F757" t="s">
        <v>828</v>
      </c>
      <c r="G757" t="str">
        <f>"0418"</f>
        <v>0418</v>
      </c>
      <c r="H757" t="str">
        <f>"0000"</f>
        <v>0000</v>
      </c>
      <c r="I757" t="s">
        <v>83</v>
      </c>
      <c r="J757">
        <v>0</v>
      </c>
      <c r="K757">
        <v>1</v>
      </c>
      <c r="L757">
        <v>3</v>
      </c>
      <c r="M757">
        <v>157</v>
      </c>
      <c r="N757">
        <v>205</v>
      </c>
      <c r="O757">
        <v>0</v>
      </c>
      <c r="P757">
        <v>205</v>
      </c>
      <c r="Q757">
        <v>13</v>
      </c>
      <c r="R757">
        <v>24</v>
      </c>
      <c r="T757">
        <v>1</v>
      </c>
      <c r="U757">
        <v>78</v>
      </c>
      <c r="V757">
        <v>2</v>
      </c>
      <c r="W757">
        <v>1</v>
      </c>
      <c r="X757">
        <v>77</v>
      </c>
      <c r="Y757">
        <v>0</v>
      </c>
      <c r="Z757">
        <v>0</v>
      </c>
      <c r="AA757">
        <v>2</v>
      </c>
      <c r="AB757">
        <v>3</v>
      </c>
      <c r="AW757">
        <v>0</v>
      </c>
      <c r="AX757">
        <v>4</v>
      </c>
      <c r="AY757">
        <v>205</v>
      </c>
      <c r="AZ757">
        <v>205</v>
      </c>
      <c r="BA757">
        <v>318</v>
      </c>
      <c r="BB757">
        <v>44</v>
      </c>
      <c r="BD757">
        <v>1</v>
      </c>
      <c r="BF757" t="s">
        <v>879</v>
      </c>
      <c r="BG757" s="1">
        <v>44354.217361111114</v>
      </c>
      <c r="BH757" s="1">
        <v>44354.22388888889</v>
      </c>
      <c r="BI757" s="1">
        <v>44354.224398148152</v>
      </c>
      <c r="BJ757" t="s">
        <v>85</v>
      </c>
      <c r="BK757" t="s">
        <v>86</v>
      </c>
      <c r="BL757" t="s">
        <v>87</v>
      </c>
    </row>
    <row r="758" spans="1:64" x14ac:dyDescent="0.3">
      <c r="A758" t="str">
        <f>"200419B0000"</f>
        <v>200419B0000</v>
      </c>
      <c r="B758" t="str">
        <f>"200419B00003"</f>
        <v>200419B00003</v>
      </c>
      <c r="C758" t="str">
        <f t="shared" si="47"/>
        <v>20</v>
      </c>
      <c r="D758" t="s">
        <v>81</v>
      </c>
      <c r="E758" t="str">
        <f t="shared" si="48"/>
        <v>057</v>
      </c>
      <c r="F758" t="s">
        <v>828</v>
      </c>
      <c r="G758" t="str">
        <f>"0419"</f>
        <v>0419</v>
      </c>
      <c r="H758" t="str">
        <f>"0000"</f>
        <v>0000</v>
      </c>
      <c r="I758" t="s">
        <v>83</v>
      </c>
      <c r="J758">
        <v>0</v>
      </c>
      <c r="K758">
        <v>1</v>
      </c>
      <c r="L758">
        <v>3</v>
      </c>
      <c r="M758">
        <v>176</v>
      </c>
      <c r="N758">
        <v>220</v>
      </c>
      <c r="O758">
        <v>10</v>
      </c>
      <c r="P758">
        <v>220</v>
      </c>
      <c r="Q758">
        <v>12</v>
      </c>
      <c r="R758">
        <v>13</v>
      </c>
      <c r="T758">
        <v>0</v>
      </c>
      <c r="U758">
        <v>118</v>
      </c>
      <c r="V758">
        <v>2</v>
      </c>
      <c r="W758">
        <v>0</v>
      </c>
      <c r="X758">
        <v>63</v>
      </c>
      <c r="Y758">
        <v>1</v>
      </c>
      <c r="Z758">
        <v>1</v>
      </c>
      <c r="AA758">
        <v>3</v>
      </c>
      <c r="AB758">
        <v>6</v>
      </c>
      <c r="AW758">
        <v>0</v>
      </c>
      <c r="AX758">
        <v>1</v>
      </c>
      <c r="AY758">
        <v>220</v>
      </c>
      <c r="AZ758">
        <v>220</v>
      </c>
      <c r="BA758">
        <v>352</v>
      </c>
      <c r="BB758">
        <v>44</v>
      </c>
      <c r="BD758">
        <v>1</v>
      </c>
      <c r="BF758" t="s">
        <v>880</v>
      </c>
      <c r="BG758" s="1">
        <v>44354.216666666667</v>
      </c>
      <c r="BH758" s="1">
        <v>44354.22016203704</v>
      </c>
      <c r="BI758" s="1">
        <v>44354.220752314817</v>
      </c>
      <c r="BJ758" t="s">
        <v>85</v>
      </c>
      <c r="BK758" t="s">
        <v>86</v>
      </c>
      <c r="BL758" t="s">
        <v>87</v>
      </c>
    </row>
    <row r="759" spans="1:64" x14ac:dyDescent="0.3">
      <c r="A759" t="str">
        <f>"200419E0100"</f>
        <v>200419E0100</v>
      </c>
      <c r="B759" t="str">
        <f>"200419E01003"</f>
        <v>200419E01003</v>
      </c>
      <c r="C759" t="str">
        <f t="shared" si="47"/>
        <v>20</v>
      </c>
      <c r="D759" t="s">
        <v>81</v>
      </c>
      <c r="E759" t="str">
        <f t="shared" si="48"/>
        <v>057</v>
      </c>
      <c r="F759" t="s">
        <v>828</v>
      </c>
      <c r="G759" t="str">
        <f>"0419"</f>
        <v>0419</v>
      </c>
      <c r="H759" t="str">
        <f>"0001"</f>
        <v>0001</v>
      </c>
      <c r="I759" t="s">
        <v>122</v>
      </c>
      <c r="J759">
        <v>0</v>
      </c>
      <c r="K759">
        <v>1</v>
      </c>
      <c r="L759">
        <v>3</v>
      </c>
      <c r="M759">
        <v>127</v>
      </c>
      <c r="N759">
        <v>128</v>
      </c>
      <c r="O759">
        <v>8</v>
      </c>
      <c r="P759">
        <v>128</v>
      </c>
      <c r="Q759">
        <v>23</v>
      </c>
      <c r="R759">
        <v>0</v>
      </c>
      <c r="T759">
        <v>2</v>
      </c>
      <c r="U759">
        <v>57</v>
      </c>
      <c r="V759">
        <v>3</v>
      </c>
      <c r="W759">
        <v>0</v>
      </c>
      <c r="X759">
        <v>33</v>
      </c>
      <c r="Y759">
        <v>4</v>
      </c>
      <c r="Z759">
        <v>0</v>
      </c>
      <c r="AA759">
        <v>0</v>
      </c>
      <c r="AB759">
        <v>4</v>
      </c>
      <c r="AW759">
        <v>0</v>
      </c>
      <c r="AX759">
        <v>2</v>
      </c>
      <c r="AY759">
        <v>128</v>
      </c>
      <c r="AZ759">
        <v>128</v>
      </c>
      <c r="BA759">
        <v>211</v>
      </c>
      <c r="BB759">
        <v>44</v>
      </c>
      <c r="BD759">
        <v>1</v>
      </c>
      <c r="BF759" t="s">
        <v>881</v>
      </c>
      <c r="BG759" s="1">
        <v>44354.21597222222</v>
      </c>
      <c r="BH759" s="1">
        <v>44354.223796296297</v>
      </c>
      <c r="BI759" s="1">
        <v>44354.224606481483</v>
      </c>
      <c r="BJ759" t="s">
        <v>85</v>
      </c>
      <c r="BK759" t="s">
        <v>86</v>
      </c>
      <c r="BL759" t="s">
        <v>87</v>
      </c>
    </row>
    <row r="760" spans="1:64" x14ac:dyDescent="0.3">
      <c r="A760" t="str">
        <f>"200420B0000"</f>
        <v>200420B0000</v>
      </c>
      <c r="B760" t="str">
        <f>"200420B00003"</f>
        <v>200420B00003</v>
      </c>
      <c r="C760" t="str">
        <f t="shared" si="47"/>
        <v>20</v>
      </c>
      <c r="D760" t="s">
        <v>81</v>
      </c>
      <c r="E760" t="str">
        <f t="shared" si="48"/>
        <v>057</v>
      </c>
      <c r="F760" t="s">
        <v>828</v>
      </c>
      <c r="G760" t="str">
        <f>"0420"</f>
        <v>0420</v>
      </c>
      <c r="H760" t="str">
        <f>"0000"</f>
        <v>0000</v>
      </c>
      <c r="I760" t="s">
        <v>83</v>
      </c>
      <c r="J760">
        <v>0</v>
      </c>
      <c r="K760">
        <v>1</v>
      </c>
      <c r="L760">
        <v>3</v>
      </c>
      <c r="M760">
        <v>408</v>
      </c>
      <c r="N760">
        <v>321</v>
      </c>
      <c r="O760">
        <v>4</v>
      </c>
      <c r="P760">
        <v>321</v>
      </c>
      <c r="Q760">
        <v>43</v>
      </c>
      <c r="R760">
        <v>34</v>
      </c>
      <c r="T760">
        <v>3</v>
      </c>
      <c r="U760">
        <v>97</v>
      </c>
      <c r="V760">
        <v>7</v>
      </c>
      <c r="W760">
        <v>1</v>
      </c>
      <c r="X760">
        <v>102</v>
      </c>
      <c r="Y760">
        <v>5</v>
      </c>
      <c r="Z760">
        <v>3</v>
      </c>
      <c r="AA760">
        <v>1</v>
      </c>
      <c r="AB760">
        <v>13</v>
      </c>
      <c r="AW760" t="s">
        <v>95</v>
      </c>
      <c r="AX760">
        <v>12</v>
      </c>
      <c r="AY760">
        <v>321</v>
      </c>
      <c r="AZ760">
        <v>321</v>
      </c>
      <c r="BA760">
        <v>685</v>
      </c>
      <c r="BB760">
        <v>44</v>
      </c>
      <c r="BC760" t="s">
        <v>96</v>
      </c>
      <c r="BD760">
        <v>1</v>
      </c>
      <c r="BF760" t="s">
        <v>882</v>
      </c>
      <c r="BG760" s="1">
        <v>44354.152083333334</v>
      </c>
      <c r="BH760" s="1">
        <v>44354.157569444447</v>
      </c>
      <c r="BI760" s="1">
        <v>44354.157847222225</v>
      </c>
      <c r="BJ760" t="s">
        <v>85</v>
      </c>
      <c r="BK760" t="s">
        <v>86</v>
      </c>
      <c r="BL760" t="s">
        <v>87</v>
      </c>
    </row>
    <row r="761" spans="1:64" x14ac:dyDescent="0.3">
      <c r="A761" t="str">
        <f>"200420C0100"</f>
        <v>200420C0100</v>
      </c>
      <c r="B761" t="str">
        <f>"200420C01003"</f>
        <v>200420C01003</v>
      </c>
      <c r="C761" t="str">
        <f t="shared" si="47"/>
        <v>20</v>
      </c>
      <c r="D761" t="s">
        <v>81</v>
      </c>
      <c r="E761" t="str">
        <f t="shared" si="48"/>
        <v>057</v>
      </c>
      <c r="F761" t="s">
        <v>828</v>
      </c>
      <c r="G761" t="str">
        <f>"0420"</f>
        <v>0420</v>
      </c>
      <c r="H761" t="str">
        <f>"0001"</f>
        <v>0001</v>
      </c>
      <c r="I761" t="s">
        <v>89</v>
      </c>
      <c r="J761">
        <v>0</v>
      </c>
      <c r="K761">
        <v>1</v>
      </c>
      <c r="L761">
        <v>3</v>
      </c>
      <c r="M761">
        <v>427</v>
      </c>
      <c r="N761">
        <v>302</v>
      </c>
      <c r="O761">
        <v>1</v>
      </c>
      <c r="P761">
        <v>302</v>
      </c>
      <c r="Q761">
        <v>27</v>
      </c>
      <c r="R761">
        <v>41</v>
      </c>
      <c r="T761">
        <v>4</v>
      </c>
      <c r="U761">
        <v>76</v>
      </c>
      <c r="V761">
        <v>6</v>
      </c>
      <c r="W761">
        <v>0</v>
      </c>
      <c r="X761">
        <v>126</v>
      </c>
      <c r="Y761">
        <v>2</v>
      </c>
      <c r="Z761">
        <v>4</v>
      </c>
      <c r="AA761">
        <v>4</v>
      </c>
      <c r="AB761">
        <v>7</v>
      </c>
      <c r="AW761">
        <v>0</v>
      </c>
      <c r="AX761">
        <v>5</v>
      </c>
      <c r="AY761">
        <v>302</v>
      </c>
      <c r="AZ761">
        <v>302</v>
      </c>
      <c r="BA761">
        <v>685</v>
      </c>
      <c r="BB761">
        <v>44</v>
      </c>
      <c r="BD761">
        <v>1</v>
      </c>
      <c r="BF761" t="s">
        <v>883</v>
      </c>
      <c r="BG761" s="1">
        <v>44354.152083333334</v>
      </c>
      <c r="BH761" s="1">
        <v>44354.157881944448</v>
      </c>
      <c r="BI761" s="1">
        <v>44354.158483796295</v>
      </c>
      <c r="BJ761" t="s">
        <v>85</v>
      </c>
      <c r="BK761" t="s">
        <v>86</v>
      </c>
      <c r="BL761" t="s">
        <v>87</v>
      </c>
    </row>
    <row r="762" spans="1:64" x14ac:dyDescent="0.3">
      <c r="A762" t="str">
        <f>"200420C0200"</f>
        <v>200420C0200</v>
      </c>
      <c r="B762" t="str">
        <f>"200420C02003"</f>
        <v>200420C02003</v>
      </c>
      <c r="C762" t="str">
        <f t="shared" si="47"/>
        <v>20</v>
      </c>
      <c r="D762" t="s">
        <v>81</v>
      </c>
      <c r="E762" t="str">
        <f t="shared" si="48"/>
        <v>057</v>
      </c>
      <c r="F762" t="s">
        <v>828</v>
      </c>
      <c r="G762" t="str">
        <f>"0420"</f>
        <v>0420</v>
      </c>
      <c r="H762" t="str">
        <f>"0002"</f>
        <v>0002</v>
      </c>
      <c r="I762" t="s">
        <v>89</v>
      </c>
      <c r="J762">
        <v>0</v>
      </c>
      <c r="K762">
        <v>1</v>
      </c>
      <c r="L762">
        <v>3</v>
      </c>
      <c r="M762">
        <v>426</v>
      </c>
      <c r="N762">
        <v>320</v>
      </c>
      <c r="O762">
        <v>5</v>
      </c>
      <c r="P762">
        <v>320</v>
      </c>
      <c r="Q762">
        <v>42</v>
      </c>
      <c r="R762">
        <v>51</v>
      </c>
      <c r="T762">
        <v>4</v>
      </c>
      <c r="U762">
        <v>93</v>
      </c>
      <c r="V762">
        <v>3</v>
      </c>
      <c r="W762">
        <v>2</v>
      </c>
      <c r="X762">
        <v>98</v>
      </c>
      <c r="Y762">
        <v>2</v>
      </c>
      <c r="Z762">
        <v>2</v>
      </c>
      <c r="AA762">
        <v>2</v>
      </c>
      <c r="AB762">
        <v>17</v>
      </c>
      <c r="AW762">
        <v>0</v>
      </c>
      <c r="AX762">
        <v>4</v>
      </c>
      <c r="AY762">
        <v>320</v>
      </c>
      <c r="AZ762">
        <v>320</v>
      </c>
      <c r="BA762">
        <v>684</v>
      </c>
      <c r="BB762">
        <v>44</v>
      </c>
      <c r="BD762">
        <v>1</v>
      </c>
      <c r="BF762" t="s">
        <v>884</v>
      </c>
      <c r="BG762" s="1">
        <v>44354.216666666667</v>
      </c>
      <c r="BH762" s="1">
        <v>44354.223124999997</v>
      </c>
      <c r="BI762" s="1">
        <v>44354.223541666666</v>
      </c>
      <c r="BJ762" t="s">
        <v>85</v>
      </c>
      <c r="BK762" t="s">
        <v>86</v>
      </c>
      <c r="BL762" t="s">
        <v>87</v>
      </c>
    </row>
    <row r="763" spans="1:64" x14ac:dyDescent="0.3">
      <c r="A763" t="str">
        <f>"200420E0100"</f>
        <v>200420E0100</v>
      </c>
      <c r="B763" t="str">
        <f>"200420E01003"</f>
        <v>200420E01003</v>
      </c>
      <c r="C763" t="str">
        <f t="shared" si="47"/>
        <v>20</v>
      </c>
      <c r="D763" t="s">
        <v>81</v>
      </c>
      <c r="E763" t="str">
        <f t="shared" si="48"/>
        <v>057</v>
      </c>
      <c r="F763" t="s">
        <v>828</v>
      </c>
      <c r="G763" t="str">
        <f>"0420"</f>
        <v>0420</v>
      </c>
      <c r="H763" t="str">
        <f>"0001"</f>
        <v>0001</v>
      </c>
      <c r="I763" t="s">
        <v>122</v>
      </c>
      <c r="J763">
        <v>0</v>
      </c>
      <c r="K763">
        <v>1</v>
      </c>
      <c r="L763">
        <v>3</v>
      </c>
      <c r="M763">
        <v>104</v>
      </c>
      <c r="N763">
        <v>90</v>
      </c>
      <c r="O763">
        <v>1</v>
      </c>
      <c r="P763">
        <v>90</v>
      </c>
      <c r="Q763">
        <v>22</v>
      </c>
      <c r="R763">
        <v>3</v>
      </c>
      <c r="T763">
        <v>2</v>
      </c>
      <c r="U763">
        <v>29</v>
      </c>
      <c r="V763">
        <v>4</v>
      </c>
      <c r="W763">
        <v>0</v>
      </c>
      <c r="X763">
        <v>23</v>
      </c>
      <c r="Y763">
        <v>1</v>
      </c>
      <c r="Z763">
        <v>0</v>
      </c>
      <c r="AA763">
        <v>0</v>
      </c>
      <c r="AB763">
        <v>3</v>
      </c>
      <c r="AW763">
        <v>0</v>
      </c>
      <c r="AX763">
        <v>3</v>
      </c>
      <c r="AY763">
        <v>90</v>
      </c>
      <c r="AZ763">
        <v>90</v>
      </c>
      <c r="BA763">
        <v>150</v>
      </c>
      <c r="BB763">
        <v>44</v>
      </c>
      <c r="BD763">
        <v>1</v>
      </c>
      <c r="BF763" t="s">
        <v>885</v>
      </c>
      <c r="BG763" s="1">
        <v>44354.143055555556</v>
      </c>
      <c r="BH763" s="1">
        <v>44354.146377314813</v>
      </c>
      <c r="BI763" s="1">
        <v>44354.146886574075</v>
      </c>
      <c r="BJ763" t="s">
        <v>85</v>
      </c>
      <c r="BK763" t="s">
        <v>86</v>
      </c>
      <c r="BL763" t="s">
        <v>87</v>
      </c>
    </row>
    <row r="764" spans="1:64" x14ac:dyDescent="0.3">
      <c r="A764" t="str">
        <f>"200421B0000"</f>
        <v>200421B0000</v>
      </c>
      <c r="B764" t="str">
        <f>"200421B00003"</f>
        <v>200421B00003</v>
      </c>
      <c r="C764" t="str">
        <f t="shared" si="47"/>
        <v>20</v>
      </c>
      <c r="D764" t="s">
        <v>81</v>
      </c>
      <c r="E764" t="str">
        <f t="shared" si="48"/>
        <v>057</v>
      </c>
      <c r="F764" t="s">
        <v>828</v>
      </c>
      <c r="G764" t="str">
        <f>"0421"</f>
        <v>0421</v>
      </c>
      <c r="H764" t="str">
        <f>"0000"</f>
        <v>0000</v>
      </c>
      <c r="I764" t="s">
        <v>83</v>
      </c>
      <c r="J764">
        <v>0</v>
      </c>
      <c r="K764">
        <v>1</v>
      </c>
      <c r="L764">
        <v>3</v>
      </c>
      <c r="M764">
        <v>94</v>
      </c>
      <c r="N764">
        <v>121</v>
      </c>
      <c r="O764">
        <v>3</v>
      </c>
      <c r="P764">
        <v>121</v>
      </c>
      <c r="Q764">
        <v>20</v>
      </c>
      <c r="R764">
        <v>21</v>
      </c>
      <c r="T764">
        <v>3</v>
      </c>
      <c r="U764">
        <v>16</v>
      </c>
      <c r="V764">
        <v>0</v>
      </c>
      <c r="W764">
        <v>0</v>
      </c>
      <c r="X764">
        <v>50</v>
      </c>
      <c r="Y764">
        <v>1</v>
      </c>
      <c r="Z764">
        <v>5</v>
      </c>
      <c r="AA764">
        <v>0</v>
      </c>
      <c r="AB764">
        <v>1</v>
      </c>
      <c r="AW764">
        <v>0</v>
      </c>
      <c r="AX764">
        <v>4</v>
      </c>
      <c r="AY764">
        <v>121</v>
      </c>
      <c r="AZ764">
        <v>121</v>
      </c>
      <c r="BA764">
        <v>171</v>
      </c>
      <c r="BB764">
        <v>44</v>
      </c>
      <c r="BD764">
        <v>1</v>
      </c>
      <c r="BF764" t="s">
        <v>886</v>
      </c>
      <c r="BG764" s="1">
        <v>44354.134722222225</v>
      </c>
      <c r="BH764" s="1">
        <v>44354.137175925927</v>
      </c>
      <c r="BI764" s="1">
        <v>44354.137627314813</v>
      </c>
      <c r="BJ764" t="s">
        <v>85</v>
      </c>
      <c r="BK764" t="s">
        <v>86</v>
      </c>
      <c r="BL764" t="s">
        <v>87</v>
      </c>
    </row>
    <row r="765" spans="1:64" x14ac:dyDescent="0.3">
      <c r="A765" t="str">
        <f>"200432B0000"</f>
        <v>200432B0000</v>
      </c>
      <c r="B765" t="str">
        <f>"200432B00003"</f>
        <v>200432B00003</v>
      </c>
      <c r="C765" t="str">
        <f t="shared" si="47"/>
        <v>20</v>
      </c>
      <c r="D765" t="s">
        <v>81</v>
      </c>
      <c r="E765" t="str">
        <f t="shared" ref="E765:E796" si="49">"059"</f>
        <v>059</v>
      </c>
      <c r="F765" t="s">
        <v>887</v>
      </c>
      <c r="G765" t="str">
        <f>"0432"</f>
        <v>0432</v>
      </c>
      <c r="H765" t="str">
        <f>"0000"</f>
        <v>0000</v>
      </c>
      <c r="I765" t="s">
        <v>83</v>
      </c>
      <c r="J765">
        <v>0</v>
      </c>
      <c r="K765">
        <v>1</v>
      </c>
      <c r="L765">
        <v>3</v>
      </c>
      <c r="M765">
        <v>302</v>
      </c>
      <c r="N765">
        <v>377</v>
      </c>
      <c r="O765">
        <v>2</v>
      </c>
      <c r="P765" t="s">
        <v>92</v>
      </c>
      <c r="Q765">
        <v>5</v>
      </c>
      <c r="R765">
        <v>63</v>
      </c>
      <c r="S765">
        <v>2</v>
      </c>
      <c r="T765">
        <v>1</v>
      </c>
      <c r="U765">
        <v>10</v>
      </c>
      <c r="V765">
        <v>0</v>
      </c>
      <c r="W765">
        <v>84</v>
      </c>
      <c r="X765">
        <v>88</v>
      </c>
      <c r="Y765">
        <v>48</v>
      </c>
      <c r="Z765">
        <v>3</v>
      </c>
      <c r="AB765">
        <v>3</v>
      </c>
      <c r="AC765">
        <v>36</v>
      </c>
      <c r="AD765">
        <v>18</v>
      </c>
      <c r="AQ765">
        <v>2</v>
      </c>
      <c r="AR765">
        <v>2</v>
      </c>
      <c r="AW765">
        <v>0</v>
      </c>
      <c r="AX765">
        <v>12</v>
      </c>
      <c r="AY765">
        <v>377</v>
      </c>
      <c r="AZ765">
        <v>377</v>
      </c>
      <c r="BA765">
        <v>631</v>
      </c>
      <c r="BB765">
        <v>48</v>
      </c>
      <c r="BD765">
        <v>1</v>
      </c>
      <c r="BF765" t="s">
        <v>888</v>
      </c>
      <c r="BG765" s="1">
        <v>44354.506944444445</v>
      </c>
      <c r="BH765" s="1">
        <v>44354.509733796294</v>
      </c>
      <c r="BI765" s="1">
        <v>44354.510613425926</v>
      </c>
      <c r="BJ765" t="s">
        <v>85</v>
      </c>
      <c r="BK765" t="s">
        <v>86</v>
      </c>
      <c r="BL765" t="s">
        <v>87</v>
      </c>
    </row>
    <row r="766" spans="1:64" x14ac:dyDescent="0.3">
      <c r="A766" t="str">
        <f>"200432C0100"</f>
        <v>200432C0100</v>
      </c>
      <c r="B766" t="str">
        <f>"200432C01003"</f>
        <v>200432C01003</v>
      </c>
      <c r="C766" t="str">
        <f t="shared" si="47"/>
        <v>20</v>
      </c>
      <c r="D766" t="s">
        <v>81</v>
      </c>
      <c r="E766" t="str">
        <f t="shared" si="49"/>
        <v>059</v>
      </c>
      <c r="F766" t="s">
        <v>887</v>
      </c>
      <c r="G766" t="str">
        <f>"0432"</f>
        <v>0432</v>
      </c>
      <c r="H766" t="str">
        <f>"0001"</f>
        <v>0001</v>
      </c>
      <c r="I766" t="s">
        <v>89</v>
      </c>
      <c r="J766">
        <v>0</v>
      </c>
      <c r="K766">
        <v>1</v>
      </c>
      <c r="L766">
        <v>3</v>
      </c>
      <c r="M766">
        <v>307</v>
      </c>
      <c r="N766">
        <v>371</v>
      </c>
      <c r="O766">
        <v>6</v>
      </c>
      <c r="P766">
        <v>371</v>
      </c>
      <c r="Q766">
        <v>6</v>
      </c>
      <c r="R766">
        <v>80</v>
      </c>
      <c r="S766">
        <v>3</v>
      </c>
      <c r="T766">
        <v>3</v>
      </c>
      <c r="U766">
        <v>11</v>
      </c>
      <c r="V766">
        <v>0</v>
      </c>
      <c r="W766">
        <v>96</v>
      </c>
      <c r="X766">
        <v>56</v>
      </c>
      <c r="Y766">
        <v>53</v>
      </c>
      <c r="Z766">
        <v>2</v>
      </c>
      <c r="AB766">
        <v>3</v>
      </c>
      <c r="AC766">
        <v>26</v>
      </c>
      <c r="AD766">
        <v>25</v>
      </c>
      <c r="AQ766">
        <v>0</v>
      </c>
      <c r="AR766">
        <v>0</v>
      </c>
      <c r="AW766">
        <v>0</v>
      </c>
      <c r="AX766">
        <v>7</v>
      </c>
      <c r="AY766">
        <v>371</v>
      </c>
      <c r="AZ766">
        <v>371</v>
      </c>
      <c r="BA766">
        <v>630</v>
      </c>
      <c r="BB766">
        <v>48</v>
      </c>
      <c r="BD766">
        <v>1</v>
      </c>
      <c r="BF766" t="s">
        <v>889</v>
      </c>
      <c r="BG766" s="1">
        <v>44354.140277777777</v>
      </c>
      <c r="BH766" s="1">
        <v>44354.145046296297</v>
      </c>
      <c r="BI766" s="1">
        <v>44354.145578703705</v>
      </c>
      <c r="BJ766" t="s">
        <v>85</v>
      </c>
      <c r="BK766" t="s">
        <v>86</v>
      </c>
      <c r="BL766" t="s">
        <v>87</v>
      </c>
    </row>
    <row r="767" spans="1:64" x14ac:dyDescent="0.3">
      <c r="A767" t="str">
        <f>"200432C0200"</f>
        <v>200432C0200</v>
      </c>
      <c r="B767" t="str">
        <f>"200432C02003"</f>
        <v>200432C02003</v>
      </c>
      <c r="C767" t="str">
        <f t="shared" si="47"/>
        <v>20</v>
      </c>
      <c r="D767" t="s">
        <v>81</v>
      </c>
      <c r="E767" t="str">
        <f t="shared" si="49"/>
        <v>059</v>
      </c>
      <c r="F767" t="s">
        <v>887</v>
      </c>
      <c r="G767" t="str">
        <f>"0432"</f>
        <v>0432</v>
      </c>
      <c r="H767" t="str">
        <f>"0002"</f>
        <v>0002</v>
      </c>
      <c r="I767" t="s">
        <v>89</v>
      </c>
      <c r="J767">
        <v>0</v>
      </c>
      <c r="K767">
        <v>1</v>
      </c>
      <c r="L767">
        <v>3</v>
      </c>
      <c r="M767">
        <v>301</v>
      </c>
      <c r="N767">
        <v>376</v>
      </c>
      <c r="O767">
        <v>8</v>
      </c>
      <c r="P767" t="s">
        <v>92</v>
      </c>
      <c r="Q767">
        <v>8</v>
      </c>
      <c r="R767">
        <v>63</v>
      </c>
      <c r="S767">
        <v>0</v>
      </c>
      <c r="T767">
        <v>3</v>
      </c>
      <c r="U767">
        <v>15</v>
      </c>
      <c r="V767">
        <v>0</v>
      </c>
      <c r="W767">
        <v>98</v>
      </c>
      <c r="X767">
        <v>72</v>
      </c>
      <c r="Y767">
        <v>61</v>
      </c>
      <c r="Z767">
        <v>1</v>
      </c>
      <c r="AB767">
        <v>0</v>
      </c>
      <c r="AC767">
        <v>17</v>
      </c>
      <c r="AD767">
        <v>19</v>
      </c>
      <c r="AQ767">
        <v>0</v>
      </c>
      <c r="AR767">
        <v>1</v>
      </c>
      <c r="AW767">
        <v>0</v>
      </c>
      <c r="AX767">
        <v>13</v>
      </c>
      <c r="AY767">
        <v>376</v>
      </c>
      <c r="AZ767">
        <v>371</v>
      </c>
      <c r="BA767">
        <v>630</v>
      </c>
      <c r="BB767">
        <v>48</v>
      </c>
      <c r="BD767">
        <v>1</v>
      </c>
      <c r="BF767" t="s">
        <v>890</v>
      </c>
      <c r="BG767" s="1">
        <v>44354.505555555559</v>
      </c>
      <c r="BH767" s="1">
        <v>44354.507256944446</v>
      </c>
      <c r="BI767" s="1">
        <v>44354.507777777777</v>
      </c>
      <c r="BJ767" t="s">
        <v>85</v>
      </c>
      <c r="BK767" t="s">
        <v>86</v>
      </c>
      <c r="BL767" t="s">
        <v>87</v>
      </c>
    </row>
    <row r="768" spans="1:64" x14ac:dyDescent="0.3">
      <c r="A768" t="str">
        <f>"200432E0100"</f>
        <v>200432E0100</v>
      </c>
      <c r="B768" t="str">
        <f>"200432E01003"</f>
        <v>200432E01003</v>
      </c>
      <c r="C768" t="str">
        <f t="shared" si="47"/>
        <v>20</v>
      </c>
      <c r="D768" t="s">
        <v>81</v>
      </c>
      <c r="E768" t="str">
        <f t="shared" si="49"/>
        <v>059</v>
      </c>
      <c r="F768" t="s">
        <v>887</v>
      </c>
      <c r="G768" t="str">
        <f>"0432"</f>
        <v>0432</v>
      </c>
      <c r="H768" t="str">
        <f>"0001"</f>
        <v>0001</v>
      </c>
      <c r="I768" t="s">
        <v>122</v>
      </c>
      <c r="J768">
        <v>0</v>
      </c>
      <c r="K768">
        <v>1</v>
      </c>
      <c r="L768">
        <v>3</v>
      </c>
      <c r="M768">
        <v>170</v>
      </c>
      <c r="N768">
        <v>113</v>
      </c>
      <c r="O768">
        <v>8</v>
      </c>
      <c r="P768">
        <v>113</v>
      </c>
      <c r="Q768">
        <v>1</v>
      </c>
      <c r="R768">
        <v>7</v>
      </c>
      <c r="S768">
        <v>1</v>
      </c>
      <c r="T768">
        <v>2</v>
      </c>
      <c r="U768">
        <v>2</v>
      </c>
      <c r="V768">
        <v>1</v>
      </c>
      <c r="W768">
        <v>54</v>
      </c>
      <c r="X768">
        <v>12</v>
      </c>
      <c r="Y768">
        <v>15</v>
      </c>
      <c r="Z768">
        <v>8</v>
      </c>
      <c r="AB768">
        <v>0</v>
      </c>
      <c r="AC768">
        <v>2</v>
      </c>
      <c r="AD768">
        <v>3</v>
      </c>
      <c r="AQ768">
        <v>1</v>
      </c>
      <c r="AR768">
        <v>0</v>
      </c>
      <c r="AW768" t="s">
        <v>95</v>
      </c>
      <c r="AX768" t="s">
        <v>95</v>
      </c>
      <c r="AY768">
        <v>113</v>
      </c>
      <c r="AZ768">
        <v>109</v>
      </c>
      <c r="BA768">
        <v>235</v>
      </c>
      <c r="BB768">
        <v>48</v>
      </c>
      <c r="BC768" t="s">
        <v>96</v>
      </c>
      <c r="BD768">
        <v>1</v>
      </c>
      <c r="BF768" t="s">
        <v>891</v>
      </c>
      <c r="BG768" s="1">
        <v>44354.142361111109</v>
      </c>
      <c r="BH768" s="1">
        <v>44354.143645833334</v>
      </c>
      <c r="BI768" s="1">
        <v>44354.144270833334</v>
      </c>
      <c r="BJ768" t="s">
        <v>85</v>
      </c>
      <c r="BK768" t="s">
        <v>86</v>
      </c>
      <c r="BL768" t="s">
        <v>87</v>
      </c>
    </row>
    <row r="769" spans="1:64" x14ac:dyDescent="0.3">
      <c r="A769" t="str">
        <f>"200432S0100"</f>
        <v>200432S0100</v>
      </c>
      <c r="B769" t="str">
        <f>"200432S01003E"</f>
        <v>200432S01003E</v>
      </c>
      <c r="C769" t="str">
        <f t="shared" si="47"/>
        <v>20</v>
      </c>
      <c r="D769" t="s">
        <v>81</v>
      </c>
      <c r="E769" t="str">
        <f t="shared" si="49"/>
        <v>059</v>
      </c>
      <c r="F769" t="s">
        <v>887</v>
      </c>
      <c r="G769" t="str">
        <f>"0432"</f>
        <v>0432</v>
      </c>
      <c r="H769" t="str">
        <f>"0001"</f>
        <v>0001</v>
      </c>
      <c r="I769" t="s">
        <v>99</v>
      </c>
      <c r="J769">
        <v>0</v>
      </c>
      <c r="K769">
        <v>1</v>
      </c>
      <c r="L769" t="s">
        <v>100</v>
      </c>
      <c r="M769">
        <v>820</v>
      </c>
      <c r="N769">
        <v>180</v>
      </c>
      <c r="O769">
        <v>0</v>
      </c>
      <c r="P769">
        <v>180</v>
      </c>
      <c r="Q769">
        <v>2</v>
      </c>
      <c r="R769">
        <v>33</v>
      </c>
      <c r="S769">
        <v>0</v>
      </c>
      <c r="T769">
        <v>4</v>
      </c>
      <c r="U769">
        <v>2</v>
      </c>
      <c r="V769">
        <v>1</v>
      </c>
      <c r="W769">
        <v>99</v>
      </c>
      <c r="X769">
        <v>12</v>
      </c>
      <c r="Y769">
        <v>11</v>
      </c>
      <c r="Z769">
        <v>0</v>
      </c>
      <c r="AB769">
        <v>0</v>
      </c>
      <c r="AC769">
        <v>3</v>
      </c>
      <c r="AD769">
        <v>1</v>
      </c>
      <c r="AQ769">
        <v>0</v>
      </c>
      <c r="AR769">
        <v>0</v>
      </c>
      <c r="AW769">
        <v>0</v>
      </c>
      <c r="AX769">
        <v>12</v>
      </c>
      <c r="AY769">
        <v>180</v>
      </c>
      <c r="AZ769">
        <v>180</v>
      </c>
      <c r="BA769">
        <v>0</v>
      </c>
      <c r="BB769">
        <v>48</v>
      </c>
      <c r="BD769">
        <v>1</v>
      </c>
      <c r="BF769" t="s">
        <v>892</v>
      </c>
      <c r="BG769" s="1">
        <v>44354.507638888892</v>
      </c>
      <c r="BH769" s="1">
        <v>44354.509097222224</v>
      </c>
      <c r="BI769" s="1">
        <v>44354.510243055556</v>
      </c>
      <c r="BJ769" t="s">
        <v>85</v>
      </c>
      <c r="BK769" t="s">
        <v>86</v>
      </c>
      <c r="BL769" t="s">
        <v>87</v>
      </c>
    </row>
    <row r="770" spans="1:64" x14ac:dyDescent="0.3">
      <c r="A770" t="str">
        <f>"200433B0000"</f>
        <v>200433B0000</v>
      </c>
      <c r="B770" t="str">
        <f>"200433B00003"</f>
        <v>200433B00003</v>
      </c>
      <c r="C770" t="str">
        <f t="shared" si="47"/>
        <v>20</v>
      </c>
      <c r="D770" t="s">
        <v>81</v>
      </c>
      <c r="E770" t="str">
        <f t="shared" si="49"/>
        <v>059</v>
      </c>
      <c r="F770" t="s">
        <v>887</v>
      </c>
      <c r="G770" t="str">
        <f t="shared" ref="G770:G775" si="50">"0433"</f>
        <v>0433</v>
      </c>
      <c r="H770" t="str">
        <f>"0000"</f>
        <v>0000</v>
      </c>
      <c r="I770" t="s">
        <v>83</v>
      </c>
      <c r="J770">
        <v>0</v>
      </c>
      <c r="K770">
        <v>1</v>
      </c>
      <c r="L770">
        <v>3</v>
      </c>
      <c r="M770">
        <v>361</v>
      </c>
      <c r="N770">
        <v>361</v>
      </c>
      <c r="O770">
        <v>7</v>
      </c>
      <c r="P770">
        <v>361</v>
      </c>
      <c r="Q770">
        <v>8</v>
      </c>
      <c r="R770">
        <v>56</v>
      </c>
      <c r="S770">
        <v>3</v>
      </c>
      <c r="T770">
        <v>2</v>
      </c>
      <c r="U770">
        <v>15</v>
      </c>
      <c r="V770">
        <v>2</v>
      </c>
      <c r="W770">
        <v>74</v>
      </c>
      <c r="X770">
        <v>92</v>
      </c>
      <c r="Y770">
        <v>79</v>
      </c>
      <c r="Z770">
        <v>1</v>
      </c>
      <c r="AB770">
        <v>1</v>
      </c>
      <c r="AC770">
        <v>11</v>
      </c>
      <c r="AD770">
        <v>10</v>
      </c>
      <c r="AQ770">
        <v>1</v>
      </c>
      <c r="AR770">
        <v>0</v>
      </c>
      <c r="AW770">
        <v>0</v>
      </c>
      <c r="AX770">
        <v>6</v>
      </c>
      <c r="AY770">
        <v>361</v>
      </c>
      <c r="AZ770">
        <v>361</v>
      </c>
      <c r="BA770">
        <v>677</v>
      </c>
      <c r="BB770">
        <v>48</v>
      </c>
      <c r="BD770">
        <v>1</v>
      </c>
      <c r="BF770" t="s">
        <v>893</v>
      </c>
      <c r="BG770" s="1">
        <v>44354.140277777777</v>
      </c>
      <c r="BH770" s="1">
        <v>44354.141585648147</v>
      </c>
      <c r="BI770" s="1">
        <v>44354.142268518517</v>
      </c>
      <c r="BJ770" t="s">
        <v>85</v>
      </c>
      <c r="BK770" t="s">
        <v>86</v>
      </c>
      <c r="BL770" t="s">
        <v>87</v>
      </c>
    </row>
    <row r="771" spans="1:64" x14ac:dyDescent="0.3">
      <c r="A771" t="str">
        <f>"200433C0100"</f>
        <v>200433C0100</v>
      </c>
      <c r="B771" t="str">
        <f>"200433C01003"</f>
        <v>200433C01003</v>
      </c>
      <c r="C771" t="str">
        <f t="shared" si="47"/>
        <v>20</v>
      </c>
      <c r="D771" t="s">
        <v>81</v>
      </c>
      <c r="E771" t="str">
        <f t="shared" si="49"/>
        <v>059</v>
      </c>
      <c r="F771" t="s">
        <v>887</v>
      </c>
      <c r="G771" t="str">
        <f t="shared" si="50"/>
        <v>0433</v>
      </c>
      <c r="H771" t="str">
        <f>"0001"</f>
        <v>0001</v>
      </c>
      <c r="I771" t="s">
        <v>89</v>
      </c>
      <c r="J771">
        <v>0</v>
      </c>
      <c r="K771">
        <v>1</v>
      </c>
      <c r="L771">
        <v>3</v>
      </c>
      <c r="M771">
        <v>355</v>
      </c>
      <c r="N771">
        <v>370</v>
      </c>
      <c r="O771">
        <v>5</v>
      </c>
      <c r="P771">
        <v>367</v>
      </c>
      <c r="Q771">
        <v>9</v>
      </c>
      <c r="R771">
        <v>56</v>
      </c>
      <c r="S771">
        <v>4</v>
      </c>
      <c r="T771">
        <v>0</v>
      </c>
      <c r="U771">
        <v>8</v>
      </c>
      <c r="V771">
        <v>1</v>
      </c>
      <c r="W771">
        <v>100</v>
      </c>
      <c r="X771">
        <v>75</v>
      </c>
      <c r="Y771">
        <v>74</v>
      </c>
      <c r="Z771">
        <v>2</v>
      </c>
      <c r="AB771">
        <v>3</v>
      </c>
      <c r="AC771">
        <v>14</v>
      </c>
      <c r="AD771">
        <v>7</v>
      </c>
      <c r="AQ771">
        <v>5</v>
      </c>
      <c r="AR771">
        <v>0</v>
      </c>
      <c r="AW771">
        <v>0</v>
      </c>
      <c r="AX771">
        <v>0</v>
      </c>
      <c r="AY771">
        <v>367</v>
      </c>
      <c r="AZ771">
        <v>358</v>
      </c>
      <c r="BA771">
        <v>677</v>
      </c>
      <c r="BB771">
        <v>48</v>
      </c>
      <c r="BD771">
        <v>1</v>
      </c>
      <c r="BF771" t="s">
        <v>894</v>
      </c>
      <c r="BG771" s="1">
        <v>44354.140277777777</v>
      </c>
      <c r="BH771" s="1">
        <v>44354.142071759263</v>
      </c>
      <c r="BI771" s="1">
        <v>44354.14271990741</v>
      </c>
      <c r="BJ771" t="s">
        <v>85</v>
      </c>
      <c r="BK771" t="s">
        <v>86</v>
      </c>
      <c r="BL771" t="s">
        <v>87</v>
      </c>
    </row>
    <row r="772" spans="1:64" x14ac:dyDescent="0.3">
      <c r="A772" t="str">
        <f>"200433C0200"</f>
        <v>200433C0200</v>
      </c>
      <c r="B772" t="str">
        <f>"200433C02003"</f>
        <v>200433C02003</v>
      </c>
      <c r="C772" t="str">
        <f t="shared" si="47"/>
        <v>20</v>
      </c>
      <c r="D772" t="s">
        <v>81</v>
      </c>
      <c r="E772" t="str">
        <f t="shared" si="49"/>
        <v>059</v>
      </c>
      <c r="F772" t="s">
        <v>887</v>
      </c>
      <c r="G772" t="str">
        <f t="shared" si="50"/>
        <v>0433</v>
      </c>
      <c r="H772" t="str">
        <f>"0002"</f>
        <v>0002</v>
      </c>
      <c r="I772" t="s">
        <v>89</v>
      </c>
      <c r="J772">
        <v>0</v>
      </c>
      <c r="K772">
        <v>1</v>
      </c>
      <c r="L772">
        <v>3</v>
      </c>
      <c r="M772" t="s">
        <v>131</v>
      </c>
      <c r="N772" t="s">
        <v>131</v>
      </c>
      <c r="O772">
        <v>9</v>
      </c>
      <c r="P772" t="s">
        <v>131</v>
      </c>
      <c r="Q772">
        <v>7</v>
      </c>
      <c r="R772">
        <v>57</v>
      </c>
      <c r="S772" t="s">
        <v>131</v>
      </c>
      <c r="T772">
        <v>1</v>
      </c>
      <c r="U772">
        <v>13</v>
      </c>
      <c r="V772">
        <v>1</v>
      </c>
      <c r="W772">
        <v>101</v>
      </c>
      <c r="X772" t="s">
        <v>131</v>
      </c>
      <c r="Y772">
        <v>85</v>
      </c>
      <c r="Z772">
        <v>2</v>
      </c>
      <c r="AB772">
        <v>2</v>
      </c>
      <c r="AC772">
        <v>13</v>
      </c>
      <c r="AD772">
        <v>14</v>
      </c>
      <c r="AQ772">
        <v>4</v>
      </c>
      <c r="AR772">
        <v>1</v>
      </c>
      <c r="AW772">
        <v>0</v>
      </c>
      <c r="AX772">
        <v>13</v>
      </c>
      <c r="AY772" t="s">
        <v>131</v>
      </c>
      <c r="AZ772">
        <v>314</v>
      </c>
      <c r="BA772">
        <v>676</v>
      </c>
      <c r="BB772">
        <v>48</v>
      </c>
      <c r="BC772" t="s">
        <v>96</v>
      </c>
      <c r="BD772">
        <v>1</v>
      </c>
      <c r="BF772" t="s">
        <v>895</v>
      </c>
      <c r="BG772" s="1">
        <v>44354.152777777781</v>
      </c>
      <c r="BH772" s="1">
        <v>44354.167615740742</v>
      </c>
      <c r="BI772" s="1">
        <v>44354.173611111109</v>
      </c>
      <c r="BJ772" t="s">
        <v>85</v>
      </c>
      <c r="BK772" t="s">
        <v>86</v>
      </c>
      <c r="BL772" t="s">
        <v>87</v>
      </c>
    </row>
    <row r="773" spans="1:64" x14ac:dyDescent="0.3">
      <c r="A773" t="str">
        <f>"200433C0300"</f>
        <v>200433C0300</v>
      </c>
      <c r="B773" t="str">
        <f>"200433C03003"</f>
        <v>200433C03003</v>
      </c>
      <c r="C773" t="str">
        <f t="shared" si="47"/>
        <v>20</v>
      </c>
      <c r="D773" t="s">
        <v>81</v>
      </c>
      <c r="E773" t="str">
        <f t="shared" si="49"/>
        <v>059</v>
      </c>
      <c r="F773" t="s">
        <v>887</v>
      </c>
      <c r="G773" t="str">
        <f t="shared" si="50"/>
        <v>0433</v>
      </c>
      <c r="H773" t="str">
        <f>"0003"</f>
        <v>0003</v>
      </c>
      <c r="I773" t="s">
        <v>89</v>
      </c>
      <c r="J773">
        <v>0</v>
      </c>
      <c r="K773">
        <v>1</v>
      </c>
      <c r="L773">
        <v>3</v>
      </c>
      <c r="M773">
        <v>348</v>
      </c>
      <c r="N773">
        <v>376</v>
      </c>
      <c r="O773">
        <v>7</v>
      </c>
      <c r="P773">
        <v>374</v>
      </c>
      <c r="Q773">
        <v>8</v>
      </c>
      <c r="R773">
        <v>73</v>
      </c>
      <c r="S773">
        <v>8</v>
      </c>
      <c r="T773">
        <v>1</v>
      </c>
      <c r="U773">
        <v>14</v>
      </c>
      <c r="V773">
        <v>0</v>
      </c>
      <c r="W773">
        <v>84</v>
      </c>
      <c r="X773">
        <v>70</v>
      </c>
      <c r="Y773">
        <v>63</v>
      </c>
      <c r="Z773">
        <v>1</v>
      </c>
      <c r="AB773">
        <v>3</v>
      </c>
      <c r="AC773">
        <v>17</v>
      </c>
      <c r="AD773">
        <v>21</v>
      </c>
      <c r="AQ773">
        <v>1</v>
      </c>
      <c r="AR773">
        <v>0</v>
      </c>
      <c r="AW773">
        <v>0</v>
      </c>
      <c r="AX773">
        <v>10</v>
      </c>
      <c r="AY773">
        <v>0</v>
      </c>
      <c r="AZ773">
        <v>374</v>
      </c>
      <c r="BA773">
        <v>676</v>
      </c>
      <c r="BB773">
        <v>48</v>
      </c>
      <c r="BD773">
        <v>1</v>
      </c>
      <c r="BF773" t="s">
        <v>896</v>
      </c>
      <c r="BG773" s="1">
        <v>44354.15902777778</v>
      </c>
      <c r="BH773" s="1">
        <v>44354.168900462966</v>
      </c>
      <c r="BI773" s="1">
        <v>44354.174305555556</v>
      </c>
      <c r="BJ773" t="s">
        <v>85</v>
      </c>
      <c r="BK773" t="s">
        <v>86</v>
      </c>
      <c r="BL773" t="s">
        <v>87</v>
      </c>
    </row>
    <row r="774" spans="1:64" x14ac:dyDescent="0.3">
      <c r="A774" t="str">
        <f>"200433C0400"</f>
        <v>200433C0400</v>
      </c>
      <c r="B774" t="str">
        <f>"200433C04003"</f>
        <v>200433C04003</v>
      </c>
      <c r="C774" t="str">
        <f t="shared" si="47"/>
        <v>20</v>
      </c>
      <c r="D774" t="s">
        <v>81</v>
      </c>
      <c r="E774" t="str">
        <f t="shared" si="49"/>
        <v>059</v>
      </c>
      <c r="F774" t="s">
        <v>887</v>
      </c>
      <c r="G774" t="str">
        <f t="shared" si="50"/>
        <v>0433</v>
      </c>
      <c r="H774" t="str">
        <f>"0004"</f>
        <v>0004</v>
      </c>
      <c r="I774" t="s">
        <v>89</v>
      </c>
      <c r="J774">
        <v>0</v>
      </c>
      <c r="K774">
        <v>1</v>
      </c>
      <c r="L774">
        <v>3</v>
      </c>
      <c r="M774">
        <v>325</v>
      </c>
      <c r="N774">
        <v>399</v>
      </c>
      <c r="O774">
        <v>9</v>
      </c>
      <c r="P774">
        <v>400</v>
      </c>
      <c r="Q774">
        <v>6</v>
      </c>
      <c r="R774">
        <v>55</v>
      </c>
      <c r="S774">
        <v>5</v>
      </c>
      <c r="T774">
        <v>2</v>
      </c>
      <c r="U774">
        <v>9</v>
      </c>
      <c r="V774">
        <v>4</v>
      </c>
      <c r="W774">
        <v>111</v>
      </c>
      <c r="X774">
        <v>81</v>
      </c>
      <c r="Y774">
        <v>73</v>
      </c>
      <c r="Z774">
        <v>2</v>
      </c>
      <c r="AB774">
        <v>3</v>
      </c>
      <c r="AC774">
        <v>16</v>
      </c>
      <c r="AD774">
        <v>16</v>
      </c>
      <c r="AQ774">
        <v>0</v>
      </c>
      <c r="AR774">
        <v>0</v>
      </c>
      <c r="AW774">
        <v>1</v>
      </c>
      <c r="AX774">
        <v>16</v>
      </c>
      <c r="AY774">
        <v>400</v>
      </c>
      <c r="AZ774">
        <v>400</v>
      </c>
      <c r="BA774">
        <v>676</v>
      </c>
      <c r="BB774">
        <v>48</v>
      </c>
      <c r="BD774">
        <v>1</v>
      </c>
      <c r="BF774" t="s">
        <v>897</v>
      </c>
      <c r="BG774" s="1">
        <v>44354.134722222225</v>
      </c>
      <c r="BH774" s="1">
        <v>44354.136747685188</v>
      </c>
      <c r="BI774" s="1">
        <v>44354.137071759258</v>
      </c>
      <c r="BJ774" t="s">
        <v>85</v>
      </c>
      <c r="BK774" t="s">
        <v>86</v>
      </c>
      <c r="BL774" t="s">
        <v>87</v>
      </c>
    </row>
    <row r="775" spans="1:64" x14ac:dyDescent="0.3">
      <c r="A775" t="str">
        <f>"200433C0500"</f>
        <v>200433C0500</v>
      </c>
      <c r="B775" t="str">
        <f>"200433C05003"</f>
        <v>200433C05003</v>
      </c>
      <c r="C775" t="str">
        <f t="shared" ref="C775:C838" si="51">"20"</f>
        <v>20</v>
      </c>
      <c r="D775" t="s">
        <v>81</v>
      </c>
      <c r="E775" t="str">
        <f t="shared" si="49"/>
        <v>059</v>
      </c>
      <c r="F775" t="s">
        <v>887</v>
      </c>
      <c r="G775" t="str">
        <f t="shared" si="50"/>
        <v>0433</v>
      </c>
      <c r="H775" t="str">
        <f>"0005"</f>
        <v>0005</v>
      </c>
      <c r="I775" t="s">
        <v>89</v>
      </c>
      <c r="J775">
        <v>0</v>
      </c>
      <c r="K775">
        <v>1</v>
      </c>
      <c r="L775">
        <v>3</v>
      </c>
      <c r="M775">
        <v>351</v>
      </c>
      <c r="N775">
        <v>373</v>
      </c>
      <c r="O775">
        <v>8</v>
      </c>
      <c r="P775">
        <v>376</v>
      </c>
      <c r="Q775">
        <v>13</v>
      </c>
      <c r="R775">
        <v>66</v>
      </c>
      <c r="S775">
        <v>4</v>
      </c>
      <c r="T775">
        <v>3</v>
      </c>
      <c r="U775">
        <v>11</v>
      </c>
      <c r="V775">
        <v>1</v>
      </c>
      <c r="W775">
        <v>97</v>
      </c>
      <c r="X775">
        <v>58</v>
      </c>
      <c r="Y775">
        <v>77</v>
      </c>
      <c r="Z775">
        <v>1</v>
      </c>
      <c r="AB775">
        <v>1</v>
      </c>
      <c r="AC775">
        <v>17</v>
      </c>
      <c r="AD775">
        <v>14</v>
      </c>
      <c r="AQ775">
        <v>0</v>
      </c>
      <c r="AR775">
        <v>0</v>
      </c>
      <c r="AW775">
        <v>1</v>
      </c>
      <c r="AX775">
        <v>13</v>
      </c>
      <c r="AY775">
        <v>376</v>
      </c>
      <c r="AZ775">
        <v>377</v>
      </c>
      <c r="BA775">
        <v>676</v>
      </c>
      <c r="BB775">
        <v>48</v>
      </c>
      <c r="BD775">
        <v>1</v>
      </c>
      <c r="BF775" t="s">
        <v>898</v>
      </c>
      <c r="BG775" s="1">
        <v>44354.136805555558</v>
      </c>
      <c r="BH775" s="1">
        <v>44354.138344907406</v>
      </c>
      <c r="BI775" s="1">
        <v>44354.138749999998</v>
      </c>
      <c r="BJ775" t="s">
        <v>85</v>
      </c>
      <c r="BK775" t="s">
        <v>86</v>
      </c>
      <c r="BL775" t="s">
        <v>87</v>
      </c>
    </row>
    <row r="776" spans="1:64" x14ac:dyDescent="0.3">
      <c r="A776" t="str">
        <f>"200434B0000"</f>
        <v>200434B0000</v>
      </c>
      <c r="B776" t="str">
        <f>"200434B00003"</f>
        <v>200434B00003</v>
      </c>
      <c r="C776" t="str">
        <f t="shared" si="51"/>
        <v>20</v>
      </c>
      <c r="D776" t="s">
        <v>81</v>
      </c>
      <c r="E776" t="str">
        <f t="shared" si="49"/>
        <v>059</v>
      </c>
      <c r="F776" t="s">
        <v>887</v>
      </c>
      <c r="G776" t="str">
        <f>"0434"</f>
        <v>0434</v>
      </c>
      <c r="H776" t="str">
        <f>"0000"</f>
        <v>0000</v>
      </c>
      <c r="I776" t="s">
        <v>83</v>
      </c>
      <c r="J776">
        <v>0</v>
      </c>
      <c r="K776">
        <v>1</v>
      </c>
      <c r="L776">
        <v>3</v>
      </c>
      <c r="M776">
        <v>240</v>
      </c>
      <c r="N776">
        <v>343</v>
      </c>
      <c r="O776">
        <v>8</v>
      </c>
      <c r="P776">
        <v>343</v>
      </c>
      <c r="Q776">
        <v>8</v>
      </c>
      <c r="R776">
        <v>57</v>
      </c>
      <c r="S776">
        <v>3</v>
      </c>
      <c r="T776">
        <v>2</v>
      </c>
      <c r="U776">
        <v>7</v>
      </c>
      <c r="V776">
        <v>0</v>
      </c>
      <c r="W776">
        <v>88</v>
      </c>
      <c r="X776">
        <v>60</v>
      </c>
      <c r="Y776">
        <v>64</v>
      </c>
      <c r="Z776">
        <v>4</v>
      </c>
      <c r="AB776">
        <v>6</v>
      </c>
      <c r="AC776">
        <v>21</v>
      </c>
      <c r="AD776">
        <v>15</v>
      </c>
      <c r="AQ776">
        <v>72</v>
      </c>
      <c r="AR776">
        <v>60</v>
      </c>
      <c r="AW776" t="s">
        <v>95</v>
      </c>
      <c r="AX776">
        <v>8</v>
      </c>
      <c r="AY776">
        <v>343</v>
      </c>
      <c r="AZ776">
        <v>475</v>
      </c>
      <c r="BA776">
        <v>535</v>
      </c>
      <c r="BB776">
        <v>48</v>
      </c>
      <c r="BC776" t="s">
        <v>96</v>
      </c>
      <c r="BD776">
        <v>1</v>
      </c>
      <c r="BF776" t="s">
        <v>899</v>
      </c>
      <c r="BG776" s="1">
        <v>44354.650694444441</v>
      </c>
      <c r="BH776" s="1">
        <v>44354.654027777775</v>
      </c>
      <c r="BI776" s="1">
        <v>44354.654803240737</v>
      </c>
      <c r="BJ776" t="s">
        <v>85</v>
      </c>
      <c r="BK776" t="s">
        <v>86</v>
      </c>
      <c r="BL776" t="s">
        <v>87</v>
      </c>
    </row>
    <row r="777" spans="1:64" x14ac:dyDescent="0.3">
      <c r="A777" t="str">
        <f>"200434C0100"</f>
        <v>200434C0100</v>
      </c>
      <c r="B777" t="str">
        <f>"200434C01003"</f>
        <v>200434C01003</v>
      </c>
      <c r="C777" t="str">
        <f t="shared" si="51"/>
        <v>20</v>
      </c>
      <c r="D777" t="s">
        <v>81</v>
      </c>
      <c r="E777" t="str">
        <f t="shared" si="49"/>
        <v>059</v>
      </c>
      <c r="F777" t="s">
        <v>887</v>
      </c>
      <c r="G777" t="str">
        <f>"0434"</f>
        <v>0434</v>
      </c>
      <c r="H777" t="str">
        <f>"0001"</f>
        <v>0001</v>
      </c>
      <c r="I777" t="s">
        <v>89</v>
      </c>
      <c r="J777">
        <v>0</v>
      </c>
      <c r="K777">
        <v>1</v>
      </c>
      <c r="L777">
        <v>3</v>
      </c>
      <c r="M777">
        <v>268</v>
      </c>
      <c r="N777">
        <v>315</v>
      </c>
      <c r="O777">
        <v>7</v>
      </c>
      <c r="P777">
        <v>315</v>
      </c>
      <c r="Q777">
        <v>5</v>
      </c>
      <c r="R777">
        <v>61</v>
      </c>
      <c r="S777">
        <v>6</v>
      </c>
      <c r="T777">
        <v>3</v>
      </c>
      <c r="U777">
        <v>10</v>
      </c>
      <c r="V777">
        <v>2</v>
      </c>
      <c r="W777">
        <v>88</v>
      </c>
      <c r="X777">
        <v>55</v>
      </c>
      <c r="Y777">
        <v>40</v>
      </c>
      <c r="Z777">
        <v>0</v>
      </c>
      <c r="AB777">
        <v>1</v>
      </c>
      <c r="AC777">
        <v>14</v>
      </c>
      <c r="AD777">
        <v>15</v>
      </c>
      <c r="AQ777">
        <v>2</v>
      </c>
      <c r="AR777">
        <v>2</v>
      </c>
      <c r="AW777">
        <v>0</v>
      </c>
      <c r="AX777">
        <v>11</v>
      </c>
      <c r="AY777">
        <v>315</v>
      </c>
      <c r="AZ777">
        <v>315</v>
      </c>
      <c r="BA777">
        <v>535</v>
      </c>
      <c r="BB777">
        <v>48</v>
      </c>
      <c r="BD777">
        <v>1</v>
      </c>
      <c r="BF777" t="s">
        <v>900</v>
      </c>
      <c r="BG777" s="1">
        <v>44354.513194444444</v>
      </c>
      <c r="BH777" s="1">
        <v>44354.514884259261</v>
      </c>
      <c r="BI777" s="1">
        <v>44354.515625</v>
      </c>
      <c r="BJ777" t="s">
        <v>85</v>
      </c>
      <c r="BK777" t="s">
        <v>86</v>
      </c>
      <c r="BL777" t="s">
        <v>87</v>
      </c>
    </row>
    <row r="778" spans="1:64" x14ac:dyDescent="0.3">
      <c r="A778" t="str">
        <f>"200434C0200"</f>
        <v>200434C0200</v>
      </c>
      <c r="B778" t="str">
        <f>"200434C02003"</f>
        <v>200434C02003</v>
      </c>
      <c r="C778" t="str">
        <f t="shared" si="51"/>
        <v>20</v>
      </c>
      <c r="D778" t="s">
        <v>81</v>
      </c>
      <c r="E778" t="str">
        <f t="shared" si="49"/>
        <v>059</v>
      </c>
      <c r="F778" t="s">
        <v>887</v>
      </c>
      <c r="G778" t="str">
        <f>"0434"</f>
        <v>0434</v>
      </c>
      <c r="H778" t="str">
        <f>"0002"</f>
        <v>0002</v>
      </c>
      <c r="I778" t="s">
        <v>89</v>
      </c>
      <c r="J778">
        <v>0</v>
      </c>
      <c r="K778">
        <v>1</v>
      </c>
      <c r="L778">
        <v>3</v>
      </c>
      <c r="M778">
        <v>220</v>
      </c>
      <c r="N778">
        <v>362</v>
      </c>
      <c r="O778">
        <v>6</v>
      </c>
      <c r="P778">
        <v>362</v>
      </c>
      <c r="Q778">
        <v>5</v>
      </c>
      <c r="R778">
        <v>71</v>
      </c>
      <c r="S778">
        <v>10</v>
      </c>
      <c r="T778">
        <v>0</v>
      </c>
      <c r="U778">
        <v>12</v>
      </c>
      <c r="V778">
        <v>2</v>
      </c>
      <c r="W778">
        <v>94</v>
      </c>
      <c r="X778">
        <v>65</v>
      </c>
      <c r="Y778">
        <v>57</v>
      </c>
      <c r="Z778">
        <v>1</v>
      </c>
      <c r="AB778">
        <v>6</v>
      </c>
      <c r="AC778">
        <v>14</v>
      </c>
      <c r="AD778">
        <v>9</v>
      </c>
      <c r="AQ778">
        <v>0</v>
      </c>
      <c r="AR778">
        <v>3</v>
      </c>
      <c r="AW778">
        <v>0</v>
      </c>
      <c r="AX778">
        <v>13</v>
      </c>
      <c r="AY778">
        <v>362</v>
      </c>
      <c r="AZ778">
        <v>362</v>
      </c>
      <c r="BA778">
        <v>534</v>
      </c>
      <c r="BB778">
        <v>48</v>
      </c>
      <c r="BD778">
        <v>1</v>
      </c>
      <c r="BF778" t="s">
        <v>901</v>
      </c>
      <c r="BG778" s="1">
        <v>44354.145138888889</v>
      </c>
      <c r="BH778" s="1">
        <v>44354.146886574075</v>
      </c>
      <c r="BI778" s="1">
        <v>44354.147824074076</v>
      </c>
      <c r="BJ778" t="s">
        <v>85</v>
      </c>
      <c r="BK778" t="s">
        <v>86</v>
      </c>
      <c r="BL778" t="s">
        <v>87</v>
      </c>
    </row>
    <row r="779" spans="1:64" x14ac:dyDescent="0.3">
      <c r="A779" t="str">
        <f>"200434E0100"</f>
        <v>200434E0100</v>
      </c>
      <c r="B779" t="str">
        <f>"200434E01003"</f>
        <v>200434E01003</v>
      </c>
      <c r="C779" t="str">
        <f t="shared" si="51"/>
        <v>20</v>
      </c>
      <c r="D779" t="s">
        <v>81</v>
      </c>
      <c r="E779" t="str">
        <f t="shared" si="49"/>
        <v>059</v>
      </c>
      <c r="F779" t="s">
        <v>887</v>
      </c>
      <c r="G779" t="str">
        <f>"0434"</f>
        <v>0434</v>
      </c>
      <c r="H779" t="str">
        <f>"0001"</f>
        <v>0001</v>
      </c>
      <c r="I779" t="s">
        <v>122</v>
      </c>
      <c r="J779">
        <v>0</v>
      </c>
      <c r="K779">
        <v>1</v>
      </c>
      <c r="L779">
        <v>3</v>
      </c>
      <c r="M779">
        <v>157</v>
      </c>
      <c r="N779">
        <v>198</v>
      </c>
      <c r="O779">
        <v>3</v>
      </c>
      <c r="P779" t="s">
        <v>92</v>
      </c>
      <c r="Q779">
        <v>4</v>
      </c>
      <c r="R779">
        <v>31</v>
      </c>
      <c r="S779">
        <v>0</v>
      </c>
      <c r="T779">
        <v>1</v>
      </c>
      <c r="U779">
        <v>3</v>
      </c>
      <c r="V779">
        <v>5</v>
      </c>
      <c r="W779">
        <v>58</v>
      </c>
      <c r="X779">
        <v>13</v>
      </c>
      <c r="Y779">
        <v>71</v>
      </c>
      <c r="Z779">
        <v>0</v>
      </c>
      <c r="AB779">
        <v>1</v>
      </c>
      <c r="AC779">
        <v>3</v>
      </c>
      <c r="AD779">
        <v>2</v>
      </c>
      <c r="AQ779">
        <v>0</v>
      </c>
      <c r="AR779">
        <v>0</v>
      </c>
      <c r="AW779">
        <v>0</v>
      </c>
      <c r="AX779">
        <v>6</v>
      </c>
      <c r="AY779">
        <v>198</v>
      </c>
      <c r="AZ779">
        <v>198</v>
      </c>
      <c r="BA779">
        <v>307</v>
      </c>
      <c r="BB779">
        <v>48</v>
      </c>
      <c r="BD779">
        <v>1</v>
      </c>
      <c r="BF779" t="s">
        <v>902</v>
      </c>
      <c r="BG779" s="1">
        <v>44354.140277777777</v>
      </c>
      <c r="BH779" s="1">
        <v>44354.142407407409</v>
      </c>
      <c r="BI779" s="1">
        <v>44354.142905092594</v>
      </c>
      <c r="BJ779" t="s">
        <v>85</v>
      </c>
      <c r="BK779" t="s">
        <v>86</v>
      </c>
      <c r="BL779" t="s">
        <v>87</v>
      </c>
    </row>
    <row r="780" spans="1:64" x14ac:dyDescent="0.3">
      <c r="A780" t="str">
        <f>"200435B0000"</f>
        <v>200435B0000</v>
      </c>
      <c r="B780" t="str">
        <f>"200435B00003"</f>
        <v>200435B00003</v>
      </c>
      <c r="C780" t="str">
        <f t="shared" si="51"/>
        <v>20</v>
      </c>
      <c r="D780" t="s">
        <v>81</v>
      </c>
      <c r="E780" t="str">
        <f t="shared" si="49"/>
        <v>059</v>
      </c>
      <c r="F780" t="s">
        <v>887</v>
      </c>
      <c r="G780" t="str">
        <f>"0435"</f>
        <v>0435</v>
      </c>
      <c r="H780" t="str">
        <f>"0000"</f>
        <v>0000</v>
      </c>
      <c r="I780" t="s">
        <v>83</v>
      </c>
      <c r="J780">
        <v>0</v>
      </c>
      <c r="K780">
        <v>1</v>
      </c>
      <c r="L780">
        <v>3</v>
      </c>
      <c r="M780">
        <v>256</v>
      </c>
      <c r="N780">
        <v>298</v>
      </c>
      <c r="O780">
        <v>6</v>
      </c>
      <c r="P780">
        <v>298</v>
      </c>
      <c r="Q780">
        <v>5</v>
      </c>
      <c r="R780">
        <v>33</v>
      </c>
      <c r="S780">
        <v>1</v>
      </c>
      <c r="T780">
        <v>2</v>
      </c>
      <c r="U780">
        <v>9</v>
      </c>
      <c r="V780">
        <v>0</v>
      </c>
      <c r="W780">
        <v>88</v>
      </c>
      <c r="X780">
        <v>68</v>
      </c>
      <c r="Y780">
        <v>48</v>
      </c>
      <c r="Z780">
        <v>2</v>
      </c>
      <c r="AB780">
        <v>4</v>
      </c>
      <c r="AC780">
        <v>20</v>
      </c>
      <c r="AD780">
        <v>10</v>
      </c>
      <c r="AQ780">
        <v>0</v>
      </c>
      <c r="AR780">
        <v>0</v>
      </c>
      <c r="AW780">
        <v>0</v>
      </c>
      <c r="AX780">
        <v>8</v>
      </c>
      <c r="AY780">
        <v>298</v>
      </c>
      <c r="AZ780">
        <v>298</v>
      </c>
      <c r="BA780">
        <v>506</v>
      </c>
      <c r="BB780">
        <v>48</v>
      </c>
      <c r="BD780">
        <v>1</v>
      </c>
      <c r="BF780" t="s">
        <v>903</v>
      </c>
      <c r="BG780" s="1">
        <v>44354.136805555558</v>
      </c>
      <c r="BH780" s="1">
        <v>44354.138136574074</v>
      </c>
      <c r="BI780" s="1">
        <v>44354.138622685183</v>
      </c>
      <c r="BJ780" t="s">
        <v>85</v>
      </c>
      <c r="BK780" t="s">
        <v>86</v>
      </c>
      <c r="BL780" t="s">
        <v>87</v>
      </c>
    </row>
    <row r="781" spans="1:64" x14ac:dyDescent="0.3">
      <c r="A781" t="str">
        <f>"200435C0100"</f>
        <v>200435C0100</v>
      </c>
      <c r="B781" t="str">
        <f>"200435C01003"</f>
        <v>200435C01003</v>
      </c>
      <c r="C781" t="str">
        <f t="shared" si="51"/>
        <v>20</v>
      </c>
      <c r="D781" t="s">
        <v>81</v>
      </c>
      <c r="E781" t="str">
        <f t="shared" si="49"/>
        <v>059</v>
      </c>
      <c r="F781" t="s">
        <v>887</v>
      </c>
      <c r="G781" t="str">
        <f>"0435"</f>
        <v>0435</v>
      </c>
      <c r="H781" t="str">
        <f>"0001"</f>
        <v>0001</v>
      </c>
      <c r="I781" t="s">
        <v>89</v>
      </c>
      <c r="J781">
        <v>0</v>
      </c>
      <c r="K781">
        <v>1</v>
      </c>
      <c r="L781">
        <v>3</v>
      </c>
      <c r="M781">
        <v>249</v>
      </c>
      <c r="N781">
        <v>305</v>
      </c>
      <c r="O781">
        <v>10</v>
      </c>
      <c r="P781">
        <v>305</v>
      </c>
      <c r="Q781">
        <v>10</v>
      </c>
      <c r="R781">
        <v>39</v>
      </c>
      <c r="S781">
        <v>3</v>
      </c>
      <c r="T781">
        <v>2</v>
      </c>
      <c r="U781">
        <v>6</v>
      </c>
      <c r="V781">
        <v>0</v>
      </c>
      <c r="W781">
        <v>96</v>
      </c>
      <c r="X781">
        <v>47</v>
      </c>
      <c r="Y781">
        <v>63</v>
      </c>
      <c r="Z781">
        <v>0</v>
      </c>
      <c r="AB781">
        <v>0</v>
      </c>
      <c r="AC781">
        <v>15</v>
      </c>
      <c r="AD781">
        <v>13</v>
      </c>
      <c r="AQ781">
        <v>0</v>
      </c>
      <c r="AR781">
        <v>0</v>
      </c>
      <c r="AW781">
        <v>0</v>
      </c>
      <c r="AX781">
        <v>11</v>
      </c>
      <c r="AY781">
        <v>305</v>
      </c>
      <c r="AZ781">
        <v>305</v>
      </c>
      <c r="BA781">
        <v>506</v>
      </c>
      <c r="BB781">
        <v>48</v>
      </c>
      <c r="BD781">
        <v>1</v>
      </c>
      <c r="BF781" t="s">
        <v>904</v>
      </c>
      <c r="BG781" s="1">
        <v>44354.143750000003</v>
      </c>
      <c r="BH781" s="1">
        <v>44354.144907407404</v>
      </c>
      <c r="BI781" s="1">
        <v>44354.145416666666</v>
      </c>
      <c r="BJ781" t="s">
        <v>85</v>
      </c>
      <c r="BK781" t="s">
        <v>86</v>
      </c>
      <c r="BL781" t="s">
        <v>87</v>
      </c>
    </row>
    <row r="782" spans="1:64" x14ac:dyDescent="0.3">
      <c r="A782" t="str">
        <f>"200435C0200"</f>
        <v>200435C0200</v>
      </c>
      <c r="B782" t="str">
        <f>"200435C02003"</f>
        <v>200435C02003</v>
      </c>
      <c r="C782" t="str">
        <f t="shared" si="51"/>
        <v>20</v>
      </c>
      <c r="D782" t="s">
        <v>81</v>
      </c>
      <c r="E782" t="str">
        <f t="shared" si="49"/>
        <v>059</v>
      </c>
      <c r="F782" t="s">
        <v>887</v>
      </c>
      <c r="G782" t="str">
        <f>"0435"</f>
        <v>0435</v>
      </c>
      <c r="H782" t="str">
        <f>"0002"</f>
        <v>0002</v>
      </c>
      <c r="I782" t="s">
        <v>89</v>
      </c>
      <c r="J782">
        <v>0</v>
      </c>
      <c r="K782">
        <v>1</v>
      </c>
      <c r="L782">
        <v>3</v>
      </c>
      <c r="M782">
        <v>227</v>
      </c>
      <c r="N782">
        <v>327</v>
      </c>
      <c r="O782">
        <v>7</v>
      </c>
      <c r="P782">
        <v>327</v>
      </c>
      <c r="Q782">
        <v>7</v>
      </c>
      <c r="R782">
        <v>59</v>
      </c>
      <c r="S782">
        <v>3</v>
      </c>
      <c r="T782">
        <v>6</v>
      </c>
      <c r="U782">
        <v>8</v>
      </c>
      <c r="V782">
        <v>0</v>
      </c>
      <c r="W782">
        <v>114</v>
      </c>
      <c r="X782">
        <v>34</v>
      </c>
      <c r="Y782">
        <v>58</v>
      </c>
      <c r="Z782">
        <v>2</v>
      </c>
      <c r="AB782">
        <v>2</v>
      </c>
      <c r="AC782">
        <v>25</v>
      </c>
      <c r="AD782">
        <v>8</v>
      </c>
      <c r="AQ782">
        <v>1</v>
      </c>
      <c r="AR782">
        <v>1</v>
      </c>
      <c r="AW782">
        <v>0</v>
      </c>
      <c r="AX782">
        <v>9</v>
      </c>
      <c r="AY782">
        <v>327</v>
      </c>
      <c r="AZ782">
        <v>337</v>
      </c>
      <c r="BA782">
        <v>506</v>
      </c>
      <c r="BB782">
        <v>48</v>
      </c>
      <c r="BD782">
        <v>1</v>
      </c>
      <c r="BF782" t="s">
        <v>905</v>
      </c>
      <c r="BG782" s="1">
        <v>44354.138194444444</v>
      </c>
      <c r="BH782" s="1">
        <v>44354.140347222223</v>
      </c>
      <c r="BI782" s="1">
        <v>44354.141122685185</v>
      </c>
      <c r="BJ782" t="s">
        <v>85</v>
      </c>
      <c r="BK782" t="s">
        <v>86</v>
      </c>
      <c r="BL782" t="s">
        <v>87</v>
      </c>
    </row>
    <row r="783" spans="1:64" x14ac:dyDescent="0.3">
      <c r="A783" t="str">
        <f>"200436B0000"</f>
        <v>200436B0000</v>
      </c>
      <c r="B783" t="str">
        <f>"200436B00003"</f>
        <v>200436B00003</v>
      </c>
      <c r="C783" t="str">
        <f t="shared" si="51"/>
        <v>20</v>
      </c>
      <c r="D783" t="s">
        <v>81</v>
      </c>
      <c r="E783" t="str">
        <f t="shared" si="49"/>
        <v>059</v>
      </c>
      <c r="F783" t="s">
        <v>887</v>
      </c>
      <c r="G783" t="str">
        <f>"0436"</f>
        <v>0436</v>
      </c>
      <c r="H783" t="str">
        <f>"0000"</f>
        <v>0000</v>
      </c>
      <c r="I783" t="s">
        <v>83</v>
      </c>
      <c r="J783">
        <v>0</v>
      </c>
      <c r="K783">
        <v>1</v>
      </c>
      <c r="L783">
        <v>3</v>
      </c>
      <c r="M783" t="s">
        <v>92</v>
      </c>
      <c r="N783" t="s">
        <v>92</v>
      </c>
      <c r="O783" t="s">
        <v>92</v>
      </c>
      <c r="P783">
        <v>322</v>
      </c>
      <c r="Q783">
        <v>8</v>
      </c>
      <c r="R783">
        <v>45</v>
      </c>
      <c r="S783">
        <v>4</v>
      </c>
      <c r="T783">
        <v>3</v>
      </c>
      <c r="U783">
        <v>12</v>
      </c>
      <c r="V783">
        <v>1</v>
      </c>
      <c r="W783">
        <v>75</v>
      </c>
      <c r="X783">
        <v>59</v>
      </c>
      <c r="Y783">
        <v>59</v>
      </c>
      <c r="Z783">
        <v>3</v>
      </c>
      <c r="AB783">
        <v>0</v>
      </c>
      <c r="AC783">
        <v>18</v>
      </c>
      <c r="AD783">
        <v>25</v>
      </c>
      <c r="AQ783">
        <v>1</v>
      </c>
      <c r="AR783">
        <v>0</v>
      </c>
      <c r="AW783">
        <v>0</v>
      </c>
      <c r="AX783">
        <v>8</v>
      </c>
      <c r="AY783">
        <v>322</v>
      </c>
      <c r="AZ783">
        <v>321</v>
      </c>
      <c r="BA783">
        <v>533</v>
      </c>
      <c r="BB783">
        <v>48</v>
      </c>
      <c r="BD783">
        <v>1</v>
      </c>
      <c r="BF783" t="s">
        <v>906</v>
      </c>
      <c r="BG783" s="1">
        <v>44354.142361111109</v>
      </c>
      <c r="BH783" s="1">
        <v>44354.144375000003</v>
      </c>
      <c r="BI783" s="1">
        <v>44354.14502314815</v>
      </c>
      <c r="BJ783" t="s">
        <v>85</v>
      </c>
      <c r="BK783" t="s">
        <v>86</v>
      </c>
      <c r="BL783" t="s">
        <v>87</v>
      </c>
    </row>
    <row r="784" spans="1:64" x14ac:dyDescent="0.3">
      <c r="A784" t="str">
        <f>"200436C0100"</f>
        <v>200436C0100</v>
      </c>
      <c r="B784" t="str">
        <f>"200436C01003"</f>
        <v>200436C01003</v>
      </c>
      <c r="C784" t="str">
        <f t="shared" si="51"/>
        <v>20</v>
      </c>
      <c r="D784" t="s">
        <v>81</v>
      </c>
      <c r="E784" t="str">
        <f t="shared" si="49"/>
        <v>059</v>
      </c>
      <c r="F784" t="s">
        <v>887</v>
      </c>
      <c r="G784" t="str">
        <f>"0436"</f>
        <v>0436</v>
      </c>
      <c r="H784" t="str">
        <f>"0001"</f>
        <v>0001</v>
      </c>
      <c r="I784" t="s">
        <v>89</v>
      </c>
      <c r="J784">
        <v>0</v>
      </c>
      <c r="K784">
        <v>1</v>
      </c>
      <c r="L784">
        <v>3</v>
      </c>
      <c r="M784">
        <v>263</v>
      </c>
      <c r="N784">
        <v>318</v>
      </c>
      <c r="O784">
        <v>6</v>
      </c>
      <c r="P784">
        <v>318</v>
      </c>
      <c r="Q784">
        <v>6</v>
      </c>
      <c r="R784">
        <v>50</v>
      </c>
      <c r="S784">
        <v>4</v>
      </c>
      <c r="T784">
        <v>5</v>
      </c>
      <c r="U784">
        <v>19</v>
      </c>
      <c r="V784">
        <v>0</v>
      </c>
      <c r="W784">
        <v>84</v>
      </c>
      <c r="X784">
        <v>54</v>
      </c>
      <c r="Y784">
        <v>56</v>
      </c>
      <c r="Z784">
        <v>1</v>
      </c>
      <c r="AB784">
        <v>3</v>
      </c>
      <c r="AC784">
        <v>15</v>
      </c>
      <c r="AD784">
        <v>7</v>
      </c>
      <c r="AQ784">
        <v>1</v>
      </c>
      <c r="AR784">
        <v>0</v>
      </c>
      <c r="AW784">
        <v>0</v>
      </c>
      <c r="AX784">
        <v>13</v>
      </c>
      <c r="AY784">
        <v>318</v>
      </c>
      <c r="AZ784">
        <v>318</v>
      </c>
      <c r="BA784">
        <v>533</v>
      </c>
      <c r="BB784">
        <v>48</v>
      </c>
      <c r="BD784">
        <v>1</v>
      </c>
      <c r="BF784" t="s">
        <v>907</v>
      </c>
      <c r="BG784" s="1">
        <v>44354.142361111109</v>
      </c>
      <c r="BH784" s="1">
        <v>44354.144085648149</v>
      </c>
      <c r="BI784" s="1">
        <v>44354.144560185188</v>
      </c>
      <c r="BJ784" t="s">
        <v>85</v>
      </c>
      <c r="BK784" t="s">
        <v>86</v>
      </c>
      <c r="BL784" t="s">
        <v>87</v>
      </c>
    </row>
    <row r="785" spans="1:64" x14ac:dyDescent="0.3">
      <c r="A785" t="str">
        <f>"200436C0200"</f>
        <v>200436C0200</v>
      </c>
      <c r="B785" t="str">
        <f>"200436C02003"</f>
        <v>200436C02003</v>
      </c>
      <c r="C785" t="str">
        <f t="shared" si="51"/>
        <v>20</v>
      </c>
      <c r="D785" t="s">
        <v>81</v>
      </c>
      <c r="E785" t="str">
        <f t="shared" si="49"/>
        <v>059</v>
      </c>
      <c r="F785" t="s">
        <v>887</v>
      </c>
      <c r="G785" t="str">
        <f>"0436"</f>
        <v>0436</v>
      </c>
      <c r="H785" t="str">
        <f>"0002"</f>
        <v>0002</v>
      </c>
      <c r="I785" t="s">
        <v>89</v>
      </c>
      <c r="J785">
        <v>0</v>
      </c>
      <c r="K785">
        <v>1</v>
      </c>
      <c r="L785">
        <v>3</v>
      </c>
      <c r="M785">
        <v>257</v>
      </c>
      <c r="N785">
        <v>323</v>
      </c>
      <c r="O785">
        <v>4</v>
      </c>
      <c r="P785">
        <v>323</v>
      </c>
      <c r="Q785">
        <v>6</v>
      </c>
      <c r="R785">
        <v>40</v>
      </c>
      <c r="S785">
        <v>8</v>
      </c>
      <c r="T785">
        <v>4</v>
      </c>
      <c r="U785">
        <v>10</v>
      </c>
      <c r="V785">
        <v>0</v>
      </c>
      <c r="W785">
        <v>89</v>
      </c>
      <c r="X785">
        <v>71</v>
      </c>
      <c r="Y785">
        <v>61</v>
      </c>
      <c r="Z785">
        <v>1</v>
      </c>
      <c r="AB785">
        <v>3</v>
      </c>
      <c r="AC785">
        <v>17</v>
      </c>
      <c r="AD785">
        <v>6</v>
      </c>
      <c r="AQ785">
        <v>0</v>
      </c>
      <c r="AR785">
        <v>0</v>
      </c>
      <c r="AW785">
        <v>0</v>
      </c>
      <c r="AX785">
        <v>7</v>
      </c>
      <c r="AY785">
        <v>323</v>
      </c>
      <c r="AZ785">
        <v>323</v>
      </c>
      <c r="BA785">
        <v>532</v>
      </c>
      <c r="BB785">
        <v>48</v>
      </c>
      <c r="BD785">
        <v>1</v>
      </c>
      <c r="BF785" t="s">
        <v>908</v>
      </c>
      <c r="BG785" s="1">
        <v>44354.142361111109</v>
      </c>
      <c r="BH785" s="1">
        <v>44354.144849537035</v>
      </c>
      <c r="BI785" s="1">
        <v>44354.145520833335</v>
      </c>
      <c r="BJ785" t="s">
        <v>85</v>
      </c>
      <c r="BK785" t="s">
        <v>86</v>
      </c>
      <c r="BL785" t="s">
        <v>87</v>
      </c>
    </row>
    <row r="786" spans="1:64" x14ac:dyDescent="0.3">
      <c r="A786" t="str">
        <f>"200437B0000"</f>
        <v>200437B0000</v>
      </c>
      <c r="B786" t="str">
        <f>"200437B00003"</f>
        <v>200437B00003</v>
      </c>
      <c r="C786" t="str">
        <f t="shared" si="51"/>
        <v>20</v>
      </c>
      <c r="D786" t="s">
        <v>81</v>
      </c>
      <c r="E786" t="str">
        <f t="shared" si="49"/>
        <v>059</v>
      </c>
      <c r="F786" t="s">
        <v>887</v>
      </c>
      <c r="G786" t="str">
        <f>"0437"</f>
        <v>0437</v>
      </c>
      <c r="H786" t="str">
        <f>"0000"</f>
        <v>0000</v>
      </c>
      <c r="I786" t="s">
        <v>83</v>
      </c>
      <c r="J786">
        <v>0</v>
      </c>
      <c r="K786">
        <v>1</v>
      </c>
      <c r="L786">
        <v>3</v>
      </c>
      <c r="M786">
        <v>290</v>
      </c>
      <c r="N786">
        <v>387</v>
      </c>
      <c r="O786">
        <v>6</v>
      </c>
      <c r="P786">
        <v>387</v>
      </c>
      <c r="Q786">
        <v>6</v>
      </c>
      <c r="R786">
        <v>56</v>
      </c>
      <c r="S786">
        <v>6</v>
      </c>
      <c r="T786">
        <v>2</v>
      </c>
      <c r="U786">
        <v>7</v>
      </c>
      <c r="V786">
        <v>2</v>
      </c>
      <c r="W786">
        <v>114</v>
      </c>
      <c r="X786">
        <v>83</v>
      </c>
      <c r="Y786">
        <v>65</v>
      </c>
      <c r="Z786">
        <v>2</v>
      </c>
      <c r="AB786">
        <v>5</v>
      </c>
      <c r="AC786">
        <v>13</v>
      </c>
      <c r="AD786">
        <v>10</v>
      </c>
      <c r="AQ786">
        <v>2</v>
      </c>
      <c r="AR786">
        <v>0</v>
      </c>
      <c r="AW786">
        <v>0</v>
      </c>
      <c r="AX786">
        <v>14</v>
      </c>
      <c r="AY786">
        <v>387</v>
      </c>
      <c r="AZ786">
        <v>387</v>
      </c>
      <c r="BA786">
        <v>629</v>
      </c>
      <c r="BB786">
        <v>48</v>
      </c>
      <c r="BD786">
        <v>1</v>
      </c>
      <c r="BF786" t="s">
        <v>909</v>
      </c>
      <c r="BG786" s="1">
        <v>44354.138194444444</v>
      </c>
      <c r="BH786" s="1">
        <v>44354.140081018515</v>
      </c>
      <c r="BI786" s="1">
        <v>44354.140462962961</v>
      </c>
      <c r="BJ786" t="s">
        <v>85</v>
      </c>
      <c r="BK786" t="s">
        <v>86</v>
      </c>
      <c r="BL786" t="s">
        <v>87</v>
      </c>
    </row>
    <row r="787" spans="1:64" x14ac:dyDescent="0.3">
      <c r="A787" t="str">
        <f>"200437C0100"</f>
        <v>200437C0100</v>
      </c>
      <c r="B787" t="str">
        <f>"200437C01003"</f>
        <v>200437C01003</v>
      </c>
      <c r="C787" t="str">
        <f t="shared" si="51"/>
        <v>20</v>
      </c>
      <c r="D787" t="s">
        <v>81</v>
      </c>
      <c r="E787" t="str">
        <f t="shared" si="49"/>
        <v>059</v>
      </c>
      <c r="F787" t="s">
        <v>887</v>
      </c>
      <c r="G787" t="str">
        <f>"0437"</f>
        <v>0437</v>
      </c>
      <c r="H787" t="str">
        <f>"0001"</f>
        <v>0001</v>
      </c>
      <c r="I787" t="s">
        <v>89</v>
      </c>
      <c r="J787">
        <v>0</v>
      </c>
      <c r="K787">
        <v>1</v>
      </c>
      <c r="L787">
        <v>3</v>
      </c>
      <c r="M787">
        <v>324</v>
      </c>
      <c r="N787">
        <v>352</v>
      </c>
      <c r="O787">
        <v>9</v>
      </c>
      <c r="P787">
        <v>352</v>
      </c>
      <c r="Q787">
        <v>10</v>
      </c>
      <c r="R787">
        <v>64</v>
      </c>
      <c r="S787">
        <v>9</v>
      </c>
      <c r="T787">
        <v>2</v>
      </c>
      <c r="U787">
        <v>10</v>
      </c>
      <c r="V787">
        <v>1</v>
      </c>
      <c r="W787">
        <v>96</v>
      </c>
      <c r="X787">
        <v>66</v>
      </c>
      <c r="Y787">
        <v>54</v>
      </c>
      <c r="Z787">
        <v>2</v>
      </c>
      <c r="AB787">
        <v>2</v>
      </c>
      <c r="AC787">
        <v>15</v>
      </c>
      <c r="AD787">
        <v>10</v>
      </c>
      <c r="AQ787">
        <v>1</v>
      </c>
      <c r="AR787">
        <v>0</v>
      </c>
      <c r="AW787">
        <v>0</v>
      </c>
      <c r="AX787">
        <v>10</v>
      </c>
      <c r="AY787">
        <v>352</v>
      </c>
      <c r="AZ787">
        <v>352</v>
      </c>
      <c r="BA787">
        <v>628</v>
      </c>
      <c r="BB787">
        <v>48</v>
      </c>
      <c r="BD787">
        <v>1</v>
      </c>
      <c r="BF787" t="s">
        <v>910</v>
      </c>
      <c r="BG787" s="1">
        <v>44354.145138888889</v>
      </c>
      <c r="BH787" s="1">
        <v>44354.146631944444</v>
      </c>
      <c r="BI787" s="1">
        <v>44354.147141203706</v>
      </c>
      <c r="BJ787" t="s">
        <v>85</v>
      </c>
      <c r="BK787" t="s">
        <v>86</v>
      </c>
      <c r="BL787" t="s">
        <v>87</v>
      </c>
    </row>
    <row r="788" spans="1:64" x14ac:dyDescent="0.3">
      <c r="A788" t="str">
        <f>"200437C0200"</f>
        <v>200437C0200</v>
      </c>
      <c r="B788" t="str">
        <f>"200437C02003"</f>
        <v>200437C02003</v>
      </c>
      <c r="C788" t="str">
        <f t="shared" si="51"/>
        <v>20</v>
      </c>
      <c r="D788" t="s">
        <v>81</v>
      </c>
      <c r="E788" t="str">
        <f t="shared" si="49"/>
        <v>059</v>
      </c>
      <c r="F788" t="s">
        <v>887</v>
      </c>
      <c r="G788" t="str">
        <f>"0437"</f>
        <v>0437</v>
      </c>
      <c r="H788" t="str">
        <f>"0002"</f>
        <v>0002</v>
      </c>
      <c r="I788" t="s">
        <v>89</v>
      </c>
      <c r="J788">
        <v>0</v>
      </c>
      <c r="K788">
        <v>1</v>
      </c>
      <c r="L788">
        <v>3</v>
      </c>
      <c r="M788">
        <v>306</v>
      </c>
      <c r="N788">
        <v>370</v>
      </c>
      <c r="O788">
        <v>3</v>
      </c>
      <c r="P788">
        <v>370</v>
      </c>
      <c r="Q788">
        <v>6</v>
      </c>
      <c r="R788">
        <v>67</v>
      </c>
      <c r="S788">
        <v>3</v>
      </c>
      <c r="T788">
        <v>2</v>
      </c>
      <c r="U788">
        <v>8</v>
      </c>
      <c r="V788">
        <v>1</v>
      </c>
      <c r="W788">
        <v>124</v>
      </c>
      <c r="X788">
        <v>62</v>
      </c>
      <c r="Y788">
        <v>62</v>
      </c>
      <c r="Z788">
        <v>0</v>
      </c>
      <c r="AB788">
        <v>3</v>
      </c>
      <c r="AC788">
        <v>11</v>
      </c>
      <c r="AD788">
        <v>7</v>
      </c>
      <c r="AQ788">
        <v>1</v>
      </c>
      <c r="AR788">
        <v>1</v>
      </c>
      <c r="AW788">
        <v>0</v>
      </c>
      <c r="AX788">
        <v>12</v>
      </c>
      <c r="AY788">
        <v>370</v>
      </c>
      <c r="AZ788">
        <v>370</v>
      </c>
      <c r="BA788">
        <v>628</v>
      </c>
      <c r="BB788">
        <v>48</v>
      </c>
      <c r="BD788">
        <v>1</v>
      </c>
      <c r="BF788" t="s">
        <v>911</v>
      </c>
      <c r="BG788" s="1">
        <v>44354.144444444442</v>
      </c>
      <c r="BH788" s="1">
        <v>44354.145995370367</v>
      </c>
      <c r="BI788" s="1">
        <v>44354.146516203706</v>
      </c>
      <c r="BJ788" t="s">
        <v>85</v>
      </c>
      <c r="BK788" t="s">
        <v>86</v>
      </c>
      <c r="BL788" t="s">
        <v>87</v>
      </c>
    </row>
    <row r="789" spans="1:64" x14ac:dyDescent="0.3">
      <c r="A789" t="str">
        <f>"200438B0000"</f>
        <v>200438B0000</v>
      </c>
      <c r="B789" t="str">
        <f>"200438B00003"</f>
        <v>200438B00003</v>
      </c>
      <c r="C789" t="str">
        <f t="shared" si="51"/>
        <v>20</v>
      </c>
      <c r="D789" t="s">
        <v>81</v>
      </c>
      <c r="E789" t="str">
        <f t="shared" si="49"/>
        <v>059</v>
      </c>
      <c r="F789" t="s">
        <v>887</v>
      </c>
      <c r="G789" t="str">
        <f>"0438"</f>
        <v>0438</v>
      </c>
      <c r="H789" t="str">
        <f>"0000"</f>
        <v>0000</v>
      </c>
      <c r="I789" t="s">
        <v>83</v>
      </c>
      <c r="J789">
        <v>0</v>
      </c>
      <c r="K789">
        <v>1</v>
      </c>
      <c r="L789">
        <v>3</v>
      </c>
      <c r="M789">
        <v>555</v>
      </c>
      <c r="N789">
        <v>355</v>
      </c>
      <c r="O789">
        <v>7</v>
      </c>
      <c r="P789">
        <v>355</v>
      </c>
      <c r="Q789">
        <v>4</v>
      </c>
      <c r="R789">
        <v>39</v>
      </c>
      <c r="S789">
        <v>3</v>
      </c>
      <c r="T789">
        <v>2</v>
      </c>
      <c r="U789">
        <v>12</v>
      </c>
      <c r="V789">
        <v>1</v>
      </c>
      <c r="W789">
        <v>129</v>
      </c>
      <c r="X789">
        <v>40</v>
      </c>
      <c r="Y789">
        <v>77</v>
      </c>
      <c r="Z789">
        <v>1</v>
      </c>
      <c r="AB789">
        <v>1</v>
      </c>
      <c r="AC789">
        <v>15</v>
      </c>
      <c r="AD789">
        <v>14</v>
      </c>
      <c r="AQ789">
        <v>1</v>
      </c>
      <c r="AR789">
        <v>2</v>
      </c>
      <c r="AW789">
        <v>0</v>
      </c>
      <c r="AX789">
        <v>14</v>
      </c>
      <c r="AY789">
        <v>355</v>
      </c>
      <c r="AZ789">
        <v>355</v>
      </c>
      <c r="BA789">
        <v>642</v>
      </c>
      <c r="BB789">
        <v>48</v>
      </c>
      <c r="BD789">
        <v>1</v>
      </c>
      <c r="BF789" t="s">
        <v>912</v>
      </c>
      <c r="BG789" s="1">
        <v>44354.158333333333</v>
      </c>
      <c r="BH789" s="1">
        <v>44354.160439814812</v>
      </c>
      <c r="BI789" s="1">
        <v>44354.161064814813</v>
      </c>
      <c r="BJ789" t="s">
        <v>85</v>
      </c>
      <c r="BK789" t="s">
        <v>86</v>
      </c>
      <c r="BL789" t="s">
        <v>87</v>
      </c>
    </row>
    <row r="790" spans="1:64" x14ac:dyDescent="0.3">
      <c r="A790" t="str">
        <f>"200438C0100"</f>
        <v>200438C0100</v>
      </c>
      <c r="B790" t="str">
        <f>"200438C01003"</f>
        <v>200438C01003</v>
      </c>
      <c r="C790" t="str">
        <f t="shared" si="51"/>
        <v>20</v>
      </c>
      <c r="D790" t="s">
        <v>81</v>
      </c>
      <c r="E790" t="str">
        <f t="shared" si="49"/>
        <v>059</v>
      </c>
      <c r="F790" t="s">
        <v>887</v>
      </c>
      <c r="G790" t="str">
        <f>"0438"</f>
        <v>0438</v>
      </c>
      <c r="H790" t="str">
        <f>"0001"</f>
        <v>0001</v>
      </c>
      <c r="I790" t="s">
        <v>89</v>
      </c>
      <c r="J790">
        <v>0</v>
      </c>
      <c r="K790">
        <v>1</v>
      </c>
      <c r="L790">
        <v>3</v>
      </c>
      <c r="M790">
        <v>333</v>
      </c>
      <c r="N790">
        <v>357</v>
      </c>
      <c r="O790">
        <v>4</v>
      </c>
      <c r="P790" t="s">
        <v>92</v>
      </c>
      <c r="Q790">
        <v>11</v>
      </c>
      <c r="R790">
        <v>46</v>
      </c>
      <c r="S790">
        <v>4</v>
      </c>
      <c r="T790">
        <v>2</v>
      </c>
      <c r="U790">
        <v>7</v>
      </c>
      <c r="V790">
        <v>2</v>
      </c>
      <c r="W790">
        <v>120</v>
      </c>
      <c r="X790">
        <v>51</v>
      </c>
      <c r="Y790">
        <v>65</v>
      </c>
      <c r="Z790">
        <v>1</v>
      </c>
      <c r="AB790">
        <v>8</v>
      </c>
      <c r="AC790">
        <v>16</v>
      </c>
      <c r="AD790">
        <v>15</v>
      </c>
      <c r="AQ790">
        <v>76</v>
      </c>
      <c r="AR790">
        <v>50</v>
      </c>
      <c r="AW790">
        <v>0</v>
      </c>
      <c r="AX790">
        <v>9</v>
      </c>
      <c r="AY790">
        <v>357</v>
      </c>
      <c r="AZ790">
        <v>483</v>
      </c>
      <c r="BA790">
        <v>642</v>
      </c>
      <c r="BB790">
        <v>48</v>
      </c>
      <c r="BD790">
        <v>1</v>
      </c>
      <c r="BF790" t="s">
        <v>913</v>
      </c>
      <c r="BG790" s="1">
        <v>44354.154861111114</v>
      </c>
      <c r="BH790" s="1">
        <v>44354.157685185186</v>
      </c>
      <c r="BI790" s="1">
        <v>44354.158414351848</v>
      </c>
      <c r="BJ790" t="s">
        <v>85</v>
      </c>
      <c r="BK790" t="s">
        <v>86</v>
      </c>
      <c r="BL790" t="s">
        <v>87</v>
      </c>
    </row>
    <row r="791" spans="1:64" x14ac:dyDescent="0.3">
      <c r="A791" t="str">
        <f>"200438C0200"</f>
        <v>200438C0200</v>
      </c>
      <c r="B791" t="str">
        <f>"200438C02003"</f>
        <v>200438C02003</v>
      </c>
      <c r="C791" t="str">
        <f t="shared" si="51"/>
        <v>20</v>
      </c>
      <c r="D791" t="s">
        <v>81</v>
      </c>
      <c r="E791" t="str">
        <f t="shared" si="49"/>
        <v>059</v>
      </c>
      <c r="F791" t="s">
        <v>887</v>
      </c>
      <c r="G791" t="str">
        <f>"0438"</f>
        <v>0438</v>
      </c>
      <c r="H791" t="str">
        <f>"0002"</f>
        <v>0002</v>
      </c>
      <c r="I791" t="s">
        <v>89</v>
      </c>
      <c r="J791">
        <v>0</v>
      </c>
      <c r="K791">
        <v>1</v>
      </c>
      <c r="L791">
        <v>3</v>
      </c>
      <c r="M791">
        <v>352</v>
      </c>
      <c r="N791">
        <v>334</v>
      </c>
      <c r="O791">
        <v>6</v>
      </c>
      <c r="P791">
        <v>334</v>
      </c>
      <c r="Q791">
        <v>10</v>
      </c>
      <c r="R791">
        <v>53</v>
      </c>
      <c r="S791">
        <v>4</v>
      </c>
      <c r="T791">
        <v>4</v>
      </c>
      <c r="U791">
        <v>7</v>
      </c>
      <c r="V791">
        <v>0</v>
      </c>
      <c r="W791">
        <v>105</v>
      </c>
      <c r="X791">
        <v>44</v>
      </c>
      <c r="Y791">
        <v>59</v>
      </c>
      <c r="Z791">
        <v>3</v>
      </c>
      <c r="AB791">
        <v>8</v>
      </c>
      <c r="AC791">
        <v>10</v>
      </c>
      <c r="AD791">
        <v>21</v>
      </c>
      <c r="AQ791">
        <v>0</v>
      </c>
      <c r="AR791">
        <v>0</v>
      </c>
      <c r="AW791">
        <v>0</v>
      </c>
      <c r="AX791">
        <v>6</v>
      </c>
      <c r="AY791">
        <v>334</v>
      </c>
      <c r="AZ791">
        <v>334</v>
      </c>
      <c r="BA791">
        <v>642</v>
      </c>
      <c r="BB791">
        <v>48</v>
      </c>
      <c r="BD791">
        <v>1</v>
      </c>
      <c r="BF791" t="s">
        <v>914</v>
      </c>
      <c r="BG791" s="1">
        <v>44354.136805555558</v>
      </c>
      <c r="BH791" s="1">
        <v>44354.138391203705</v>
      </c>
      <c r="BI791" s="1">
        <v>44354.139074074075</v>
      </c>
      <c r="BJ791" t="s">
        <v>85</v>
      </c>
      <c r="BK791" t="s">
        <v>86</v>
      </c>
      <c r="BL791" t="s">
        <v>87</v>
      </c>
    </row>
    <row r="792" spans="1:64" x14ac:dyDescent="0.3">
      <c r="A792" t="str">
        <f>"200438C0300"</f>
        <v>200438C0300</v>
      </c>
      <c r="B792" t="str">
        <f>"200438C03003"</f>
        <v>200438C03003</v>
      </c>
      <c r="C792" t="str">
        <f t="shared" si="51"/>
        <v>20</v>
      </c>
      <c r="D792" t="s">
        <v>81</v>
      </c>
      <c r="E792" t="str">
        <f t="shared" si="49"/>
        <v>059</v>
      </c>
      <c r="F792" t="s">
        <v>887</v>
      </c>
      <c r="G792" t="str">
        <f>"0438"</f>
        <v>0438</v>
      </c>
      <c r="H792" t="str">
        <f>"0003"</f>
        <v>0003</v>
      </c>
      <c r="I792" t="s">
        <v>89</v>
      </c>
      <c r="J792">
        <v>0</v>
      </c>
      <c r="K792">
        <v>1</v>
      </c>
      <c r="L792">
        <v>3</v>
      </c>
      <c r="M792">
        <v>321</v>
      </c>
      <c r="N792">
        <v>368</v>
      </c>
      <c r="O792">
        <v>8</v>
      </c>
      <c r="P792">
        <v>368</v>
      </c>
      <c r="Q792">
        <v>4</v>
      </c>
      <c r="R792">
        <v>59</v>
      </c>
      <c r="S792">
        <v>8</v>
      </c>
      <c r="T792">
        <v>2</v>
      </c>
      <c r="U792">
        <v>7</v>
      </c>
      <c r="V792">
        <v>0</v>
      </c>
      <c r="W792">
        <v>112</v>
      </c>
      <c r="X792">
        <v>28</v>
      </c>
      <c r="Y792">
        <v>74</v>
      </c>
      <c r="Z792">
        <v>2</v>
      </c>
      <c r="AB792">
        <v>0</v>
      </c>
      <c r="AC792">
        <v>28</v>
      </c>
      <c r="AD792">
        <v>19</v>
      </c>
      <c r="AQ792">
        <v>5</v>
      </c>
      <c r="AR792">
        <v>2</v>
      </c>
      <c r="AW792">
        <v>1</v>
      </c>
      <c r="AX792">
        <v>17</v>
      </c>
      <c r="AY792">
        <v>368</v>
      </c>
      <c r="AZ792">
        <v>368</v>
      </c>
      <c r="BA792">
        <v>641</v>
      </c>
      <c r="BB792">
        <v>48</v>
      </c>
      <c r="BD792">
        <v>1</v>
      </c>
      <c r="BF792" t="s">
        <v>915</v>
      </c>
      <c r="BG792" s="1">
        <v>44354.158333333333</v>
      </c>
      <c r="BH792" s="1">
        <v>44354.161030092589</v>
      </c>
      <c r="BI792" s="1">
        <v>44354.161574074074</v>
      </c>
      <c r="BJ792" t="s">
        <v>85</v>
      </c>
      <c r="BK792" t="s">
        <v>86</v>
      </c>
      <c r="BL792" t="s">
        <v>87</v>
      </c>
    </row>
    <row r="793" spans="1:64" x14ac:dyDescent="0.3">
      <c r="A793" t="str">
        <f>"200438C0400"</f>
        <v>200438C0400</v>
      </c>
      <c r="B793" t="str">
        <f>"200438C04003"</f>
        <v>200438C04003</v>
      </c>
      <c r="C793" t="str">
        <f t="shared" si="51"/>
        <v>20</v>
      </c>
      <c r="D793" t="s">
        <v>81</v>
      </c>
      <c r="E793" t="str">
        <f t="shared" si="49"/>
        <v>059</v>
      </c>
      <c r="F793" t="s">
        <v>887</v>
      </c>
      <c r="G793" t="str">
        <f>"0438"</f>
        <v>0438</v>
      </c>
      <c r="H793" t="str">
        <f>"0004"</f>
        <v>0004</v>
      </c>
      <c r="I793" t="s">
        <v>89</v>
      </c>
      <c r="J793">
        <v>0</v>
      </c>
      <c r="K793">
        <v>1</v>
      </c>
      <c r="L793">
        <v>3</v>
      </c>
      <c r="M793">
        <v>331</v>
      </c>
      <c r="N793">
        <v>358</v>
      </c>
      <c r="O793">
        <v>7</v>
      </c>
      <c r="P793">
        <v>357</v>
      </c>
      <c r="Q793">
        <v>5</v>
      </c>
      <c r="R793">
        <v>56</v>
      </c>
      <c r="S793">
        <v>1</v>
      </c>
      <c r="T793">
        <v>2</v>
      </c>
      <c r="U793">
        <v>15</v>
      </c>
      <c r="V793">
        <v>2</v>
      </c>
      <c r="W793">
        <v>99</v>
      </c>
      <c r="X793">
        <v>47</v>
      </c>
      <c r="Y793">
        <v>82</v>
      </c>
      <c r="Z793">
        <v>3</v>
      </c>
      <c r="AB793">
        <v>4</v>
      </c>
      <c r="AC793">
        <v>13</v>
      </c>
      <c r="AD793">
        <v>15</v>
      </c>
      <c r="AQ793">
        <v>2</v>
      </c>
      <c r="AR793">
        <v>0</v>
      </c>
      <c r="AW793">
        <v>0</v>
      </c>
      <c r="AX793">
        <v>11</v>
      </c>
      <c r="AY793">
        <v>357</v>
      </c>
      <c r="AZ793">
        <v>357</v>
      </c>
      <c r="BA793">
        <v>641</v>
      </c>
      <c r="BB793">
        <v>48</v>
      </c>
      <c r="BD793">
        <v>1</v>
      </c>
      <c r="BF793" t="s">
        <v>916</v>
      </c>
      <c r="BG793" s="1">
        <v>44354.157638888886</v>
      </c>
      <c r="BH793" s="1">
        <v>44354.159467592595</v>
      </c>
      <c r="BI793" s="1">
        <v>44354.159930555557</v>
      </c>
      <c r="BJ793" t="s">
        <v>85</v>
      </c>
      <c r="BK793" t="s">
        <v>86</v>
      </c>
      <c r="BL793" t="s">
        <v>87</v>
      </c>
    </row>
    <row r="794" spans="1:64" x14ac:dyDescent="0.3">
      <c r="A794" t="str">
        <f>"200439B0000"</f>
        <v>200439B0000</v>
      </c>
      <c r="B794" t="str">
        <f>"200439B00003"</f>
        <v>200439B00003</v>
      </c>
      <c r="C794" t="str">
        <f t="shared" si="51"/>
        <v>20</v>
      </c>
      <c r="D794" t="s">
        <v>81</v>
      </c>
      <c r="E794" t="str">
        <f t="shared" si="49"/>
        <v>059</v>
      </c>
      <c r="F794" t="s">
        <v>887</v>
      </c>
      <c r="G794" t="str">
        <f>"0439"</f>
        <v>0439</v>
      </c>
      <c r="H794" t="str">
        <f>"0000"</f>
        <v>0000</v>
      </c>
      <c r="I794" t="s">
        <v>83</v>
      </c>
      <c r="J794">
        <v>0</v>
      </c>
      <c r="K794">
        <v>1</v>
      </c>
      <c r="L794">
        <v>3</v>
      </c>
      <c r="M794">
        <v>332</v>
      </c>
      <c r="N794">
        <v>441</v>
      </c>
      <c r="O794">
        <v>2</v>
      </c>
      <c r="P794">
        <v>441</v>
      </c>
      <c r="Q794">
        <v>9</v>
      </c>
      <c r="R794">
        <v>69</v>
      </c>
      <c r="S794">
        <v>4</v>
      </c>
      <c r="T794">
        <v>3</v>
      </c>
      <c r="U794">
        <v>12</v>
      </c>
      <c r="V794">
        <v>0</v>
      </c>
      <c r="W794">
        <v>137</v>
      </c>
      <c r="X794">
        <v>75</v>
      </c>
      <c r="Y794">
        <v>65</v>
      </c>
      <c r="Z794">
        <v>2</v>
      </c>
      <c r="AB794">
        <v>2</v>
      </c>
      <c r="AC794">
        <v>21</v>
      </c>
      <c r="AD794">
        <v>26</v>
      </c>
      <c r="AQ794">
        <v>2</v>
      </c>
      <c r="AR794">
        <v>2</v>
      </c>
      <c r="AW794">
        <v>0</v>
      </c>
      <c r="AX794">
        <v>12</v>
      </c>
      <c r="AY794">
        <v>441</v>
      </c>
      <c r="AZ794">
        <v>441</v>
      </c>
      <c r="BA794">
        <v>724</v>
      </c>
      <c r="BB794">
        <v>48</v>
      </c>
      <c r="BD794">
        <v>1</v>
      </c>
      <c r="BF794" t="s">
        <v>917</v>
      </c>
      <c r="BG794" s="1">
        <v>44354.15347222222</v>
      </c>
      <c r="BH794" s="1">
        <v>44354.157106481478</v>
      </c>
      <c r="BI794" s="1">
        <v>44354.157766203702</v>
      </c>
      <c r="BJ794" t="s">
        <v>85</v>
      </c>
      <c r="BK794" t="s">
        <v>86</v>
      </c>
      <c r="BL794" t="s">
        <v>87</v>
      </c>
    </row>
    <row r="795" spans="1:64" x14ac:dyDescent="0.3">
      <c r="A795" t="str">
        <f>"200439C0100"</f>
        <v>200439C0100</v>
      </c>
      <c r="B795" t="str">
        <f>"200439C01003"</f>
        <v>200439C01003</v>
      </c>
      <c r="C795" t="str">
        <f t="shared" si="51"/>
        <v>20</v>
      </c>
      <c r="D795" t="s">
        <v>81</v>
      </c>
      <c r="E795" t="str">
        <f t="shared" si="49"/>
        <v>059</v>
      </c>
      <c r="F795" t="s">
        <v>887</v>
      </c>
      <c r="G795" t="str">
        <f>"0439"</f>
        <v>0439</v>
      </c>
      <c r="H795" t="str">
        <f>"0001"</f>
        <v>0001</v>
      </c>
      <c r="I795" t="s">
        <v>89</v>
      </c>
      <c r="J795">
        <v>0</v>
      </c>
      <c r="K795">
        <v>1</v>
      </c>
      <c r="L795">
        <v>3</v>
      </c>
      <c r="M795">
        <v>346</v>
      </c>
      <c r="N795">
        <v>425</v>
      </c>
      <c r="O795">
        <v>4</v>
      </c>
      <c r="P795">
        <v>425</v>
      </c>
      <c r="Q795">
        <v>16</v>
      </c>
      <c r="R795">
        <v>70</v>
      </c>
      <c r="S795">
        <v>15</v>
      </c>
      <c r="T795">
        <v>8</v>
      </c>
      <c r="U795">
        <v>15</v>
      </c>
      <c r="V795">
        <v>2</v>
      </c>
      <c r="W795">
        <v>106</v>
      </c>
      <c r="X795">
        <v>64</v>
      </c>
      <c r="Y795">
        <v>69</v>
      </c>
      <c r="Z795">
        <v>2</v>
      </c>
      <c r="AB795">
        <v>7</v>
      </c>
      <c r="AC795">
        <v>17</v>
      </c>
      <c r="AD795">
        <v>19</v>
      </c>
      <c r="AQ795">
        <v>3</v>
      </c>
      <c r="AR795">
        <v>0</v>
      </c>
      <c r="AW795">
        <v>0</v>
      </c>
      <c r="AX795">
        <v>12</v>
      </c>
      <c r="AY795">
        <v>425</v>
      </c>
      <c r="AZ795">
        <v>425</v>
      </c>
      <c r="BA795">
        <v>723</v>
      </c>
      <c r="BB795">
        <v>48</v>
      </c>
      <c r="BD795">
        <v>1</v>
      </c>
      <c r="BF795" t="s">
        <v>918</v>
      </c>
      <c r="BG795" s="1">
        <v>44354.143750000003</v>
      </c>
      <c r="BH795" s="1">
        <v>44354.145972222221</v>
      </c>
      <c r="BI795" s="1">
        <v>44354.14640046296</v>
      </c>
      <c r="BJ795" t="s">
        <v>85</v>
      </c>
      <c r="BK795" t="s">
        <v>86</v>
      </c>
      <c r="BL795" t="s">
        <v>87</v>
      </c>
    </row>
    <row r="796" spans="1:64" x14ac:dyDescent="0.3">
      <c r="A796" t="str">
        <f>"200440B0000"</f>
        <v>200440B0000</v>
      </c>
      <c r="B796" t="str">
        <f>"200440B00003"</f>
        <v>200440B00003</v>
      </c>
      <c r="C796" t="str">
        <f t="shared" si="51"/>
        <v>20</v>
      </c>
      <c r="D796" t="s">
        <v>81</v>
      </c>
      <c r="E796" t="str">
        <f t="shared" si="49"/>
        <v>059</v>
      </c>
      <c r="F796" t="s">
        <v>887</v>
      </c>
      <c r="G796" t="str">
        <f>"0440"</f>
        <v>0440</v>
      </c>
      <c r="H796" t="str">
        <f>"0000"</f>
        <v>0000</v>
      </c>
      <c r="I796" t="s">
        <v>83</v>
      </c>
      <c r="J796">
        <v>0</v>
      </c>
      <c r="K796">
        <v>1</v>
      </c>
      <c r="L796">
        <v>3</v>
      </c>
      <c r="M796">
        <v>324</v>
      </c>
      <c r="N796">
        <v>330</v>
      </c>
      <c r="O796">
        <v>8</v>
      </c>
      <c r="P796">
        <v>330</v>
      </c>
      <c r="Q796">
        <v>12</v>
      </c>
      <c r="R796">
        <v>53</v>
      </c>
      <c r="S796">
        <v>2</v>
      </c>
      <c r="T796">
        <v>2</v>
      </c>
      <c r="U796">
        <v>9</v>
      </c>
      <c r="V796">
        <v>3</v>
      </c>
      <c r="W796">
        <v>90</v>
      </c>
      <c r="X796">
        <v>40</v>
      </c>
      <c r="Y796">
        <v>77</v>
      </c>
      <c r="Z796">
        <v>3</v>
      </c>
      <c r="AB796">
        <v>5</v>
      </c>
      <c r="AC796">
        <v>12</v>
      </c>
      <c r="AD796">
        <v>10</v>
      </c>
      <c r="AQ796">
        <v>5</v>
      </c>
      <c r="AR796">
        <v>1</v>
      </c>
      <c r="AW796">
        <v>0</v>
      </c>
      <c r="AX796">
        <v>6</v>
      </c>
      <c r="AY796">
        <v>330</v>
      </c>
      <c r="AZ796">
        <v>330</v>
      </c>
      <c r="BA796">
        <v>606</v>
      </c>
      <c r="BB796">
        <v>48</v>
      </c>
      <c r="BD796">
        <v>1</v>
      </c>
      <c r="BF796" t="s">
        <v>919</v>
      </c>
      <c r="BG796" s="1">
        <v>44354.142361111109</v>
      </c>
      <c r="BH796" s="1">
        <v>44354.143923611111</v>
      </c>
      <c r="BI796" s="1">
        <v>44354.144375000003</v>
      </c>
      <c r="BJ796" t="s">
        <v>85</v>
      </c>
      <c r="BK796" t="s">
        <v>86</v>
      </c>
      <c r="BL796" t="s">
        <v>87</v>
      </c>
    </row>
    <row r="797" spans="1:64" x14ac:dyDescent="0.3">
      <c r="A797" t="str">
        <f>"200440C0100"</f>
        <v>200440C0100</v>
      </c>
      <c r="B797" t="str">
        <f>"200440C01003"</f>
        <v>200440C01003</v>
      </c>
      <c r="C797" t="str">
        <f t="shared" si="51"/>
        <v>20</v>
      </c>
      <c r="D797" t="s">
        <v>81</v>
      </c>
      <c r="E797" t="str">
        <f t="shared" ref="E797:E827" si="52">"059"</f>
        <v>059</v>
      </c>
      <c r="F797" t="s">
        <v>887</v>
      </c>
      <c r="G797" t="str">
        <f>"0440"</f>
        <v>0440</v>
      </c>
      <c r="H797" t="str">
        <f>"0001"</f>
        <v>0001</v>
      </c>
      <c r="I797" t="s">
        <v>89</v>
      </c>
      <c r="J797">
        <v>0</v>
      </c>
      <c r="K797">
        <v>1</v>
      </c>
      <c r="L797">
        <v>3</v>
      </c>
      <c r="M797">
        <v>320</v>
      </c>
      <c r="N797">
        <v>654</v>
      </c>
      <c r="O797">
        <v>0</v>
      </c>
      <c r="P797">
        <v>334</v>
      </c>
      <c r="Q797">
        <v>11</v>
      </c>
      <c r="R797">
        <v>59</v>
      </c>
      <c r="S797">
        <v>12</v>
      </c>
      <c r="T797">
        <v>0</v>
      </c>
      <c r="U797">
        <v>11</v>
      </c>
      <c r="V797">
        <v>1</v>
      </c>
      <c r="W797">
        <v>80</v>
      </c>
      <c r="X797">
        <v>53</v>
      </c>
      <c r="Y797">
        <v>60</v>
      </c>
      <c r="Z797">
        <v>2</v>
      </c>
      <c r="AB797">
        <v>1</v>
      </c>
      <c r="AC797">
        <v>8</v>
      </c>
      <c r="AD797">
        <v>21</v>
      </c>
      <c r="AQ797">
        <v>3</v>
      </c>
      <c r="AR797">
        <v>0</v>
      </c>
      <c r="AW797">
        <v>0</v>
      </c>
      <c r="AX797">
        <v>12</v>
      </c>
      <c r="AY797">
        <v>334</v>
      </c>
      <c r="AZ797">
        <v>334</v>
      </c>
      <c r="BA797">
        <v>606</v>
      </c>
      <c r="BB797">
        <v>48</v>
      </c>
      <c r="BD797">
        <v>1</v>
      </c>
      <c r="BF797" t="s">
        <v>920</v>
      </c>
      <c r="BG797" s="1">
        <v>44354.142361111109</v>
      </c>
      <c r="BH797" s="1">
        <v>44354.162997685184</v>
      </c>
      <c r="BI797" s="1">
        <v>44354.172361111108</v>
      </c>
      <c r="BJ797" t="s">
        <v>85</v>
      </c>
      <c r="BK797" t="s">
        <v>86</v>
      </c>
      <c r="BL797" t="s">
        <v>87</v>
      </c>
    </row>
    <row r="798" spans="1:64" x14ac:dyDescent="0.3">
      <c r="A798" t="str">
        <f>"200440C0200"</f>
        <v>200440C0200</v>
      </c>
      <c r="B798" t="str">
        <f>"200440C02003"</f>
        <v>200440C02003</v>
      </c>
      <c r="C798" t="str">
        <f t="shared" si="51"/>
        <v>20</v>
      </c>
      <c r="D798" t="s">
        <v>81</v>
      </c>
      <c r="E798" t="str">
        <f t="shared" si="52"/>
        <v>059</v>
      </c>
      <c r="F798" t="s">
        <v>887</v>
      </c>
      <c r="G798" t="str">
        <f>"0440"</f>
        <v>0440</v>
      </c>
      <c r="H798" t="str">
        <f>"0002"</f>
        <v>0002</v>
      </c>
      <c r="I798" t="s">
        <v>89</v>
      </c>
      <c r="J798">
        <v>0</v>
      </c>
      <c r="K798">
        <v>1</v>
      </c>
      <c r="L798">
        <v>3</v>
      </c>
      <c r="M798">
        <v>320</v>
      </c>
      <c r="N798">
        <v>333</v>
      </c>
      <c r="O798">
        <v>6</v>
      </c>
      <c r="P798">
        <v>333</v>
      </c>
      <c r="Q798">
        <v>11</v>
      </c>
      <c r="R798">
        <v>54</v>
      </c>
      <c r="S798">
        <v>5</v>
      </c>
      <c r="T798">
        <v>3</v>
      </c>
      <c r="U798">
        <v>14</v>
      </c>
      <c r="V798">
        <v>0</v>
      </c>
      <c r="W798">
        <v>94</v>
      </c>
      <c r="X798">
        <v>36</v>
      </c>
      <c r="Y798">
        <v>73</v>
      </c>
      <c r="Z798">
        <v>1</v>
      </c>
      <c r="AB798">
        <v>2</v>
      </c>
      <c r="AC798">
        <v>19</v>
      </c>
      <c r="AD798">
        <v>10</v>
      </c>
      <c r="AQ798">
        <v>0</v>
      </c>
      <c r="AR798">
        <v>0</v>
      </c>
      <c r="AW798">
        <v>0</v>
      </c>
      <c r="AX798">
        <v>11</v>
      </c>
      <c r="AY798">
        <v>333</v>
      </c>
      <c r="AZ798">
        <v>333</v>
      </c>
      <c r="BA798">
        <v>605</v>
      </c>
      <c r="BB798">
        <v>48</v>
      </c>
      <c r="BD798">
        <v>1</v>
      </c>
      <c r="BF798" t="s">
        <v>921</v>
      </c>
      <c r="BG798" s="1">
        <v>44354.142361111109</v>
      </c>
      <c r="BH798" s="1">
        <v>44354.143576388888</v>
      </c>
      <c r="BI798" s="1">
        <v>44354.144120370373</v>
      </c>
      <c r="BJ798" t="s">
        <v>85</v>
      </c>
      <c r="BK798" t="s">
        <v>86</v>
      </c>
      <c r="BL798" t="s">
        <v>87</v>
      </c>
    </row>
    <row r="799" spans="1:64" x14ac:dyDescent="0.3">
      <c r="A799" t="str">
        <f>"200440C0300"</f>
        <v>200440C0300</v>
      </c>
      <c r="B799" t="str">
        <f>"200440C03003"</f>
        <v>200440C03003</v>
      </c>
      <c r="C799" t="str">
        <f t="shared" si="51"/>
        <v>20</v>
      </c>
      <c r="D799" t="s">
        <v>81</v>
      </c>
      <c r="E799" t="str">
        <f t="shared" si="52"/>
        <v>059</v>
      </c>
      <c r="F799" t="s">
        <v>887</v>
      </c>
      <c r="G799" t="str">
        <f>"0440"</f>
        <v>0440</v>
      </c>
      <c r="H799" t="str">
        <f>"0003"</f>
        <v>0003</v>
      </c>
      <c r="I799" t="s">
        <v>89</v>
      </c>
      <c r="J799">
        <v>0</v>
      </c>
      <c r="K799">
        <v>1</v>
      </c>
      <c r="L799">
        <v>3</v>
      </c>
      <c r="M799">
        <v>334</v>
      </c>
      <c r="N799">
        <v>319</v>
      </c>
      <c r="O799">
        <v>10</v>
      </c>
      <c r="P799">
        <v>319</v>
      </c>
      <c r="Q799">
        <v>8</v>
      </c>
      <c r="R799">
        <v>62</v>
      </c>
      <c r="S799">
        <v>4</v>
      </c>
      <c r="T799">
        <v>2</v>
      </c>
      <c r="U799">
        <v>9</v>
      </c>
      <c r="V799">
        <v>0</v>
      </c>
      <c r="W799">
        <v>80</v>
      </c>
      <c r="X799">
        <v>45</v>
      </c>
      <c r="Y799">
        <v>63</v>
      </c>
      <c r="Z799">
        <v>0</v>
      </c>
      <c r="AB799">
        <v>3</v>
      </c>
      <c r="AC799">
        <v>9</v>
      </c>
      <c r="AD799">
        <v>19</v>
      </c>
      <c r="AQ799">
        <v>0</v>
      </c>
      <c r="AR799">
        <v>1</v>
      </c>
      <c r="AW799">
        <v>1</v>
      </c>
      <c r="AX799">
        <v>13</v>
      </c>
      <c r="AY799">
        <v>319</v>
      </c>
      <c r="AZ799">
        <v>319</v>
      </c>
      <c r="BA799">
        <v>605</v>
      </c>
      <c r="BB799">
        <v>48</v>
      </c>
      <c r="BD799">
        <v>1</v>
      </c>
      <c r="BF799" t="s">
        <v>922</v>
      </c>
      <c r="BG799" s="1">
        <v>44354.504861111112</v>
      </c>
      <c r="BH799" s="1">
        <v>44354.50613425926</v>
      </c>
      <c r="BI799" s="1">
        <v>44354.506851851853</v>
      </c>
      <c r="BJ799" t="s">
        <v>85</v>
      </c>
      <c r="BK799" t="s">
        <v>86</v>
      </c>
      <c r="BL799" t="s">
        <v>87</v>
      </c>
    </row>
    <row r="800" spans="1:64" x14ac:dyDescent="0.3">
      <c r="A800" t="str">
        <f>"200440S0100"</f>
        <v>200440S0100</v>
      </c>
      <c r="B800" t="str">
        <f>"200440S01003E"</f>
        <v>200440S01003E</v>
      </c>
      <c r="C800" t="str">
        <f t="shared" si="51"/>
        <v>20</v>
      </c>
      <c r="D800" t="s">
        <v>81</v>
      </c>
      <c r="E800" t="str">
        <f t="shared" si="52"/>
        <v>059</v>
      </c>
      <c r="F800" t="s">
        <v>887</v>
      </c>
      <c r="G800" t="str">
        <f>"0440"</f>
        <v>0440</v>
      </c>
      <c r="H800" t="str">
        <f>"0001"</f>
        <v>0001</v>
      </c>
      <c r="I800" t="s">
        <v>99</v>
      </c>
      <c r="J800">
        <v>0</v>
      </c>
      <c r="K800">
        <v>1</v>
      </c>
      <c r="L800" t="s">
        <v>100</v>
      </c>
      <c r="M800">
        <v>894</v>
      </c>
      <c r="N800">
        <v>106</v>
      </c>
      <c r="O800">
        <v>0</v>
      </c>
      <c r="P800">
        <v>106</v>
      </c>
      <c r="Q800">
        <v>1</v>
      </c>
      <c r="R800">
        <v>8</v>
      </c>
      <c r="S800">
        <v>0</v>
      </c>
      <c r="T800">
        <v>1</v>
      </c>
      <c r="U800">
        <v>2</v>
      </c>
      <c r="V800">
        <v>1</v>
      </c>
      <c r="W800">
        <v>48</v>
      </c>
      <c r="X800">
        <v>13</v>
      </c>
      <c r="Y800">
        <v>21</v>
      </c>
      <c r="Z800">
        <v>0</v>
      </c>
      <c r="AB800">
        <v>2</v>
      </c>
      <c r="AC800">
        <v>0</v>
      </c>
      <c r="AD800">
        <v>0</v>
      </c>
      <c r="AQ800">
        <v>0</v>
      </c>
      <c r="AR800">
        <v>1</v>
      </c>
      <c r="AW800">
        <v>0</v>
      </c>
      <c r="AX800">
        <v>8</v>
      </c>
      <c r="AY800">
        <v>106</v>
      </c>
      <c r="AZ800">
        <v>106</v>
      </c>
      <c r="BA800">
        <v>0</v>
      </c>
      <c r="BB800">
        <v>48</v>
      </c>
      <c r="BD800">
        <v>1</v>
      </c>
      <c r="BF800" t="s">
        <v>923</v>
      </c>
      <c r="BG800" s="1">
        <v>44354.145833333336</v>
      </c>
      <c r="BH800" s="1">
        <v>44354.147233796299</v>
      </c>
      <c r="BI800" s="1">
        <v>44354.148113425923</v>
      </c>
      <c r="BJ800" t="s">
        <v>85</v>
      </c>
      <c r="BK800" t="s">
        <v>86</v>
      </c>
      <c r="BL800" t="s">
        <v>87</v>
      </c>
    </row>
    <row r="801" spans="1:64" x14ac:dyDescent="0.3">
      <c r="A801" t="str">
        <f>"200441B0000"</f>
        <v>200441B0000</v>
      </c>
      <c r="B801" t="str">
        <f>"200441B00003"</f>
        <v>200441B00003</v>
      </c>
      <c r="C801" t="str">
        <f t="shared" si="51"/>
        <v>20</v>
      </c>
      <c r="D801" t="s">
        <v>81</v>
      </c>
      <c r="E801" t="str">
        <f t="shared" si="52"/>
        <v>059</v>
      </c>
      <c r="F801" t="s">
        <v>887</v>
      </c>
      <c r="G801" t="str">
        <f>"0441"</f>
        <v>0441</v>
      </c>
      <c r="H801" t="str">
        <f>"0000"</f>
        <v>0000</v>
      </c>
      <c r="I801" t="s">
        <v>83</v>
      </c>
      <c r="J801">
        <v>0</v>
      </c>
      <c r="K801">
        <v>1</v>
      </c>
      <c r="L801">
        <v>3</v>
      </c>
      <c r="M801">
        <v>373</v>
      </c>
      <c r="N801">
        <v>399</v>
      </c>
      <c r="O801">
        <v>5</v>
      </c>
      <c r="P801">
        <v>399</v>
      </c>
      <c r="Q801">
        <v>6</v>
      </c>
      <c r="R801">
        <v>41</v>
      </c>
      <c r="S801">
        <v>7</v>
      </c>
      <c r="T801">
        <v>2</v>
      </c>
      <c r="U801">
        <v>9</v>
      </c>
      <c r="V801">
        <v>3</v>
      </c>
      <c r="W801">
        <v>129</v>
      </c>
      <c r="X801">
        <v>60</v>
      </c>
      <c r="Y801">
        <v>87</v>
      </c>
      <c r="Z801">
        <v>2</v>
      </c>
      <c r="AB801">
        <v>5</v>
      </c>
      <c r="AC801">
        <v>14</v>
      </c>
      <c r="AD801">
        <v>24</v>
      </c>
      <c r="AQ801">
        <v>3</v>
      </c>
      <c r="AR801">
        <v>0</v>
      </c>
      <c r="AW801">
        <v>0</v>
      </c>
      <c r="AX801">
        <v>7</v>
      </c>
      <c r="AY801">
        <v>399</v>
      </c>
      <c r="AZ801">
        <v>399</v>
      </c>
      <c r="BA801">
        <v>724</v>
      </c>
      <c r="BB801">
        <v>48</v>
      </c>
      <c r="BD801">
        <v>1</v>
      </c>
      <c r="BF801" t="s">
        <v>924</v>
      </c>
      <c r="BG801" s="1">
        <v>44354.50277777778</v>
      </c>
      <c r="BH801" s="1">
        <v>44354.504965277774</v>
      </c>
      <c r="BI801" s="1">
        <v>44354.50582175926</v>
      </c>
      <c r="BJ801" t="s">
        <v>85</v>
      </c>
      <c r="BK801" t="s">
        <v>86</v>
      </c>
      <c r="BL801" t="s">
        <v>87</v>
      </c>
    </row>
    <row r="802" spans="1:64" x14ac:dyDescent="0.3">
      <c r="A802" t="str">
        <f>"200441C0100"</f>
        <v>200441C0100</v>
      </c>
      <c r="B802" t="str">
        <f>"200441C01003"</f>
        <v>200441C01003</v>
      </c>
      <c r="C802" t="str">
        <f t="shared" si="51"/>
        <v>20</v>
      </c>
      <c r="D802" t="s">
        <v>81</v>
      </c>
      <c r="E802" t="str">
        <f t="shared" si="52"/>
        <v>059</v>
      </c>
      <c r="F802" t="s">
        <v>887</v>
      </c>
      <c r="G802" t="str">
        <f>"0441"</f>
        <v>0441</v>
      </c>
      <c r="H802" t="str">
        <f>"0001"</f>
        <v>0001</v>
      </c>
      <c r="I802" t="s">
        <v>89</v>
      </c>
      <c r="J802">
        <v>0</v>
      </c>
      <c r="K802">
        <v>1</v>
      </c>
      <c r="L802">
        <v>3</v>
      </c>
      <c r="M802">
        <v>355</v>
      </c>
      <c r="N802">
        <v>416</v>
      </c>
      <c r="O802">
        <v>4</v>
      </c>
      <c r="P802">
        <v>417</v>
      </c>
      <c r="Q802">
        <v>5</v>
      </c>
      <c r="R802">
        <v>59</v>
      </c>
      <c r="S802">
        <v>7</v>
      </c>
      <c r="T802">
        <v>4</v>
      </c>
      <c r="U802">
        <v>9</v>
      </c>
      <c r="V802">
        <v>2</v>
      </c>
      <c r="W802">
        <v>128</v>
      </c>
      <c r="X802">
        <v>52</v>
      </c>
      <c r="Y802">
        <v>108</v>
      </c>
      <c r="Z802">
        <v>2</v>
      </c>
      <c r="AB802">
        <v>1</v>
      </c>
      <c r="AC802">
        <v>9</v>
      </c>
      <c r="AD802">
        <v>15</v>
      </c>
      <c r="AQ802">
        <v>2</v>
      </c>
      <c r="AR802">
        <v>0</v>
      </c>
      <c r="AW802">
        <v>0</v>
      </c>
      <c r="AX802">
        <v>14</v>
      </c>
      <c r="AY802">
        <v>417</v>
      </c>
      <c r="AZ802">
        <v>417</v>
      </c>
      <c r="BA802">
        <v>724</v>
      </c>
      <c r="BB802">
        <v>48</v>
      </c>
      <c r="BD802">
        <v>1</v>
      </c>
      <c r="BF802" t="s">
        <v>925</v>
      </c>
      <c r="BG802" s="1">
        <v>44354.507638888892</v>
      </c>
      <c r="BH802" s="1">
        <v>44354.509293981479</v>
      </c>
      <c r="BI802" s="1">
        <v>44354.509826388887</v>
      </c>
      <c r="BJ802" t="s">
        <v>85</v>
      </c>
      <c r="BK802" t="s">
        <v>86</v>
      </c>
      <c r="BL802" t="s">
        <v>87</v>
      </c>
    </row>
    <row r="803" spans="1:64" x14ac:dyDescent="0.3">
      <c r="A803" t="str">
        <f>"200441C0200"</f>
        <v>200441C0200</v>
      </c>
      <c r="B803" t="str">
        <f>"200441C02003"</f>
        <v>200441C02003</v>
      </c>
      <c r="C803" t="str">
        <f t="shared" si="51"/>
        <v>20</v>
      </c>
      <c r="D803" t="s">
        <v>81</v>
      </c>
      <c r="E803" t="str">
        <f t="shared" si="52"/>
        <v>059</v>
      </c>
      <c r="F803" t="s">
        <v>887</v>
      </c>
      <c r="G803" t="str">
        <f>"0441"</f>
        <v>0441</v>
      </c>
      <c r="H803" t="str">
        <f>"0002"</f>
        <v>0002</v>
      </c>
      <c r="I803" t="s">
        <v>89</v>
      </c>
      <c r="J803">
        <v>0</v>
      </c>
      <c r="K803">
        <v>1</v>
      </c>
      <c r="L803">
        <v>3</v>
      </c>
      <c r="M803">
        <v>374</v>
      </c>
      <c r="N803">
        <v>398</v>
      </c>
      <c r="O803">
        <v>0</v>
      </c>
      <c r="P803" t="s">
        <v>92</v>
      </c>
      <c r="Q803">
        <v>9</v>
      </c>
      <c r="R803">
        <v>43</v>
      </c>
      <c r="S803">
        <v>6</v>
      </c>
      <c r="T803">
        <v>3</v>
      </c>
      <c r="U803">
        <v>5</v>
      </c>
      <c r="V803">
        <v>1</v>
      </c>
      <c r="W803">
        <v>142</v>
      </c>
      <c r="X803">
        <v>42</v>
      </c>
      <c r="Y803">
        <v>102</v>
      </c>
      <c r="Z803">
        <v>2</v>
      </c>
      <c r="AB803">
        <v>2</v>
      </c>
      <c r="AC803">
        <v>5</v>
      </c>
      <c r="AD803">
        <v>20</v>
      </c>
      <c r="AQ803">
        <v>2</v>
      </c>
      <c r="AR803" t="s">
        <v>95</v>
      </c>
      <c r="AW803" t="s">
        <v>95</v>
      </c>
      <c r="AX803">
        <v>14</v>
      </c>
      <c r="AY803">
        <v>398</v>
      </c>
      <c r="AZ803">
        <v>398</v>
      </c>
      <c r="BA803">
        <v>724</v>
      </c>
      <c r="BB803">
        <v>48</v>
      </c>
      <c r="BC803" t="s">
        <v>96</v>
      </c>
      <c r="BD803">
        <v>1</v>
      </c>
      <c r="BF803" t="s">
        <v>926</v>
      </c>
      <c r="BG803" s="1">
        <v>44354.506944444445</v>
      </c>
      <c r="BH803" s="1">
        <v>44354.509016203701</v>
      </c>
      <c r="BI803" s="1">
        <v>44354.509791666664</v>
      </c>
      <c r="BJ803" t="s">
        <v>85</v>
      </c>
      <c r="BK803" t="s">
        <v>86</v>
      </c>
      <c r="BL803" t="s">
        <v>87</v>
      </c>
    </row>
    <row r="804" spans="1:64" x14ac:dyDescent="0.3">
      <c r="A804" t="str">
        <f>"200441C0300"</f>
        <v>200441C0300</v>
      </c>
      <c r="B804" t="str">
        <f>"200441C03003"</f>
        <v>200441C03003</v>
      </c>
      <c r="C804" t="str">
        <f t="shared" si="51"/>
        <v>20</v>
      </c>
      <c r="D804" t="s">
        <v>81</v>
      </c>
      <c r="E804" t="str">
        <f t="shared" si="52"/>
        <v>059</v>
      </c>
      <c r="F804" t="s">
        <v>887</v>
      </c>
      <c r="G804" t="str">
        <f>"0441"</f>
        <v>0441</v>
      </c>
      <c r="H804" t="str">
        <f>"0003"</f>
        <v>0003</v>
      </c>
      <c r="I804" t="s">
        <v>89</v>
      </c>
      <c r="J804">
        <v>0</v>
      </c>
      <c r="K804">
        <v>1</v>
      </c>
      <c r="L804">
        <v>3</v>
      </c>
      <c r="M804">
        <v>377</v>
      </c>
      <c r="N804">
        <v>393</v>
      </c>
      <c r="O804">
        <v>2</v>
      </c>
      <c r="P804" t="s">
        <v>92</v>
      </c>
      <c r="Q804">
        <v>12</v>
      </c>
      <c r="R804">
        <v>63</v>
      </c>
      <c r="S804">
        <v>10</v>
      </c>
      <c r="T804">
        <v>3</v>
      </c>
      <c r="U804">
        <v>3</v>
      </c>
      <c r="V804">
        <v>0</v>
      </c>
      <c r="W804">
        <v>97</v>
      </c>
      <c r="X804">
        <v>53</v>
      </c>
      <c r="Y804">
        <v>92</v>
      </c>
      <c r="Z804">
        <v>0</v>
      </c>
      <c r="AB804">
        <v>2</v>
      </c>
      <c r="AC804">
        <v>25</v>
      </c>
      <c r="AD804">
        <v>20</v>
      </c>
      <c r="AQ804">
        <v>1</v>
      </c>
      <c r="AR804">
        <v>1</v>
      </c>
      <c r="AW804" t="s">
        <v>95</v>
      </c>
      <c r="AX804">
        <v>10</v>
      </c>
      <c r="AY804">
        <v>393</v>
      </c>
      <c r="AZ804">
        <v>392</v>
      </c>
      <c r="BA804">
        <v>724</v>
      </c>
      <c r="BB804">
        <v>48</v>
      </c>
      <c r="BC804" t="s">
        <v>96</v>
      </c>
      <c r="BD804">
        <v>1</v>
      </c>
      <c r="BF804" t="s">
        <v>927</v>
      </c>
      <c r="BG804" s="1">
        <v>44354.506249999999</v>
      </c>
      <c r="BH804" s="1">
        <v>44354.507511574076</v>
      </c>
      <c r="BI804" s="1">
        <v>44354.508287037039</v>
      </c>
      <c r="BJ804" t="s">
        <v>85</v>
      </c>
      <c r="BK804" t="s">
        <v>86</v>
      </c>
      <c r="BL804" t="s">
        <v>87</v>
      </c>
    </row>
    <row r="805" spans="1:64" x14ac:dyDescent="0.3">
      <c r="A805" t="str">
        <f>"200441C0400"</f>
        <v>200441C0400</v>
      </c>
      <c r="B805" t="str">
        <f>"200441C04003"</f>
        <v>200441C04003</v>
      </c>
      <c r="C805" t="str">
        <f t="shared" si="51"/>
        <v>20</v>
      </c>
      <c r="D805" t="s">
        <v>81</v>
      </c>
      <c r="E805" t="str">
        <f t="shared" si="52"/>
        <v>059</v>
      </c>
      <c r="F805" t="s">
        <v>887</v>
      </c>
      <c r="G805" t="str">
        <f>"0441"</f>
        <v>0441</v>
      </c>
      <c r="H805" t="str">
        <f>"0004"</f>
        <v>0004</v>
      </c>
      <c r="I805" t="s">
        <v>89</v>
      </c>
      <c r="J805">
        <v>0</v>
      </c>
      <c r="K805">
        <v>1</v>
      </c>
      <c r="L805">
        <v>3</v>
      </c>
      <c r="M805">
        <v>342</v>
      </c>
      <c r="N805">
        <v>429</v>
      </c>
      <c r="O805">
        <v>4</v>
      </c>
      <c r="P805">
        <v>429</v>
      </c>
      <c r="Q805">
        <v>9</v>
      </c>
      <c r="R805">
        <v>51</v>
      </c>
      <c r="S805">
        <v>2</v>
      </c>
      <c r="T805">
        <v>3</v>
      </c>
      <c r="U805">
        <v>10</v>
      </c>
      <c r="V805">
        <v>1</v>
      </c>
      <c r="W805">
        <v>142</v>
      </c>
      <c r="X805">
        <v>67</v>
      </c>
      <c r="Y805">
        <v>90</v>
      </c>
      <c r="Z805">
        <v>3</v>
      </c>
      <c r="AB805">
        <v>3</v>
      </c>
      <c r="AC805">
        <v>12</v>
      </c>
      <c r="AD805">
        <v>16</v>
      </c>
      <c r="AQ805">
        <v>1</v>
      </c>
      <c r="AR805">
        <v>0</v>
      </c>
      <c r="AW805">
        <v>0</v>
      </c>
      <c r="AX805">
        <v>19</v>
      </c>
      <c r="AY805">
        <v>429</v>
      </c>
      <c r="AZ805">
        <v>429</v>
      </c>
      <c r="BA805">
        <v>723</v>
      </c>
      <c r="BB805">
        <v>48</v>
      </c>
      <c r="BD805">
        <v>1</v>
      </c>
      <c r="BF805" t="s">
        <v>928</v>
      </c>
      <c r="BG805" s="1">
        <v>44354.505555555559</v>
      </c>
      <c r="BH805" s="1">
        <v>44354.507662037038</v>
      </c>
      <c r="BI805" s="1">
        <v>44354.508333333331</v>
      </c>
      <c r="BJ805" t="s">
        <v>85</v>
      </c>
      <c r="BK805" t="s">
        <v>86</v>
      </c>
      <c r="BL805" t="s">
        <v>87</v>
      </c>
    </row>
    <row r="806" spans="1:64" x14ac:dyDescent="0.3">
      <c r="A806" t="str">
        <f>"200442B0000"</f>
        <v>200442B0000</v>
      </c>
      <c r="B806" t="str">
        <f>"200442B00003"</f>
        <v>200442B00003</v>
      </c>
      <c r="C806" t="str">
        <f t="shared" si="51"/>
        <v>20</v>
      </c>
      <c r="D806" t="s">
        <v>81</v>
      </c>
      <c r="E806" t="str">
        <f t="shared" si="52"/>
        <v>059</v>
      </c>
      <c r="F806" t="s">
        <v>887</v>
      </c>
      <c r="G806" t="str">
        <f>"0442"</f>
        <v>0442</v>
      </c>
      <c r="H806" t="str">
        <f>"0000"</f>
        <v>0000</v>
      </c>
      <c r="I806" t="s">
        <v>83</v>
      </c>
      <c r="J806">
        <v>0</v>
      </c>
      <c r="K806">
        <v>1</v>
      </c>
      <c r="L806">
        <v>3</v>
      </c>
      <c r="M806">
        <v>238</v>
      </c>
      <c r="N806">
        <v>404</v>
      </c>
      <c r="O806">
        <v>3</v>
      </c>
      <c r="P806">
        <v>404</v>
      </c>
      <c r="Q806">
        <v>5</v>
      </c>
      <c r="R806">
        <v>156</v>
      </c>
      <c r="S806">
        <v>2</v>
      </c>
      <c r="T806">
        <v>19</v>
      </c>
      <c r="U806">
        <v>1</v>
      </c>
      <c r="V806">
        <v>3</v>
      </c>
      <c r="W806">
        <v>83</v>
      </c>
      <c r="X806">
        <v>20</v>
      </c>
      <c r="Y806">
        <v>96</v>
      </c>
      <c r="Z806">
        <v>3</v>
      </c>
      <c r="AB806">
        <v>3</v>
      </c>
      <c r="AC806">
        <v>1</v>
      </c>
      <c r="AD806" t="s">
        <v>95</v>
      </c>
      <c r="AQ806" t="s">
        <v>95</v>
      </c>
      <c r="AR806">
        <v>1</v>
      </c>
      <c r="AW806" t="s">
        <v>95</v>
      </c>
      <c r="AX806">
        <v>11</v>
      </c>
      <c r="AY806">
        <v>404</v>
      </c>
      <c r="AZ806">
        <v>404</v>
      </c>
      <c r="BA806">
        <v>594</v>
      </c>
      <c r="BB806">
        <v>48</v>
      </c>
      <c r="BC806" t="s">
        <v>96</v>
      </c>
      <c r="BD806">
        <v>1</v>
      </c>
      <c r="BF806" t="s">
        <v>929</v>
      </c>
      <c r="BG806" s="1">
        <v>44354.509722222225</v>
      </c>
      <c r="BH806" s="1">
        <v>44354.511250000003</v>
      </c>
      <c r="BI806" s="1">
        <v>44354.512164351851</v>
      </c>
      <c r="BJ806" t="s">
        <v>85</v>
      </c>
      <c r="BK806" t="s">
        <v>86</v>
      </c>
      <c r="BL806" t="s">
        <v>87</v>
      </c>
    </row>
    <row r="807" spans="1:64" x14ac:dyDescent="0.3">
      <c r="A807" t="str">
        <f>"200442E0100"</f>
        <v>200442E0100</v>
      </c>
      <c r="B807" t="str">
        <f>"200442E01003"</f>
        <v>200442E01003</v>
      </c>
      <c r="C807" t="str">
        <f t="shared" si="51"/>
        <v>20</v>
      </c>
      <c r="D807" t="s">
        <v>81</v>
      </c>
      <c r="E807" t="str">
        <f t="shared" si="52"/>
        <v>059</v>
      </c>
      <c r="F807" t="s">
        <v>887</v>
      </c>
      <c r="G807" t="str">
        <f>"0442"</f>
        <v>0442</v>
      </c>
      <c r="H807" t="str">
        <f>"0001"</f>
        <v>0001</v>
      </c>
      <c r="I807" t="s">
        <v>122</v>
      </c>
      <c r="J807">
        <v>0</v>
      </c>
      <c r="K807">
        <v>1</v>
      </c>
      <c r="L807">
        <v>3</v>
      </c>
      <c r="M807">
        <v>293</v>
      </c>
      <c r="N807">
        <v>423</v>
      </c>
      <c r="O807">
        <v>4</v>
      </c>
      <c r="P807" t="s">
        <v>92</v>
      </c>
      <c r="Q807">
        <v>7</v>
      </c>
      <c r="R807">
        <v>105</v>
      </c>
      <c r="S807">
        <v>3</v>
      </c>
      <c r="T807">
        <v>11</v>
      </c>
      <c r="U807">
        <v>1</v>
      </c>
      <c r="V807">
        <v>2</v>
      </c>
      <c r="W807">
        <v>126</v>
      </c>
      <c r="X807">
        <v>52</v>
      </c>
      <c r="Y807">
        <v>83</v>
      </c>
      <c r="Z807">
        <v>5</v>
      </c>
      <c r="AB807">
        <v>1</v>
      </c>
      <c r="AC807">
        <v>0</v>
      </c>
      <c r="AD807">
        <v>1</v>
      </c>
      <c r="AQ807">
        <v>0</v>
      </c>
      <c r="AR807">
        <v>1</v>
      </c>
      <c r="AW807" t="s">
        <v>95</v>
      </c>
      <c r="AX807">
        <v>25</v>
      </c>
      <c r="AY807">
        <v>423</v>
      </c>
      <c r="AZ807">
        <v>423</v>
      </c>
      <c r="BA807">
        <v>663</v>
      </c>
      <c r="BB807">
        <v>48</v>
      </c>
      <c r="BC807" t="s">
        <v>96</v>
      </c>
      <c r="BD807">
        <v>1</v>
      </c>
      <c r="BF807" t="s">
        <v>930</v>
      </c>
      <c r="BG807" s="1">
        <v>44354.512499999997</v>
      </c>
      <c r="BH807" s="1">
        <v>44354.514027777775</v>
      </c>
      <c r="BI807" s="1">
        <v>44354.514675925922</v>
      </c>
      <c r="BJ807" t="s">
        <v>85</v>
      </c>
      <c r="BK807" t="s">
        <v>86</v>
      </c>
      <c r="BL807" t="s">
        <v>87</v>
      </c>
    </row>
    <row r="808" spans="1:64" x14ac:dyDescent="0.3">
      <c r="A808" t="str">
        <f>"200442E0101"</f>
        <v>200442E0101</v>
      </c>
      <c r="B808" t="str">
        <f>"200442E01013"</f>
        <v>200442E01013</v>
      </c>
      <c r="C808" t="str">
        <f t="shared" si="51"/>
        <v>20</v>
      </c>
      <c r="D808" t="s">
        <v>81</v>
      </c>
      <c r="E808" t="str">
        <f t="shared" si="52"/>
        <v>059</v>
      </c>
      <c r="F808" t="s">
        <v>887</v>
      </c>
      <c r="G808" t="str">
        <f>"0442"</f>
        <v>0442</v>
      </c>
      <c r="H808" t="str">
        <f>"0001"</f>
        <v>0001</v>
      </c>
      <c r="I808" t="s">
        <v>122</v>
      </c>
      <c r="J808">
        <v>1</v>
      </c>
      <c r="K808">
        <v>1</v>
      </c>
      <c r="L808">
        <v>3</v>
      </c>
      <c r="M808">
        <v>281</v>
      </c>
      <c r="N808">
        <v>711</v>
      </c>
      <c r="O808">
        <v>6</v>
      </c>
      <c r="P808">
        <v>224</v>
      </c>
      <c r="Q808">
        <v>5</v>
      </c>
      <c r="R808">
        <v>84</v>
      </c>
      <c r="S808">
        <v>3</v>
      </c>
      <c r="T808">
        <v>4</v>
      </c>
      <c r="U808">
        <v>3</v>
      </c>
      <c r="V808">
        <v>3</v>
      </c>
      <c r="W808">
        <v>120</v>
      </c>
      <c r="X808">
        <v>36</v>
      </c>
      <c r="Y808">
        <v>135</v>
      </c>
      <c r="Z808">
        <v>5</v>
      </c>
      <c r="AB808">
        <v>1</v>
      </c>
      <c r="AC808">
        <v>1</v>
      </c>
      <c r="AD808">
        <v>2</v>
      </c>
      <c r="AQ808">
        <v>1</v>
      </c>
      <c r="AR808">
        <v>0</v>
      </c>
      <c r="AW808">
        <v>0</v>
      </c>
      <c r="AX808">
        <v>21</v>
      </c>
      <c r="AY808">
        <v>424</v>
      </c>
      <c r="AZ808">
        <v>424</v>
      </c>
      <c r="BA808">
        <v>663</v>
      </c>
      <c r="BB808">
        <v>48</v>
      </c>
      <c r="BD808">
        <v>1</v>
      </c>
      <c r="BF808" t="s">
        <v>931</v>
      </c>
      <c r="BG808" s="1">
        <v>44354.509027777778</v>
      </c>
      <c r="BH808" s="1">
        <v>44354.511932870373</v>
      </c>
      <c r="BI808" s="1">
        <v>44354.512870370374</v>
      </c>
      <c r="BJ808" t="s">
        <v>85</v>
      </c>
      <c r="BK808" t="s">
        <v>86</v>
      </c>
      <c r="BL808" t="s">
        <v>87</v>
      </c>
    </row>
    <row r="809" spans="1:64" x14ac:dyDescent="0.3">
      <c r="A809" t="str">
        <f>"200443B0000"</f>
        <v>200443B0000</v>
      </c>
      <c r="B809" t="str">
        <f>"200443B00003"</f>
        <v>200443B00003</v>
      </c>
      <c r="C809" t="str">
        <f t="shared" si="51"/>
        <v>20</v>
      </c>
      <c r="D809" t="s">
        <v>81</v>
      </c>
      <c r="E809" t="str">
        <f t="shared" si="52"/>
        <v>059</v>
      </c>
      <c r="F809" t="s">
        <v>887</v>
      </c>
      <c r="G809" t="str">
        <f>"0443"</f>
        <v>0443</v>
      </c>
      <c r="H809" t="str">
        <f>"0000"</f>
        <v>0000</v>
      </c>
      <c r="I809" t="s">
        <v>83</v>
      </c>
      <c r="J809">
        <v>0</v>
      </c>
      <c r="K809">
        <v>1</v>
      </c>
      <c r="L809">
        <v>3</v>
      </c>
      <c r="M809">
        <v>267</v>
      </c>
      <c r="N809">
        <v>273</v>
      </c>
      <c r="O809">
        <v>4</v>
      </c>
      <c r="P809">
        <v>273</v>
      </c>
      <c r="Q809">
        <v>7</v>
      </c>
      <c r="R809">
        <v>43</v>
      </c>
      <c r="S809">
        <v>1</v>
      </c>
      <c r="T809">
        <v>4</v>
      </c>
      <c r="U809">
        <v>3</v>
      </c>
      <c r="V809">
        <v>0</v>
      </c>
      <c r="W809">
        <v>169</v>
      </c>
      <c r="X809">
        <v>17</v>
      </c>
      <c r="Y809">
        <v>10</v>
      </c>
      <c r="Z809">
        <v>3</v>
      </c>
      <c r="AB809">
        <v>1</v>
      </c>
      <c r="AC809">
        <v>1</v>
      </c>
      <c r="AD809">
        <v>0</v>
      </c>
      <c r="AQ809" t="s">
        <v>95</v>
      </c>
      <c r="AR809" t="s">
        <v>95</v>
      </c>
      <c r="AW809" t="s">
        <v>95</v>
      </c>
      <c r="AX809">
        <v>14</v>
      </c>
      <c r="AY809">
        <v>273</v>
      </c>
      <c r="AZ809">
        <v>273</v>
      </c>
      <c r="BA809">
        <v>492</v>
      </c>
      <c r="BB809">
        <v>48</v>
      </c>
      <c r="BC809" t="s">
        <v>96</v>
      </c>
      <c r="BD809">
        <v>1</v>
      </c>
      <c r="BF809" t="s">
        <v>932</v>
      </c>
      <c r="BG809" s="1">
        <v>44354.508333333331</v>
      </c>
      <c r="BH809" s="1">
        <v>44354.509965277779</v>
      </c>
      <c r="BI809" s="1">
        <v>44354.510509259257</v>
      </c>
      <c r="BJ809" t="s">
        <v>85</v>
      </c>
      <c r="BK809" t="s">
        <v>86</v>
      </c>
      <c r="BL809" t="s">
        <v>87</v>
      </c>
    </row>
    <row r="810" spans="1:64" x14ac:dyDescent="0.3">
      <c r="A810" t="str">
        <f>"200444B0000"</f>
        <v>200444B0000</v>
      </c>
      <c r="B810" t="str">
        <f>"200444B00003"</f>
        <v>200444B00003</v>
      </c>
      <c r="C810" t="str">
        <f t="shared" si="51"/>
        <v>20</v>
      </c>
      <c r="D810" t="s">
        <v>81</v>
      </c>
      <c r="E810" t="str">
        <f t="shared" si="52"/>
        <v>059</v>
      </c>
      <c r="F810" t="s">
        <v>887</v>
      </c>
      <c r="G810" t="str">
        <f>"0444"</f>
        <v>0444</v>
      </c>
      <c r="H810" t="str">
        <f>"0000"</f>
        <v>0000</v>
      </c>
      <c r="I810" t="s">
        <v>83</v>
      </c>
      <c r="J810">
        <v>0</v>
      </c>
      <c r="K810">
        <v>1</v>
      </c>
      <c r="L810">
        <v>3</v>
      </c>
      <c r="M810">
        <v>262</v>
      </c>
      <c r="N810">
        <v>340</v>
      </c>
      <c r="O810">
        <v>6</v>
      </c>
      <c r="P810">
        <v>340</v>
      </c>
      <c r="Q810">
        <v>3</v>
      </c>
      <c r="R810">
        <v>78</v>
      </c>
      <c r="S810">
        <v>1</v>
      </c>
      <c r="T810">
        <v>1</v>
      </c>
      <c r="U810">
        <v>1</v>
      </c>
      <c r="V810">
        <v>1</v>
      </c>
      <c r="W810">
        <v>135</v>
      </c>
      <c r="X810">
        <v>17</v>
      </c>
      <c r="Y810">
        <v>71</v>
      </c>
      <c r="Z810">
        <v>3</v>
      </c>
      <c r="AB810">
        <v>0</v>
      </c>
      <c r="AC810">
        <v>0</v>
      </c>
      <c r="AD810">
        <v>3</v>
      </c>
      <c r="AQ810">
        <v>2</v>
      </c>
      <c r="AR810">
        <v>0</v>
      </c>
      <c r="AW810">
        <v>0</v>
      </c>
      <c r="AX810">
        <v>24</v>
      </c>
      <c r="AY810">
        <v>340</v>
      </c>
      <c r="AZ810">
        <v>340</v>
      </c>
      <c r="BA810">
        <v>554</v>
      </c>
      <c r="BB810">
        <v>48</v>
      </c>
      <c r="BD810">
        <v>1</v>
      </c>
      <c r="BF810" t="s">
        <v>933</v>
      </c>
      <c r="BG810" s="1">
        <v>44354.140277777777</v>
      </c>
      <c r="BH810" s="1">
        <v>44354.142361111109</v>
      </c>
      <c r="BI810" s="1">
        <v>44354.142997685187</v>
      </c>
      <c r="BJ810" t="s">
        <v>85</v>
      </c>
      <c r="BK810" t="s">
        <v>86</v>
      </c>
      <c r="BL810" t="s">
        <v>87</v>
      </c>
    </row>
    <row r="811" spans="1:64" x14ac:dyDescent="0.3">
      <c r="A811" t="str">
        <f>"200444C0100"</f>
        <v>200444C0100</v>
      </c>
      <c r="B811" t="str">
        <f>"200444C01003"</f>
        <v>200444C01003</v>
      </c>
      <c r="C811" t="str">
        <f t="shared" si="51"/>
        <v>20</v>
      </c>
      <c r="D811" t="s">
        <v>81</v>
      </c>
      <c r="E811" t="str">
        <f t="shared" si="52"/>
        <v>059</v>
      </c>
      <c r="F811" t="s">
        <v>887</v>
      </c>
      <c r="G811" t="str">
        <f>"0444"</f>
        <v>0444</v>
      </c>
      <c r="H811" t="str">
        <f>"0001"</f>
        <v>0001</v>
      </c>
      <c r="I811" t="s">
        <v>89</v>
      </c>
      <c r="J811">
        <v>0</v>
      </c>
      <c r="K811">
        <v>1</v>
      </c>
      <c r="L811">
        <v>3</v>
      </c>
      <c r="M811">
        <v>287</v>
      </c>
      <c r="N811">
        <v>315</v>
      </c>
      <c r="O811">
        <v>5</v>
      </c>
      <c r="P811">
        <v>315</v>
      </c>
      <c r="Q811">
        <v>6</v>
      </c>
      <c r="R811">
        <v>81</v>
      </c>
      <c r="S811">
        <v>0</v>
      </c>
      <c r="T811">
        <v>0</v>
      </c>
      <c r="U811">
        <v>2</v>
      </c>
      <c r="V811">
        <v>2</v>
      </c>
      <c r="W811">
        <v>132</v>
      </c>
      <c r="X811">
        <v>8</v>
      </c>
      <c r="Y811">
        <v>65</v>
      </c>
      <c r="Z811">
        <v>0</v>
      </c>
      <c r="AB811">
        <v>1</v>
      </c>
      <c r="AC811">
        <v>0</v>
      </c>
      <c r="AD811">
        <v>0</v>
      </c>
      <c r="AQ811">
        <v>1</v>
      </c>
      <c r="AR811">
        <v>0</v>
      </c>
      <c r="AW811">
        <v>0</v>
      </c>
      <c r="AX811">
        <v>17</v>
      </c>
      <c r="AY811">
        <v>315</v>
      </c>
      <c r="AZ811">
        <v>315</v>
      </c>
      <c r="BA811">
        <v>554</v>
      </c>
      <c r="BB811">
        <v>48</v>
      </c>
      <c r="BD811">
        <v>1</v>
      </c>
      <c r="BF811" t="s">
        <v>934</v>
      </c>
      <c r="BG811" s="1">
        <v>44354.121527777781</v>
      </c>
      <c r="BH811" s="1">
        <v>44354.123310185183</v>
      </c>
      <c r="BI811" s="1">
        <v>44354.123912037037</v>
      </c>
      <c r="BJ811" t="s">
        <v>85</v>
      </c>
      <c r="BK811" t="s">
        <v>86</v>
      </c>
      <c r="BL811" t="s">
        <v>87</v>
      </c>
    </row>
    <row r="812" spans="1:64" x14ac:dyDescent="0.3">
      <c r="A812" t="str">
        <f>"200445B0000"</f>
        <v>200445B0000</v>
      </c>
      <c r="B812" t="str">
        <f>"200445B00003"</f>
        <v>200445B00003</v>
      </c>
      <c r="C812" t="str">
        <f t="shared" si="51"/>
        <v>20</v>
      </c>
      <c r="D812" t="s">
        <v>81</v>
      </c>
      <c r="E812" t="str">
        <f t="shared" si="52"/>
        <v>059</v>
      </c>
      <c r="F812" t="s">
        <v>887</v>
      </c>
      <c r="G812" t="str">
        <f>"0445"</f>
        <v>0445</v>
      </c>
      <c r="H812" t="str">
        <f>"0000"</f>
        <v>0000</v>
      </c>
      <c r="I812" t="s">
        <v>83</v>
      </c>
      <c r="J812">
        <v>0</v>
      </c>
      <c r="K812">
        <v>1</v>
      </c>
      <c r="L812">
        <v>3</v>
      </c>
      <c r="M812">
        <v>283</v>
      </c>
      <c r="N812">
        <v>394</v>
      </c>
      <c r="O812">
        <v>0</v>
      </c>
      <c r="P812">
        <v>394</v>
      </c>
      <c r="Q812">
        <v>11</v>
      </c>
      <c r="R812">
        <v>97</v>
      </c>
      <c r="S812">
        <v>0</v>
      </c>
      <c r="T812">
        <v>3</v>
      </c>
      <c r="U812">
        <v>11</v>
      </c>
      <c r="V812">
        <v>4</v>
      </c>
      <c r="W812">
        <v>106</v>
      </c>
      <c r="X812">
        <v>17</v>
      </c>
      <c r="Y812">
        <v>123</v>
      </c>
      <c r="Z812">
        <v>2</v>
      </c>
      <c r="AB812">
        <v>1</v>
      </c>
      <c r="AC812">
        <v>0</v>
      </c>
      <c r="AD812">
        <v>3</v>
      </c>
      <c r="AQ812">
        <v>1</v>
      </c>
      <c r="AR812">
        <v>0</v>
      </c>
      <c r="AW812" t="s">
        <v>95</v>
      </c>
      <c r="AX812">
        <v>15</v>
      </c>
      <c r="AY812">
        <v>394</v>
      </c>
      <c r="AZ812">
        <v>394</v>
      </c>
      <c r="BA812">
        <v>629</v>
      </c>
      <c r="BB812">
        <v>48</v>
      </c>
      <c r="BC812" t="s">
        <v>96</v>
      </c>
      <c r="BD812">
        <v>1</v>
      </c>
      <c r="BF812" t="s">
        <v>935</v>
      </c>
      <c r="BG812" s="1">
        <v>44354.009988425925</v>
      </c>
      <c r="BH812" s="1">
        <v>44354.015173611115</v>
      </c>
      <c r="BI812" s="1">
        <v>44354.015740740739</v>
      </c>
      <c r="BJ812" t="s">
        <v>197</v>
      </c>
      <c r="BK812" t="s">
        <v>198</v>
      </c>
      <c r="BL812" t="s">
        <v>87</v>
      </c>
    </row>
    <row r="813" spans="1:64" x14ac:dyDescent="0.3">
      <c r="A813" t="str">
        <f>"200445E0100"</f>
        <v>200445E0100</v>
      </c>
      <c r="B813" t="str">
        <f>"200445E01003"</f>
        <v>200445E01003</v>
      </c>
      <c r="C813" t="str">
        <f t="shared" si="51"/>
        <v>20</v>
      </c>
      <c r="D813" t="s">
        <v>81</v>
      </c>
      <c r="E813" t="str">
        <f t="shared" si="52"/>
        <v>059</v>
      </c>
      <c r="F813" t="s">
        <v>887</v>
      </c>
      <c r="G813" t="str">
        <f>"0445"</f>
        <v>0445</v>
      </c>
      <c r="H813" t="str">
        <f>"0001"</f>
        <v>0001</v>
      </c>
      <c r="I813" t="s">
        <v>122</v>
      </c>
      <c r="J813">
        <v>0</v>
      </c>
      <c r="K813">
        <v>1</v>
      </c>
      <c r="L813">
        <v>3</v>
      </c>
      <c r="M813">
        <v>420</v>
      </c>
      <c r="N813">
        <v>366</v>
      </c>
      <c r="O813">
        <v>3</v>
      </c>
      <c r="P813">
        <v>366</v>
      </c>
      <c r="Q813">
        <v>9</v>
      </c>
      <c r="R813">
        <v>86</v>
      </c>
      <c r="S813">
        <v>3</v>
      </c>
      <c r="T813">
        <v>7</v>
      </c>
      <c r="U813">
        <v>7</v>
      </c>
      <c r="V813">
        <v>3</v>
      </c>
      <c r="W813">
        <v>85</v>
      </c>
      <c r="X813">
        <v>16</v>
      </c>
      <c r="Y813">
        <v>125</v>
      </c>
      <c r="Z813">
        <v>1</v>
      </c>
      <c r="AB813">
        <v>2</v>
      </c>
      <c r="AC813">
        <v>2</v>
      </c>
      <c r="AD813">
        <v>0</v>
      </c>
      <c r="AQ813">
        <v>0</v>
      </c>
      <c r="AR813">
        <v>0</v>
      </c>
      <c r="AW813">
        <v>0</v>
      </c>
      <c r="AX813">
        <v>20</v>
      </c>
      <c r="AY813">
        <v>366</v>
      </c>
      <c r="AZ813">
        <v>366</v>
      </c>
      <c r="BA813">
        <v>738</v>
      </c>
      <c r="BB813">
        <v>48</v>
      </c>
      <c r="BD813">
        <v>1</v>
      </c>
      <c r="BF813" t="s">
        <v>936</v>
      </c>
      <c r="BG813" s="1">
        <v>44354.510416666664</v>
      </c>
      <c r="BH813" s="1">
        <v>44354.539247685185</v>
      </c>
      <c r="BI813" s="1">
        <v>44354.543506944443</v>
      </c>
      <c r="BJ813" t="s">
        <v>85</v>
      </c>
      <c r="BK813" t="s">
        <v>86</v>
      </c>
      <c r="BL813" t="s">
        <v>87</v>
      </c>
    </row>
    <row r="814" spans="1:64" x14ac:dyDescent="0.3">
      <c r="A814" t="str">
        <f>"200446B0000"</f>
        <v>200446B0000</v>
      </c>
      <c r="B814" t="str">
        <f>"200446B00003"</f>
        <v>200446B00003</v>
      </c>
      <c r="C814" t="str">
        <f t="shared" si="51"/>
        <v>20</v>
      </c>
      <c r="D814" t="s">
        <v>81</v>
      </c>
      <c r="E814" t="str">
        <f t="shared" si="52"/>
        <v>059</v>
      </c>
      <c r="F814" t="s">
        <v>887</v>
      </c>
      <c r="G814" t="str">
        <f>"0446"</f>
        <v>0446</v>
      </c>
      <c r="H814" t="str">
        <f>"0000"</f>
        <v>0000</v>
      </c>
      <c r="I814" t="s">
        <v>83</v>
      </c>
      <c r="J814">
        <v>0</v>
      </c>
      <c r="K814">
        <v>1</v>
      </c>
      <c r="L814">
        <v>3</v>
      </c>
      <c r="M814">
        <v>361</v>
      </c>
      <c r="N814">
        <v>157</v>
      </c>
      <c r="O814">
        <v>8</v>
      </c>
      <c r="P814">
        <v>157</v>
      </c>
      <c r="Q814">
        <v>3</v>
      </c>
      <c r="R814">
        <v>45</v>
      </c>
      <c r="S814">
        <v>4</v>
      </c>
      <c r="T814">
        <v>1</v>
      </c>
      <c r="U814">
        <v>2</v>
      </c>
      <c r="V814">
        <v>1</v>
      </c>
      <c r="W814">
        <v>36</v>
      </c>
      <c r="X814">
        <v>33</v>
      </c>
      <c r="Y814">
        <v>22</v>
      </c>
      <c r="Z814">
        <v>0</v>
      </c>
      <c r="AB814">
        <v>0</v>
      </c>
      <c r="AC814">
        <v>1</v>
      </c>
      <c r="AD814">
        <v>37</v>
      </c>
      <c r="AQ814">
        <v>0</v>
      </c>
      <c r="AR814">
        <v>0</v>
      </c>
      <c r="AW814">
        <v>0</v>
      </c>
      <c r="AX814">
        <v>2</v>
      </c>
      <c r="AY814">
        <v>157</v>
      </c>
      <c r="AZ814">
        <v>187</v>
      </c>
      <c r="BA814">
        <v>470</v>
      </c>
      <c r="BB814">
        <v>48</v>
      </c>
      <c r="BD814">
        <v>1</v>
      </c>
      <c r="BF814" t="s">
        <v>937</v>
      </c>
      <c r="BG814" s="1">
        <v>44354.137499999997</v>
      </c>
      <c r="BH814" s="1">
        <v>44354.139039351852</v>
      </c>
      <c r="BI814" s="1">
        <v>44354.139641203707</v>
      </c>
      <c r="BJ814" t="s">
        <v>85</v>
      </c>
      <c r="BK814" t="s">
        <v>86</v>
      </c>
      <c r="BL814" t="s">
        <v>87</v>
      </c>
    </row>
    <row r="815" spans="1:64" x14ac:dyDescent="0.3">
      <c r="A815" t="str">
        <f>"200446C0100"</f>
        <v>200446C0100</v>
      </c>
      <c r="B815" t="str">
        <f>"200446C01003"</f>
        <v>200446C01003</v>
      </c>
      <c r="C815" t="str">
        <f t="shared" si="51"/>
        <v>20</v>
      </c>
      <c r="D815" t="s">
        <v>81</v>
      </c>
      <c r="E815" t="str">
        <f t="shared" si="52"/>
        <v>059</v>
      </c>
      <c r="F815" t="s">
        <v>887</v>
      </c>
      <c r="G815" t="str">
        <f>"0446"</f>
        <v>0446</v>
      </c>
      <c r="H815" t="str">
        <f>"0001"</f>
        <v>0001</v>
      </c>
      <c r="I815" t="s">
        <v>89</v>
      </c>
      <c r="J815">
        <v>0</v>
      </c>
      <c r="K815">
        <v>1</v>
      </c>
      <c r="L815">
        <v>3</v>
      </c>
      <c r="BA815">
        <v>470</v>
      </c>
      <c r="BB815">
        <v>48</v>
      </c>
      <c r="BC815" t="s">
        <v>161</v>
      </c>
      <c r="BD815">
        <v>0</v>
      </c>
      <c r="BF815" t="s">
        <v>938</v>
      </c>
      <c r="BG815" s="1">
        <v>44354.448611111111</v>
      </c>
      <c r="BH815" s="1">
        <v>44354.471643518518</v>
      </c>
      <c r="BI815" s="1">
        <v>44354.471643518518</v>
      </c>
      <c r="BJ815" t="s">
        <v>85</v>
      </c>
      <c r="BK815" t="s">
        <v>86</v>
      </c>
      <c r="BL815" t="s">
        <v>87</v>
      </c>
    </row>
    <row r="816" spans="1:64" x14ac:dyDescent="0.3">
      <c r="A816" t="str">
        <f>"200446E0100"</f>
        <v>200446E0100</v>
      </c>
      <c r="B816" t="str">
        <f>"200446E01003"</f>
        <v>200446E01003</v>
      </c>
      <c r="C816" t="str">
        <f t="shared" si="51"/>
        <v>20</v>
      </c>
      <c r="D816" t="s">
        <v>81</v>
      </c>
      <c r="E816" t="str">
        <f t="shared" si="52"/>
        <v>059</v>
      </c>
      <c r="F816" t="s">
        <v>887</v>
      </c>
      <c r="G816" t="str">
        <f>"0446"</f>
        <v>0446</v>
      </c>
      <c r="H816" t="str">
        <f>"0001"</f>
        <v>0001</v>
      </c>
      <c r="I816" t="s">
        <v>122</v>
      </c>
      <c r="J816">
        <v>0</v>
      </c>
      <c r="K816">
        <v>1</v>
      </c>
      <c r="L816">
        <v>3</v>
      </c>
      <c r="M816">
        <v>226</v>
      </c>
      <c r="N816">
        <v>181</v>
      </c>
      <c r="O816">
        <v>4</v>
      </c>
      <c r="P816">
        <v>181</v>
      </c>
      <c r="Q816">
        <v>3</v>
      </c>
      <c r="R816">
        <v>8</v>
      </c>
      <c r="S816">
        <v>0</v>
      </c>
      <c r="T816">
        <v>4</v>
      </c>
      <c r="U816">
        <v>1</v>
      </c>
      <c r="V816">
        <v>3</v>
      </c>
      <c r="W816">
        <v>41</v>
      </c>
      <c r="X816">
        <v>18</v>
      </c>
      <c r="Y816">
        <v>91</v>
      </c>
      <c r="Z816">
        <v>0</v>
      </c>
      <c r="AB816">
        <v>1</v>
      </c>
      <c r="AC816">
        <v>0</v>
      </c>
      <c r="AD816">
        <v>0</v>
      </c>
      <c r="AQ816">
        <v>1</v>
      </c>
      <c r="AR816">
        <v>0</v>
      </c>
      <c r="AW816">
        <v>0</v>
      </c>
      <c r="AX816">
        <v>9</v>
      </c>
      <c r="AY816">
        <v>181</v>
      </c>
      <c r="AZ816">
        <v>180</v>
      </c>
      <c r="BA816">
        <v>359</v>
      </c>
      <c r="BB816">
        <v>48</v>
      </c>
      <c r="BD816">
        <v>1</v>
      </c>
      <c r="BF816" t="s">
        <v>939</v>
      </c>
      <c r="BG816" s="1">
        <v>44354.137499999997</v>
      </c>
      <c r="BH816" s="1">
        <v>44354.161099537036</v>
      </c>
      <c r="BI816" s="1">
        <v>44354.171666666669</v>
      </c>
      <c r="BJ816" t="s">
        <v>85</v>
      </c>
      <c r="BK816" t="s">
        <v>86</v>
      </c>
      <c r="BL816" t="s">
        <v>87</v>
      </c>
    </row>
    <row r="817" spans="1:64" x14ac:dyDescent="0.3">
      <c r="A817" t="str">
        <f>"200446E0200"</f>
        <v>200446E0200</v>
      </c>
      <c r="B817" t="str">
        <f>"200446E02003"</f>
        <v>200446E02003</v>
      </c>
      <c r="C817" t="str">
        <f t="shared" si="51"/>
        <v>20</v>
      </c>
      <c r="D817" t="s">
        <v>81</v>
      </c>
      <c r="E817" t="str">
        <f t="shared" si="52"/>
        <v>059</v>
      </c>
      <c r="F817" t="s">
        <v>887</v>
      </c>
      <c r="G817" t="str">
        <f>"0446"</f>
        <v>0446</v>
      </c>
      <c r="H817" t="str">
        <f>"0002"</f>
        <v>0002</v>
      </c>
      <c r="I817" t="s">
        <v>122</v>
      </c>
      <c r="J817">
        <v>0</v>
      </c>
      <c r="K817">
        <v>1</v>
      </c>
      <c r="L817">
        <v>3</v>
      </c>
      <c r="BA817">
        <v>352</v>
      </c>
      <c r="BB817">
        <v>48</v>
      </c>
      <c r="BC817" t="s">
        <v>161</v>
      </c>
      <c r="BD817">
        <v>0</v>
      </c>
      <c r="BF817" t="s">
        <v>940</v>
      </c>
      <c r="BG817" s="1">
        <v>44354.448611111111</v>
      </c>
      <c r="BH817" s="1">
        <v>44354.471875000003</v>
      </c>
      <c r="BI817" s="1">
        <v>44354.471875000003</v>
      </c>
      <c r="BJ817" t="s">
        <v>85</v>
      </c>
      <c r="BK817" t="s">
        <v>86</v>
      </c>
      <c r="BL817" t="s">
        <v>87</v>
      </c>
    </row>
    <row r="818" spans="1:64" x14ac:dyDescent="0.3">
      <c r="A818" t="str">
        <f>"200447B0000"</f>
        <v>200447B0000</v>
      </c>
      <c r="B818" t="str">
        <f>"200447B00003"</f>
        <v>200447B00003</v>
      </c>
      <c r="C818" t="str">
        <f t="shared" si="51"/>
        <v>20</v>
      </c>
      <c r="D818" t="s">
        <v>81</v>
      </c>
      <c r="E818" t="str">
        <f t="shared" si="52"/>
        <v>059</v>
      </c>
      <c r="F818" t="s">
        <v>887</v>
      </c>
      <c r="G818" t="str">
        <f>"0447"</f>
        <v>0447</v>
      </c>
      <c r="H818" t="str">
        <f>"0000"</f>
        <v>0000</v>
      </c>
      <c r="I818" t="s">
        <v>83</v>
      </c>
      <c r="J818">
        <v>0</v>
      </c>
      <c r="K818">
        <v>1</v>
      </c>
      <c r="L818">
        <v>3</v>
      </c>
      <c r="M818">
        <v>185</v>
      </c>
      <c r="N818">
        <v>266</v>
      </c>
      <c r="O818">
        <v>1</v>
      </c>
      <c r="P818">
        <v>266</v>
      </c>
      <c r="Q818">
        <v>4</v>
      </c>
      <c r="R818">
        <v>35</v>
      </c>
      <c r="S818">
        <v>1</v>
      </c>
      <c r="T818">
        <v>1</v>
      </c>
      <c r="U818">
        <v>1</v>
      </c>
      <c r="V818">
        <v>2</v>
      </c>
      <c r="W818">
        <v>74</v>
      </c>
      <c r="X818">
        <v>37</v>
      </c>
      <c r="Y818">
        <v>85</v>
      </c>
      <c r="Z818">
        <v>1</v>
      </c>
      <c r="AB818">
        <v>3</v>
      </c>
      <c r="AC818">
        <v>2</v>
      </c>
      <c r="AD818">
        <v>4</v>
      </c>
      <c r="AQ818">
        <v>1</v>
      </c>
      <c r="AR818">
        <v>0</v>
      </c>
      <c r="AW818">
        <v>0</v>
      </c>
      <c r="AX818">
        <v>12</v>
      </c>
      <c r="AY818">
        <v>66</v>
      </c>
      <c r="AZ818">
        <v>263</v>
      </c>
      <c r="BA818">
        <v>403</v>
      </c>
      <c r="BB818">
        <v>48</v>
      </c>
      <c r="BD818">
        <v>1</v>
      </c>
      <c r="BF818" t="s">
        <v>941</v>
      </c>
      <c r="BG818" s="1">
        <v>44354.134722222225</v>
      </c>
      <c r="BH818" s="1">
        <v>44354.138287037036</v>
      </c>
      <c r="BI818" s="1">
        <v>44354.140092592592</v>
      </c>
      <c r="BJ818" t="s">
        <v>85</v>
      </c>
      <c r="BK818" t="s">
        <v>86</v>
      </c>
      <c r="BL818" t="s">
        <v>87</v>
      </c>
    </row>
    <row r="819" spans="1:64" x14ac:dyDescent="0.3">
      <c r="A819" t="str">
        <f>"200447E0100"</f>
        <v>200447E0100</v>
      </c>
      <c r="B819" t="str">
        <f>"200447E01003"</f>
        <v>200447E01003</v>
      </c>
      <c r="C819" t="str">
        <f t="shared" si="51"/>
        <v>20</v>
      </c>
      <c r="D819" t="s">
        <v>81</v>
      </c>
      <c r="E819" t="str">
        <f t="shared" si="52"/>
        <v>059</v>
      </c>
      <c r="F819" t="s">
        <v>887</v>
      </c>
      <c r="G819" t="str">
        <f>"0447"</f>
        <v>0447</v>
      </c>
      <c r="H819" t="str">
        <f>"0001"</f>
        <v>0001</v>
      </c>
      <c r="I819" t="s">
        <v>122</v>
      </c>
      <c r="J819">
        <v>0</v>
      </c>
      <c r="K819">
        <v>1</v>
      </c>
      <c r="L819">
        <v>3</v>
      </c>
      <c r="M819">
        <v>231</v>
      </c>
      <c r="N819">
        <v>585</v>
      </c>
      <c r="O819">
        <v>5</v>
      </c>
      <c r="P819">
        <v>354</v>
      </c>
      <c r="Q819">
        <v>14</v>
      </c>
      <c r="R819">
        <v>126</v>
      </c>
      <c r="S819">
        <v>2</v>
      </c>
      <c r="T819">
        <v>0</v>
      </c>
      <c r="U819">
        <v>1</v>
      </c>
      <c r="V819">
        <v>2</v>
      </c>
      <c r="W819">
        <v>67</v>
      </c>
      <c r="X819">
        <v>21</v>
      </c>
      <c r="Y819">
        <v>104</v>
      </c>
      <c r="Z819">
        <v>0</v>
      </c>
      <c r="AB819">
        <v>2</v>
      </c>
      <c r="AC819">
        <v>0</v>
      </c>
      <c r="AD819">
        <v>0</v>
      </c>
      <c r="AQ819" t="s">
        <v>95</v>
      </c>
      <c r="AR819" t="s">
        <v>95</v>
      </c>
      <c r="AW819" t="s">
        <v>95</v>
      </c>
      <c r="AX819">
        <v>15</v>
      </c>
      <c r="AY819">
        <v>354</v>
      </c>
      <c r="AZ819">
        <v>354</v>
      </c>
      <c r="BA819">
        <v>537</v>
      </c>
      <c r="BB819">
        <v>48</v>
      </c>
      <c r="BC819" t="s">
        <v>96</v>
      </c>
      <c r="BD819">
        <v>1</v>
      </c>
      <c r="BF819" t="s">
        <v>942</v>
      </c>
      <c r="BG819" s="1">
        <v>44354.136805555558</v>
      </c>
      <c r="BH819" s="1">
        <v>44354.138229166667</v>
      </c>
      <c r="BI819" s="1">
        <v>44354.13863425926</v>
      </c>
      <c r="BJ819" t="s">
        <v>85</v>
      </c>
      <c r="BK819" t="s">
        <v>86</v>
      </c>
      <c r="BL819" t="s">
        <v>87</v>
      </c>
    </row>
    <row r="820" spans="1:64" x14ac:dyDescent="0.3">
      <c r="A820" t="str">
        <f>"200448B0000"</f>
        <v>200448B0000</v>
      </c>
      <c r="B820" t="str">
        <f>"200448B00003"</f>
        <v>200448B00003</v>
      </c>
      <c r="C820" t="str">
        <f t="shared" si="51"/>
        <v>20</v>
      </c>
      <c r="D820" t="s">
        <v>81</v>
      </c>
      <c r="E820" t="str">
        <f t="shared" si="52"/>
        <v>059</v>
      </c>
      <c r="F820" t="s">
        <v>887</v>
      </c>
      <c r="G820" t="str">
        <f>"0448"</f>
        <v>0448</v>
      </c>
      <c r="H820" t="str">
        <f>"0000"</f>
        <v>0000</v>
      </c>
      <c r="I820" t="s">
        <v>83</v>
      </c>
      <c r="J820">
        <v>0</v>
      </c>
      <c r="K820">
        <v>1</v>
      </c>
      <c r="L820">
        <v>3</v>
      </c>
      <c r="M820">
        <v>232</v>
      </c>
      <c r="N820">
        <v>216</v>
      </c>
      <c r="O820">
        <v>4</v>
      </c>
      <c r="P820" t="s">
        <v>92</v>
      </c>
      <c r="Q820">
        <v>1</v>
      </c>
      <c r="R820">
        <v>35</v>
      </c>
      <c r="S820">
        <v>0</v>
      </c>
      <c r="T820">
        <v>3</v>
      </c>
      <c r="U820">
        <v>3</v>
      </c>
      <c r="V820">
        <v>0</v>
      </c>
      <c r="W820">
        <v>32</v>
      </c>
      <c r="X820">
        <v>24</v>
      </c>
      <c r="Y820">
        <v>85</v>
      </c>
      <c r="Z820">
        <v>5</v>
      </c>
      <c r="AB820">
        <v>3</v>
      </c>
      <c r="AC820">
        <v>0</v>
      </c>
      <c r="AD820">
        <v>1</v>
      </c>
      <c r="AQ820">
        <v>4</v>
      </c>
      <c r="AR820">
        <v>1</v>
      </c>
      <c r="AW820">
        <v>0</v>
      </c>
      <c r="AX820">
        <v>19</v>
      </c>
      <c r="AY820">
        <v>216</v>
      </c>
      <c r="AZ820">
        <v>216</v>
      </c>
      <c r="BA820">
        <v>400</v>
      </c>
      <c r="BB820">
        <v>48</v>
      </c>
      <c r="BD820">
        <v>1</v>
      </c>
      <c r="BF820" t="s">
        <v>943</v>
      </c>
      <c r="BG820" s="1">
        <v>44354.145833333336</v>
      </c>
      <c r="BH820" s="1">
        <v>44354.147280092591</v>
      </c>
      <c r="BI820" s="1">
        <v>44354.148090277777</v>
      </c>
      <c r="BJ820" t="s">
        <v>85</v>
      </c>
      <c r="BK820" t="s">
        <v>86</v>
      </c>
      <c r="BL820" t="s">
        <v>87</v>
      </c>
    </row>
    <row r="821" spans="1:64" x14ac:dyDescent="0.3">
      <c r="A821" t="str">
        <f>"200449B0000"</f>
        <v>200449B0000</v>
      </c>
      <c r="B821" t="str">
        <f>"200449B00003"</f>
        <v>200449B00003</v>
      </c>
      <c r="C821" t="str">
        <f t="shared" si="51"/>
        <v>20</v>
      </c>
      <c r="D821" t="s">
        <v>81</v>
      </c>
      <c r="E821" t="str">
        <f t="shared" si="52"/>
        <v>059</v>
      </c>
      <c r="F821" t="s">
        <v>887</v>
      </c>
      <c r="G821" t="str">
        <f>"0449"</f>
        <v>0449</v>
      </c>
      <c r="H821" t="str">
        <f>"0000"</f>
        <v>0000</v>
      </c>
      <c r="I821" t="s">
        <v>83</v>
      </c>
      <c r="J821">
        <v>0</v>
      </c>
      <c r="K821">
        <v>1</v>
      </c>
      <c r="L821">
        <v>3</v>
      </c>
      <c r="M821">
        <v>365</v>
      </c>
      <c r="N821">
        <v>419</v>
      </c>
      <c r="O821">
        <v>0</v>
      </c>
      <c r="P821">
        <v>419</v>
      </c>
      <c r="Q821">
        <v>7</v>
      </c>
      <c r="R821">
        <v>141</v>
      </c>
      <c r="S821">
        <v>4</v>
      </c>
      <c r="T821">
        <v>10</v>
      </c>
      <c r="U821">
        <v>0</v>
      </c>
      <c r="V821">
        <v>2</v>
      </c>
      <c r="W821">
        <v>130</v>
      </c>
      <c r="X821">
        <v>28</v>
      </c>
      <c r="Y821">
        <v>73</v>
      </c>
      <c r="Z821">
        <v>3</v>
      </c>
      <c r="AB821">
        <v>2</v>
      </c>
      <c r="AC821">
        <v>0</v>
      </c>
      <c r="AD821">
        <v>7</v>
      </c>
      <c r="AQ821">
        <v>1</v>
      </c>
      <c r="AR821">
        <v>3</v>
      </c>
      <c r="AW821">
        <v>0</v>
      </c>
      <c r="AX821">
        <v>8</v>
      </c>
      <c r="AY821">
        <v>419</v>
      </c>
      <c r="AZ821">
        <v>419</v>
      </c>
      <c r="BA821">
        <v>736</v>
      </c>
      <c r="BB821">
        <v>48</v>
      </c>
      <c r="BD821">
        <v>1</v>
      </c>
      <c r="BF821" t="s">
        <v>944</v>
      </c>
      <c r="BG821" s="1">
        <v>44354.068738425929</v>
      </c>
      <c r="BH821" s="1">
        <v>44354.074537037035</v>
      </c>
      <c r="BI821" s="1">
        <v>44354.075243055559</v>
      </c>
      <c r="BJ821" t="s">
        <v>197</v>
      </c>
      <c r="BK821" t="s">
        <v>198</v>
      </c>
      <c r="BL821" t="s">
        <v>87</v>
      </c>
    </row>
    <row r="822" spans="1:64" x14ac:dyDescent="0.3">
      <c r="A822" t="str">
        <f>"200449C0100"</f>
        <v>200449C0100</v>
      </c>
      <c r="B822" t="str">
        <f>"200449C01003"</f>
        <v>200449C01003</v>
      </c>
      <c r="C822" t="str">
        <f t="shared" si="51"/>
        <v>20</v>
      </c>
      <c r="D822" t="s">
        <v>81</v>
      </c>
      <c r="E822" t="str">
        <f t="shared" si="52"/>
        <v>059</v>
      </c>
      <c r="F822" t="s">
        <v>887</v>
      </c>
      <c r="G822" t="str">
        <f>"0449"</f>
        <v>0449</v>
      </c>
      <c r="H822" t="str">
        <f>"0001"</f>
        <v>0001</v>
      </c>
      <c r="I822" t="s">
        <v>89</v>
      </c>
      <c r="J822">
        <v>0</v>
      </c>
      <c r="K822">
        <v>1</v>
      </c>
      <c r="L822">
        <v>3</v>
      </c>
      <c r="M822">
        <v>387</v>
      </c>
      <c r="N822">
        <v>397</v>
      </c>
      <c r="O822">
        <v>2</v>
      </c>
      <c r="P822">
        <v>397</v>
      </c>
      <c r="Q822">
        <v>7</v>
      </c>
      <c r="R822">
        <v>129</v>
      </c>
      <c r="S822">
        <v>7</v>
      </c>
      <c r="T822">
        <v>2</v>
      </c>
      <c r="U822">
        <v>3</v>
      </c>
      <c r="V822">
        <v>1</v>
      </c>
      <c r="W822">
        <v>113</v>
      </c>
      <c r="X822">
        <v>27</v>
      </c>
      <c r="Y822">
        <v>82</v>
      </c>
      <c r="Z822">
        <v>1</v>
      </c>
      <c r="AB822">
        <v>4</v>
      </c>
      <c r="AC822">
        <v>1</v>
      </c>
      <c r="AD822">
        <v>3</v>
      </c>
      <c r="AQ822">
        <v>2</v>
      </c>
      <c r="AR822">
        <v>2</v>
      </c>
      <c r="AW822">
        <v>0</v>
      </c>
      <c r="AX822">
        <v>13</v>
      </c>
      <c r="AY822">
        <v>397</v>
      </c>
      <c r="AZ822">
        <v>397</v>
      </c>
      <c r="BA822">
        <v>736</v>
      </c>
      <c r="BB822">
        <v>48</v>
      </c>
      <c r="BD822">
        <v>1</v>
      </c>
      <c r="BF822" t="s">
        <v>945</v>
      </c>
      <c r="BG822" s="1">
        <v>44354.509027777778</v>
      </c>
      <c r="BH822" s="1">
        <v>44354.510949074072</v>
      </c>
      <c r="BI822" s="1">
        <v>44354.511261574073</v>
      </c>
      <c r="BJ822" t="s">
        <v>85</v>
      </c>
      <c r="BK822" t="s">
        <v>86</v>
      </c>
      <c r="BL822" t="s">
        <v>87</v>
      </c>
    </row>
    <row r="823" spans="1:64" x14ac:dyDescent="0.3">
      <c r="A823" t="str">
        <f>"200450B0000"</f>
        <v>200450B0000</v>
      </c>
      <c r="B823" t="str">
        <f>"200450B00003"</f>
        <v>200450B00003</v>
      </c>
      <c r="C823" t="str">
        <f t="shared" si="51"/>
        <v>20</v>
      </c>
      <c r="D823" t="s">
        <v>81</v>
      </c>
      <c r="E823" t="str">
        <f t="shared" si="52"/>
        <v>059</v>
      </c>
      <c r="F823" t="s">
        <v>887</v>
      </c>
      <c r="G823" t="str">
        <f>"0450"</f>
        <v>0450</v>
      </c>
      <c r="H823" t="str">
        <f>"0000"</f>
        <v>0000</v>
      </c>
      <c r="I823" t="s">
        <v>83</v>
      </c>
      <c r="J823">
        <v>0</v>
      </c>
      <c r="K823">
        <v>1</v>
      </c>
      <c r="L823">
        <v>3</v>
      </c>
      <c r="M823">
        <v>315</v>
      </c>
      <c r="N823">
        <v>344</v>
      </c>
      <c r="O823">
        <v>3</v>
      </c>
      <c r="P823">
        <v>344</v>
      </c>
      <c r="Q823">
        <v>10</v>
      </c>
      <c r="R823">
        <v>66</v>
      </c>
      <c r="S823">
        <v>3</v>
      </c>
      <c r="T823">
        <v>9</v>
      </c>
      <c r="U823">
        <v>5</v>
      </c>
      <c r="V823">
        <v>1</v>
      </c>
      <c r="W823">
        <v>108</v>
      </c>
      <c r="X823">
        <v>19</v>
      </c>
      <c r="Y823">
        <v>95</v>
      </c>
      <c r="Z823">
        <v>1</v>
      </c>
      <c r="AB823">
        <v>3</v>
      </c>
      <c r="AC823">
        <v>1</v>
      </c>
      <c r="AD823">
        <v>0</v>
      </c>
      <c r="AQ823" t="s">
        <v>95</v>
      </c>
      <c r="AR823" t="s">
        <v>95</v>
      </c>
      <c r="AW823">
        <v>1</v>
      </c>
      <c r="AX823">
        <v>22</v>
      </c>
      <c r="AY823">
        <v>344</v>
      </c>
      <c r="AZ823">
        <v>344</v>
      </c>
      <c r="BA823">
        <v>611</v>
      </c>
      <c r="BB823">
        <v>48</v>
      </c>
      <c r="BC823" t="s">
        <v>96</v>
      </c>
      <c r="BD823">
        <v>1</v>
      </c>
      <c r="BF823" t="s">
        <v>946</v>
      </c>
      <c r="BG823" s="1">
        <v>44354.154166666667</v>
      </c>
      <c r="BH823" s="1">
        <v>44354.157476851855</v>
      </c>
      <c r="BI823" s="1">
        <v>44354.158437500002</v>
      </c>
      <c r="BJ823" t="s">
        <v>85</v>
      </c>
      <c r="BK823" t="s">
        <v>86</v>
      </c>
      <c r="BL823" t="s">
        <v>87</v>
      </c>
    </row>
    <row r="824" spans="1:64" x14ac:dyDescent="0.3">
      <c r="A824" t="str">
        <f>"200451B0000"</f>
        <v>200451B0000</v>
      </c>
      <c r="B824" t="str">
        <f>"200451B00003"</f>
        <v>200451B00003</v>
      </c>
      <c r="C824" t="str">
        <f t="shared" si="51"/>
        <v>20</v>
      </c>
      <c r="D824" t="s">
        <v>81</v>
      </c>
      <c r="E824" t="str">
        <f t="shared" si="52"/>
        <v>059</v>
      </c>
      <c r="F824" t="s">
        <v>887</v>
      </c>
      <c r="G824" t="str">
        <f>"0451"</f>
        <v>0451</v>
      </c>
      <c r="H824" t="str">
        <f>"0000"</f>
        <v>0000</v>
      </c>
      <c r="I824" t="s">
        <v>83</v>
      </c>
      <c r="J824">
        <v>0</v>
      </c>
      <c r="K824">
        <v>1</v>
      </c>
      <c r="L824">
        <v>3</v>
      </c>
      <c r="M824">
        <v>292</v>
      </c>
      <c r="N824">
        <v>246</v>
      </c>
      <c r="O824">
        <v>4</v>
      </c>
      <c r="P824">
        <v>246</v>
      </c>
      <c r="Q824">
        <v>9</v>
      </c>
      <c r="R824">
        <v>28</v>
      </c>
      <c r="S824">
        <v>3</v>
      </c>
      <c r="T824">
        <v>1</v>
      </c>
      <c r="U824">
        <v>3</v>
      </c>
      <c r="V824">
        <v>7</v>
      </c>
      <c r="W824">
        <v>23</v>
      </c>
      <c r="X824">
        <v>18</v>
      </c>
      <c r="Y824">
        <v>130</v>
      </c>
      <c r="Z824">
        <v>2</v>
      </c>
      <c r="AB824">
        <v>0</v>
      </c>
      <c r="AC824">
        <v>0</v>
      </c>
      <c r="AD824">
        <v>2</v>
      </c>
      <c r="AQ824">
        <v>0</v>
      </c>
      <c r="AR824">
        <v>0</v>
      </c>
      <c r="AW824">
        <v>0</v>
      </c>
      <c r="AX824">
        <v>20</v>
      </c>
      <c r="AY824">
        <v>246</v>
      </c>
      <c r="AZ824">
        <v>246</v>
      </c>
      <c r="BA824">
        <v>490</v>
      </c>
      <c r="BB824">
        <v>48</v>
      </c>
      <c r="BD824">
        <v>1</v>
      </c>
      <c r="BF824" t="s">
        <v>947</v>
      </c>
      <c r="BG824" s="1">
        <v>44354.509722222225</v>
      </c>
      <c r="BH824" s="1">
        <v>44354.511493055557</v>
      </c>
      <c r="BI824" s="1">
        <v>44354.511886574073</v>
      </c>
      <c r="BJ824" t="s">
        <v>85</v>
      </c>
      <c r="BK824" t="s">
        <v>86</v>
      </c>
      <c r="BL824" t="s">
        <v>87</v>
      </c>
    </row>
    <row r="825" spans="1:64" x14ac:dyDescent="0.3">
      <c r="A825" t="str">
        <f>"200452B0000"</f>
        <v>200452B0000</v>
      </c>
      <c r="B825" t="str">
        <f>"200452B00003"</f>
        <v>200452B00003</v>
      </c>
      <c r="C825" t="str">
        <f t="shared" si="51"/>
        <v>20</v>
      </c>
      <c r="D825" t="s">
        <v>81</v>
      </c>
      <c r="E825" t="str">
        <f t="shared" si="52"/>
        <v>059</v>
      </c>
      <c r="F825" t="s">
        <v>887</v>
      </c>
      <c r="G825" t="str">
        <f>"0452"</f>
        <v>0452</v>
      </c>
      <c r="H825" t="str">
        <f>"0000"</f>
        <v>0000</v>
      </c>
      <c r="I825" t="s">
        <v>83</v>
      </c>
      <c r="J825">
        <v>0</v>
      </c>
      <c r="K825">
        <v>1</v>
      </c>
      <c r="L825">
        <v>3</v>
      </c>
      <c r="M825">
        <v>268</v>
      </c>
      <c r="N825">
        <v>221</v>
      </c>
      <c r="O825">
        <v>5</v>
      </c>
      <c r="P825">
        <v>221</v>
      </c>
      <c r="Q825">
        <v>10</v>
      </c>
      <c r="R825">
        <v>15</v>
      </c>
      <c r="S825">
        <v>1</v>
      </c>
      <c r="T825">
        <v>5</v>
      </c>
      <c r="U825">
        <v>2</v>
      </c>
      <c r="V825">
        <v>2</v>
      </c>
      <c r="W825">
        <v>15</v>
      </c>
      <c r="X825">
        <v>13</v>
      </c>
      <c r="Y825">
        <v>140</v>
      </c>
      <c r="Z825">
        <v>1</v>
      </c>
      <c r="AB825">
        <v>0</v>
      </c>
      <c r="AC825">
        <v>0</v>
      </c>
      <c r="AD825">
        <v>0</v>
      </c>
      <c r="AQ825">
        <v>5</v>
      </c>
      <c r="AR825">
        <v>0</v>
      </c>
      <c r="AW825">
        <v>0</v>
      </c>
      <c r="AX825">
        <v>12</v>
      </c>
      <c r="AY825">
        <v>221</v>
      </c>
      <c r="AZ825">
        <v>221</v>
      </c>
      <c r="BA825">
        <v>441</v>
      </c>
      <c r="BB825">
        <v>48</v>
      </c>
      <c r="BD825">
        <v>1</v>
      </c>
      <c r="BF825" t="s">
        <v>948</v>
      </c>
      <c r="BG825" s="1">
        <v>44354.504861111112</v>
      </c>
      <c r="BH825" s="1">
        <v>44354.505937499998</v>
      </c>
      <c r="BI825" s="1">
        <v>44354.506620370368</v>
      </c>
      <c r="BJ825" t="s">
        <v>85</v>
      </c>
      <c r="BK825" t="s">
        <v>86</v>
      </c>
      <c r="BL825" t="s">
        <v>87</v>
      </c>
    </row>
    <row r="826" spans="1:64" x14ac:dyDescent="0.3">
      <c r="A826" t="str">
        <f>"200452C0100"</f>
        <v>200452C0100</v>
      </c>
      <c r="B826" t="str">
        <f>"200452C01003"</f>
        <v>200452C01003</v>
      </c>
      <c r="C826" t="str">
        <f t="shared" si="51"/>
        <v>20</v>
      </c>
      <c r="D826" t="s">
        <v>81</v>
      </c>
      <c r="E826" t="str">
        <f t="shared" si="52"/>
        <v>059</v>
      </c>
      <c r="F826" t="s">
        <v>887</v>
      </c>
      <c r="G826" t="str">
        <f>"0452"</f>
        <v>0452</v>
      </c>
      <c r="H826" t="str">
        <f>"0001"</f>
        <v>0001</v>
      </c>
      <c r="I826" t="s">
        <v>89</v>
      </c>
      <c r="J826">
        <v>0</v>
      </c>
      <c r="K826">
        <v>1</v>
      </c>
      <c r="L826">
        <v>3</v>
      </c>
      <c r="M826">
        <v>262</v>
      </c>
      <c r="N826">
        <v>226</v>
      </c>
      <c r="O826">
        <v>5</v>
      </c>
      <c r="P826">
        <v>226</v>
      </c>
      <c r="Q826">
        <v>10</v>
      </c>
      <c r="R826">
        <v>11</v>
      </c>
      <c r="S826">
        <v>1</v>
      </c>
      <c r="T826">
        <v>1</v>
      </c>
      <c r="U826">
        <v>1</v>
      </c>
      <c r="V826">
        <v>0</v>
      </c>
      <c r="W826">
        <v>28</v>
      </c>
      <c r="X826">
        <v>12</v>
      </c>
      <c r="Y826">
        <v>154</v>
      </c>
      <c r="Z826">
        <v>3</v>
      </c>
      <c r="AB826">
        <v>0</v>
      </c>
      <c r="AC826">
        <v>0</v>
      </c>
      <c r="AD826">
        <v>1</v>
      </c>
      <c r="AQ826">
        <v>1</v>
      </c>
      <c r="AR826">
        <v>0</v>
      </c>
      <c r="AW826">
        <v>0</v>
      </c>
      <c r="AX826">
        <v>3</v>
      </c>
      <c r="AY826">
        <v>226</v>
      </c>
      <c r="AZ826">
        <v>226</v>
      </c>
      <c r="BA826">
        <v>440</v>
      </c>
      <c r="BB826">
        <v>48</v>
      </c>
      <c r="BD826">
        <v>1</v>
      </c>
      <c r="BF826" t="s">
        <v>949</v>
      </c>
      <c r="BG826" s="1">
        <v>44354.503472222219</v>
      </c>
      <c r="BH826" s="1">
        <v>44354.504976851851</v>
      </c>
      <c r="BI826" s="1">
        <v>44354.505682870367</v>
      </c>
      <c r="BJ826" t="s">
        <v>85</v>
      </c>
      <c r="BK826" t="s">
        <v>86</v>
      </c>
      <c r="BL826" t="s">
        <v>87</v>
      </c>
    </row>
    <row r="827" spans="1:64" x14ac:dyDescent="0.3">
      <c r="A827" t="str">
        <f>"200453B0000"</f>
        <v>200453B0000</v>
      </c>
      <c r="B827" t="str">
        <f>"200453B00003"</f>
        <v>200453B00003</v>
      </c>
      <c r="C827" t="str">
        <f t="shared" si="51"/>
        <v>20</v>
      </c>
      <c r="D827" t="s">
        <v>81</v>
      </c>
      <c r="E827" t="str">
        <f t="shared" si="52"/>
        <v>059</v>
      </c>
      <c r="F827" t="s">
        <v>887</v>
      </c>
      <c r="G827" t="str">
        <f>"0453"</f>
        <v>0453</v>
      </c>
      <c r="H827" t="str">
        <f>"0000"</f>
        <v>0000</v>
      </c>
      <c r="I827" t="s">
        <v>83</v>
      </c>
      <c r="J827">
        <v>0</v>
      </c>
      <c r="K827">
        <v>1</v>
      </c>
      <c r="L827">
        <v>3</v>
      </c>
      <c r="M827">
        <v>104</v>
      </c>
      <c r="N827">
        <v>167</v>
      </c>
      <c r="O827">
        <v>1</v>
      </c>
      <c r="P827">
        <v>167</v>
      </c>
      <c r="Q827">
        <v>3</v>
      </c>
      <c r="R827">
        <v>68</v>
      </c>
      <c r="S827">
        <v>0</v>
      </c>
      <c r="T827">
        <v>2</v>
      </c>
      <c r="U827">
        <v>0</v>
      </c>
      <c r="V827">
        <v>0</v>
      </c>
      <c r="W827">
        <v>35</v>
      </c>
      <c r="X827">
        <v>1</v>
      </c>
      <c r="Y827">
        <v>56</v>
      </c>
      <c r="Z827">
        <v>0</v>
      </c>
      <c r="AB827">
        <v>0</v>
      </c>
      <c r="AC827">
        <v>1</v>
      </c>
      <c r="AD827">
        <v>0</v>
      </c>
      <c r="AQ827">
        <v>0</v>
      </c>
      <c r="AR827">
        <v>0</v>
      </c>
      <c r="AW827">
        <v>0</v>
      </c>
      <c r="AX827">
        <v>1</v>
      </c>
      <c r="AY827">
        <v>167</v>
      </c>
      <c r="AZ827">
        <v>167</v>
      </c>
      <c r="BA827">
        <v>223</v>
      </c>
      <c r="BB827">
        <v>48</v>
      </c>
      <c r="BD827">
        <v>1</v>
      </c>
      <c r="BF827" t="s">
        <v>950</v>
      </c>
      <c r="BG827" s="1">
        <v>44354.508333333331</v>
      </c>
      <c r="BH827" s="1">
        <v>44354.509317129632</v>
      </c>
      <c r="BI827" s="1">
        <v>44354.509884259256</v>
      </c>
      <c r="BJ827" t="s">
        <v>85</v>
      </c>
      <c r="BK827" t="s">
        <v>86</v>
      </c>
      <c r="BL827" t="s">
        <v>87</v>
      </c>
    </row>
    <row r="828" spans="1:64" x14ac:dyDescent="0.3">
      <c r="A828" t="str">
        <f>"200471B0000"</f>
        <v>200471B0000</v>
      </c>
      <c r="B828" t="str">
        <f>"200471B00003"</f>
        <v>200471B00003</v>
      </c>
      <c r="C828" t="str">
        <f t="shared" si="51"/>
        <v>20</v>
      </c>
      <c r="D828" t="s">
        <v>81</v>
      </c>
      <c r="E828" t="str">
        <f t="shared" ref="E828:E891" si="53">"066"</f>
        <v>066</v>
      </c>
      <c r="F828" t="s">
        <v>951</v>
      </c>
      <c r="G828" t="str">
        <f t="shared" ref="G828:G837" si="54">"0471"</f>
        <v>0471</v>
      </c>
      <c r="H828" t="str">
        <f>"0000"</f>
        <v>0000</v>
      </c>
      <c r="I828" t="s">
        <v>83</v>
      </c>
      <c r="J828">
        <v>0</v>
      </c>
      <c r="K828">
        <v>1</v>
      </c>
      <c r="L828">
        <v>3</v>
      </c>
      <c r="M828">
        <v>466</v>
      </c>
      <c r="N828">
        <v>290</v>
      </c>
      <c r="O828">
        <v>8</v>
      </c>
      <c r="P828">
        <v>290</v>
      </c>
      <c r="Q828">
        <v>7</v>
      </c>
      <c r="R828">
        <v>68</v>
      </c>
      <c r="S828">
        <v>8</v>
      </c>
      <c r="T828">
        <v>1</v>
      </c>
      <c r="U828">
        <v>6</v>
      </c>
      <c r="V828">
        <v>3</v>
      </c>
      <c r="W828">
        <v>1</v>
      </c>
      <c r="X828">
        <v>132</v>
      </c>
      <c r="Y828">
        <v>43</v>
      </c>
      <c r="Z828">
        <v>3</v>
      </c>
      <c r="AA828">
        <v>0</v>
      </c>
      <c r="AB828">
        <v>5</v>
      </c>
      <c r="AK828">
        <v>1</v>
      </c>
      <c r="AO828">
        <v>1</v>
      </c>
      <c r="AP828">
        <v>0</v>
      </c>
      <c r="AR828">
        <v>0</v>
      </c>
      <c r="AU828">
        <v>0</v>
      </c>
      <c r="AW828">
        <v>0</v>
      </c>
      <c r="AX828">
        <v>11</v>
      </c>
      <c r="AY828">
        <v>290</v>
      </c>
      <c r="AZ828">
        <v>290</v>
      </c>
      <c r="BA828">
        <v>712</v>
      </c>
      <c r="BB828">
        <v>44</v>
      </c>
      <c r="BD828">
        <v>1</v>
      </c>
      <c r="BF828" t="s">
        <v>952</v>
      </c>
      <c r="BG828" s="1">
        <v>44354.040972222225</v>
      </c>
      <c r="BH828" s="1">
        <v>44354.051030092596</v>
      </c>
      <c r="BI828" s="1">
        <v>44354.051770833335</v>
      </c>
      <c r="BJ828" t="s">
        <v>85</v>
      </c>
      <c r="BK828" t="s">
        <v>86</v>
      </c>
      <c r="BL828" t="s">
        <v>87</v>
      </c>
    </row>
    <row r="829" spans="1:64" x14ac:dyDescent="0.3">
      <c r="A829" t="str">
        <f>"200471C0100"</f>
        <v>200471C0100</v>
      </c>
      <c r="B829" t="str">
        <f>"200471C01003"</f>
        <v>200471C01003</v>
      </c>
      <c r="C829" t="str">
        <f t="shared" si="51"/>
        <v>20</v>
      </c>
      <c r="D829" t="s">
        <v>81</v>
      </c>
      <c r="E829" t="str">
        <f t="shared" si="53"/>
        <v>066</v>
      </c>
      <c r="F829" t="s">
        <v>951</v>
      </c>
      <c r="G829" t="str">
        <f t="shared" si="54"/>
        <v>0471</v>
      </c>
      <c r="H829" t="str">
        <f>"0001"</f>
        <v>0001</v>
      </c>
      <c r="I829" t="s">
        <v>89</v>
      </c>
      <c r="J829">
        <v>0</v>
      </c>
      <c r="K829">
        <v>1</v>
      </c>
      <c r="L829">
        <v>3</v>
      </c>
      <c r="M829">
        <v>399</v>
      </c>
      <c r="N829">
        <v>354</v>
      </c>
      <c r="O829">
        <v>8</v>
      </c>
      <c r="P829">
        <v>356</v>
      </c>
      <c r="Q829">
        <v>5</v>
      </c>
      <c r="R829">
        <v>77</v>
      </c>
      <c r="S829">
        <v>4</v>
      </c>
      <c r="T829">
        <v>5</v>
      </c>
      <c r="U829">
        <v>12</v>
      </c>
      <c r="V829">
        <v>5</v>
      </c>
      <c r="W829">
        <v>1</v>
      </c>
      <c r="X829">
        <v>170</v>
      </c>
      <c r="Y829">
        <v>49</v>
      </c>
      <c r="Z829">
        <v>3</v>
      </c>
      <c r="AA829">
        <v>3</v>
      </c>
      <c r="AB829">
        <v>7</v>
      </c>
      <c r="AK829">
        <v>5</v>
      </c>
      <c r="AO829">
        <v>1</v>
      </c>
      <c r="AP829">
        <v>0</v>
      </c>
      <c r="AR829">
        <v>0</v>
      </c>
      <c r="AU829">
        <v>0</v>
      </c>
      <c r="AW829">
        <v>0</v>
      </c>
      <c r="AX829">
        <v>9</v>
      </c>
      <c r="AY829">
        <v>356</v>
      </c>
      <c r="AZ829">
        <v>356</v>
      </c>
      <c r="BA829">
        <v>711</v>
      </c>
      <c r="BB829">
        <v>44</v>
      </c>
      <c r="BD829">
        <v>1</v>
      </c>
      <c r="BF829" t="s">
        <v>953</v>
      </c>
      <c r="BG829" s="1">
        <v>44354.049305555556</v>
      </c>
      <c r="BH829" s="1">
        <v>44354.060312499998</v>
      </c>
      <c r="BI829" s="1">
        <v>44354.061261574076</v>
      </c>
      <c r="BJ829" t="s">
        <v>85</v>
      </c>
      <c r="BK829" t="s">
        <v>86</v>
      </c>
      <c r="BL829" t="s">
        <v>87</v>
      </c>
    </row>
    <row r="830" spans="1:64" x14ac:dyDescent="0.3">
      <c r="A830" t="str">
        <f>"200471C0200"</f>
        <v>200471C0200</v>
      </c>
      <c r="B830" t="str">
        <f>"200471C02003"</f>
        <v>200471C02003</v>
      </c>
      <c r="C830" t="str">
        <f t="shared" si="51"/>
        <v>20</v>
      </c>
      <c r="D830" t="s">
        <v>81</v>
      </c>
      <c r="E830" t="str">
        <f t="shared" si="53"/>
        <v>066</v>
      </c>
      <c r="F830" t="s">
        <v>951</v>
      </c>
      <c r="G830" t="str">
        <f t="shared" si="54"/>
        <v>0471</v>
      </c>
      <c r="H830" t="str">
        <f>"0002"</f>
        <v>0002</v>
      </c>
      <c r="I830" t="s">
        <v>89</v>
      </c>
      <c r="J830">
        <v>0</v>
      </c>
      <c r="K830">
        <v>1</v>
      </c>
      <c r="L830">
        <v>3</v>
      </c>
      <c r="M830">
        <v>454</v>
      </c>
      <c r="N830">
        <v>301</v>
      </c>
      <c r="O830">
        <v>4</v>
      </c>
      <c r="P830">
        <v>301</v>
      </c>
      <c r="Q830">
        <v>8</v>
      </c>
      <c r="R830">
        <v>67</v>
      </c>
      <c r="S830">
        <v>6</v>
      </c>
      <c r="T830">
        <v>6</v>
      </c>
      <c r="U830">
        <v>9</v>
      </c>
      <c r="V830">
        <v>3</v>
      </c>
      <c r="W830">
        <v>2</v>
      </c>
      <c r="X830">
        <v>147</v>
      </c>
      <c r="Y830">
        <v>46</v>
      </c>
      <c r="Z830">
        <v>0</v>
      </c>
      <c r="AA830">
        <v>3</v>
      </c>
      <c r="AB830">
        <v>4</v>
      </c>
      <c r="AK830">
        <v>0</v>
      </c>
      <c r="AO830">
        <v>0</v>
      </c>
      <c r="AP830">
        <v>0</v>
      </c>
      <c r="AR830">
        <v>0</v>
      </c>
      <c r="AU830">
        <v>0</v>
      </c>
      <c r="AW830">
        <v>0</v>
      </c>
      <c r="AX830">
        <v>0</v>
      </c>
      <c r="AY830">
        <v>301</v>
      </c>
      <c r="AZ830">
        <v>301</v>
      </c>
      <c r="BA830">
        <v>711</v>
      </c>
      <c r="BB830">
        <v>44</v>
      </c>
      <c r="BD830">
        <v>1</v>
      </c>
      <c r="BF830" t="s">
        <v>954</v>
      </c>
      <c r="BG830" s="1">
        <v>44354.073611111111</v>
      </c>
      <c r="BH830" s="1">
        <v>44354.3437962963</v>
      </c>
      <c r="BI830" s="1">
        <v>44354.344201388885</v>
      </c>
      <c r="BJ830" t="s">
        <v>85</v>
      </c>
      <c r="BK830" t="s">
        <v>86</v>
      </c>
      <c r="BL830" t="s">
        <v>87</v>
      </c>
    </row>
    <row r="831" spans="1:64" x14ac:dyDescent="0.3">
      <c r="A831" t="str">
        <f>"200471C0300"</f>
        <v>200471C0300</v>
      </c>
      <c r="B831" t="str">
        <f>"200471C03003"</f>
        <v>200471C03003</v>
      </c>
      <c r="C831" t="str">
        <f t="shared" si="51"/>
        <v>20</v>
      </c>
      <c r="D831" t="s">
        <v>81</v>
      </c>
      <c r="E831" t="str">
        <f t="shared" si="53"/>
        <v>066</v>
      </c>
      <c r="F831" t="s">
        <v>951</v>
      </c>
      <c r="G831" t="str">
        <f t="shared" si="54"/>
        <v>0471</v>
      </c>
      <c r="H831" t="str">
        <f>"0003"</f>
        <v>0003</v>
      </c>
      <c r="I831" t="s">
        <v>89</v>
      </c>
      <c r="J831">
        <v>0</v>
      </c>
      <c r="K831">
        <v>1</v>
      </c>
      <c r="L831">
        <v>3</v>
      </c>
      <c r="M831">
        <v>399</v>
      </c>
      <c r="N831">
        <v>354</v>
      </c>
      <c r="O831">
        <v>7</v>
      </c>
      <c r="P831" t="s">
        <v>92</v>
      </c>
      <c r="Q831">
        <v>12</v>
      </c>
      <c r="R831">
        <v>82</v>
      </c>
      <c r="S831">
        <v>3</v>
      </c>
      <c r="T831">
        <v>2</v>
      </c>
      <c r="U831">
        <v>10</v>
      </c>
      <c r="V831">
        <v>5</v>
      </c>
      <c r="W831">
        <v>2</v>
      </c>
      <c r="X831">
        <v>174</v>
      </c>
      <c r="Y831">
        <v>40</v>
      </c>
      <c r="Z831">
        <v>5</v>
      </c>
      <c r="AA831">
        <v>3</v>
      </c>
      <c r="AB831">
        <v>7</v>
      </c>
      <c r="AK831">
        <v>2</v>
      </c>
      <c r="AO831" t="s">
        <v>95</v>
      </c>
      <c r="AP831" t="s">
        <v>95</v>
      </c>
      <c r="AR831" t="s">
        <v>95</v>
      </c>
      <c r="AU831" t="s">
        <v>95</v>
      </c>
      <c r="AW831" t="s">
        <v>95</v>
      </c>
      <c r="AX831">
        <v>9</v>
      </c>
      <c r="AY831">
        <v>356</v>
      </c>
      <c r="AZ831">
        <v>356</v>
      </c>
      <c r="BA831">
        <v>711</v>
      </c>
      <c r="BB831">
        <v>44</v>
      </c>
      <c r="BC831" t="s">
        <v>96</v>
      </c>
      <c r="BD831">
        <v>1</v>
      </c>
      <c r="BF831" t="s">
        <v>955</v>
      </c>
      <c r="BG831" s="1">
        <v>44354.042361111111</v>
      </c>
      <c r="BH831" s="1">
        <v>44354.052662037036</v>
      </c>
      <c r="BI831" s="1">
        <v>44354.053472222222</v>
      </c>
      <c r="BJ831" t="s">
        <v>85</v>
      </c>
      <c r="BK831" t="s">
        <v>86</v>
      </c>
      <c r="BL831" t="s">
        <v>87</v>
      </c>
    </row>
    <row r="832" spans="1:64" x14ac:dyDescent="0.3">
      <c r="A832" t="str">
        <f>"200471E0100"</f>
        <v>200471E0100</v>
      </c>
      <c r="B832" t="str">
        <f>"200471E01003"</f>
        <v>200471E01003</v>
      </c>
      <c r="C832" t="str">
        <f t="shared" si="51"/>
        <v>20</v>
      </c>
      <c r="D832" t="s">
        <v>81</v>
      </c>
      <c r="E832" t="str">
        <f t="shared" si="53"/>
        <v>066</v>
      </c>
      <c r="F832" t="s">
        <v>951</v>
      </c>
      <c r="G832" t="str">
        <f t="shared" si="54"/>
        <v>0471</v>
      </c>
      <c r="H832" t="str">
        <f>"0001"</f>
        <v>0001</v>
      </c>
      <c r="I832" t="s">
        <v>122</v>
      </c>
      <c r="J832">
        <v>0</v>
      </c>
      <c r="K832">
        <v>1</v>
      </c>
      <c r="L832">
        <v>3</v>
      </c>
      <c r="M832">
        <v>302</v>
      </c>
      <c r="N832">
        <v>272</v>
      </c>
      <c r="O832">
        <v>8</v>
      </c>
      <c r="P832">
        <v>271</v>
      </c>
      <c r="Q832">
        <v>10</v>
      </c>
      <c r="R832">
        <v>63</v>
      </c>
      <c r="S832">
        <v>6</v>
      </c>
      <c r="T832">
        <v>1</v>
      </c>
      <c r="U832">
        <v>5</v>
      </c>
      <c r="V832">
        <v>4</v>
      </c>
      <c r="W832">
        <v>2</v>
      </c>
      <c r="X832">
        <v>144</v>
      </c>
      <c r="Y832">
        <v>18</v>
      </c>
      <c r="Z832">
        <v>0</v>
      </c>
      <c r="AA832">
        <v>2</v>
      </c>
      <c r="AB832">
        <v>8</v>
      </c>
      <c r="AK832">
        <v>3</v>
      </c>
      <c r="AO832">
        <v>1</v>
      </c>
      <c r="AP832">
        <v>0</v>
      </c>
      <c r="AR832">
        <v>1</v>
      </c>
      <c r="AU832">
        <v>0</v>
      </c>
      <c r="AW832">
        <v>0</v>
      </c>
      <c r="AX832">
        <v>3</v>
      </c>
      <c r="AY832">
        <v>271</v>
      </c>
      <c r="AZ832">
        <v>271</v>
      </c>
      <c r="BA832">
        <v>530</v>
      </c>
      <c r="BB832">
        <v>44</v>
      </c>
      <c r="BD832">
        <v>1</v>
      </c>
      <c r="BF832" t="s">
        <v>956</v>
      </c>
      <c r="BG832" s="1">
        <v>44354.071527777778</v>
      </c>
      <c r="BH832" s="1">
        <v>44354.081574074073</v>
      </c>
      <c r="BI832" s="1">
        <v>44354.08222222222</v>
      </c>
      <c r="BJ832" t="s">
        <v>85</v>
      </c>
      <c r="BK832" t="s">
        <v>86</v>
      </c>
      <c r="BL832" t="s">
        <v>87</v>
      </c>
    </row>
    <row r="833" spans="1:64" x14ac:dyDescent="0.3">
      <c r="A833" t="str">
        <f>"200471E0101"</f>
        <v>200471E0101</v>
      </c>
      <c r="B833" t="str">
        <f>"200471E01013"</f>
        <v>200471E01013</v>
      </c>
      <c r="C833" t="str">
        <f t="shared" si="51"/>
        <v>20</v>
      </c>
      <c r="D833" t="s">
        <v>81</v>
      </c>
      <c r="E833" t="str">
        <f t="shared" si="53"/>
        <v>066</v>
      </c>
      <c r="F833" t="s">
        <v>951</v>
      </c>
      <c r="G833" t="str">
        <f t="shared" si="54"/>
        <v>0471</v>
      </c>
      <c r="H833" t="str">
        <f>"0001"</f>
        <v>0001</v>
      </c>
      <c r="I833" t="s">
        <v>122</v>
      </c>
      <c r="J833">
        <v>1</v>
      </c>
      <c r="K833">
        <v>1</v>
      </c>
      <c r="L833">
        <v>3</v>
      </c>
      <c r="M833">
        <v>320</v>
      </c>
      <c r="N833">
        <v>254</v>
      </c>
      <c r="O833">
        <v>8</v>
      </c>
      <c r="P833">
        <v>254</v>
      </c>
      <c r="Q833">
        <v>9</v>
      </c>
      <c r="R833">
        <v>62</v>
      </c>
      <c r="S833">
        <v>4</v>
      </c>
      <c r="T833">
        <v>4</v>
      </c>
      <c r="U833">
        <v>1</v>
      </c>
      <c r="V833">
        <v>4</v>
      </c>
      <c r="W833">
        <v>0</v>
      </c>
      <c r="X833">
        <v>125</v>
      </c>
      <c r="Y833">
        <v>23</v>
      </c>
      <c r="Z833">
        <v>4</v>
      </c>
      <c r="AA833">
        <v>3</v>
      </c>
      <c r="AB833">
        <v>8</v>
      </c>
      <c r="AK833">
        <v>4</v>
      </c>
      <c r="AO833">
        <v>0</v>
      </c>
      <c r="AP833">
        <v>0</v>
      </c>
      <c r="AR833">
        <v>0</v>
      </c>
      <c r="AU833">
        <v>0</v>
      </c>
      <c r="AW833">
        <v>0</v>
      </c>
      <c r="AX833">
        <v>3</v>
      </c>
      <c r="AY833">
        <v>254</v>
      </c>
      <c r="AZ833">
        <v>254</v>
      </c>
      <c r="BA833">
        <v>530</v>
      </c>
      <c r="BB833">
        <v>44</v>
      </c>
      <c r="BD833">
        <v>1</v>
      </c>
      <c r="BF833" t="s">
        <v>957</v>
      </c>
      <c r="BG833" s="1">
        <v>44354.073611111111</v>
      </c>
      <c r="BH833" s="1">
        <v>44354.089571759258</v>
      </c>
      <c r="BI833" s="1">
        <v>44354.09065972222</v>
      </c>
      <c r="BJ833" t="s">
        <v>85</v>
      </c>
      <c r="BK833" t="s">
        <v>86</v>
      </c>
      <c r="BL833" t="s">
        <v>87</v>
      </c>
    </row>
    <row r="834" spans="1:64" x14ac:dyDescent="0.3">
      <c r="A834" t="str">
        <f>"200471E0102"</f>
        <v>200471E0102</v>
      </c>
      <c r="B834" t="str">
        <f>"200471E01023"</f>
        <v>200471E01023</v>
      </c>
      <c r="C834" t="str">
        <f t="shared" si="51"/>
        <v>20</v>
      </c>
      <c r="D834" t="s">
        <v>81</v>
      </c>
      <c r="E834" t="str">
        <f t="shared" si="53"/>
        <v>066</v>
      </c>
      <c r="F834" t="s">
        <v>951</v>
      </c>
      <c r="G834" t="str">
        <f t="shared" si="54"/>
        <v>0471</v>
      </c>
      <c r="H834" t="str">
        <f>"0001"</f>
        <v>0001</v>
      </c>
      <c r="I834" t="s">
        <v>122</v>
      </c>
      <c r="J834">
        <v>2</v>
      </c>
      <c r="K834">
        <v>1</v>
      </c>
      <c r="L834">
        <v>3</v>
      </c>
      <c r="M834">
        <v>318</v>
      </c>
      <c r="N834">
        <v>255</v>
      </c>
      <c r="O834">
        <v>10</v>
      </c>
      <c r="P834">
        <v>255</v>
      </c>
      <c r="Q834">
        <v>8</v>
      </c>
      <c r="R834">
        <v>66</v>
      </c>
      <c r="S834">
        <v>3</v>
      </c>
      <c r="T834">
        <v>1</v>
      </c>
      <c r="U834">
        <v>5</v>
      </c>
      <c r="V834">
        <v>2</v>
      </c>
      <c r="W834">
        <v>0</v>
      </c>
      <c r="X834">
        <v>127</v>
      </c>
      <c r="Y834">
        <v>16</v>
      </c>
      <c r="Z834">
        <v>1</v>
      </c>
      <c r="AA834">
        <v>3</v>
      </c>
      <c r="AB834">
        <v>12</v>
      </c>
      <c r="AK834">
        <v>3</v>
      </c>
      <c r="AO834">
        <v>1</v>
      </c>
      <c r="AP834">
        <v>0</v>
      </c>
      <c r="AR834">
        <v>0</v>
      </c>
      <c r="AU834">
        <v>0</v>
      </c>
      <c r="AW834">
        <v>0</v>
      </c>
      <c r="AX834">
        <v>7</v>
      </c>
      <c r="AY834">
        <v>255</v>
      </c>
      <c r="AZ834">
        <v>255</v>
      </c>
      <c r="BA834">
        <v>529</v>
      </c>
      <c r="BB834">
        <v>44</v>
      </c>
      <c r="BD834">
        <v>1</v>
      </c>
      <c r="BF834" t="s">
        <v>958</v>
      </c>
      <c r="BG834" s="1">
        <v>44354.073611111111</v>
      </c>
      <c r="BH834" s="1">
        <v>44354.08253472222</v>
      </c>
      <c r="BI834" s="1">
        <v>44354.083078703705</v>
      </c>
      <c r="BJ834" t="s">
        <v>85</v>
      </c>
      <c r="BK834" t="s">
        <v>86</v>
      </c>
      <c r="BL834" t="s">
        <v>87</v>
      </c>
    </row>
    <row r="835" spans="1:64" x14ac:dyDescent="0.3">
      <c r="A835" t="str">
        <f>"200471E0200"</f>
        <v>200471E0200</v>
      </c>
      <c r="B835" t="str">
        <f>"200471E02003"</f>
        <v>200471E02003</v>
      </c>
      <c r="C835" t="str">
        <f t="shared" si="51"/>
        <v>20</v>
      </c>
      <c r="D835" t="s">
        <v>81</v>
      </c>
      <c r="E835" t="str">
        <f t="shared" si="53"/>
        <v>066</v>
      </c>
      <c r="F835" t="s">
        <v>951</v>
      </c>
      <c r="G835" t="str">
        <f t="shared" si="54"/>
        <v>0471</v>
      </c>
      <c r="H835" t="str">
        <f>"0002"</f>
        <v>0002</v>
      </c>
      <c r="I835" t="s">
        <v>122</v>
      </c>
      <c r="J835">
        <v>0</v>
      </c>
      <c r="K835">
        <v>1</v>
      </c>
      <c r="L835">
        <v>3</v>
      </c>
      <c r="M835">
        <v>453</v>
      </c>
      <c r="N835">
        <v>339</v>
      </c>
      <c r="O835">
        <v>9</v>
      </c>
      <c r="P835" t="s">
        <v>92</v>
      </c>
      <c r="Q835">
        <v>11</v>
      </c>
      <c r="R835">
        <v>58</v>
      </c>
      <c r="S835">
        <v>7</v>
      </c>
      <c r="T835">
        <v>3</v>
      </c>
      <c r="U835">
        <v>8</v>
      </c>
      <c r="V835">
        <v>2</v>
      </c>
      <c r="W835">
        <v>2</v>
      </c>
      <c r="X835">
        <v>202</v>
      </c>
      <c r="Y835">
        <v>21</v>
      </c>
      <c r="Z835">
        <v>0</v>
      </c>
      <c r="AA835">
        <v>3</v>
      </c>
      <c r="AB835">
        <v>4</v>
      </c>
      <c r="AK835">
        <v>4</v>
      </c>
      <c r="AO835">
        <v>0</v>
      </c>
      <c r="AP835">
        <v>0</v>
      </c>
      <c r="AR835">
        <v>0</v>
      </c>
      <c r="AU835">
        <v>0</v>
      </c>
      <c r="AW835">
        <v>1</v>
      </c>
      <c r="AX835">
        <v>10</v>
      </c>
      <c r="AY835">
        <v>336</v>
      </c>
      <c r="AZ835">
        <v>336</v>
      </c>
      <c r="BA835">
        <v>748</v>
      </c>
      <c r="BB835">
        <v>44</v>
      </c>
      <c r="BD835">
        <v>1</v>
      </c>
      <c r="BF835" t="s">
        <v>959</v>
      </c>
      <c r="BG835" s="1">
        <v>44354.053472222222</v>
      </c>
      <c r="BH835" s="1">
        <v>44354.061724537038</v>
      </c>
      <c r="BI835" s="1">
        <v>44354.062662037039</v>
      </c>
      <c r="BJ835" t="s">
        <v>85</v>
      </c>
      <c r="BK835" t="s">
        <v>86</v>
      </c>
      <c r="BL835" t="s">
        <v>87</v>
      </c>
    </row>
    <row r="836" spans="1:64" x14ac:dyDescent="0.3">
      <c r="A836" t="str">
        <f>"200471E0201"</f>
        <v>200471E0201</v>
      </c>
      <c r="B836" t="str">
        <f>"200471E02013"</f>
        <v>200471E02013</v>
      </c>
      <c r="C836" t="str">
        <f t="shared" si="51"/>
        <v>20</v>
      </c>
      <c r="D836" t="s">
        <v>81</v>
      </c>
      <c r="E836" t="str">
        <f t="shared" si="53"/>
        <v>066</v>
      </c>
      <c r="F836" t="s">
        <v>951</v>
      </c>
      <c r="G836" t="str">
        <f t="shared" si="54"/>
        <v>0471</v>
      </c>
      <c r="H836" t="str">
        <f>"0002"</f>
        <v>0002</v>
      </c>
      <c r="I836" t="s">
        <v>122</v>
      </c>
      <c r="J836">
        <v>1</v>
      </c>
      <c r="K836">
        <v>1</v>
      </c>
      <c r="L836">
        <v>3</v>
      </c>
      <c r="M836">
        <v>501</v>
      </c>
      <c r="N836">
        <v>291</v>
      </c>
      <c r="O836">
        <v>8</v>
      </c>
      <c r="P836">
        <v>292</v>
      </c>
      <c r="Q836">
        <v>13</v>
      </c>
      <c r="R836">
        <v>55</v>
      </c>
      <c r="S836">
        <v>4</v>
      </c>
      <c r="T836">
        <v>7</v>
      </c>
      <c r="U836">
        <v>7</v>
      </c>
      <c r="V836">
        <v>5</v>
      </c>
      <c r="W836">
        <v>2</v>
      </c>
      <c r="X836">
        <v>153</v>
      </c>
      <c r="Y836">
        <v>16</v>
      </c>
      <c r="Z836">
        <v>2</v>
      </c>
      <c r="AA836">
        <v>6</v>
      </c>
      <c r="AB836">
        <v>8</v>
      </c>
      <c r="AK836">
        <v>4</v>
      </c>
      <c r="AO836">
        <v>0</v>
      </c>
      <c r="AP836">
        <v>0</v>
      </c>
      <c r="AR836">
        <v>0</v>
      </c>
      <c r="AU836">
        <v>0</v>
      </c>
      <c r="AW836">
        <v>0</v>
      </c>
      <c r="AX836">
        <v>10</v>
      </c>
      <c r="AY836">
        <v>292</v>
      </c>
      <c r="AZ836">
        <v>292</v>
      </c>
      <c r="BA836">
        <v>748</v>
      </c>
      <c r="BB836">
        <v>44</v>
      </c>
      <c r="BD836">
        <v>1</v>
      </c>
      <c r="BF836" t="s">
        <v>960</v>
      </c>
      <c r="BG836" s="1">
        <v>44354.040277777778</v>
      </c>
      <c r="BH836" s="1">
        <v>44354.049432870372</v>
      </c>
      <c r="BI836" s="1">
        <v>44354.049988425926</v>
      </c>
      <c r="BJ836" t="s">
        <v>85</v>
      </c>
      <c r="BK836" t="s">
        <v>86</v>
      </c>
      <c r="BL836" t="s">
        <v>87</v>
      </c>
    </row>
    <row r="837" spans="1:64" x14ac:dyDescent="0.3">
      <c r="A837" t="str">
        <f>"200471E0202"</f>
        <v>200471E0202</v>
      </c>
      <c r="B837" t="str">
        <f>"200471E02023"</f>
        <v>200471E02023</v>
      </c>
      <c r="C837" t="str">
        <f t="shared" si="51"/>
        <v>20</v>
      </c>
      <c r="D837" t="s">
        <v>81</v>
      </c>
      <c r="E837" t="str">
        <f t="shared" si="53"/>
        <v>066</v>
      </c>
      <c r="F837" t="s">
        <v>951</v>
      </c>
      <c r="G837" t="str">
        <f t="shared" si="54"/>
        <v>0471</v>
      </c>
      <c r="H837" t="str">
        <f>"0002"</f>
        <v>0002</v>
      </c>
      <c r="I837" t="s">
        <v>122</v>
      </c>
      <c r="J837">
        <v>2</v>
      </c>
      <c r="K837">
        <v>1</v>
      </c>
      <c r="L837">
        <v>3</v>
      </c>
      <c r="M837">
        <v>449</v>
      </c>
      <c r="N837">
        <v>342</v>
      </c>
      <c r="O837">
        <v>13</v>
      </c>
      <c r="P837">
        <v>344</v>
      </c>
      <c r="Q837">
        <v>10</v>
      </c>
      <c r="R837">
        <v>74</v>
      </c>
      <c r="S837">
        <v>3</v>
      </c>
      <c r="T837">
        <v>2</v>
      </c>
      <c r="U837">
        <v>8</v>
      </c>
      <c r="V837">
        <v>4</v>
      </c>
      <c r="W837">
        <v>2</v>
      </c>
      <c r="X837">
        <v>191</v>
      </c>
      <c r="Y837">
        <v>14</v>
      </c>
      <c r="Z837">
        <v>4</v>
      </c>
      <c r="AA837">
        <v>5</v>
      </c>
      <c r="AB837">
        <v>10</v>
      </c>
      <c r="AK837">
        <v>5</v>
      </c>
      <c r="AO837">
        <v>1</v>
      </c>
      <c r="AP837">
        <v>0</v>
      </c>
      <c r="AR837">
        <v>0</v>
      </c>
      <c r="AU837">
        <v>0</v>
      </c>
      <c r="AW837">
        <v>0</v>
      </c>
      <c r="AX837">
        <v>11</v>
      </c>
      <c r="AY837">
        <v>344</v>
      </c>
      <c r="AZ837">
        <v>344</v>
      </c>
      <c r="BA837">
        <v>747</v>
      </c>
      <c r="BB837">
        <v>44</v>
      </c>
      <c r="BD837">
        <v>1</v>
      </c>
      <c r="BF837" t="s">
        <v>961</v>
      </c>
      <c r="BG837" s="1">
        <v>44354.040972222225</v>
      </c>
      <c r="BH837" s="1">
        <v>44354.054594907408</v>
      </c>
      <c r="BI837" s="1">
        <v>44354.055034722223</v>
      </c>
      <c r="BJ837" t="s">
        <v>85</v>
      </c>
      <c r="BK837" t="s">
        <v>86</v>
      </c>
      <c r="BL837" t="s">
        <v>87</v>
      </c>
    </row>
    <row r="838" spans="1:64" x14ac:dyDescent="0.3">
      <c r="A838" t="str">
        <f>"200472B0000"</f>
        <v>200472B0000</v>
      </c>
      <c r="B838" t="str">
        <f>"200472B00003"</f>
        <v>200472B00003</v>
      </c>
      <c r="C838" t="str">
        <f t="shared" si="51"/>
        <v>20</v>
      </c>
      <c r="D838" t="s">
        <v>81</v>
      </c>
      <c r="E838" t="str">
        <f t="shared" si="53"/>
        <v>066</v>
      </c>
      <c r="F838" t="s">
        <v>951</v>
      </c>
      <c r="G838" t="str">
        <f>"0472"</f>
        <v>0472</v>
      </c>
      <c r="H838" t="str">
        <f>"0000"</f>
        <v>0000</v>
      </c>
      <c r="I838" t="s">
        <v>83</v>
      </c>
      <c r="J838">
        <v>0</v>
      </c>
      <c r="K838">
        <v>1</v>
      </c>
      <c r="L838">
        <v>3</v>
      </c>
      <c r="M838">
        <v>385</v>
      </c>
      <c r="N838">
        <v>407</v>
      </c>
      <c r="O838">
        <v>6</v>
      </c>
      <c r="P838">
        <v>407</v>
      </c>
      <c r="Q838">
        <v>26</v>
      </c>
      <c r="R838">
        <v>97</v>
      </c>
      <c r="S838">
        <v>7</v>
      </c>
      <c r="T838">
        <v>6</v>
      </c>
      <c r="U838">
        <v>15</v>
      </c>
      <c r="V838">
        <v>7</v>
      </c>
      <c r="W838">
        <v>2</v>
      </c>
      <c r="X838">
        <v>206</v>
      </c>
      <c r="Y838">
        <v>19</v>
      </c>
      <c r="Z838">
        <v>2</v>
      </c>
      <c r="AA838">
        <v>4</v>
      </c>
      <c r="AB838">
        <v>10</v>
      </c>
      <c r="AK838">
        <v>2</v>
      </c>
      <c r="AO838">
        <v>0</v>
      </c>
      <c r="AP838">
        <v>0</v>
      </c>
      <c r="AR838">
        <v>0</v>
      </c>
      <c r="AU838">
        <v>0</v>
      </c>
      <c r="AW838">
        <v>0</v>
      </c>
      <c r="AX838">
        <v>4</v>
      </c>
      <c r="AY838">
        <v>407</v>
      </c>
      <c r="AZ838">
        <v>407</v>
      </c>
      <c r="BA838">
        <v>748</v>
      </c>
      <c r="BB838">
        <v>44</v>
      </c>
      <c r="BD838">
        <v>1</v>
      </c>
      <c r="BF838" t="s">
        <v>962</v>
      </c>
      <c r="BG838" s="1">
        <v>44354.043749999997</v>
      </c>
      <c r="BH838" s="1">
        <v>44354.053356481483</v>
      </c>
      <c r="BI838" s="1">
        <v>44354.053622685184</v>
      </c>
      <c r="BJ838" t="s">
        <v>85</v>
      </c>
      <c r="BK838" t="s">
        <v>86</v>
      </c>
      <c r="BL838" t="s">
        <v>87</v>
      </c>
    </row>
    <row r="839" spans="1:64" x14ac:dyDescent="0.3">
      <c r="A839" t="str">
        <f>"200472C0100"</f>
        <v>200472C0100</v>
      </c>
      <c r="B839" t="str">
        <f>"200472C01003"</f>
        <v>200472C01003</v>
      </c>
      <c r="C839" t="str">
        <f t="shared" ref="C839:C902" si="55">"20"</f>
        <v>20</v>
      </c>
      <c r="D839" t="s">
        <v>81</v>
      </c>
      <c r="E839" t="str">
        <f t="shared" si="53"/>
        <v>066</v>
      </c>
      <c r="F839" t="s">
        <v>951</v>
      </c>
      <c r="G839" t="str">
        <f>"0472"</f>
        <v>0472</v>
      </c>
      <c r="H839" t="str">
        <f>"0001"</f>
        <v>0001</v>
      </c>
      <c r="I839" t="s">
        <v>89</v>
      </c>
      <c r="J839">
        <v>0</v>
      </c>
      <c r="K839">
        <v>1</v>
      </c>
      <c r="L839">
        <v>3</v>
      </c>
      <c r="M839">
        <v>416</v>
      </c>
      <c r="N839">
        <v>376</v>
      </c>
      <c r="O839">
        <v>9</v>
      </c>
      <c r="P839">
        <v>375</v>
      </c>
      <c r="Q839">
        <v>11</v>
      </c>
      <c r="R839">
        <v>80</v>
      </c>
      <c r="S839">
        <v>4</v>
      </c>
      <c r="T839">
        <v>4</v>
      </c>
      <c r="U839">
        <v>14</v>
      </c>
      <c r="V839">
        <v>9</v>
      </c>
      <c r="W839">
        <v>2</v>
      </c>
      <c r="X839">
        <v>190</v>
      </c>
      <c r="Y839">
        <v>21</v>
      </c>
      <c r="Z839">
        <v>9</v>
      </c>
      <c r="AA839">
        <v>4</v>
      </c>
      <c r="AB839">
        <v>13</v>
      </c>
      <c r="AK839">
        <v>1</v>
      </c>
      <c r="AO839">
        <v>0</v>
      </c>
      <c r="AP839">
        <v>0</v>
      </c>
      <c r="AR839">
        <v>0</v>
      </c>
      <c r="AU839">
        <v>0</v>
      </c>
      <c r="AW839">
        <v>0</v>
      </c>
      <c r="AX839">
        <v>13</v>
      </c>
      <c r="AY839">
        <v>375</v>
      </c>
      <c r="AZ839">
        <v>375</v>
      </c>
      <c r="BA839">
        <v>748</v>
      </c>
      <c r="BB839">
        <v>44</v>
      </c>
      <c r="BD839">
        <v>1</v>
      </c>
      <c r="BF839" t="s">
        <v>963</v>
      </c>
      <c r="BG839" s="1">
        <v>44354.02847222222</v>
      </c>
      <c r="BH839" s="1">
        <v>44354.038958333331</v>
      </c>
      <c r="BI839" s="1">
        <v>44354.039965277778</v>
      </c>
      <c r="BJ839" t="s">
        <v>85</v>
      </c>
      <c r="BK839" t="s">
        <v>86</v>
      </c>
      <c r="BL839" t="s">
        <v>87</v>
      </c>
    </row>
    <row r="840" spans="1:64" x14ac:dyDescent="0.3">
      <c r="A840" t="str">
        <f>"200472C0200"</f>
        <v>200472C0200</v>
      </c>
      <c r="B840" t="str">
        <f>"200472C02003"</f>
        <v>200472C02003</v>
      </c>
      <c r="C840" t="str">
        <f t="shared" si="55"/>
        <v>20</v>
      </c>
      <c r="D840" t="s">
        <v>81</v>
      </c>
      <c r="E840" t="str">
        <f t="shared" si="53"/>
        <v>066</v>
      </c>
      <c r="F840" t="s">
        <v>951</v>
      </c>
      <c r="G840" t="str">
        <f>"0472"</f>
        <v>0472</v>
      </c>
      <c r="H840" t="str">
        <f>"0002"</f>
        <v>0002</v>
      </c>
      <c r="I840" t="s">
        <v>89</v>
      </c>
      <c r="J840">
        <v>0</v>
      </c>
      <c r="K840">
        <v>1</v>
      </c>
      <c r="L840">
        <v>3</v>
      </c>
      <c r="M840">
        <v>426</v>
      </c>
      <c r="N840">
        <v>366</v>
      </c>
      <c r="O840">
        <v>8</v>
      </c>
      <c r="P840">
        <v>367</v>
      </c>
      <c r="Q840">
        <v>17</v>
      </c>
      <c r="R840">
        <v>78</v>
      </c>
      <c r="S840">
        <v>6</v>
      </c>
      <c r="T840">
        <v>5</v>
      </c>
      <c r="U840">
        <v>8</v>
      </c>
      <c r="V840">
        <v>6</v>
      </c>
      <c r="W840">
        <v>0</v>
      </c>
      <c r="X840">
        <v>198</v>
      </c>
      <c r="Y840">
        <v>25</v>
      </c>
      <c r="Z840">
        <v>3</v>
      </c>
      <c r="AA840">
        <v>1</v>
      </c>
      <c r="AB840">
        <v>8</v>
      </c>
      <c r="AK840">
        <v>3</v>
      </c>
      <c r="AO840">
        <v>2</v>
      </c>
      <c r="AP840">
        <v>0</v>
      </c>
      <c r="AR840">
        <v>0</v>
      </c>
      <c r="AU840">
        <v>0</v>
      </c>
      <c r="AW840">
        <v>0</v>
      </c>
      <c r="AX840">
        <v>7</v>
      </c>
      <c r="AY840">
        <v>367</v>
      </c>
      <c r="AZ840">
        <v>367</v>
      </c>
      <c r="BA840">
        <v>748</v>
      </c>
      <c r="BB840">
        <v>44</v>
      </c>
      <c r="BD840">
        <v>1</v>
      </c>
      <c r="BF840" t="s">
        <v>964</v>
      </c>
      <c r="BG840" s="1">
        <v>44354.018750000003</v>
      </c>
      <c r="BH840" s="1">
        <v>44354.027731481481</v>
      </c>
      <c r="BI840" s="1">
        <v>44354.028402777774</v>
      </c>
      <c r="BJ840" t="s">
        <v>85</v>
      </c>
      <c r="BK840" t="s">
        <v>86</v>
      </c>
      <c r="BL840" t="s">
        <v>87</v>
      </c>
    </row>
    <row r="841" spans="1:64" x14ac:dyDescent="0.3">
      <c r="A841" t="str">
        <f>"200472C0300"</f>
        <v>200472C0300</v>
      </c>
      <c r="B841" t="str">
        <f>"200472C03003"</f>
        <v>200472C03003</v>
      </c>
      <c r="C841" t="str">
        <f t="shared" si="55"/>
        <v>20</v>
      </c>
      <c r="D841" t="s">
        <v>81</v>
      </c>
      <c r="E841" t="str">
        <f t="shared" si="53"/>
        <v>066</v>
      </c>
      <c r="F841" t="s">
        <v>951</v>
      </c>
      <c r="G841" t="str">
        <f>"0472"</f>
        <v>0472</v>
      </c>
      <c r="H841" t="str">
        <f>"0003"</f>
        <v>0003</v>
      </c>
      <c r="I841" t="s">
        <v>89</v>
      </c>
      <c r="J841">
        <v>0</v>
      </c>
      <c r="K841">
        <v>1</v>
      </c>
      <c r="L841">
        <v>3</v>
      </c>
      <c r="M841">
        <v>391</v>
      </c>
      <c r="N841">
        <v>400</v>
      </c>
      <c r="O841">
        <v>8</v>
      </c>
      <c r="P841">
        <v>400</v>
      </c>
      <c r="Q841">
        <v>8</v>
      </c>
      <c r="R841">
        <v>85</v>
      </c>
      <c r="S841">
        <v>11</v>
      </c>
      <c r="T841">
        <v>9</v>
      </c>
      <c r="U841">
        <v>16</v>
      </c>
      <c r="V841">
        <v>3</v>
      </c>
      <c r="W841">
        <v>2</v>
      </c>
      <c r="X841">
        <v>204</v>
      </c>
      <c r="Y841">
        <v>32</v>
      </c>
      <c r="Z841">
        <v>6</v>
      </c>
      <c r="AA841">
        <v>3</v>
      </c>
      <c r="AB841">
        <v>8</v>
      </c>
      <c r="AK841">
        <v>1</v>
      </c>
      <c r="AO841">
        <v>0</v>
      </c>
      <c r="AP841">
        <v>0</v>
      </c>
      <c r="AR841">
        <v>0</v>
      </c>
      <c r="AU841">
        <v>0</v>
      </c>
      <c r="AW841">
        <v>0</v>
      </c>
      <c r="AX841">
        <v>12</v>
      </c>
      <c r="AY841">
        <v>400</v>
      </c>
      <c r="AZ841">
        <v>400</v>
      </c>
      <c r="BA841">
        <v>747</v>
      </c>
      <c r="BB841">
        <v>44</v>
      </c>
      <c r="BD841">
        <v>1</v>
      </c>
      <c r="BF841" t="s">
        <v>965</v>
      </c>
      <c r="BG841" s="1">
        <v>44354.044444444444</v>
      </c>
      <c r="BH841" s="1">
        <v>44354.066620370373</v>
      </c>
      <c r="BI841" s="1">
        <v>44354.067349537036</v>
      </c>
      <c r="BJ841" t="s">
        <v>85</v>
      </c>
      <c r="BK841" t="s">
        <v>86</v>
      </c>
      <c r="BL841" t="s">
        <v>87</v>
      </c>
    </row>
    <row r="842" spans="1:64" x14ac:dyDescent="0.3">
      <c r="A842" t="str">
        <f>"200473B0000"</f>
        <v>200473B0000</v>
      </c>
      <c r="B842" t="str">
        <f>"200473B00003"</f>
        <v>200473B00003</v>
      </c>
      <c r="C842" t="str">
        <f t="shared" si="55"/>
        <v>20</v>
      </c>
      <c r="D842" t="s">
        <v>81</v>
      </c>
      <c r="E842" t="str">
        <f t="shared" si="53"/>
        <v>066</v>
      </c>
      <c r="F842" t="s">
        <v>951</v>
      </c>
      <c r="G842" t="str">
        <f>"0473"</f>
        <v>0473</v>
      </c>
      <c r="H842" t="str">
        <f>"0000"</f>
        <v>0000</v>
      </c>
      <c r="I842" t="s">
        <v>83</v>
      </c>
      <c r="J842">
        <v>0</v>
      </c>
      <c r="K842">
        <v>1</v>
      </c>
      <c r="L842">
        <v>3</v>
      </c>
      <c r="M842">
        <v>331</v>
      </c>
      <c r="N842">
        <v>310</v>
      </c>
      <c r="O842">
        <v>6</v>
      </c>
      <c r="P842">
        <v>310</v>
      </c>
      <c r="Q842">
        <v>12</v>
      </c>
      <c r="R842">
        <v>70</v>
      </c>
      <c r="S842">
        <v>1</v>
      </c>
      <c r="T842">
        <v>5</v>
      </c>
      <c r="U842">
        <v>7</v>
      </c>
      <c r="V842">
        <v>12</v>
      </c>
      <c r="W842">
        <v>3</v>
      </c>
      <c r="X842">
        <v>180</v>
      </c>
      <c r="Y842">
        <v>5</v>
      </c>
      <c r="Z842">
        <v>2</v>
      </c>
      <c r="AA842" t="s">
        <v>95</v>
      </c>
      <c r="AB842">
        <v>6</v>
      </c>
      <c r="AK842">
        <v>2</v>
      </c>
      <c r="AO842" t="s">
        <v>95</v>
      </c>
      <c r="AP842" t="s">
        <v>95</v>
      </c>
      <c r="AR842" t="s">
        <v>95</v>
      </c>
      <c r="AU842" t="s">
        <v>95</v>
      </c>
      <c r="AW842" t="s">
        <v>95</v>
      </c>
      <c r="AX842">
        <v>5</v>
      </c>
      <c r="AY842">
        <v>310</v>
      </c>
      <c r="AZ842">
        <v>310</v>
      </c>
      <c r="BA842">
        <v>597</v>
      </c>
      <c r="BB842">
        <v>44</v>
      </c>
      <c r="BC842" t="s">
        <v>96</v>
      </c>
      <c r="BD842">
        <v>1</v>
      </c>
      <c r="BF842" t="s">
        <v>966</v>
      </c>
      <c r="BG842" s="1">
        <v>44353.943055555559</v>
      </c>
      <c r="BH842" s="1">
        <v>44353.946782407409</v>
      </c>
      <c r="BI842" s="1">
        <v>44353.947187500002</v>
      </c>
      <c r="BJ842" t="s">
        <v>85</v>
      </c>
      <c r="BK842" t="s">
        <v>86</v>
      </c>
      <c r="BL842" t="s">
        <v>87</v>
      </c>
    </row>
    <row r="843" spans="1:64" x14ac:dyDescent="0.3">
      <c r="A843" t="str">
        <f>"200473C0100"</f>
        <v>200473C0100</v>
      </c>
      <c r="B843" t="str">
        <f>"200473C01003"</f>
        <v>200473C01003</v>
      </c>
      <c r="C843" t="str">
        <f t="shared" si="55"/>
        <v>20</v>
      </c>
      <c r="D843" t="s">
        <v>81</v>
      </c>
      <c r="E843" t="str">
        <f t="shared" si="53"/>
        <v>066</v>
      </c>
      <c r="F843" t="s">
        <v>951</v>
      </c>
      <c r="G843" t="str">
        <f>"0473"</f>
        <v>0473</v>
      </c>
      <c r="H843" t="str">
        <f>"0001"</f>
        <v>0001</v>
      </c>
      <c r="I843" t="s">
        <v>89</v>
      </c>
      <c r="J843">
        <v>0</v>
      </c>
      <c r="K843">
        <v>1</v>
      </c>
      <c r="L843">
        <v>3</v>
      </c>
      <c r="M843">
        <v>359</v>
      </c>
      <c r="N843">
        <v>282</v>
      </c>
      <c r="O843">
        <v>7</v>
      </c>
      <c r="P843">
        <v>282</v>
      </c>
      <c r="Q843">
        <v>10</v>
      </c>
      <c r="R843">
        <v>53</v>
      </c>
      <c r="S843">
        <v>3</v>
      </c>
      <c r="T843">
        <v>4</v>
      </c>
      <c r="U843">
        <v>6</v>
      </c>
      <c r="V843">
        <v>9</v>
      </c>
      <c r="W843">
        <v>2</v>
      </c>
      <c r="X843">
        <v>150</v>
      </c>
      <c r="Y843">
        <v>11</v>
      </c>
      <c r="Z843">
        <v>5</v>
      </c>
      <c r="AA843">
        <v>1</v>
      </c>
      <c r="AB843">
        <v>17</v>
      </c>
      <c r="AK843">
        <v>1</v>
      </c>
      <c r="AO843" t="s">
        <v>95</v>
      </c>
      <c r="AP843" t="s">
        <v>95</v>
      </c>
      <c r="AR843" t="s">
        <v>95</v>
      </c>
      <c r="AU843" t="s">
        <v>95</v>
      </c>
      <c r="AW843" t="s">
        <v>95</v>
      </c>
      <c r="AX843">
        <v>10</v>
      </c>
      <c r="AY843">
        <v>282</v>
      </c>
      <c r="AZ843">
        <v>282</v>
      </c>
      <c r="BA843">
        <v>597</v>
      </c>
      <c r="BB843">
        <v>44</v>
      </c>
      <c r="BC843" t="s">
        <v>96</v>
      </c>
      <c r="BD843">
        <v>1</v>
      </c>
      <c r="BF843" t="s">
        <v>967</v>
      </c>
      <c r="BG843" s="1">
        <v>44353.943055555559</v>
      </c>
      <c r="BH843" s="1">
        <v>44353.949374999997</v>
      </c>
      <c r="BI843" s="1">
        <v>44353.950231481482</v>
      </c>
      <c r="BJ843" t="s">
        <v>85</v>
      </c>
      <c r="BK843" t="s">
        <v>86</v>
      </c>
      <c r="BL843" t="s">
        <v>87</v>
      </c>
    </row>
    <row r="844" spans="1:64" x14ac:dyDescent="0.3">
      <c r="A844" t="str">
        <f>"200473C0200"</f>
        <v>200473C0200</v>
      </c>
      <c r="B844" t="str">
        <f>"200473C02003"</f>
        <v>200473C02003</v>
      </c>
      <c r="C844" t="str">
        <f t="shared" si="55"/>
        <v>20</v>
      </c>
      <c r="D844" t="s">
        <v>81</v>
      </c>
      <c r="E844" t="str">
        <f t="shared" si="53"/>
        <v>066</v>
      </c>
      <c r="F844" t="s">
        <v>951</v>
      </c>
      <c r="G844" t="str">
        <f>"0473"</f>
        <v>0473</v>
      </c>
      <c r="H844" t="str">
        <f>"0002"</f>
        <v>0002</v>
      </c>
      <c r="I844" t="s">
        <v>89</v>
      </c>
      <c r="J844">
        <v>0</v>
      </c>
      <c r="K844">
        <v>1</v>
      </c>
      <c r="L844">
        <v>3</v>
      </c>
      <c r="M844">
        <v>338</v>
      </c>
      <c r="N844">
        <v>303</v>
      </c>
      <c r="O844">
        <v>4</v>
      </c>
      <c r="P844">
        <v>303</v>
      </c>
      <c r="Q844">
        <v>12</v>
      </c>
      <c r="R844">
        <v>57</v>
      </c>
      <c r="S844">
        <v>2</v>
      </c>
      <c r="T844">
        <v>3</v>
      </c>
      <c r="U844">
        <v>6</v>
      </c>
      <c r="V844">
        <v>7</v>
      </c>
      <c r="W844">
        <v>1</v>
      </c>
      <c r="X844">
        <v>186</v>
      </c>
      <c r="Y844">
        <v>5</v>
      </c>
      <c r="Z844">
        <v>4</v>
      </c>
      <c r="AA844">
        <v>1</v>
      </c>
      <c r="AB844">
        <v>8</v>
      </c>
      <c r="AK844">
        <v>2</v>
      </c>
      <c r="AO844">
        <v>1</v>
      </c>
      <c r="AP844">
        <v>0</v>
      </c>
      <c r="AR844">
        <v>0</v>
      </c>
      <c r="AU844">
        <v>0</v>
      </c>
      <c r="AW844">
        <v>0</v>
      </c>
      <c r="AX844">
        <v>8</v>
      </c>
      <c r="AY844">
        <v>303</v>
      </c>
      <c r="AZ844">
        <v>303</v>
      </c>
      <c r="BA844">
        <v>597</v>
      </c>
      <c r="BB844">
        <v>44</v>
      </c>
      <c r="BD844">
        <v>1</v>
      </c>
      <c r="BF844" t="s">
        <v>968</v>
      </c>
      <c r="BG844" s="1">
        <v>44353.943055555559</v>
      </c>
      <c r="BH844" s="1">
        <v>44353.946585648147</v>
      </c>
      <c r="BI844" s="1">
        <v>44353.947118055556</v>
      </c>
      <c r="BJ844" t="s">
        <v>85</v>
      </c>
      <c r="BK844" t="s">
        <v>86</v>
      </c>
      <c r="BL844" t="s">
        <v>87</v>
      </c>
    </row>
    <row r="845" spans="1:64" x14ac:dyDescent="0.3">
      <c r="A845" t="str">
        <f>"200474B0000"</f>
        <v>200474B0000</v>
      </c>
      <c r="B845" t="str">
        <f>"200474B00003"</f>
        <v>200474B00003</v>
      </c>
      <c r="C845" t="str">
        <f t="shared" si="55"/>
        <v>20</v>
      </c>
      <c r="D845" t="s">
        <v>81</v>
      </c>
      <c r="E845" t="str">
        <f t="shared" si="53"/>
        <v>066</v>
      </c>
      <c r="F845" t="s">
        <v>951</v>
      </c>
      <c r="G845" t="str">
        <f>"0474"</f>
        <v>0474</v>
      </c>
      <c r="H845" t="str">
        <f>"0000"</f>
        <v>0000</v>
      </c>
      <c r="I845" t="s">
        <v>83</v>
      </c>
      <c r="J845">
        <v>0</v>
      </c>
      <c r="K845">
        <v>1</v>
      </c>
      <c r="L845">
        <v>3</v>
      </c>
      <c r="M845">
        <v>329</v>
      </c>
      <c r="N845">
        <v>332</v>
      </c>
      <c r="O845">
        <v>0</v>
      </c>
      <c r="P845">
        <v>332</v>
      </c>
      <c r="Q845">
        <v>13</v>
      </c>
      <c r="R845">
        <v>76</v>
      </c>
      <c r="S845">
        <v>4</v>
      </c>
      <c r="T845">
        <v>5</v>
      </c>
      <c r="U845">
        <v>7</v>
      </c>
      <c r="V845">
        <v>14</v>
      </c>
      <c r="W845">
        <v>1</v>
      </c>
      <c r="X845">
        <v>180</v>
      </c>
      <c r="Y845">
        <v>6</v>
      </c>
      <c r="Z845">
        <v>8</v>
      </c>
      <c r="AA845">
        <v>2</v>
      </c>
      <c r="AB845">
        <v>5</v>
      </c>
      <c r="AK845">
        <v>0</v>
      </c>
      <c r="AO845">
        <v>1</v>
      </c>
      <c r="AP845">
        <v>0</v>
      </c>
      <c r="AR845">
        <v>0</v>
      </c>
      <c r="AU845">
        <v>0</v>
      </c>
      <c r="AW845" t="s">
        <v>95</v>
      </c>
      <c r="AX845">
        <v>9</v>
      </c>
      <c r="AY845">
        <v>332</v>
      </c>
      <c r="AZ845">
        <v>331</v>
      </c>
      <c r="BA845">
        <v>617</v>
      </c>
      <c r="BB845">
        <v>44</v>
      </c>
      <c r="BC845" t="s">
        <v>96</v>
      </c>
      <c r="BD845">
        <v>1</v>
      </c>
      <c r="BF845" t="s">
        <v>969</v>
      </c>
      <c r="BG845" s="1">
        <v>44353.970833333333</v>
      </c>
      <c r="BH845" s="1">
        <v>44353.974629629629</v>
      </c>
      <c r="BI845" s="1">
        <v>44353.975312499999</v>
      </c>
      <c r="BJ845" t="s">
        <v>85</v>
      </c>
      <c r="BK845" t="s">
        <v>86</v>
      </c>
      <c r="BL845" t="s">
        <v>87</v>
      </c>
    </row>
    <row r="846" spans="1:64" x14ac:dyDescent="0.3">
      <c r="A846" t="str">
        <f>"200474C0100"</f>
        <v>200474C0100</v>
      </c>
      <c r="B846" t="str">
        <f>"200474C01003"</f>
        <v>200474C01003</v>
      </c>
      <c r="C846" t="str">
        <f t="shared" si="55"/>
        <v>20</v>
      </c>
      <c r="D846" t="s">
        <v>81</v>
      </c>
      <c r="E846" t="str">
        <f t="shared" si="53"/>
        <v>066</v>
      </c>
      <c r="F846" t="s">
        <v>951</v>
      </c>
      <c r="G846" t="str">
        <f>"0474"</f>
        <v>0474</v>
      </c>
      <c r="H846" t="str">
        <f>"0001"</f>
        <v>0001</v>
      </c>
      <c r="I846" t="s">
        <v>89</v>
      </c>
      <c r="J846">
        <v>0</v>
      </c>
      <c r="K846">
        <v>1</v>
      </c>
      <c r="L846">
        <v>3</v>
      </c>
      <c r="M846">
        <v>372</v>
      </c>
      <c r="N846">
        <v>289</v>
      </c>
      <c r="O846">
        <v>2</v>
      </c>
      <c r="P846">
        <v>289</v>
      </c>
      <c r="Q846">
        <v>17</v>
      </c>
      <c r="R846">
        <v>54</v>
      </c>
      <c r="S846">
        <v>3</v>
      </c>
      <c r="T846">
        <v>4</v>
      </c>
      <c r="U846">
        <v>8</v>
      </c>
      <c r="V846">
        <v>17</v>
      </c>
      <c r="W846">
        <v>0</v>
      </c>
      <c r="X846">
        <v>159</v>
      </c>
      <c r="Y846">
        <v>5</v>
      </c>
      <c r="Z846">
        <v>9</v>
      </c>
      <c r="AA846">
        <v>3</v>
      </c>
      <c r="AB846">
        <v>4</v>
      </c>
      <c r="AK846">
        <v>0</v>
      </c>
      <c r="AO846">
        <v>0</v>
      </c>
      <c r="AP846">
        <v>0</v>
      </c>
      <c r="AR846">
        <v>1</v>
      </c>
      <c r="AU846">
        <v>0</v>
      </c>
      <c r="AW846">
        <v>0</v>
      </c>
      <c r="AX846">
        <v>5</v>
      </c>
      <c r="AY846">
        <v>289</v>
      </c>
      <c r="AZ846">
        <v>289</v>
      </c>
      <c r="BA846">
        <v>617</v>
      </c>
      <c r="BB846">
        <v>44</v>
      </c>
      <c r="BD846">
        <v>1</v>
      </c>
      <c r="BF846" t="s">
        <v>970</v>
      </c>
      <c r="BG846" s="1">
        <v>44353.964583333334</v>
      </c>
      <c r="BH846" s="1">
        <v>44353.967106481483</v>
      </c>
      <c r="BI846" s="1">
        <v>44353.967638888891</v>
      </c>
      <c r="BJ846" t="s">
        <v>85</v>
      </c>
      <c r="BK846" t="s">
        <v>86</v>
      </c>
      <c r="BL846" t="s">
        <v>87</v>
      </c>
    </row>
    <row r="847" spans="1:64" x14ac:dyDescent="0.3">
      <c r="A847" t="str">
        <f>"200474C0200"</f>
        <v>200474C0200</v>
      </c>
      <c r="B847" t="str">
        <f>"200474C02003"</f>
        <v>200474C02003</v>
      </c>
      <c r="C847" t="str">
        <f t="shared" si="55"/>
        <v>20</v>
      </c>
      <c r="D847" t="s">
        <v>81</v>
      </c>
      <c r="E847" t="str">
        <f t="shared" si="53"/>
        <v>066</v>
      </c>
      <c r="F847" t="s">
        <v>951</v>
      </c>
      <c r="G847" t="str">
        <f>"0474"</f>
        <v>0474</v>
      </c>
      <c r="H847" t="str">
        <f>"0002"</f>
        <v>0002</v>
      </c>
      <c r="I847" t="s">
        <v>89</v>
      </c>
      <c r="J847">
        <v>0</v>
      </c>
      <c r="K847">
        <v>1</v>
      </c>
      <c r="L847">
        <v>3</v>
      </c>
      <c r="M847">
        <v>339</v>
      </c>
      <c r="N847">
        <v>322</v>
      </c>
      <c r="O847">
        <v>4</v>
      </c>
      <c r="P847">
        <v>322</v>
      </c>
      <c r="Q847">
        <v>14</v>
      </c>
      <c r="R847">
        <v>50</v>
      </c>
      <c r="S847">
        <v>4</v>
      </c>
      <c r="T847">
        <v>7</v>
      </c>
      <c r="U847">
        <v>6</v>
      </c>
      <c r="V847">
        <v>14</v>
      </c>
      <c r="W847">
        <v>2</v>
      </c>
      <c r="X847">
        <v>190</v>
      </c>
      <c r="Y847">
        <v>4</v>
      </c>
      <c r="Z847">
        <v>4</v>
      </c>
      <c r="AA847">
        <v>3</v>
      </c>
      <c r="AB847">
        <v>10</v>
      </c>
      <c r="AK847">
        <v>3</v>
      </c>
      <c r="AO847">
        <v>1</v>
      </c>
      <c r="AP847">
        <v>0</v>
      </c>
      <c r="AR847">
        <v>1</v>
      </c>
      <c r="AU847">
        <v>0</v>
      </c>
      <c r="AW847">
        <v>0</v>
      </c>
      <c r="AX847">
        <v>9</v>
      </c>
      <c r="AY847">
        <v>322</v>
      </c>
      <c r="AZ847">
        <v>322</v>
      </c>
      <c r="BA847">
        <v>617</v>
      </c>
      <c r="BB847">
        <v>44</v>
      </c>
      <c r="BD847">
        <v>1</v>
      </c>
      <c r="BF847" t="s">
        <v>971</v>
      </c>
      <c r="BG847" s="1">
        <v>44353.961111111108</v>
      </c>
      <c r="BH847" s="1">
        <v>44353.96329861111</v>
      </c>
      <c r="BI847" s="1">
        <v>44353.963877314818</v>
      </c>
      <c r="BJ847" t="s">
        <v>85</v>
      </c>
      <c r="BK847" t="s">
        <v>86</v>
      </c>
      <c r="BL847" t="s">
        <v>87</v>
      </c>
    </row>
    <row r="848" spans="1:64" x14ac:dyDescent="0.3">
      <c r="A848" t="str">
        <f>"200475B0000"</f>
        <v>200475B0000</v>
      </c>
      <c r="B848" t="str">
        <f>"200475B00003"</f>
        <v>200475B00003</v>
      </c>
      <c r="C848" t="str">
        <f t="shared" si="55"/>
        <v>20</v>
      </c>
      <c r="D848" t="s">
        <v>81</v>
      </c>
      <c r="E848" t="str">
        <f t="shared" si="53"/>
        <v>066</v>
      </c>
      <c r="F848" t="s">
        <v>951</v>
      </c>
      <c r="G848" t="str">
        <f>"0475"</f>
        <v>0475</v>
      </c>
      <c r="H848" t="str">
        <f>"0000"</f>
        <v>0000</v>
      </c>
      <c r="I848" t="s">
        <v>83</v>
      </c>
      <c r="J848">
        <v>0</v>
      </c>
      <c r="K848">
        <v>1</v>
      </c>
      <c r="L848">
        <v>3</v>
      </c>
      <c r="M848">
        <v>352</v>
      </c>
      <c r="N848">
        <v>317</v>
      </c>
      <c r="O848">
        <v>0</v>
      </c>
      <c r="P848">
        <v>317</v>
      </c>
      <c r="Q848">
        <v>7</v>
      </c>
      <c r="R848">
        <v>77</v>
      </c>
      <c r="S848">
        <v>3</v>
      </c>
      <c r="T848">
        <v>8</v>
      </c>
      <c r="U848">
        <v>5</v>
      </c>
      <c r="V848">
        <v>7</v>
      </c>
      <c r="W848">
        <v>1</v>
      </c>
      <c r="X848">
        <v>180</v>
      </c>
      <c r="Y848">
        <v>3</v>
      </c>
      <c r="Z848">
        <v>5</v>
      </c>
      <c r="AA848">
        <v>3</v>
      </c>
      <c r="AB848">
        <v>9</v>
      </c>
      <c r="AK848">
        <v>1</v>
      </c>
      <c r="AO848">
        <v>3</v>
      </c>
      <c r="AP848">
        <v>0</v>
      </c>
      <c r="AR848">
        <v>0</v>
      </c>
      <c r="AU848">
        <v>0</v>
      </c>
      <c r="AW848">
        <v>0</v>
      </c>
      <c r="AX848">
        <v>5</v>
      </c>
      <c r="AY848">
        <v>317</v>
      </c>
      <c r="AZ848">
        <v>317</v>
      </c>
      <c r="BA848">
        <v>625</v>
      </c>
      <c r="BB848">
        <v>44</v>
      </c>
      <c r="BD848">
        <v>1</v>
      </c>
      <c r="BF848" t="s">
        <v>972</v>
      </c>
      <c r="BG848" s="1">
        <v>44353.940972222219</v>
      </c>
      <c r="BH848" s="1">
        <v>44353.946851851855</v>
      </c>
      <c r="BI848" s="1">
        <v>44353.947800925926</v>
      </c>
      <c r="BJ848" t="s">
        <v>85</v>
      </c>
      <c r="BK848" t="s">
        <v>86</v>
      </c>
      <c r="BL848" t="s">
        <v>87</v>
      </c>
    </row>
    <row r="849" spans="1:64" x14ac:dyDescent="0.3">
      <c r="A849" t="str">
        <f>"200475C0100"</f>
        <v>200475C0100</v>
      </c>
      <c r="B849" t="str">
        <f>"200475C01003"</f>
        <v>200475C01003</v>
      </c>
      <c r="C849" t="str">
        <f t="shared" si="55"/>
        <v>20</v>
      </c>
      <c r="D849" t="s">
        <v>81</v>
      </c>
      <c r="E849" t="str">
        <f t="shared" si="53"/>
        <v>066</v>
      </c>
      <c r="F849" t="s">
        <v>951</v>
      </c>
      <c r="G849" t="str">
        <f>"0475"</f>
        <v>0475</v>
      </c>
      <c r="H849" t="str">
        <f>"0001"</f>
        <v>0001</v>
      </c>
      <c r="I849" t="s">
        <v>89</v>
      </c>
      <c r="J849">
        <v>0</v>
      </c>
      <c r="K849">
        <v>1</v>
      </c>
      <c r="L849">
        <v>3</v>
      </c>
      <c r="M849">
        <v>374</v>
      </c>
      <c r="N849">
        <v>295</v>
      </c>
      <c r="O849">
        <v>1</v>
      </c>
      <c r="P849">
        <v>295</v>
      </c>
      <c r="Q849">
        <v>10</v>
      </c>
      <c r="R849">
        <v>64</v>
      </c>
      <c r="S849">
        <v>0</v>
      </c>
      <c r="T849">
        <v>3</v>
      </c>
      <c r="U849">
        <v>10</v>
      </c>
      <c r="V849">
        <v>5</v>
      </c>
      <c r="W849">
        <v>0</v>
      </c>
      <c r="X849">
        <v>177</v>
      </c>
      <c r="Y849">
        <v>8</v>
      </c>
      <c r="Z849">
        <v>1</v>
      </c>
      <c r="AA849">
        <v>0</v>
      </c>
      <c r="AB849">
        <v>4</v>
      </c>
      <c r="AK849">
        <v>1</v>
      </c>
      <c r="AO849">
        <v>0</v>
      </c>
      <c r="AP849">
        <v>1</v>
      </c>
      <c r="AR849">
        <v>0</v>
      </c>
      <c r="AU849">
        <v>0</v>
      </c>
      <c r="AW849">
        <v>0</v>
      </c>
      <c r="AX849">
        <v>11</v>
      </c>
      <c r="AY849">
        <v>295</v>
      </c>
      <c r="AZ849">
        <v>295</v>
      </c>
      <c r="BA849">
        <v>625</v>
      </c>
      <c r="BB849">
        <v>44</v>
      </c>
      <c r="BD849">
        <v>1</v>
      </c>
      <c r="BF849" t="s">
        <v>973</v>
      </c>
      <c r="BG849" s="1">
        <v>44353.943055555559</v>
      </c>
      <c r="BH849" s="1">
        <v>44353.94804398148</v>
      </c>
      <c r="BI849" s="1">
        <v>44353.949340277781</v>
      </c>
      <c r="BJ849" t="s">
        <v>85</v>
      </c>
      <c r="BK849" t="s">
        <v>86</v>
      </c>
      <c r="BL849" t="s">
        <v>87</v>
      </c>
    </row>
    <row r="850" spans="1:64" x14ac:dyDescent="0.3">
      <c r="A850" t="str">
        <f>"200475C0200"</f>
        <v>200475C0200</v>
      </c>
      <c r="B850" t="str">
        <f>"200475C02003"</f>
        <v>200475C02003</v>
      </c>
      <c r="C850" t="str">
        <f t="shared" si="55"/>
        <v>20</v>
      </c>
      <c r="D850" t="s">
        <v>81</v>
      </c>
      <c r="E850" t="str">
        <f t="shared" si="53"/>
        <v>066</v>
      </c>
      <c r="F850" t="s">
        <v>951</v>
      </c>
      <c r="G850" t="str">
        <f>"0475"</f>
        <v>0475</v>
      </c>
      <c r="H850" t="str">
        <f>"0002"</f>
        <v>0002</v>
      </c>
      <c r="I850" t="s">
        <v>89</v>
      </c>
      <c r="J850">
        <v>0</v>
      </c>
      <c r="K850">
        <v>1</v>
      </c>
      <c r="L850">
        <v>3</v>
      </c>
      <c r="M850">
        <v>377</v>
      </c>
      <c r="N850">
        <v>292</v>
      </c>
      <c r="O850">
        <v>0</v>
      </c>
      <c r="P850">
        <v>292</v>
      </c>
      <c r="Q850">
        <v>5</v>
      </c>
      <c r="R850">
        <v>75</v>
      </c>
      <c r="S850">
        <v>1</v>
      </c>
      <c r="T850">
        <v>4</v>
      </c>
      <c r="U850">
        <v>1</v>
      </c>
      <c r="V850">
        <v>3</v>
      </c>
      <c r="W850">
        <v>1</v>
      </c>
      <c r="X850">
        <v>173</v>
      </c>
      <c r="Y850">
        <v>6</v>
      </c>
      <c r="Z850">
        <v>3</v>
      </c>
      <c r="AA850">
        <v>5</v>
      </c>
      <c r="AB850">
        <v>6</v>
      </c>
      <c r="AK850">
        <v>0</v>
      </c>
      <c r="AO850">
        <v>1</v>
      </c>
      <c r="AP850">
        <v>0</v>
      </c>
      <c r="AR850">
        <v>0</v>
      </c>
      <c r="AU850">
        <v>0</v>
      </c>
      <c r="AW850">
        <v>0</v>
      </c>
      <c r="AX850">
        <v>8</v>
      </c>
      <c r="AY850">
        <v>292</v>
      </c>
      <c r="AZ850">
        <v>292</v>
      </c>
      <c r="BA850">
        <v>625</v>
      </c>
      <c r="BB850">
        <v>44</v>
      </c>
      <c r="BD850">
        <v>1</v>
      </c>
      <c r="BF850" t="s">
        <v>974</v>
      </c>
      <c r="BG850" s="1">
        <v>44353.940972222219</v>
      </c>
      <c r="BH850" s="1">
        <v>44353.95175925926</v>
      </c>
      <c r="BI850" s="1">
        <v>44353.952800925923</v>
      </c>
      <c r="BJ850" t="s">
        <v>85</v>
      </c>
      <c r="BK850" t="s">
        <v>86</v>
      </c>
      <c r="BL850" t="s">
        <v>87</v>
      </c>
    </row>
    <row r="851" spans="1:64" x14ac:dyDescent="0.3">
      <c r="A851" t="str">
        <f>"200476B0000"</f>
        <v>200476B0000</v>
      </c>
      <c r="B851" t="str">
        <f>"200476B00003"</f>
        <v>200476B00003</v>
      </c>
      <c r="C851" t="str">
        <f t="shared" si="55"/>
        <v>20</v>
      </c>
      <c r="D851" t="s">
        <v>81</v>
      </c>
      <c r="E851" t="str">
        <f t="shared" si="53"/>
        <v>066</v>
      </c>
      <c r="F851" t="s">
        <v>951</v>
      </c>
      <c r="G851" t="str">
        <f>"0476"</f>
        <v>0476</v>
      </c>
      <c r="H851" t="str">
        <f>"0000"</f>
        <v>0000</v>
      </c>
      <c r="I851" t="s">
        <v>83</v>
      </c>
      <c r="J851">
        <v>0</v>
      </c>
      <c r="K851">
        <v>1</v>
      </c>
      <c r="L851">
        <v>3</v>
      </c>
      <c r="M851">
        <v>300</v>
      </c>
      <c r="N851">
        <v>341</v>
      </c>
      <c r="O851">
        <v>6</v>
      </c>
      <c r="P851">
        <v>343</v>
      </c>
      <c r="Q851">
        <v>32</v>
      </c>
      <c r="R851">
        <v>128</v>
      </c>
      <c r="S851">
        <v>2</v>
      </c>
      <c r="T851">
        <v>4</v>
      </c>
      <c r="U851">
        <v>2</v>
      </c>
      <c r="V851">
        <v>3</v>
      </c>
      <c r="W851">
        <v>1</v>
      </c>
      <c r="X851">
        <v>148</v>
      </c>
      <c r="Y851">
        <v>3</v>
      </c>
      <c r="Z851">
        <v>6</v>
      </c>
      <c r="AA851">
        <v>0</v>
      </c>
      <c r="AB851">
        <v>5</v>
      </c>
      <c r="AK851">
        <v>3</v>
      </c>
      <c r="AO851">
        <v>2</v>
      </c>
      <c r="AP851">
        <v>0</v>
      </c>
      <c r="AR851">
        <v>0</v>
      </c>
      <c r="AU851">
        <v>0</v>
      </c>
      <c r="AW851">
        <v>0</v>
      </c>
      <c r="AX851">
        <v>4</v>
      </c>
      <c r="AY851">
        <v>343</v>
      </c>
      <c r="AZ851">
        <v>343</v>
      </c>
      <c r="BA851">
        <v>597</v>
      </c>
      <c r="BB851">
        <v>44</v>
      </c>
      <c r="BD851">
        <v>1</v>
      </c>
      <c r="BF851" t="s">
        <v>975</v>
      </c>
      <c r="BG851" s="1">
        <v>44353.995833333334</v>
      </c>
      <c r="BH851" s="1">
        <v>44354.002835648149</v>
      </c>
      <c r="BI851" s="1">
        <v>44354.003344907411</v>
      </c>
      <c r="BJ851" t="s">
        <v>85</v>
      </c>
      <c r="BK851" t="s">
        <v>86</v>
      </c>
      <c r="BL851" t="s">
        <v>87</v>
      </c>
    </row>
    <row r="852" spans="1:64" x14ac:dyDescent="0.3">
      <c r="A852" t="str">
        <f>"200476C0100"</f>
        <v>200476C0100</v>
      </c>
      <c r="B852" t="str">
        <f>"200476C01003"</f>
        <v>200476C01003</v>
      </c>
      <c r="C852" t="str">
        <f t="shared" si="55"/>
        <v>20</v>
      </c>
      <c r="D852" t="s">
        <v>81</v>
      </c>
      <c r="E852" t="str">
        <f t="shared" si="53"/>
        <v>066</v>
      </c>
      <c r="F852" t="s">
        <v>951</v>
      </c>
      <c r="G852" t="str">
        <f>"0476"</f>
        <v>0476</v>
      </c>
      <c r="H852" t="str">
        <f>"0001"</f>
        <v>0001</v>
      </c>
      <c r="I852" t="s">
        <v>89</v>
      </c>
      <c r="J852">
        <v>0</v>
      </c>
      <c r="K852">
        <v>1</v>
      </c>
      <c r="L852">
        <v>3</v>
      </c>
      <c r="M852">
        <v>297</v>
      </c>
      <c r="N852">
        <v>344</v>
      </c>
      <c r="O852">
        <v>7</v>
      </c>
      <c r="P852">
        <v>343</v>
      </c>
      <c r="Q852">
        <v>32</v>
      </c>
      <c r="R852">
        <v>118</v>
      </c>
      <c r="S852">
        <v>5</v>
      </c>
      <c r="T852">
        <v>2</v>
      </c>
      <c r="U852">
        <v>3</v>
      </c>
      <c r="V852">
        <v>8</v>
      </c>
      <c r="W852">
        <v>4</v>
      </c>
      <c r="X852">
        <v>150</v>
      </c>
      <c r="Y852">
        <v>3</v>
      </c>
      <c r="Z852">
        <v>5</v>
      </c>
      <c r="AA852">
        <v>2</v>
      </c>
      <c r="AB852">
        <v>7</v>
      </c>
      <c r="AK852">
        <v>0</v>
      </c>
      <c r="AO852">
        <v>1</v>
      </c>
      <c r="AP852">
        <v>0</v>
      </c>
      <c r="AR852">
        <v>0</v>
      </c>
      <c r="AU852">
        <v>0</v>
      </c>
      <c r="AW852">
        <v>0</v>
      </c>
      <c r="AX852">
        <v>3</v>
      </c>
      <c r="AY852">
        <v>343</v>
      </c>
      <c r="AZ852">
        <v>343</v>
      </c>
      <c r="BA852">
        <v>597</v>
      </c>
      <c r="BB852">
        <v>44</v>
      </c>
      <c r="BD852">
        <v>1</v>
      </c>
      <c r="BF852" t="s">
        <v>976</v>
      </c>
      <c r="BG852" s="1">
        <v>44353.987500000003</v>
      </c>
      <c r="BH852" s="1">
        <v>44353.993391203701</v>
      </c>
      <c r="BI852" s="1">
        <v>44353.994513888887</v>
      </c>
      <c r="BJ852" t="s">
        <v>85</v>
      </c>
      <c r="BK852" t="s">
        <v>86</v>
      </c>
      <c r="BL852" t="s">
        <v>87</v>
      </c>
    </row>
    <row r="853" spans="1:64" x14ac:dyDescent="0.3">
      <c r="A853" t="str">
        <f>"200476C0200"</f>
        <v>200476C0200</v>
      </c>
      <c r="B853" t="str">
        <f>"200476C02003"</f>
        <v>200476C02003</v>
      </c>
      <c r="C853" t="str">
        <f t="shared" si="55"/>
        <v>20</v>
      </c>
      <c r="D853" t="s">
        <v>81</v>
      </c>
      <c r="E853" t="str">
        <f t="shared" si="53"/>
        <v>066</v>
      </c>
      <c r="F853" t="s">
        <v>951</v>
      </c>
      <c r="G853" t="str">
        <f>"0476"</f>
        <v>0476</v>
      </c>
      <c r="H853" t="str">
        <f>"0002"</f>
        <v>0002</v>
      </c>
      <c r="I853" t="s">
        <v>89</v>
      </c>
      <c r="J853">
        <v>0</v>
      </c>
      <c r="K853">
        <v>1</v>
      </c>
      <c r="L853">
        <v>3</v>
      </c>
      <c r="M853">
        <v>287</v>
      </c>
      <c r="N853">
        <v>354</v>
      </c>
      <c r="O853">
        <v>9</v>
      </c>
      <c r="P853">
        <v>352</v>
      </c>
      <c r="Q853">
        <v>18</v>
      </c>
      <c r="R853">
        <v>139</v>
      </c>
      <c r="S853">
        <v>0</v>
      </c>
      <c r="T853">
        <v>2</v>
      </c>
      <c r="U853">
        <v>3</v>
      </c>
      <c r="V853">
        <v>5</v>
      </c>
      <c r="W853">
        <v>2</v>
      </c>
      <c r="X853">
        <v>152</v>
      </c>
      <c r="Y853">
        <v>2</v>
      </c>
      <c r="Z853">
        <v>6</v>
      </c>
      <c r="AA853">
        <v>0</v>
      </c>
      <c r="AB853">
        <v>8</v>
      </c>
      <c r="AK853">
        <v>3</v>
      </c>
      <c r="AO853">
        <v>2</v>
      </c>
      <c r="AP853">
        <v>0</v>
      </c>
      <c r="AR853">
        <v>1</v>
      </c>
      <c r="AU853">
        <v>0</v>
      </c>
      <c r="AW853">
        <v>0</v>
      </c>
      <c r="AX853">
        <v>9</v>
      </c>
      <c r="AY853">
        <v>352</v>
      </c>
      <c r="AZ853">
        <v>352</v>
      </c>
      <c r="BA853">
        <v>596</v>
      </c>
      <c r="BB853">
        <v>44</v>
      </c>
      <c r="BD853">
        <v>1</v>
      </c>
      <c r="BF853" t="s">
        <v>977</v>
      </c>
      <c r="BG853" s="1">
        <v>44353.987500000003</v>
      </c>
      <c r="BH853" s="1">
        <v>44353.995266203703</v>
      </c>
      <c r="BI853" s="1">
        <v>44353.997094907405</v>
      </c>
      <c r="BJ853" t="s">
        <v>85</v>
      </c>
      <c r="BK853" t="s">
        <v>86</v>
      </c>
      <c r="BL853" t="s">
        <v>87</v>
      </c>
    </row>
    <row r="854" spans="1:64" x14ac:dyDescent="0.3">
      <c r="A854" t="str">
        <f>"200477B0000"</f>
        <v>200477B0000</v>
      </c>
      <c r="B854" t="str">
        <f>"200477B00003"</f>
        <v>200477B00003</v>
      </c>
      <c r="C854" t="str">
        <f t="shared" si="55"/>
        <v>20</v>
      </c>
      <c r="D854" t="s">
        <v>81</v>
      </c>
      <c r="E854" t="str">
        <f t="shared" si="53"/>
        <v>066</v>
      </c>
      <c r="F854" t="s">
        <v>951</v>
      </c>
      <c r="G854" t="str">
        <f>"0477"</f>
        <v>0477</v>
      </c>
      <c r="H854" t="str">
        <f>"0000"</f>
        <v>0000</v>
      </c>
      <c r="I854" t="s">
        <v>83</v>
      </c>
      <c r="J854">
        <v>0</v>
      </c>
      <c r="K854">
        <v>1</v>
      </c>
      <c r="L854">
        <v>3</v>
      </c>
      <c r="M854">
        <v>320</v>
      </c>
      <c r="N854">
        <v>291</v>
      </c>
      <c r="O854">
        <v>8</v>
      </c>
      <c r="P854">
        <v>291</v>
      </c>
      <c r="Q854">
        <v>11</v>
      </c>
      <c r="R854">
        <v>103</v>
      </c>
      <c r="S854">
        <v>3</v>
      </c>
      <c r="T854">
        <v>5</v>
      </c>
      <c r="U854">
        <v>13</v>
      </c>
      <c r="V854">
        <v>5</v>
      </c>
      <c r="W854">
        <v>1</v>
      </c>
      <c r="X854">
        <v>121</v>
      </c>
      <c r="Y854">
        <v>3</v>
      </c>
      <c r="Z854">
        <v>6</v>
      </c>
      <c r="AA854">
        <v>2</v>
      </c>
      <c r="AB854">
        <v>10</v>
      </c>
      <c r="AK854">
        <v>0</v>
      </c>
      <c r="AO854">
        <v>0</v>
      </c>
      <c r="AP854">
        <v>0</v>
      </c>
      <c r="AR854">
        <v>0</v>
      </c>
      <c r="AU854">
        <v>0</v>
      </c>
      <c r="AW854">
        <v>0</v>
      </c>
      <c r="AX854">
        <v>8</v>
      </c>
      <c r="AY854">
        <v>291</v>
      </c>
      <c r="AZ854">
        <v>291</v>
      </c>
      <c r="BA854">
        <v>567</v>
      </c>
      <c r="BB854">
        <v>44</v>
      </c>
      <c r="BD854">
        <v>1</v>
      </c>
      <c r="BF854" t="s">
        <v>978</v>
      </c>
      <c r="BG854" s="1">
        <v>44354.043749999997</v>
      </c>
      <c r="BH854" s="1">
        <v>44354.052210648151</v>
      </c>
      <c r="BI854" s="1">
        <v>44354.052743055552</v>
      </c>
      <c r="BJ854" t="s">
        <v>85</v>
      </c>
      <c r="BK854" t="s">
        <v>86</v>
      </c>
      <c r="BL854" t="s">
        <v>87</v>
      </c>
    </row>
    <row r="855" spans="1:64" x14ac:dyDescent="0.3">
      <c r="A855" t="str">
        <f>"200477C0100"</f>
        <v>200477C0100</v>
      </c>
      <c r="B855" t="str">
        <f>"200477C01003"</f>
        <v>200477C01003</v>
      </c>
      <c r="C855" t="str">
        <f t="shared" si="55"/>
        <v>20</v>
      </c>
      <c r="D855" t="s">
        <v>81</v>
      </c>
      <c r="E855" t="str">
        <f t="shared" si="53"/>
        <v>066</v>
      </c>
      <c r="F855" t="s">
        <v>951</v>
      </c>
      <c r="G855" t="str">
        <f>"0477"</f>
        <v>0477</v>
      </c>
      <c r="H855" t="str">
        <f>"0001"</f>
        <v>0001</v>
      </c>
      <c r="I855" t="s">
        <v>89</v>
      </c>
      <c r="J855">
        <v>0</v>
      </c>
      <c r="K855">
        <v>1</v>
      </c>
      <c r="L855">
        <v>3</v>
      </c>
      <c r="M855">
        <v>350</v>
      </c>
      <c r="N855">
        <v>259</v>
      </c>
      <c r="O855">
        <v>1</v>
      </c>
      <c r="P855">
        <v>259</v>
      </c>
      <c r="Q855">
        <v>8</v>
      </c>
      <c r="R855">
        <v>107</v>
      </c>
      <c r="S855">
        <v>0</v>
      </c>
      <c r="T855">
        <v>4</v>
      </c>
      <c r="U855">
        <v>7</v>
      </c>
      <c r="V855">
        <v>2</v>
      </c>
      <c r="W855">
        <v>0</v>
      </c>
      <c r="X855">
        <v>99</v>
      </c>
      <c r="Y855">
        <v>3</v>
      </c>
      <c r="Z855">
        <v>10</v>
      </c>
      <c r="AA855">
        <v>2</v>
      </c>
      <c r="AB855">
        <v>4</v>
      </c>
      <c r="AK855">
        <v>3</v>
      </c>
      <c r="AO855">
        <v>1</v>
      </c>
      <c r="AP855">
        <v>0</v>
      </c>
      <c r="AR855">
        <v>0</v>
      </c>
      <c r="AU855">
        <v>0</v>
      </c>
      <c r="AW855">
        <v>0</v>
      </c>
      <c r="AX855">
        <v>9</v>
      </c>
      <c r="AY855">
        <v>259</v>
      </c>
      <c r="AZ855">
        <v>259</v>
      </c>
      <c r="BA855">
        <v>566</v>
      </c>
      <c r="BB855">
        <v>44</v>
      </c>
      <c r="BD855">
        <v>1</v>
      </c>
      <c r="BF855" t="s">
        <v>979</v>
      </c>
      <c r="BG855" s="1">
        <v>44354.043749999997</v>
      </c>
      <c r="BH855" s="1">
        <v>44354.052199074074</v>
      </c>
      <c r="BI855" s="1">
        <v>44354.052847222221</v>
      </c>
      <c r="BJ855" t="s">
        <v>85</v>
      </c>
      <c r="BK855" t="s">
        <v>86</v>
      </c>
      <c r="BL855" t="s">
        <v>87</v>
      </c>
    </row>
    <row r="856" spans="1:64" x14ac:dyDescent="0.3">
      <c r="A856" t="str">
        <f>"200477C0200"</f>
        <v>200477C0200</v>
      </c>
      <c r="B856" t="str">
        <f>"200477C02003"</f>
        <v>200477C02003</v>
      </c>
      <c r="C856" t="str">
        <f t="shared" si="55"/>
        <v>20</v>
      </c>
      <c r="D856" t="s">
        <v>81</v>
      </c>
      <c r="E856" t="str">
        <f t="shared" si="53"/>
        <v>066</v>
      </c>
      <c r="F856" t="s">
        <v>951</v>
      </c>
      <c r="G856" t="str">
        <f>"0477"</f>
        <v>0477</v>
      </c>
      <c r="H856" t="str">
        <f>"0002"</f>
        <v>0002</v>
      </c>
      <c r="I856" t="s">
        <v>89</v>
      </c>
      <c r="J856">
        <v>0</v>
      </c>
      <c r="K856">
        <v>1</v>
      </c>
      <c r="L856">
        <v>3</v>
      </c>
      <c r="M856">
        <v>348</v>
      </c>
      <c r="N856">
        <v>262</v>
      </c>
      <c r="O856">
        <v>0</v>
      </c>
      <c r="P856">
        <v>262</v>
      </c>
      <c r="Q856">
        <v>8</v>
      </c>
      <c r="R856">
        <v>85</v>
      </c>
      <c r="S856">
        <v>3</v>
      </c>
      <c r="T856">
        <v>15</v>
      </c>
      <c r="U856">
        <v>7</v>
      </c>
      <c r="V856">
        <v>3</v>
      </c>
      <c r="W856">
        <v>0</v>
      </c>
      <c r="X856">
        <v>112</v>
      </c>
      <c r="Y856">
        <v>4</v>
      </c>
      <c r="Z856">
        <v>1</v>
      </c>
      <c r="AA856">
        <v>2</v>
      </c>
      <c r="AB856">
        <v>4</v>
      </c>
      <c r="AK856">
        <v>3</v>
      </c>
      <c r="AO856">
        <v>0</v>
      </c>
      <c r="AP856">
        <v>0</v>
      </c>
      <c r="AR856">
        <v>0</v>
      </c>
      <c r="AU856">
        <v>0</v>
      </c>
      <c r="AW856">
        <v>0</v>
      </c>
      <c r="AX856">
        <v>15</v>
      </c>
      <c r="AY856">
        <v>262</v>
      </c>
      <c r="AZ856">
        <v>262</v>
      </c>
      <c r="BA856">
        <v>566</v>
      </c>
      <c r="BB856">
        <v>44</v>
      </c>
      <c r="BD856">
        <v>1</v>
      </c>
      <c r="BF856" t="s">
        <v>980</v>
      </c>
      <c r="BG856" s="1">
        <v>44354.036805555559</v>
      </c>
      <c r="BH856" s="1">
        <v>44354.046319444446</v>
      </c>
      <c r="BI856" s="1">
        <v>44354.047395833331</v>
      </c>
      <c r="BJ856" t="s">
        <v>85</v>
      </c>
      <c r="BK856" t="s">
        <v>86</v>
      </c>
      <c r="BL856" t="s">
        <v>87</v>
      </c>
    </row>
    <row r="857" spans="1:64" x14ac:dyDescent="0.3">
      <c r="A857" t="str">
        <f>"200477C0300"</f>
        <v>200477C0300</v>
      </c>
      <c r="B857" t="str">
        <f>"200477C03003"</f>
        <v>200477C03003</v>
      </c>
      <c r="C857" t="str">
        <f t="shared" si="55"/>
        <v>20</v>
      </c>
      <c r="D857" t="s">
        <v>81</v>
      </c>
      <c r="E857" t="str">
        <f t="shared" si="53"/>
        <v>066</v>
      </c>
      <c r="F857" t="s">
        <v>951</v>
      </c>
      <c r="G857" t="str">
        <f>"0477"</f>
        <v>0477</v>
      </c>
      <c r="H857" t="str">
        <f>"0003"</f>
        <v>0003</v>
      </c>
      <c r="I857" t="s">
        <v>89</v>
      </c>
      <c r="J857">
        <v>0</v>
      </c>
      <c r="K857">
        <v>1</v>
      </c>
      <c r="L857">
        <v>3</v>
      </c>
      <c r="M857">
        <v>288</v>
      </c>
      <c r="N857">
        <v>321</v>
      </c>
      <c r="O857">
        <v>2</v>
      </c>
      <c r="P857">
        <v>321</v>
      </c>
      <c r="Q857">
        <v>15</v>
      </c>
      <c r="R857">
        <v>108</v>
      </c>
      <c r="S857">
        <v>6</v>
      </c>
      <c r="T857">
        <v>5</v>
      </c>
      <c r="U857">
        <v>7</v>
      </c>
      <c r="V857">
        <v>5</v>
      </c>
      <c r="W857">
        <v>1</v>
      </c>
      <c r="X857">
        <v>139</v>
      </c>
      <c r="Y857">
        <v>5</v>
      </c>
      <c r="Z857">
        <v>0</v>
      </c>
      <c r="AA857">
        <v>4</v>
      </c>
      <c r="AB857">
        <v>7</v>
      </c>
      <c r="AK857">
        <v>2</v>
      </c>
      <c r="AO857">
        <v>1</v>
      </c>
      <c r="AP857">
        <v>0</v>
      </c>
      <c r="AR857">
        <v>0</v>
      </c>
      <c r="AU857">
        <v>0</v>
      </c>
      <c r="AW857">
        <v>1</v>
      </c>
      <c r="AX857">
        <v>15</v>
      </c>
      <c r="AY857">
        <v>321</v>
      </c>
      <c r="AZ857">
        <v>321</v>
      </c>
      <c r="BA857">
        <v>566</v>
      </c>
      <c r="BB857">
        <v>44</v>
      </c>
      <c r="BD857">
        <v>1</v>
      </c>
      <c r="BF857" t="s">
        <v>981</v>
      </c>
      <c r="BG857" s="1">
        <v>44354.036805555559</v>
      </c>
      <c r="BH857" s="1">
        <v>44354.048356481479</v>
      </c>
      <c r="BI857" s="1">
        <v>44354.048946759256</v>
      </c>
      <c r="BJ857" t="s">
        <v>85</v>
      </c>
      <c r="BK857" t="s">
        <v>86</v>
      </c>
      <c r="BL857" t="s">
        <v>87</v>
      </c>
    </row>
    <row r="858" spans="1:64" x14ac:dyDescent="0.3">
      <c r="A858" t="str">
        <f>"200478B0000"</f>
        <v>200478B0000</v>
      </c>
      <c r="B858" t="str">
        <f>"200478B00003"</f>
        <v>200478B00003</v>
      </c>
      <c r="C858" t="str">
        <f t="shared" si="55"/>
        <v>20</v>
      </c>
      <c r="D858" t="s">
        <v>81</v>
      </c>
      <c r="E858" t="str">
        <f t="shared" si="53"/>
        <v>066</v>
      </c>
      <c r="F858" t="s">
        <v>951</v>
      </c>
      <c r="G858" t="str">
        <f t="shared" ref="G858:G863" si="56">"0478"</f>
        <v>0478</v>
      </c>
      <c r="H858" t="str">
        <f>"0000"</f>
        <v>0000</v>
      </c>
      <c r="I858" t="s">
        <v>83</v>
      </c>
      <c r="J858">
        <v>0</v>
      </c>
      <c r="K858">
        <v>1</v>
      </c>
      <c r="L858">
        <v>3</v>
      </c>
      <c r="M858">
        <v>358</v>
      </c>
      <c r="N858">
        <v>307</v>
      </c>
      <c r="O858">
        <v>5</v>
      </c>
      <c r="P858">
        <v>306</v>
      </c>
      <c r="Q858">
        <v>15</v>
      </c>
      <c r="R858">
        <v>91</v>
      </c>
      <c r="S858">
        <v>5</v>
      </c>
      <c r="T858">
        <v>4</v>
      </c>
      <c r="U858">
        <v>8</v>
      </c>
      <c r="V858">
        <v>4</v>
      </c>
      <c r="W858">
        <v>0</v>
      </c>
      <c r="X858">
        <v>154</v>
      </c>
      <c r="Y858">
        <v>2</v>
      </c>
      <c r="Z858">
        <v>0</v>
      </c>
      <c r="AA858">
        <v>1</v>
      </c>
      <c r="AB858">
        <v>6</v>
      </c>
      <c r="AK858">
        <v>4</v>
      </c>
      <c r="AO858">
        <v>0</v>
      </c>
      <c r="AP858">
        <v>0</v>
      </c>
      <c r="AR858">
        <v>0</v>
      </c>
      <c r="AU858">
        <v>0</v>
      </c>
      <c r="AW858">
        <v>1</v>
      </c>
      <c r="AX858">
        <v>11</v>
      </c>
      <c r="AY858">
        <v>306</v>
      </c>
      <c r="AZ858">
        <v>306</v>
      </c>
      <c r="BA858">
        <v>621</v>
      </c>
      <c r="BB858">
        <v>44</v>
      </c>
      <c r="BD858">
        <v>1</v>
      </c>
      <c r="BF858" t="s">
        <v>982</v>
      </c>
      <c r="BG858" s="1">
        <v>44354.092361111114</v>
      </c>
      <c r="BH858" s="1">
        <v>44354.107071759259</v>
      </c>
      <c r="BI858" s="1">
        <v>44354.107615740744</v>
      </c>
      <c r="BJ858" t="s">
        <v>85</v>
      </c>
      <c r="BK858" t="s">
        <v>86</v>
      </c>
      <c r="BL858" t="s">
        <v>87</v>
      </c>
    </row>
    <row r="859" spans="1:64" x14ac:dyDescent="0.3">
      <c r="A859" t="str">
        <f>"200478C0100"</f>
        <v>200478C0100</v>
      </c>
      <c r="B859" t="str">
        <f>"200478C01003"</f>
        <v>200478C01003</v>
      </c>
      <c r="C859" t="str">
        <f t="shared" si="55"/>
        <v>20</v>
      </c>
      <c r="D859" t="s">
        <v>81</v>
      </c>
      <c r="E859" t="str">
        <f t="shared" si="53"/>
        <v>066</v>
      </c>
      <c r="F859" t="s">
        <v>951</v>
      </c>
      <c r="G859" t="str">
        <f t="shared" si="56"/>
        <v>0478</v>
      </c>
      <c r="H859" t="str">
        <f>"0001"</f>
        <v>0001</v>
      </c>
      <c r="I859" t="s">
        <v>89</v>
      </c>
      <c r="J859">
        <v>0</v>
      </c>
      <c r="K859">
        <v>1</v>
      </c>
      <c r="L859">
        <v>3</v>
      </c>
      <c r="M859">
        <v>359</v>
      </c>
      <c r="N859">
        <v>306</v>
      </c>
      <c r="O859">
        <v>6</v>
      </c>
      <c r="P859">
        <v>307</v>
      </c>
      <c r="Q859">
        <v>14</v>
      </c>
      <c r="R859">
        <v>82</v>
      </c>
      <c r="S859">
        <v>3</v>
      </c>
      <c r="T859">
        <v>2</v>
      </c>
      <c r="U859">
        <v>11</v>
      </c>
      <c r="V859">
        <v>8</v>
      </c>
      <c r="W859">
        <v>5</v>
      </c>
      <c r="X859">
        <v>155</v>
      </c>
      <c r="Y859">
        <v>3</v>
      </c>
      <c r="Z859">
        <v>2</v>
      </c>
      <c r="AA859">
        <v>2</v>
      </c>
      <c r="AB859">
        <v>6</v>
      </c>
      <c r="AK859">
        <v>0</v>
      </c>
      <c r="AO859">
        <v>0</v>
      </c>
      <c r="AP859">
        <v>0</v>
      </c>
      <c r="AR859">
        <v>0</v>
      </c>
      <c r="AU859">
        <v>0</v>
      </c>
      <c r="AW859">
        <v>0</v>
      </c>
      <c r="AX859">
        <v>12</v>
      </c>
      <c r="AY859">
        <v>307</v>
      </c>
      <c r="AZ859">
        <v>305</v>
      </c>
      <c r="BA859">
        <v>621</v>
      </c>
      <c r="BB859">
        <v>44</v>
      </c>
      <c r="BD859">
        <v>1</v>
      </c>
      <c r="BF859" t="s">
        <v>983</v>
      </c>
      <c r="BG859" s="1">
        <v>44354.095833333333</v>
      </c>
      <c r="BH859" s="1">
        <v>44354.111250000002</v>
      </c>
      <c r="BI859" s="1">
        <v>44354.111898148149</v>
      </c>
      <c r="BJ859" t="s">
        <v>85</v>
      </c>
      <c r="BK859" t="s">
        <v>86</v>
      </c>
      <c r="BL859" t="s">
        <v>87</v>
      </c>
    </row>
    <row r="860" spans="1:64" x14ac:dyDescent="0.3">
      <c r="A860" t="str">
        <f>"200478C0200"</f>
        <v>200478C0200</v>
      </c>
      <c r="B860" t="str">
        <f>"200478C02003"</f>
        <v>200478C02003</v>
      </c>
      <c r="C860" t="str">
        <f t="shared" si="55"/>
        <v>20</v>
      </c>
      <c r="D860" t="s">
        <v>81</v>
      </c>
      <c r="E860" t="str">
        <f t="shared" si="53"/>
        <v>066</v>
      </c>
      <c r="F860" t="s">
        <v>951</v>
      </c>
      <c r="G860" t="str">
        <f t="shared" si="56"/>
        <v>0478</v>
      </c>
      <c r="H860" t="str">
        <f>"0002"</f>
        <v>0002</v>
      </c>
      <c r="I860" t="s">
        <v>89</v>
      </c>
      <c r="J860">
        <v>0</v>
      </c>
      <c r="K860">
        <v>1</v>
      </c>
      <c r="L860">
        <v>3</v>
      </c>
      <c r="M860">
        <v>378</v>
      </c>
      <c r="N860">
        <v>287</v>
      </c>
      <c r="O860">
        <v>2</v>
      </c>
      <c r="P860">
        <v>287</v>
      </c>
      <c r="Q860">
        <v>15</v>
      </c>
      <c r="R860">
        <v>96</v>
      </c>
      <c r="S860">
        <v>3</v>
      </c>
      <c r="T860">
        <v>3</v>
      </c>
      <c r="U860">
        <v>15</v>
      </c>
      <c r="V860">
        <v>1</v>
      </c>
      <c r="W860">
        <v>3</v>
      </c>
      <c r="X860">
        <v>132</v>
      </c>
      <c r="Y860">
        <v>1</v>
      </c>
      <c r="Z860">
        <v>3</v>
      </c>
      <c r="AA860">
        <v>3</v>
      </c>
      <c r="AB860">
        <v>4</v>
      </c>
      <c r="AK860">
        <v>1</v>
      </c>
      <c r="AO860">
        <v>0</v>
      </c>
      <c r="AP860">
        <v>0</v>
      </c>
      <c r="AR860">
        <v>0</v>
      </c>
      <c r="AU860">
        <v>0</v>
      </c>
      <c r="AW860">
        <v>0</v>
      </c>
      <c r="AX860">
        <v>7</v>
      </c>
      <c r="AY860">
        <v>287</v>
      </c>
      <c r="AZ860">
        <v>287</v>
      </c>
      <c r="BA860">
        <v>621</v>
      </c>
      <c r="BB860">
        <v>44</v>
      </c>
      <c r="BD860">
        <v>1</v>
      </c>
      <c r="BF860" t="s">
        <v>984</v>
      </c>
      <c r="BG860" s="1">
        <v>44354.09375</v>
      </c>
      <c r="BH860" s="1">
        <v>44354.108171296299</v>
      </c>
      <c r="BI860" s="1">
        <v>44354.108738425923</v>
      </c>
      <c r="BJ860" t="s">
        <v>85</v>
      </c>
      <c r="BK860" t="s">
        <v>86</v>
      </c>
      <c r="BL860" t="s">
        <v>87</v>
      </c>
    </row>
    <row r="861" spans="1:64" x14ac:dyDescent="0.3">
      <c r="A861" t="str">
        <f>"200478E0100"</f>
        <v>200478E0100</v>
      </c>
      <c r="B861" t="str">
        <f>"200478E01003"</f>
        <v>200478E01003</v>
      </c>
      <c r="C861" t="str">
        <f t="shared" si="55"/>
        <v>20</v>
      </c>
      <c r="D861" t="s">
        <v>81</v>
      </c>
      <c r="E861" t="str">
        <f t="shared" si="53"/>
        <v>066</v>
      </c>
      <c r="F861" t="s">
        <v>951</v>
      </c>
      <c r="G861" t="str">
        <f t="shared" si="56"/>
        <v>0478</v>
      </c>
      <c r="H861" t="str">
        <f>"0001"</f>
        <v>0001</v>
      </c>
      <c r="I861" t="s">
        <v>122</v>
      </c>
      <c r="J861">
        <v>0</v>
      </c>
      <c r="K861">
        <v>1</v>
      </c>
      <c r="L861">
        <v>3</v>
      </c>
      <c r="M861">
        <v>443</v>
      </c>
      <c r="N861">
        <v>339</v>
      </c>
      <c r="O861">
        <v>9</v>
      </c>
      <c r="P861">
        <v>339</v>
      </c>
      <c r="Q861">
        <v>14</v>
      </c>
      <c r="R861">
        <v>89</v>
      </c>
      <c r="S861">
        <v>1</v>
      </c>
      <c r="T861">
        <v>5</v>
      </c>
      <c r="U861">
        <v>13</v>
      </c>
      <c r="V861">
        <v>6</v>
      </c>
      <c r="W861">
        <v>0</v>
      </c>
      <c r="X861">
        <v>182</v>
      </c>
      <c r="Y861">
        <v>4</v>
      </c>
      <c r="Z861">
        <v>5</v>
      </c>
      <c r="AA861">
        <v>3</v>
      </c>
      <c r="AB861">
        <v>8</v>
      </c>
      <c r="AK861">
        <v>2</v>
      </c>
      <c r="AO861">
        <v>0</v>
      </c>
      <c r="AP861">
        <v>0</v>
      </c>
      <c r="AR861">
        <v>0</v>
      </c>
      <c r="AU861">
        <v>3</v>
      </c>
      <c r="AW861">
        <v>0</v>
      </c>
      <c r="AX861">
        <v>4</v>
      </c>
      <c r="AY861">
        <v>339</v>
      </c>
      <c r="AZ861">
        <v>339</v>
      </c>
      <c r="BA861">
        <v>738</v>
      </c>
      <c r="BB861">
        <v>44</v>
      </c>
      <c r="BD861">
        <v>1</v>
      </c>
      <c r="BF861" t="s">
        <v>985</v>
      </c>
      <c r="BG861" s="1">
        <v>44354.093055555553</v>
      </c>
      <c r="BH861" s="1">
        <v>44354.107557870368</v>
      </c>
      <c r="BI861" s="1">
        <v>44354.108032407406</v>
      </c>
      <c r="BJ861" t="s">
        <v>85</v>
      </c>
      <c r="BK861" t="s">
        <v>86</v>
      </c>
      <c r="BL861" t="s">
        <v>87</v>
      </c>
    </row>
    <row r="862" spans="1:64" x14ac:dyDescent="0.3">
      <c r="A862" t="str">
        <f>"200478E0101"</f>
        <v>200478E0101</v>
      </c>
      <c r="B862" t="str">
        <f>"200478E01013"</f>
        <v>200478E01013</v>
      </c>
      <c r="C862" t="str">
        <f t="shared" si="55"/>
        <v>20</v>
      </c>
      <c r="D862" t="s">
        <v>81</v>
      </c>
      <c r="E862" t="str">
        <f t="shared" si="53"/>
        <v>066</v>
      </c>
      <c r="F862" t="s">
        <v>951</v>
      </c>
      <c r="G862" t="str">
        <f t="shared" si="56"/>
        <v>0478</v>
      </c>
      <c r="H862" t="str">
        <f>"0001"</f>
        <v>0001</v>
      </c>
      <c r="I862" t="s">
        <v>122</v>
      </c>
      <c r="J862">
        <v>1</v>
      </c>
      <c r="K862">
        <v>1</v>
      </c>
      <c r="L862">
        <v>3</v>
      </c>
      <c r="M862">
        <v>449</v>
      </c>
      <c r="N862">
        <v>333</v>
      </c>
      <c r="O862">
        <v>7</v>
      </c>
      <c r="P862">
        <v>333</v>
      </c>
      <c r="Q862">
        <v>13</v>
      </c>
      <c r="R862">
        <v>93</v>
      </c>
      <c r="S862">
        <v>2</v>
      </c>
      <c r="T862">
        <v>5</v>
      </c>
      <c r="U862">
        <v>7</v>
      </c>
      <c r="V862">
        <v>2</v>
      </c>
      <c r="W862">
        <v>1</v>
      </c>
      <c r="X862">
        <v>187</v>
      </c>
      <c r="Y862">
        <v>2</v>
      </c>
      <c r="Z862">
        <v>4</v>
      </c>
      <c r="AA862">
        <v>4</v>
      </c>
      <c r="AB862">
        <v>6</v>
      </c>
      <c r="AK862">
        <v>2</v>
      </c>
      <c r="AO862">
        <v>1</v>
      </c>
      <c r="AP862">
        <v>0</v>
      </c>
      <c r="AR862">
        <v>0</v>
      </c>
      <c r="AU862">
        <v>0</v>
      </c>
      <c r="AW862">
        <v>0</v>
      </c>
      <c r="AX862">
        <v>4</v>
      </c>
      <c r="AY862">
        <v>333</v>
      </c>
      <c r="AZ862">
        <v>333</v>
      </c>
      <c r="BA862">
        <v>738</v>
      </c>
      <c r="BB862">
        <v>44</v>
      </c>
      <c r="BD862">
        <v>1</v>
      </c>
      <c r="BF862" t="s">
        <v>986</v>
      </c>
      <c r="BG862" s="1">
        <v>44354.350694444445</v>
      </c>
      <c r="BH862" s="1">
        <v>44354.35728009259</v>
      </c>
      <c r="BI862" s="1">
        <v>44354.35832175926</v>
      </c>
      <c r="BJ862" t="s">
        <v>85</v>
      </c>
      <c r="BK862" t="s">
        <v>86</v>
      </c>
      <c r="BL862" t="s">
        <v>87</v>
      </c>
    </row>
    <row r="863" spans="1:64" x14ac:dyDescent="0.3">
      <c r="A863" t="str">
        <f>"200478E0200"</f>
        <v>200478E0200</v>
      </c>
      <c r="B863" t="str">
        <f>"200478E02003"</f>
        <v>200478E02003</v>
      </c>
      <c r="C863" t="str">
        <f t="shared" si="55"/>
        <v>20</v>
      </c>
      <c r="D863" t="s">
        <v>81</v>
      </c>
      <c r="E863" t="str">
        <f t="shared" si="53"/>
        <v>066</v>
      </c>
      <c r="F863" t="s">
        <v>951</v>
      </c>
      <c r="G863" t="str">
        <f t="shared" si="56"/>
        <v>0478</v>
      </c>
      <c r="H863" t="str">
        <f>"0002"</f>
        <v>0002</v>
      </c>
      <c r="I863" t="s">
        <v>122</v>
      </c>
      <c r="J863">
        <v>0</v>
      </c>
      <c r="K863">
        <v>1</v>
      </c>
      <c r="L863">
        <v>3</v>
      </c>
      <c r="M863">
        <v>145</v>
      </c>
      <c r="N863">
        <v>157</v>
      </c>
      <c r="O863">
        <v>9</v>
      </c>
      <c r="P863">
        <v>157</v>
      </c>
      <c r="Q863">
        <v>8</v>
      </c>
      <c r="R863">
        <v>32</v>
      </c>
      <c r="S863">
        <v>2</v>
      </c>
      <c r="T863">
        <v>1</v>
      </c>
      <c r="U863">
        <v>2</v>
      </c>
      <c r="V863">
        <v>2</v>
      </c>
      <c r="W863">
        <v>0</v>
      </c>
      <c r="X863">
        <v>97</v>
      </c>
      <c r="Y863">
        <v>2</v>
      </c>
      <c r="Z863">
        <v>0</v>
      </c>
      <c r="AA863">
        <v>1</v>
      </c>
      <c r="AB863">
        <v>2</v>
      </c>
      <c r="AK863">
        <v>0</v>
      </c>
      <c r="AO863">
        <v>0</v>
      </c>
      <c r="AP863">
        <v>0</v>
      </c>
      <c r="AR863">
        <v>0</v>
      </c>
      <c r="AU863">
        <v>0</v>
      </c>
      <c r="AW863">
        <v>0</v>
      </c>
      <c r="AX863">
        <v>8</v>
      </c>
      <c r="AY863">
        <v>157</v>
      </c>
      <c r="AZ863">
        <v>157</v>
      </c>
      <c r="BA863">
        <v>258</v>
      </c>
      <c r="BB863">
        <v>44</v>
      </c>
      <c r="BD863">
        <v>1</v>
      </c>
      <c r="BF863" t="s">
        <v>987</v>
      </c>
      <c r="BG863" s="1">
        <v>44354.015277777777</v>
      </c>
      <c r="BH863" s="1">
        <v>44354.024780092594</v>
      </c>
      <c r="BI863" s="1">
        <v>44354.025196759256</v>
      </c>
      <c r="BJ863" t="s">
        <v>85</v>
      </c>
      <c r="BK863" t="s">
        <v>86</v>
      </c>
      <c r="BL863" t="s">
        <v>87</v>
      </c>
    </row>
    <row r="864" spans="1:64" x14ac:dyDescent="0.3">
      <c r="A864" t="str">
        <f>"200479B0000"</f>
        <v>200479B0000</v>
      </c>
      <c r="B864" t="str">
        <f>"200479B00003"</f>
        <v>200479B00003</v>
      </c>
      <c r="C864" t="str">
        <f t="shared" si="55"/>
        <v>20</v>
      </c>
      <c r="D864" t="s">
        <v>81</v>
      </c>
      <c r="E864" t="str">
        <f t="shared" si="53"/>
        <v>066</v>
      </c>
      <c r="F864" t="s">
        <v>951</v>
      </c>
      <c r="G864" t="str">
        <f>"0479"</f>
        <v>0479</v>
      </c>
      <c r="H864" t="str">
        <f>"0000"</f>
        <v>0000</v>
      </c>
      <c r="I864" t="s">
        <v>83</v>
      </c>
      <c r="J864">
        <v>0</v>
      </c>
      <c r="K864">
        <v>1</v>
      </c>
      <c r="L864">
        <v>3</v>
      </c>
      <c r="M864">
        <v>345</v>
      </c>
      <c r="N864">
        <v>317</v>
      </c>
      <c r="O864">
        <v>4</v>
      </c>
      <c r="P864">
        <v>317</v>
      </c>
      <c r="Q864">
        <v>13</v>
      </c>
      <c r="R864">
        <v>72</v>
      </c>
      <c r="S864">
        <v>3</v>
      </c>
      <c r="T864">
        <v>4</v>
      </c>
      <c r="U864">
        <v>9</v>
      </c>
      <c r="V864">
        <v>6</v>
      </c>
      <c r="W864">
        <v>1</v>
      </c>
      <c r="X864">
        <v>170</v>
      </c>
      <c r="Y864">
        <v>5</v>
      </c>
      <c r="Z864">
        <v>7</v>
      </c>
      <c r="AA864">
        <v>2</v>
      </c>
      <c r="AB864">
        <v>14</v>
      </c>
      <c r="AK864">
        <v>1</v>
      </c>
      <c r="AO864">
        <v>0</v>
      </c>
      <c r="AP864">
        <v>0</v>
      </c>
      <c r="AR864">
        <v>0</v>
      </c>
      <c r="AU864">
        <v>0</v>
      </c>
      <c r="AW864">
        <v>0</v>
      </c>
      <c r="AX864">
        <v>10</v>
      </c>
      <c r="AY864">
        <v>317</v>
      </c>
      <c r="AZ864">
        <v>317</v>
      </c>
      <c r="BA864">
        <v>618</v>
      </c>
      <c r="BB864">
        <v>44</v>
      </c>
      <c r="BD864">
        <v>1</v>
      </c>
      <c r="BF864" t="s">
        <v>988</v>
      </c>
      <c r="BG864" s="1">
        <v>44354.01666666667</v>
      </c>
      <c r="BH864" s="1">
        <v>44354.026458333334</v>
      </c>
      <c r="BI864" s="1">
        <v>44354.027106481481</v>
      </c>
      <c r="BJ864" t="s">
        <v>85</v>
      </c>
      <c r="BK864" t="s">
        <v>86</v>
      </c>
      <c r="BL864" t="s">
        <v>87</v>
      </c>
    </row>
    <row r="865" spans="1:64" x14ac:dyDescent="0.3">
      <c r="A865" t="str">
        <f>"200479C0100"</f>
        <v>200479C0100</v>
      </c>
      <c r="B865" t="str">
        <f>"200479C01003"</f>
        <v>200479C01003</v>
      </c>
      <c r="C865" t="str">
        <f t="shared" si="55"/>
        <v>20</v>
      </c>
      <c r="D865" t="s">
        <v>81</v>
      </c>
      <c r="E865" t="str">
        <f t="shared" si="53"/>
        <v>066</v>
      </c>
      <c r="F865" t="s">
        <v>951</v>
      </c>
      <c r="G865" t="str">
        <f>"0479"</f>
        <v>0479</v>
      </c>
      <c r="H865" t="str">
        <f>"0001"</f>
        <v>0001</v>
      </c>
      <c r="I865" t="s">
        <v>89</v>
      </c>
      <c r="J865">
        <v>0</v>
      </c>
      <c r="K865">
        <v>1</v>
      </c>
      <c r="L865">
        <v>3</v>
      </c>
      <c r="M865">
        <v>353</v>
      </c>
      <c r="N865">
        <v>309</v>
      </c>
      <c r="O865">
        <v>5</v>
      </c>
      <c r="P865">
        <v>299</v>
      </c>
      <c r="Q865">
        <v>9</v>
      </c>
      <c r="R865">
        <v>68</v>
      </c>
      <c r="S865">
        <v>0</v>
      </c>
      <c r="T865">
        <v>3</v>
      </c>
      <c r="U865">
        <v>18</v>
      </c>
      <c r="V865">
        <v>9</v>
      </c>
      <c r="W865">
        <v>1</v>
      </c>
      <c r="X865">
        <v>165</v>
      </c>
      <c r="Y865">
        <v>3</v>
      </c>
      <c r="Z865">
        <v>4</v>
      </c>
      <c r="AA865">
        <v>1</v>
      </c>
      <c r="AB865">
        <v>3</v>
      </c>
      <c r="AK865">
        <v>1</v>
      </c>
      <c r="AO865">
        <v>1</v>
      </c>
      <c r="AP865">
        <v>0</v>
      </c>
      <c r="AR865">
        <v>0</v>
      </c>
      <c r="AU865">
        <v>0</v>
      </c>
      <c r="AW865">
        <v>0</v>
      </c>
      <c r="AX865">
        <v>13</v>
      </c>
      <c r="AY865">
        <v>299</v>
      </c>
      <c r="AZ865">
        <v>299</v>
      </c>
      <c r="BA865">
        <v>618</v>
      </c>
      <c r="BB865">
        <v>44</v>
      </c>
      <c r="BD865">
        <v>1</v>
      </c>
      <c r="BF865" t="s">
        <v>989</v>
      </c>
      <c r="BG865" s="1">
        <v>44354.015277777777</v>
      </c>
      <c r="BH865" s="1">
        <v>44354.023287037038</v>
      </c>
      <c r="BI865" s="1">
        <v>44354.023831018516</v>
      </c>
      <c r="BJ865" t="s">
        <v>85</v>
      </c>
      <c r="BK865" t="s">
        <v>86</v>
      </c>
      <c r="BL865" t="s">
        <v>87</v>
      </c>
    </row>
    <row r="866" spans="1:64" x14ac:dyDescent="0.3">
      <c r="A866" t="str">
        <f>"200479C0200"</f>
        <v>200479C0200</v>
      </c>
      <c r="B866" t="str">
        <f>"200479C02003"</f>
        <v>200479C02003</v>
      </c>
      <c r="C866" t="str">
        <f t="shared" si="55"/>
        <v>20</v>
      </c>
      <c r="D866" t="s">
        <v>81</v>
      </c>
      <c r="E866" t="str">
        <f t="shared" si="53"/>
        <v>066</v>
      </c>
      <c r="F866" t="s">
        <v>951</v>
      </c>
      <c r="G866" t="str">
        <f>"0479"</f>
        <v>0479</v>
      </c>
      <c r="H866" t="str">
        <f>"0002"</f>
        <v>0002</v>
      </c>
      <c r="I866" t="s">
        <v>89</v>
      </c>
      <c r="J866">
        <v>0</v>
      </c>
      <c r="K866">
        <v>1</v>
      </c>
      <c r="L866">
        <v>3</v>
      </c>
      <c r="M866">
        <v>352</v>
      </c>
      <c r="N866">
        <v>662</v>
      </c>
      <c r="O866">
        <v>8</v>
      </c>
      <c r="P866">
        <v>310</v>
      </c>
      <c r="Q866">
        <v>11</v>
      </c>
      <c r="R866">
        <v>70</v>
      </c>
      <c r="S866">
        <v>2</v>
      </c>
      <c r="T866">
        <v>5</v>
      </c>
      <c r="U866">
        <v>10</v>
      </c>
      <c r="V866">
        <v>6</v>
      </c>
      <c r="W866">
        <v>1</v>
      </c>
      <c r="X866">
        <v>163</v>
      </c>
      <c r="Y866">
        <v>7</v>
      </c>
      <c r="Z866">
        <v>5</v>
      </c>
      <c r="AA866">
        <v>3</v>
      </c>
      <c r="AB866">
        <v>11</v>
      </c>
      <c r="AK866">
        <v>1</v>
      </c>
      <c r="AO866">
        <v>0</v>
      </c>
      <c r="AP866">
        <v>0</v>
      </c>
      <c r="AR866">
        <v>0</v>
      </c>
      <c r="AU866">
        <v>1</v>
      </c>
      <c r="AW866">
        <v>2</v>
      </c>
      <c r="AX866">
        <v>12</v>
      </c>
      <c r="AY866">
        <v>310</v>
      </c>
      <c r="AZ866">
        <v>310</v>
      </c>
      <c r="BA866">
        <v>618</v>
      </c>
      <c r="BB866">
        <v>44</v>
      </c>
      <c r="BD866">
        <v>1</v>
      </c>
      <c r="BF866" t="s">
        <v>990</v>
      </c>
      <c r="BG866" s="1">
        <v>44354.008333333331</v>
      </c>
      <c r="BH866" s="1">
        <v>44354.014039351852</v>
      </c>
      <c r="BI866" s="1">
        <v>44354.014756944445</v>
      </c>
      <c r="BJ866" t="s">
        <v>85</v>
      </c>
      <c r="BK866" t="s">
        <v>86</v>
      </c>
      <c r="BL866" t="s">
        <v>87</v>
      </c>
    </row>
    <row r="867" spans="1:64" x14ac:dyDescent="0.3">
      <c r="A867" t="str">
        <f>"200480B0000"</f>
        <v>200480B0000</v>
      </c>
      <c r="B867" t="str">
        <f>"200480B00003"</f>
        <v>200480B00003</v>
      </c>
      <c r="C867" t="str">
        <f t="shared" si="55"/>
        <v>20</v>
      </c>
      <c r="D867" t="s">
        <v>81</v>
      </c>
      <c r="E867" t="str">
        <f t="shared" si="53"/>
        <v>066</v>
      </c>
      <c r="F867" t="s">
        <v>951</v>
      </c>
      <c r="G867" t="str">
        <f>"0480"</f>
        <v>0480</v>
      </c>
      <c r="H867" t="str">
        <f>"0000"</f>
        <v>0000</v>
      </c>
      <c r="I867" t="s">
        <v>83</v>
      </c>
      <c r="J867">
        <v>0</v>
      </c>
      <c r="K867">
        <v>1</v>
      </c>
      <c r="L867">
        <v>3</v>
      </c>
      <c r="M867">
        <v>288</v>
      </c>
      <c r="N867">
        <v>405</v>
      </c>
      <c r="O867">
        <v>6</v>
      </c>
      <c r="P867">
        <v>405</v>
      </c>
      <c r="Q867">
        <v>65</v>
      </c>
      <c r="R867">
        <v>166</v>
      </c>
      <c r="S867">
        <v>2</v>
      </c>
      <c r="T867">
        <v>4</v>
      </c>
      <c r="U867">
        <v>6</v>
      </c>
      <c r="V867">
        <v>7</v>
      </c>
      <c r="W867">
        <v>1</v>
      </c>
      <c r="X867">
        <v>130</v>
      </c>
      <c r="Y867">
        <v>2</v>
      </c>
      <c r="Z867">
        <v>6</v>
      </c>
      <c r="AA867">
        <v>2</v>
      </c>
      <c r="AB867">
        <v>6</v>
      </c>
      <c r="AK867">
        <v>1</v>
      </c>
      <c r="AO867">
        <v>1</v>
      </c>
      <c r="AP867">
        <v>0</v>
      </c>
      <c r="AR867">
        <v>0</v>
      </c>
      <c r="AU867">
        <v>0</v>
      </c>
      <c r="AW867">
        <v>0</v>
      </c>
      <c r="AX867">
        <v>5</v>
      </c>
      <c r="AY867">
        <v>404</v>
      </c>
      <c r="AZ867">
        <v>404</v>
      </c>
      <c r="BA867">
        <v>649</v>
      </c>
      <c r="BB867">
        <v>44</v>
      </c>
      <c r="BD867">
        <v>1</v>
      </c>
      <c r="BF867" t="s">
        <v>991</v>
      </c>
      <c r="BG867" s="1">
        <v>44354.037499999999</v>
      </c>
      <c r="BH867" s="1">
        <v>44354.049895833334</v>
      </c>
      <c r="BI867" s="1">
        <v>44354.050497685188</v>
      </c>
      <c r="BJ867" t="s">
        <v>85</v>
      </c>
      <c r="BK867" t="s">
        <v>86</v>
      </c>
      <c r="BL867" t="s">
        <v>87</v>
      </c>
    </row>
    <row r="868" spans="1:64" x14ac:dyDescent="0.3">
      <c r="A868" t="str">
        <f>"200480C0100"</f>
        <v>200480C0100</v>
      </c>
      <c r="B868" t="str">
        <f>"200480C01003"</f>
        <v>200480C01003</v>
      </c>
      <c r="C868" t="str">
        <f t="shared" si="55"/>
        <v>20</v>
      </c>
      <c r="D868" t="s">
        <v>81</v>
      </c>
      <c r="E868" t="str">
        <f t="shared" si="53"/>
        <v>066</v>
      </c>
      <c r="F868" t="s">
        <v>951</v>
      </c>
      <c r="G868" t="str">
        <f>"0480"</f>
        <v>0480</v>
      </c>
      <c r="H868" t="str">
        <f>"0001"</f>
        <v>0001</v>
      </c>
      <c r="I868" t="s">
        <v>89</v>
      </c>
      <c r="J868">
        <v>0</v>
      </c>
      <c r="K868">
        <v>1</v>
      </c>
      <c r="L868">
        <v>3</v>
      </c>
      <c r="M868">
        <v>330</v>
      </c>
      <c r="N868">
        <v>362</v>
      </c>
      <c r="O868">
        <v>7</v>
      </c>
      <c r="P868">
        <v>362</v>
      </c>
      <c r="Q868">
        <v>44</v>
      </c>
      <c r="R868">
        <v>126</v>
      </c>
      <c r="S868">
        <v>3</v>
      </c>
      <c r="T868">
        <v>5</v>
      </c>
      <c r="U868">
        <v>4</v>
      </c>
      <c r="V868">
        <v>9</v>
      </c>
      <c r="W868">
        <v>1</v>
      </c>
      <c r="X868">
        <v>140</v>
      </c>
      <c r="Y868">
        <v>5</v>
      </c>
      <c r="Z868">
        <v>4</v>
      </c>
      <c r="AA868">
        <v>3</v>
      </c>
      <c r="AB868">
        <v>8</v>
      </c>
      <c r="AK868">
        <v>1</v>
      </c>
      <c r="AO868">
        <v>0</v>
      </c>
      <c r="AP868">
        <v>0</v>
      </c>
      <c r="AR868">
        <v>0</v>
      </c>
      <c r="AU868">
        <v>0</v>
      </c>
      <c r="AW868">
        <v>0</v>
      </c>
      <c r="AX868">
        <v>9</v>
      </c>
      <c r="AY868">
        <v>362</v>
      </c>
      <c r="AZ868">
        <v>362</v>
      </c>
      <c r="BA868">
        <v>648</v>
      </c>
      <c r="BB868">
        <v>44</v>
      </c>
      <c r="BD868">
        <v>1</v>
      </c>
      <c r="BF868" t="s">
        <v>992</v>
      </c>
      <c r="BG868" s="1">
        <v>44354.040972222225</v>
      </c>
      <c r="BH868" s="1">
        <v>44354.054699074077</v>
      </c>
      <c r="BI868" s="1">
        <v>44354.055532407408</v>
      </c>
      <c r="BJ868" t="s">
        <v>85</v>
      </c>
      <c r="BK868" t="s">
        <v>86</v>
      </c>
      <c r="BL868" t="s">
        <v>87</v>
      </c>
    </row>
    <row r="869" spans="1:64" x14ac:dyDescent="0.3">
      <c r="A869" t="str">
        <f>"200480C0200"</f>
        <v>200480C0200</v>
      </c>
      <c r="B869" t="str">
        <f>"200480C02003"</f>
        <v>200480C02003</v>
      </c>
      <c r="C869" t="str">
        <f t="shared" si="55"/>
        <v>20</v>
      </c>
      <c r="D869" t="s">
        <v>81</v>
      </c>
      <c r="E869" t="str">
        <f t="shared" si="53"/>
        <v>066</v>
      </c>
      <c r="F869" t="s">
        <v>951</v>
      </c>
      <c r="G869" t="str">
        <f>"0480"</f>
        <v>0480</v>
      </c>
      <c r="H869" t="str">
        <f>"0002"</f>
        <v>0002</v>
      </c>
      <c r="I869" t="s">
        <v>89</v>
      </c>
      <c r="J869">
        <v>0</v>
      </c>
      <c r="K869">
        <v>1</v>
      </c>
      <c r="L869">
        <v>3</v>
      </c>
      <c r="M869">
        <v>273</v>
      </c>
      <c r="N869">
        <v>418</v>
      </c>
      <c r="O869">
        <v>11</v>
      </c>
      <c r="P869">
        <v>419</v>
      </c>
      <c r="Q869">
        <v>57</v>
      </c>
      <c r="R869">
        <v>169</v>
      </c>
      <c r="S869">
        <v>0</v>
      </c>
      <c r="T869">
        <v>3</v>
      </c>
      <c r="U869">
        <v>5</v>
      </c>
      <c r="V869">
        <v>5</v>
      </c>
      <c r="W869">
        <v>0</v>
      </c>
      <c r="X869">
        <v>140</v>
      </c>
      <c r="Y869">
        <v>1</v>
      </c>
      <c r="Z869">
        <v>17</v>
      </c>
      <c r="AA869">
        <v>2</v>
      </c>
      <c r="AB869">
        <v>4</v>
      </c>
      <c r="AK869">
        <v>6</v>
      </c>
      <c r="AO869">
        <v>0</v>
      </c>
      <c r="AP869">
        <v>0</v>
      </c>
      <c r="AR869">
        <v>0</v>
      </c>
      <c r="AU869">
        <v>0</v>
      </c>
      <c r="AW869">
        <v>2</v>
      </c>
      <c r="AX869">
        <v>8</v>
      </c>
      <c r="AY869">
        <v>419</v>
      </c>
      <c r="AZ869">
        <v>419</v>
      </c>
      <c r="BA869">
        <v>648</v>
      </c>
      <c r="BB869">
        <v>44</v>
      </c>
      <c r="BD869">
        <v>1</v>
      </c>
      <c r="BF869" t="s">
        <v>993</v>
      </c>
      <c r="BG869" s="1">
        <v>44354.040277777778</v>
      </c>
      <c r="BH869" s="1">
        <v>44354.050081018519</v>
      </c>
      <c r="BI869" s="1">
        <v>44354.050706018519</v>
      </c>
      <c r="BJ869" t="s">
        <v>85</v>
      </c>
      <c r="BK869" t="s">
        <v>86</v>
      </c>
      <c r="BL869" t="s">
        <v>87</v>
      </c>
    </row>
    <row r="870" spans="1:64" x14ac:dyDescent="0.3">
      <c r="A870" t="str">
        <f>"200481B0000"</f>
        <v>200481B0000</v>
      </c>
      <c r="B870" t="str">
        <f>"200481B00003"</f>
        <v>200481B00003</v>
      </c>
      <c r="C870" t="str">
        <f t="shared" si="55"/>
        <v>20</v>
      </c>
      <c r="D870" t="s">
        <v>81</v>
      </c>
      <c r="E870" t="str">
        <f t="shared" si="53"/>
        <v>066</v>
      </c>
      <c r="F870" t="s">
        <v>951</v>
      </c>
      <c r="G870" t="str">
        <f>"0481"</f>
        <v>0481</v>
      </c>
      <c r="H870" t="str">
        <f>"0000"</f>
        <v>0000</v>
      </c>
      <c r="I870" t="s">
        <v>83</v>
      </c>
      <c r="J870">
        <v>0</v>
      </c>
      <c r="K870">
        <v>1</v>
      </c>
      <c r="L870">
        <v>3</v>
      </c>
      <c r="M870">
        <v>372</v>
      </c>
      <c r="N870">
        <v>422</v>
      </c>
      <c r="O870">
        <v>2</v>
      </c>
      <c r="P870">
        <v>423</v>
      </c>
      <c r="Q870">
        <v>63</v>
      </c>
      <c r="R870">
        <v>144</v>
      </c>
      <c r="S870">
        <v>2</v>
      </c>
      <c r="T870">
        <v>3</v>
      </c>
      <c r="U870">
        <v>7</v>
      </c>
      <c r="V870">
        <v>7</v>
      </c>
      <c r="W870">
        <v>2</v>
      </c>
      <c r="X870">
        <v>171</v>
      </c>
      <c r="Y870">
        <v>7</v>
      </c>
      <c r="Z870">
        <v>4</v>
      </c>
      <c r="AA870">
        <v>2</v>
      </c>
      <c r="AB870">
        <v>6</v>
      </c>
      <c r="AK870">
        <v>0</v>
      </c>
      <c r="AO870">
        <v>1</v>
      </c>
      <c r="AP870">
        <v>0</v>
      </c>
      <c r="AR870">
        <v>0</v>
      </c>
      <c r="AU870">
        <v>0</v>
      </c>
      <c r="AW870">
        <v>0</v>
      </c>
      <c r="AX870">
        <v>4</v>
      </c>
      <c r="AY870">
        <v>423</v>
      </c>
      <c r="AZ870">
        <v>423</v>
      </c>
      <c r="BA870">
        <v>750</v>
      </c>
      <c r="BB870">
        <v>44</v>
      </c>
      <c r="BD870">
        <v>1</v>
      </c>
      <c r="BF870" t="s">
        <v>994</v>
      </c>
      <c r="BG870" s="1">
        <v>44354.01458333333</v>
      </c>
      <c r="BH870" s="1">
        <v>44354.029317129629</v>
      </c>
      <c r="BI870" s="1">
        <v>44354.029988425929</v>
      </c>
      <c r="BJ870" t="s">
        <v>85</v>
      </c>
      <c r="BK870" t="s">
        <v>86</v>
      </c>
      <c r="BL870" t="s">
        <v>87</v>
      </c>
    </row>
    <row r="871" spans="1:64" x14ac:dyDescent="0.3">
      <c r="A871" t="str">
        <f>"200481C0100"</f>
        <v>200481C0100</v>
      </c>
      <c r="B871" t="str">
        <f>"200481C01003"</f>
        <v>200481C01003</v>
      </c>
      <c r="C871" t="str">
        <f t="shared" si="55"/>
        <v>20</v>
      </c>
      <c r="D871" t="s">
        <v>81</v>
      </c>
      <c r="E871" t="str">
        <f t="shared" si="53"/>
        <v>066</v>
      </c>
      <c r="F871" t="s">
        <v>951</v>
      </c>
      <c r="G871" t="str">
        <f>"0481"</f>
        <v>0481</v>
      </c>
      <c r="H871" t="str">
        <f>"0001"</f>
        <v>0001</v>
      </c>
      <c r="I871" t="s">
        <v>89</v>
      </c>
      <c r="J871">
        <v>0</v>
      </c>
      <c r="K871">
        <v>1</v>
      </c>
      <c r="L871">
        <v>3</v>
      </c>
      <c r="M871">
        <v>339</v>
      </c>
      <c r="N871">
        <v>455</v>
      </c>
      <c r="O871">
        <v>3</v>
      </c>
      <c r="P871">
        <v>455</v>
      </c>
      <c r="Q871">
        <v>39</v>
      </c>
      <c r="R871">
        <v>145</v>
      </c>
      <c r="S871">
        <v>1</v>
      </c>
      <c r="T871">
        <v>9</v>
      </c>
      <c r="U871">
        <v>11</v>
      </c>
      <c r="V871">
        <v>3</v>
      </c>
      <c r="W871">
        <v>1</v>
      </c>
      <c r="X871">
        <v>215</v>
      </c>
      <c r="Y871">
        <v>4</v>
      </c>
      <c r="Z871">
        <v>6</v>
      </c>
      <c r="AA871">
        <v>2</v>
      </c>
      <c r="AB871">
        <v>9</v>
      </c>
      <c r="AK871">
        <v>3</v>
      </c>
      <c r="AO871">
        <v>1</v>
      </c>
      <c r="AP871" t="s">
        <v>95</v>
      </c>
      <c r="AR871" t="s">
        <v>95</v>
      </c>
      <c r="AU871" t="s">
        <v>95</v>
      </c>
      <c r="AW871">
        <v>1</v>
      </c>
      <c r="AX871">
        <v>5</v>
      </c>
      <c r="AY871">
        <v>455</v>
      </c>
      <c r="AZ871">
        <v>455</v>
      </c>
      <c r="BA871">
        <v>750</v>
      </c>
      <c r="BB871">
        <v>44</v>
      </c>
      <c r="BC871" t="s">
        <v>96</v>
      </c>
      <c r="BD871">
        <v>1</v>
      </c>
      <c r="BF871" t="s">
        <v>995</v>
      </c>
      <c r="BG871" s="1">
        <v>44354.01458333333</v>
      </c>
      <c r="BH871" s="1">
        <v>44354.022152777776</v>
      </c>
      <c r="BI871" s="1">
        <v>44354.023182870369</v>
      </c>
      <c r="BJ871" t="s">
        <v>85</v>
      </c>
      <c r="BK871" t="s">
        <v>86</v>
      </c>
      <c r="BL871" t="s">
        <v>87</v>
      </c>
    </row>
    <row r="872" spans="1:64" x14ac:dyDescent="0.3">
      <c r="A872" t="str">
        <f>"200481C0200"</f>
        <v>200481C0200</v>
      </c>
      <c r="B872" t="str">
        <f>"200481C02003"</f>
        <v>200481C02003</v>
      </c>
      <c r="C872" t="str">
        <f t="shared" si="55"/>
        <v>20</v>
      </c>
      <c r="D872" t="s">
        <v>81</v>
      </c>
      <c r="E872" t="str">
        <f t="shared" si="53"/>
        <v>066</v>
      </c>
      <c r="F872" t="s">
        <v>951</v>
      </c>
      <c r="G872" t="str">
        <f>"0481"</f>
        <v>0481</v>
      </c>
      <c r="H872" t="str">
        <f>"0002"</f>
        <v>0002</v>
      </c>
      <c r="I872" t="s">
        <v>89</v>
      </c>
      <c r="J872">
        <v>0</v>
      </c>
      <c r="K872">
        <v>1</v>
      </c>
      <c r="L872">
        <v>3</v>
      </c>
      <c r="M872">
        <v>375</v>
      </c>
      <c r="N872">
        <v>419</v>
      </c>
      <c r="O872">
        <v>3</v>
      </c>
      <c r="P872">
        <v>419</v>
      </c>
      <c r="Q872">
        <v>34</v>
      </c>
      <c r="R872">
        <v>114</v>
      </c>
      <c r="S872">
        <v>3</v>
      </c>
      <c r="T872">
        <v>0</v>
      </c>
      <c r="U872">
        <v>10</v>
      </c>
      <c r="V872">
        <v>7</v>
      </c>
      <c r="W872">
        <v>4</v>
      </c>
      <c r="X872">
        <v>211</v>
      </c>
      <c r="Y872">
        <v>3</v>
      </c>
      <c r="Z872">
        <v>4</v>
      </c>
      <c r="AA872">
        <v>2</v>
      </c>
      <c r="AB872">
        <v>2</v>
      </c>
      <c r="AK872">
        <v>3</v>
      </c>
      <c r="AO872">
        <v>0</v>
      </c>
      <c r="AP872">
        <v>0</v>
      </c>
      <c r="AR872">
        <v>0</v>
      </c>
      <c r="AU872">
        <v>1</v>
      </c>
      <c r="AW872">
        <v>3</v>
      </c>
      <c r="AX872">
        <v>8</v>
      </c>
      <c r="AY872">
        <v>419</v>
      </c>
      <c r="AZ872">
        <v>409</v>
      </c>
      <c r="BA872">
        <v>750</v>
      </c>
      <c r="BB872">
        <v>44</v>
      </c>
      <c r="BD872">
        <v>1</v>
      </c>
      <c r="BF872" t="s">
        <v>996</v>
      </c>
      <c r="BG872" s="1">
        <v>44354.009027777778</v>
      </c>
      <c r="BH872" s="1">
        <v>44354.015972222223</v>
      </c>
      <c r="BI872" s="1">
        <v>44354.016956018517</v>
      </c>
      <c r="BJ872" t="s">
        <v>85</v>
      </c>
      <c r="BK872" t="s">
        <v>86</v>
      </c>
      <c r="BL872" t="s">
        <v>87</v>
      </c>
    </row>
    <row r="873" spans="1:64" x14ac:dyDescent="0.3">
      <c r="A873" t="str">
        <f>"200481C0300"</f>
        <v>200481C0300</v>
      </c>
      <c r="B873" t="str">
        <f>"200481C03003"</f>
        <v>200481C03003</v>
      </c>
      <c r="C873" t="str">
        <f t="shared" si="55"/>
        <v>20</v>
      </c>
      <c r="D873" t="s">
        <v>81</v>
      </c>
      <c r="E873" t="str">
        <f t="shared" si="53"/>
        <v>066</v>
      </c>
      <c r="F873" t="s">
        <v>951</v>
      </c>
      <c r="G873" t="str">
        <f>"0481"</f>
        <v>0481</v>
      </c>
      <c r="H873" t="str">
        <f>"0003"</f>
        <v>0003</v>
      </c>
      <c r="I873" t="s">
        <v>89</v>
      </c>
      <c r="J873">
        <v>0</v>
      </c>
      <c r="K873">
        <v>1</v>
      </c>
      <c r="L873">
        <v>3</v>
      </c>
      <c r="M873">
        <v>365</v>
      </c>
      <c r="N873">
        <v>429</v>
      </c>
      <c r="O873">
        <v>3</v>
      </c>
      <c r="P873">
        <v>429</v>
      </c>
      <c r="Q873">
        <v>49</v>
      </c>
      <c r="R873">
        <v>141</v>
      </c>
      <c r="S873">
        <v>2</v>
      </c>
      <c r="T873">
        <v>7</v>
      </c>
      <c r="U873">
        <v>9</v>
      </c>
      <c r="V873">
        <v>4</v>
      </c>
      <c r="W873">
        <v>4</v>
      </c>
      <c r="X873">
        <v>175</v>
      </c>
      <c r="Y873">
        <v>7</v>
      </c>
      <c r="Z873">
        <v>7</v>
      </c>
      <c r="AA873">
        <v>3</v>
      </c>
      <c r="AB873">
        <v>8</v>
      </c>
      <c r="AK873">
        <v>4</v>
      </c>
      <c r="AO873">
        <v>3</v>
      </c>
      <c r="AP873">
        <v>0</v>
      </c>
      <c r="AR873">
        <v>0</v>
      </c>
      <c r="AU873">
        <v>0</v>
      </c>
      <c r="AW873">
        <v>0</v>
      </c>
      <c r="AX873">
        <v>6</v>
      </c>
      <c r="AY873">
        <v>429</v>
      </c>
      <c r="AZ873">
        <v>429</v>
      </c>
      <c r="BA873">
        <v>750</v>
      </c>
      <c r="BB873">
        <v>44</v>
      </c>
      <c r="BD873">
        <v>1</v>
      </c>
      <c r="BF873" t="s">
        <v>997</v>
      </c>
      <c r="BG873" s="1">
        <v>44354.005555555559</v>
      </c>
      <c r="BH873" s="1">
        <v>44354.011365740742</v>
      </c>
      <c r="BI873" s="1">
        <v>44354.011956018519</v>
      </c>
      <c r="BJ873" t="s">
        <v>85</v>
      </c>
      <c r="BK873" t="s">
        <v>86</v>
      </c>
      <c r="BL873" t="s">
        <v>87</v>
      </c>
    </row>
    <row r="874" spans="1:64" x14ac:dyDescent="0.3">
      <c r="A874" t="str">
        <f>"200481C0400"</f>
        <v>200481C0400</v>
      </c>
      <c r="B874" t="str">
        <f>"200481C04003"</f>
        <v>200481C04003</v>
      </c>
      <c r="C874" t="str">
        <f t="shared" si="55"/>
        <v>20</v>
      </c>
      <c r="D874" t="s">
        <v>81</v>
      </c>
      <c r="E874" t="str">
        <f t="shared" si="53"/>
        <v>066</v>
      </c>
      <c r="F874" t="s">
        <v>951</v>
      </c>
      <c r="G874" t="str">
        <f>"0481"</f>
        <v>0481</v>
      </c>
      <c r="H874" t="str">
        <f>"0004"</f>
        <v>0004</v>
      </c>
      <c r="I874" t="s">
        <v>89</v>
      </c>
      <c r="J874">
        <v>0</v>
      </c>
      <c r="K874">
        <v>1</v>
      </c>
      <c r="L874">
        <v>3</v>
      </c>
      <c r="M874">
        <v>343</v>
      </c>
      <c r="N874">
        <v>449</v>
      </c>
      <c r="O874">
        <v>2</v>
      </c>
      <c r="P874">
        <v>449</v>
      </c>
      <c r="Q874">
        <v>53</v>
      </c>
      <c r="R874">
        <v>144</v>
      </c>
      <c r="S874">
        <v>4</v>
      </c>
      <c r="T874">
        <v>2</v>
      </c>
      <c r="U874">
        <v>12</v>
      </c>
      <c r="V874">
        <v>5</v>
      </c>
      <c r="W874">
        <v>0</v>
      </c>
      <c r="X874">
        <v>203</v>
      </c>
      <c r="Y874">
        <v>0</v>
      </c>
      <c r="Z874">
        <v>1</v>
      </c>
      <c r="AA874">
        <v>6</v>
      </c>
      <c r="AB874">
        <v>11</v>
      </c>
      <c r="AK874">
        <v>4</v>
      </c>
      <c r="AO874">
        <v>0</v>
      </c>
      <c r="AP874">
        <v>0</v>
      </c>
      <c r="AR874">
        <v>0</v>
      </c>
      <c r="AU874">
        <v>0</v>
      </c>
      <c r="AW874" t="s">
        <v>95</v>
      </c>
      <c r="AX874">
        <v>4</v>
      </c>
      <c r="AY874">
        <v>449</v>
      </c>
      <c r="AZ874">
        <v>449</v>
      </c>
      <c r="BA874">
        <v>750</v>
      </c>
      <c r="BB874">
        <v>44</v>
      </c>
      <c r="BC874" t="s">
        <v>96</v>
      </c>
      <c r="BD874">
        <v>1</v>
      </c>
      <c r="BF874" t="s">
        <v>998</v>
      </c>
      <c r="BG874" s="1">
        <v>44354.004166666666</v>
      </c>
      <c r="BH874" s="1">
        <v>44354.015706018516</v>
      </c>
      <c r="BI874" s="1">
        <v>44354.01635416667</v>
      </c>
      <c r="BJ874" t="s">
        <v>85</v>
      </c>
      <c r="BK874" t="s">
        <v>86</v>
      </c>
      <c r="BL874" t="s">
        <v>87</v>
      </c>
    </row>
    <row r="875" spans="1:64" x14ac:dyDescent="0.3">
      <c r="A875" t="str">
        <f>"200483B0000"</f>
        <v>200483B0000</v>
      </c>
      <c r="B875" t="str">
        <f>"200483B00003"</f>
        <v>200483B00003</v>
      </c>
      <c r="C875" t="str">
        <f t="shared" si="55"/>
        <v>20</v>
      </c>
      <c r="D875" t="s">
        <v>81</v>
      </c>
      <c r="E875" t="str">
        <f t="shared" si="53"/>
        <v>066</v>
      </c>
      <c r="F875" t="s">
        <v>951</v>
      </c>
      <c r="G875" t="str">
        <f>"0483"</f>
        <v>0483</v>
      </c>
      <c r="H875" t="str">
        <f>"0000"</f>
        <v>0000</v>
      </c>
      <c r="I875" t="s">
        <v>83</v>
      </c>
      <c r="J875">
        <v>0</v>
      </c>
      <c r="K875">
        <v>1</v>
      </c>
      <c r="L875">
        <v>3</v>
      </c>
      <c r="M875">
        <v>284</v>
      </c>
      <c r="N875">
        <v>307</v>
      </c>
      <c r="O875">
        <v>5</v>
      </c>
      <c r="P875">
        <v>307</v>
      </c>
      <c r="Q875">
        <v>19</v>
      </c>
      <c r="R875">
        <v>70</v>
      </c>
      <c r="S875">
        <v>3</v>
      </c>
      <c r="T875">
        <v>3</v>
      </c>
      <c r="U875">
        <v>8</v>
      </c>
      <c r="V875">
        <v>9</v>
      </c>
      <c r="W875">
        <v>1</v>
      </c>
      <c r="X875">
        <v>168</v>
      </c>
      <c r="Y875">
        <v>3</v>
      </c>
      <c r="Z875">
        <v>6</v>
      </c>
      <c r="AA875">
        <v>4</v>
      </c>
      <c r="AB875">
        <v>2</v>
      </c>
      <c r="AK875">
        <v>4</v>
      </c>
      <c r="AO875">
        <v>0</v>
      </c>
      <c r="AP875">
        <v>0</v>
      </c>
      <c r="AR875">
        <v>0</v>
      </c>
      <c r="AU875">
        <v>0</v>
      </c>
      <c r="AW875">
        <v>0</v>
      </c>
      <c r="AX875">
        <v>7</v>
      </c>
      <c r="AY875">
        <v>307</v>
      </c>
      <c r="AZ875">
        <v>307</v>
      </c>
      <c r="BA875">
        <v>547</v>
      </c>
      <c r="BB875">
        <v>44</v>
      </c>
      <c r="BD875">
        <v>1</v>
      </c>
      <c r="BF875" t="s">
        <v>999</v>
      </c>
      <c r="BG875" s="1">
        <v>44353.924305555556</v>
      </c>
      <c r="BH875" s="1">
        <v>44353.928252314814</v>
      </c>
      <c r="BI875" s="1">
        <v>44353.928819444445</v>
      </c>
      <c r="BJ875" t="s">
        <v>85</v>
      </c>
      <c r="BK875" t="s">
        <v>86</v>
      </c>
      <c r="BL875" t="s">
        <v>87</v>
      </c>
    </row>
    <row r="876" spans="1:64" x14ac:dyDescent="0.3">
      <c r="A876" t="str">
        <f>"200483C0100"</f>
        <v>200483C0100</v>
      </c>
      <c r="B876" t="str">
        <f>"200483C01003"</f>
        <v>200483C01003</v>
      </c>
      <c r="C876" t="str">
        <f t="shared" si="55"/>
        <v>20</v>
      </c>
      <c r="D876" t="s">
        <v>81</v>
      </c>
      <c r="E876" t="str">
        <f t="shared" si="53"/>
        <v>066</v>
      </c>
      <c r="F876" t="s">
        <v>951</v>
      </c>
      <c r="G876" t="str">
        <f>"0483"</f>
        <v>0483</v>
      </c>
      <c r="H876" t="str">
        <f>"0001"</f>
        <v>0001</v>
      </c>
      <c r="I876" t="s">
        <v>89</v>
      </c>
      <c r="J876">
        <v>0</v>
      </c>
      <c r="K876">
        <v>1</v>
      </c>
      <c r="L876">
        <v>3</v>
      </c>
      <c r="M876">
        <v>308</v>
      </c>
      <c r="N876">
        <v>282</v>
      </c>
      <c r="O876">
        <v>3</v>
      </c>
      <c r="P876">
        <v>282</v>
      </c>
      <c r="Q876">
        <v>20</v>
      </c>
      <c r="R876">
        <v>43</v>
      </c>
      <c r="S876">
        <v>0</v>
      </c>
      <c r="T876">
        <v>2</v>
      </c>
      <c r="U876">
        <v>3</v>
      </c>
      <c r="V876">
        <v>2</v>
      </c>
      <c r="W876">
        <v>0</v>
      </c>
      <c r="X876">
        <v>178</v>
      </c>
      <c r="Y876">
        <v>8</v>
      </c>
      <c r="Z876">
        <v>8</v>
      </c>
      <c r="AA876">
        <v>0</v>
      </c>
      <c r="AB876">
        <v>6</v>
      </c>
      <c r="AK876">
        <v>3</v>
      </c>
      <c r="AO876">
        <v>2</v>
      </c>
      <c r="AP876">
        <v>0</v>
      </c>
      <c r="AR876">
        <v>1</v>
      </c>
      <c r="AU876">
        <v>0</v>
      </c>
      <c r="AW876">
        <v>0</v>
      </c>
      <c r="AX876">
        <v>6</v>
      </c>
      <c r="AY876">
        <v>282</v>
      </c>
      <c r="AZ876">
        <v>282</v>
      </c>
      <c r="BA876">
        <v>546</v>
      </c>
      <c r="BB876">
        <v>44</v>
      </c>
      <c r="BD876">
        <v>1</v>
      </c>
      <c r="BF876" t="s">
        <v>1000</v>
      </c>
      <c r="BG876" s="1">
        <v>44353.924305555556</v>
      </c>
      <c r="BH876" s="1">
        <v>44353.929768518516</v>
      </c>
      <c r="BI876" s="1">
        <v>44353.930347222224</v>
      </c>
      <c r="BJ876" t="s">
        <v>85</v>
      </c>
      <c r="BK876" t="s">
        <v>86</v>
      </c>
      <c r="BL876" t="s">
        <v>87</v>
      </c>
    </row>
    <row r="877" spans="1:64" x14ac:dyDescent="0.3">
      <c r="A877" t="str">
        <f>"200483C0200"</f>
        <v>200483C0200</v>
      </c>
      <c r="B877" t="str">
        <f>"200483C02003"</f>
        <v>200483C02003</v>
      </c>
      <c r="C877" t="str">
        <f t="shared" si="55"/>
        <v>20</v>
      </c>
      <c r="D877" t="s">
        <v>81</v>
      </c>
      <c r="E877" t="str">
        <f t="shared" si="53"/>
        <v>066</v>
      </c>
      <c r="F877" t="s">
        <v>951</v>
      </c>
      <c r="G877" t="str">
        <f>"0483"</f>
        <v>0483</v>
      </c>
      <c r="H877" t="str">
        <f>"0002"</f>
        <v>0002</v>
      </c>
      <c r="I877" t="s">
        <v>89</v>
      </c>
      <c r="J877">
        <v>0</v>
      </c>
      <c r="K877">
        <v>1</v>
      </c>
      <c r="L877">
        <v>3</v>
      </c>
      <c r="M877">
        <v>293</v>
      </c>
      <c r="N877">
        <v>297</v>
      </c>
      <c r="O877">
        <v>5</v>
      </c>
      <c r="P877">
        <v>297</v>
      </c>
      <c r="Q877">
        <v>16</v>
      </c>
      <c r="R877">
        <v>69</v>
      </c>
      <c r="S877">
        <v>0</v>
      </c>
      <c r="T877">
        <v>4</v>
      </c>
      <c r="U877">
        <v>6</v>
      </c>
      <c r="V877">
        <v>9</v>
      </c>
      <c r="W877">
        <v>0</v>
      </c>
      <c r="X877">
        <v>174</v>
      </c>
      <c r="Y877">
        <v>1</v>
      </c>
      <c r="Z877">
        <v>1</v>
      </c>
      <c r="AA877">
        <v>1</v>
      </c>
      <c r="AB877">
        <v>6</v>
      </c>
      <c r="AK877">
        <v>3</v>
      </c>
      <c r="AO877">
        <v>0</v>
      </c>
      <c r="AP877">
        <v>0</v>
      </c>
      <c r="AR877">
        <v>0</v>
      </c>
      <c r="AU877">
        <v>1</v>
      </c>
      <c r="AW877">
        <v>1</v>
      </c>
      <c r="AX877">
        <v>5</v>
      </c>
      <c r="AY877">
        <v>297</v>
      </c>
      <c r="AZ877">
        <v>297</v>
      </c>
      <c r="BA877">
        <v>546</v>
      </c>
      <c r="BB877">
        <v>44</v>
      </c>
      <c r="BD877">
        <v>1</v>
      </c>
      <c r="BF877" t="s">
        <v>1001</v>
      </c>
      <c r="BG877" s="1">
        <v>44353.924305555556</v>
      </c>
      <c r="BH877" s="1">
        <v>44353.932534722226</v>
      </c>
      <c r="BI877" s="1">
        <v>44353.933136574073</v>
      </c>
      <c r="BJ877" t="s">
        <v>85</v>
      </c>
      <c r="BK877" t="s">
        <v>86</v>
      </c>
      <c r="BL877" t="s">
        <v>87</v>
      </c>
    </row>
    <row r="878" spans="1:64" x14ac:dyDescent="0.3">
      <c r="A878" t="str">
        <f>"200484B0000"</f>
        <v>200484B0000</v>
      </c>
      <c r="B878" t="str">
        <f>"200484B00003"</f>
        <v>200484B00003</v>
      </c>
      <c r="C878" t="str">
        <f t="shared" si="55"/>
        <v>20</v>
      </c>
      <c r="D878" t="s">
        <v>81</v>
      </c>
      <c r="E878" t="str">
        <f t="shared" si="53"/>
        <v>066</v>
      </c>
      <c r="F878" t="s">
        <v>951</v>
      </c>
      <c r="G878" t="str">
        <f>"0484"</f>
        <v>0484</v>
      </c>
      <c r="H878" t="str">
        <f>"0000"</f>
        <v>0000</v>
      </c>
      <c r="I878" t="s">
        <v>83</v>
      </c>
      <c r="J878">
        <v>0</v>
      </c>
      <c r="K878">
        <v>1</v>
      </c>
      <c r="L878">
        <v>3</v>
      </c>
      <c r="M878">
        <v>356</v>
      </c>
      <c r="N878">
        <v>410</v>
      </c>
      <c r="O878">
        <v>8</v>
      </c>
      <c r="P878">
        <v>408</v>
      </c>
      <c r="Q878" t="s">
        <v>131</v>
      </c>
      <c r="R878" t="s">
        <v>131</v>
      </c>
      <c r="S878">
        <v>1</v>
      </c>
      <c r="T878">
        <v>4</v>
      </c>
      <c r="U878">
        <v>6</v>
      </c>
      <c r="V878">
        <v>7</v>
      </c>
      <c r="W878">
        <v>2</v>
      </c>
      <c r="X878">
        <v>243</v>
      </c>
      <c r="Y878">
        <v>9</v>
      </c>
      <c r="Z878">
        <v>8</v>
      </c>
      <c r="AA878">
        <v>2</v>
      </c>
      <c r="AB878">
        <v>9</v>
      </c>
      <c r="AK878">
        <v>4</v>
      </c>
      <c r="AO878">
        <v>2</v>
      </c>
      <c r="AP878">
        <v>0</v>
      </c>
      <c r="AR878">
        <v>0</v>
      </c>
      <c r="AU878">
        <v>1</v>
      </c>
      <c r="AW878">
        <v>0</v>
      </c>
      <c r="AX878">
        <v>15</v>
      </c>
      <c r="AY878">
        <v>408</v>
      </c>
      <c r="AZ878">
        <v>313</v>
      </c>
      <c r="BA878">
        <v>720</v>
      </c>
      <c r="BB878">
        <v>44</v>
      </c>
      <c r="BC878" t="s">
        <v>96</v>
      </c>
      <c r="BD878">
        <v>1</v>
      </c>
      <c r="BF878" t="s">
        <v>1002</v>
      </c>
      <c r="BG878" s="1">
        <v>44354.125</v>
      </c>
      <c r="BH878" s="1">
        <v>44354.126736111109</v>
      </c>
      <c r="BI878" s="1">
        <v>44354.128530092596</v>
      </c>
      <c r="BJ878" t="s">
        <v>85</v>
      </c>
      <c r="BK878" t="s">
        <v>86</v>
      </c>
      <c r="BL878" t="s">
        <v>87</v>
      </c>
    </row>
    <row r="879" spans="1:64" x14ac:dyDescent="0.3">
      <c r="A879" t="str">
        <f>"200484C0100"</f>
        <v>200484C0100</v>
      </c>
      <c r="B879" t="str">
        <f>"200484C01003"</f>
        <v>200484C01003</v>
      </c>
      <c r="C879" t="str">
        <f t="shared" si="55"/>
        <v>20</v>
      </c>
      <c r="D879" t="s">
        <v>81</v>
      </c>
      <c r="E879" t="str">
        <f t="shared" si="53"/>
        <v>066</v>
      </c>
      <c r="F879" t="s">
        <v>951</v>
      </c>
      <c r="G879" t="str">
        <f>"0484"</f>
        <v>0484</v>
      </c>
      <c r="H879" t="str">
        <f>"0001"</f>
        <v>0001</v>
      </c>
      <c r="I879" t="s">
        <v>89</v>
      </c>
      <c r="J879">
        <v>0</v>
      </c>
      <c r="K879">
        <v>1</v>
      </c>
      <c r="L879">
        <v>3</v>
      </c>
      <c r="M879">
        <v>371</v>
      </c>
      <c r="N879">
        <v>389</v>
      </c>
      <c r="O879">
        <v>3</v>
      </c>
      <c r="P879" t="s">
        <v>92</v>
      </c>
      <c r="Q879">
        <v>23</v>
      </c>
      <c r="R879">
        <v>94</v>
      </c>
      <c r="S879">
        <v>0</v>
      </c>
      <c r="T879">
        <v>9</v>
      </c>
      <c r="U879">
        <v>8</v>
      </c>
      <c r="V879">
        <v>3</v>
      </c>
      <c r="W879">
        <v>3</v>
      </c>
      <c r="X879">
        <v>226</v>
      </c>
      <c r="Y879">
        <v>5</v>
      </c>
      <c r="Z879">
        <v>5</v>
      </c>
      <c r="AA879">
        <v>2</v>
      </c>
      <c r="AB879">
        <v>5</v>
      </c>
      <c r="AK879">
        <v>2</v>
      </c>
      <c r="AO879">
        <v>0</v>
      </c>
      <c r="AP879">
        <v>1</v>
      </c>
      <c r="AR879">
        <v>1</v>
      </c>
      <c r="AU879">
        <v>0</v>
      </c>
      <c r="AW879">
        <v>0</v>
      </c>
      <c r="AX879">
        <v>2</v>
      </c>
      <c r="AY879">
        <v>389</v>
      </c>
      <c r="AZ879">
        <v>389</v>
      </c>
      <c r="BA879">
        <v>720</v>
      </c>
      <c r="BB879">
        <v>44</v>
      </c>
      <c r="BD879">
        <v>1</v>
      </c>
      <c r="BF879" t="s">
        <v>1003</v>
      </c>
      <c r="BG879" s="1">
        <v>44354.130555555559</v>
      </c>
      <c r="BH879" s="1">
        <v>44354.132604166669</v>
      </c>
      <c r="BI879" s="1">
        <v>44354.133032407408</v>
      </c>
      <c r="BJ879" t="s">
        <v>85</v>
      </c>
      <c r="BK879" t="s">
        <v>86</v>
      </c>
      <c r="BL879" t="s">
        <v>87</v>
      </c>
    </row>
    <row r="880" spans="1:64" x14ac:dyDescent="0.3">
      <c r="A880" t="str">
        <f>"200485B0000"</f>
        <v>200485B0000</v>
      </c>
      <c r="B880" t="str">
        <f>"200485B00003"</f>
        <v>200485B00003</v>
      </c>
      <c r="C880" t="str">
        <f t="shared" si="55"/>
        <v>20</v>
      </c>
      <c r="D880" t="s">
        <v>81</v>
      </c>
      <c r="E880" t="str">
        <f t="shared" si="53"/>
        <v>066</v>
      </c>
      <c r="F880" t="s">
        <v>951</v>
      </c>
      <c r="G880" t="str">
        <f>"0485"</f>
        <v>0485</v>
      </c>
      <c r="H880" t="str">
        <f>"0000"</f>
        <v>0000</v>
      </c>
      <c r="I880" t="s">
        <v>83</v>
      </c>
      <c r="J880">
        <v>0</v>
      </c>
      <c r="K880">
        <v>1</v>
      </c>
      <c r="L880">
        <v>3</v>
      </c>
      <c r="M880">
        <v>317</v>
      </c>
      <c r="N880">
        <v>382</v>
      </c>
      <c r="O880">
        <v>3</v>
      </c>
      <c r="P880">
        <v>381</v>
      </c>
      <c r="Q880">
        <v>14</v>
      </c>
      <c r="R880">
        <v>91</v>
      </c>
      <c r="S880">
        <v>3</v>
      </c>
      <c r="T880">
        <v>6</v>
      </c>
      <c r="U880">
        <v>6</v>
      </c>
      <c r="V880">
        <v>8</v>
      </c>
      <c r="W880">
        <v>3</v>
      </c>
      <c r="X880">
        <v>224</v>
      </c>
      <c r="Y880">
        <v>3</v>
      </c>
      <c r="Z880">
        <v>5</v>
      </c>
      <c r="AA880">
        <v>3</v>
      </c>
      <c r="AB880">
        <v>7</v>
      </c>
      <c r="AK880">
        <v>3</v>
      </c>
      <c r="AO880">
        <v>0</v>
      </c>
      <c r="AP880">
        <v>0</v>
      </c>
      <c r="AR880">
        <v>0</v>
      </c>
      <c r="AU880">
        <v>0</v>
      </c>
      <c r="AW880">
        <v>0</v>
      </c>
      <c r="AX880">
        <v>5</v>
      </c>
      <c r="AY880">
        <v>381</v>
      </c>
      <c r="AZ880">
        <v>381</v>
      </c>
      <c r="BA880">
        <v>655</v>
      </c>
      <c r="BB880">
        <v>44</v>
      </c>
      <c r="BD880">
        <v>1</v>
      </c>
      <c r="BF880" t="s">
        <v>1004</v>
      </c>
      <c r="BG880" s="1">
        <v>44354.043055555558</v>
      </c>
      <c r="BH880" s="1">
        <v>44354.052476851852</v>
      </c>
      <c r="BI880" s="1">
        <v>44354.052893518521</v>
      </c>
      <c r="BJ880" t="s">
        <v>85</v>
      </c>
      <c r="BK880" t="s">
        <v>86</v>
      </c>
      <c r="BL880" t="s">
        <v>87</v>
      </c>
    </row>
    <row r="881" spans="1:64" x14ac:dyDescent="0.3">
      <c r="A881" t="str">
        <f>"200485C0100"</f>
        <v>200485C0100</v>
      </c>
      <c r="B881" t="str">
        <f>"200485C01003"</f>
        <v>200485C01003</v>
      </c>
      <c r="C881" t="str">
        <f t="shared" si="55"/>
        <v>20</v>
      </c>
      <c r="D881" t="s">
        <v>81</v>
      </c>
      <c r="E881" t="str">
        <f t="shared" si="53"/>
        <v>066</v>
      </c>
      <c r="F881" t="s">
        <v>951</v>
      </c>
      <c r="G881" t="str">
        <f>"0485"</f>
        <v>0485</v>
      </c>
      <c r="H881" t="str">
        <f>"0001"</f>
        <v>0001</v>
      </c>
      <c r="I881" t="s">
        <v>89</v>
      </c>
      <c r="J881">
        <v>0</v>
      </c>
      <c r="K881">
        <v>1</v>
      </c>
      <c r="L881">
        <v>3</v>
      </c>
      <c r="M881">
        <v>295</v>
      </c>
      <c r="N881">
        <v>403</v>
      </c>
      <c r="O881">
        <v>8</v>
      </c>
      <c r="P881">
        <v>403</v>
      </c>
      <c r="Q881">
        <v>22</v>
      </c>
      <c r="R881">
        <v>103</v>
      </c>
      <c r="S881">
        <v>7</v>
      </c>
      <c r="T881">
        <v>5</v>
      </c>
      <c r="U881">
        <v>7</v>
      </c>
      <c r="V881">
        <v>11</v>
      </c>
      <c r="W881">
        <v>1</v>
      </c>
      <c r="X881">
        <v>212</v>
      </c>
      <c r="Y881">
        <v>5</v>
      </c>
      <c r="Z881">
        <v>6</v>
      </c>
      <c r="AA881">
        <v>5</v>
      </c>
      <c r="AB881">
        <v>8</v>
      </c>
      <c r="AK881">
        <v>1</v>
      </c>
      <c r="AO881">
        <v>0</v>
      </c>
      <c r="AP881">
        <v>0</v>
      </c>
      <c r="AR881">
        <v>0</v>
      </c>
      <c r="AU881">
        <v>0</v>
      </c>
      <c r="AW881">
        <v>0</v>
      </c>
      <c r="AX881">
        <v>10</v>
      </c>
      <c r="AY881">
        <v>403</v>
      </c>
      <c r="AZ881">
        <v>403</v>
      </c>
      <c r="BA881">
        <v>654</v>
      </c>
      <c r="BB881">
        <v>44</v>
      </c>
      <c r="BD881">
        <v>1</v>
      </c>
      <c r="BF881" t="s">
        <v>1005</v>
      </c>
      <c r="BG881" s="1">
        <v>44354.056250000001</v>
      </c>
      <c r="BH881" s="1">
        <v>44354.067928240744</v>
      </c>
      <c r="BI881" s="1">
        <v>44354.068402777775</v>
      </c>
      <c r="BJ881" t="s">
        <v>85</v>
      </c>
      <c r="BK881" t="s">
        <v>86</v>
      </c>
      <c r="BL881" t="s">
        <v>87</v>
      </c>
    </row>
    <row r="882" spans="1:64" x14ac:dyDescent="0.3">
      <c r="A882" t="str">
        <f>"200486B0000"</f>
        <v>200486B0000</v>
      </c>
      <c r="B882" t="str">
        <f>"200486B00003"</f>
        <v>200486B00003</v>
      </c>
      <c r="C882" t="str">
        <f t="shared" si="55"/>
        <v>20</v>
      </c>
      <c r="D882" t="s">
        <v>81</v>
      </c>
      <c r="E882" t="str">
        <f t="shared" si="53"/>
        <v>066</v>
      </c>
      <c r="F882" t="s">
        <v>951</v>
      </c>
      <c r="G882" t="str">
        <f>"0486"</f>
        <v>0486</v>
      </c>
      <c r="H882" t="str">
        <f>"0000"</f>
        <v>0000</v>
      </c>
      <c r="I882" t="s">
        <v>83</v>
      </c>
      <c r="J882">
        <v>0</v>
      </c>
      <c r="K882">
        <v>1</v>
      </c>
      <c r="L882">
        <v>3</v>
      </c>
      <c r="M882">
        <v>338</v>
      </c>
      <c r="N882">
        <v>326</v>
      </c>
      <c r="O882">
        <v>7</v>
      </c>
      <c r="P882">
        <v>326</v>
      </c>
      <c r="Q882">
        <v>16</v>
      </c>
      <c r="R882">
        <v>57</v>
      </c>
      <c r="S882">
        <v>0</v>
      </c>
      <c r="T882">
        <v>2</v>
      </c>
      <c r="U882">
        <v>16</v>
      </c>
      <c r="V882">
        <v>9</v>
      </c>
      <c r="W882">
        <v>0</v>
      </c>
      <c r="X882">
        <v>193</v>
      </c>
      <c r="Y882">
        <v>4</v>
      </c>
      <c r="Z882">
        <v>7</v>
      </c>
      <c r="AA882">
        <v>5</v>
      </c>
      <c r="AB882">
        <v>7</v>
      </c>
      <c r="AK882">
        <v>1</v>
      </c>
      <c r="AO882">
        <v>0</v>
      </c>
      <c r="AP882">
        <v>0</v>
      </c>
      <c r="AR882">
        <v>0</v>
      </c>
      <c r="AU882">
        <v>0</v>
      </c>
      <c r="AW882">
        <v>0</v>
      </c>
      <c r="AX882">
        <v>9</v>
      </c>
      <c r="AY882">
        <v>326</v>
      </c>
      <c r="AZ882">
        <v>326</v>
      </c>
      <c r="BA882">
        <v>620</v>
      </c>
      <c r="BB882">
        <v>44</v>
      </c>
      <c r="BD882">
        <v>1</v>
      </c>
      <c r="BF882" t="s">
        <v>1006</v>
      </c>
      <c r="BG882" s="1">
        <v>44354.015277777777</v>
      </c>
      <c r="BH882" s="1">
        <v>44354.022650462961</v>
      </c>
      <c r="BI882" s="1">
        <v>44354.023009259261</v>
      </c>
      <c r="BJ882" t="s">
        <v>85</v>
      </c>
      <c r="BK882" t="s">
        <v>86</v>
      </c>
      <c r="BL882" t="s">
        <v>87</v>
      </c>
    </row>
    <row r="883" spans="1:64" x14ac:dyDescent="0.3">
      <c r="A883" t="str">
        <f>"200486C0100"</f>
        <v>200486C0100</v>
      </c>
      <c r="B883" t="str">
        <f>"200486C01003"</f>
        <v>200486C01003</v>
      </c>
      <c r="C883" t="str">
        <f t="shared" si="55"/>
        <v>20</v>
      </c>
      <c r="D883" t="s">
        <v>81</v>
      </c>
      <c r="E883" t="str">
        <f t="shared" si="53"/>
        <v>066</v>
      </c>
      <c r="F883" t="s">
        <v>951</v>
      </c>
      <c r="G883" t="str">
        <f>"0486"</f>
        <v>0486</v>
      </c>
      <c r="H883" t="str">
        <f>"0001"</f>
        <v>0001</v>
      </c>
      <c r="I883" t="s">
        <v>89</v>
      </c>
      <c r="J883">
        <v>0</v>
      </c>
      <c r="K883">
        <v>1</v>
      </c>
      <c r="L883">
        <v>3</v>
      </c>
      <c r="M883">
        <v>326</v>
      </c>
      <c r="N883">
        <v>337</v>
      </c>
      <c r="O883">
        <v>7</v>
      </c>
      <c r="P883">
        <v>337</v>
      </c>
      <c r="Q883">
        <v>14</v>
      </c>
      <c r="R883">
        <v>66</v>
      </c>
      <c r="S883">
        <v>2</v>
      </c>
      <c r="T883">
        <v>3</v>
      </c>
      <c r="U883">
        <v>11</v>
      </c>
      <c r="V883">
        <v>11</v>
      </c>
      <c r="W883">
        <v>2</v>
      </c>
      <c r="X883">
        <v>194</v>
      </c>
      <c r="Y883">
        <v>0</v>
      </c>
      <c r="Z883">
        <v>5</v>
      </c>
      <c r="AA883">
        <v>4</v>
      </c>
      <c r="AB883">
        <v>7</v>
      </c>
      <c r="AK883">
        <v>1</v>
      </c>
      <c r="AO883">
        <v>2</v>
      </c>
      <c r="AP883">
        <v>0</v>
      </c>
      <c r="AR883">
        <v>0</v>
      </c>
      <c r="AU883">
        <v>0</v>
      </c>
      <c r="AW883">
        <v>2</v>
      </c>
      <c r="AX883">
        <v>13</v>
      </c>
      <c r="AY883">
        <v>337</v>
      </c>
      <c r="AZ883">
        <v>337</v>
      </c>
      <c r="BA883">
        <v>619</v>
      </c>
      <c r="BB883">
        <v>44</v>
      </c>
      <c r="BD883">
        <v>1</v>
      </c>
      <c r="BF883" t="s">
        <v>1007</v>
      </c>
      <c r="BG883" s="1">
        <v>44354.027083333334</v>
      </c>
      <c r="BH883" s="1">
        <v>44354.033506944441</v>
      </c>
      <c r="BI883" s="1">
        <v>44354.034062500003</v>
      </c>
      <c r="BJ883" t="s">
        <v>85</v>
      </c>
      <c r="BK883" t="s">
        <v>86</v>
      </c>
      <c r="BL883" t="s">
        <v>87</v>
      </c>
    </row>
    <row r="884" spans="1:64" x14ac:dyDescent="0.3">
      <c r="A884" t="str">
        <f>"200487B0000"</f>
        <v>200487B0000</v>
      </c>
      <c r="B884" t="str">
        <f>"200487B00003"</f>
        <v>200487B00003</v>
      </c>
      <c r="C884" t="str">
        <f t="shared" si="55"/>
        <v>20</v>
      </c>
      <c r="D884" t="s">
        <v>81</v>
      </c>
      <c r="E884" t="str">
        <f t="shared" si="53"/>
        <v>066</v>
      </c>
      <c r="F884" t="s">
        <v>951</v>
      </c>
      <c r="G884" t="str">
        <f>"0487"</f>
        <v>0487</v>
      </c>
      <c r="H884" t="str">
        <f>"0000"</f>
        <v>0000</v>
      </c>
      <c r="I884" t="s">
        <v>83</v>
      </c>
      <c r="J884">
        <v>0</v>
      </c>
      <c r="K884">
        <v>1</v>
      </c>
      <c r="L884">
        <v>3</v>
      </c>
      <c r="M884">
        <v>407</v>
      </c>
      <c r="N884">
        <v>288</v>
      </c>
      <c r="O884">
        <v>6</v>
      </c>
      <c r="P884">
        <v>288</v>
      </c>
      <c r="Q884">
        <v>21</v>
      </c>
      <c r="R884">
        <v>59</v>
      </c>
      <c r="S884">
        <v>1</v>
      </c>
      <c r="T884">
        <v>4</v>
      </c>
      <c r="U884">
        <v>5</v>
      </c>
      <c r="V884">
        <v>3</v>
      </c>
      <c r="W884">
        <v>2</v>
      </c>
      <c r="X884">
        <v>156</v>
      </c>
      <c r="Y884">
        <v>7</v>
      </c>
      <c r="Z884">
        <v>13</v>
      </c>
      <c r="AA884">
        <v>3</v>
      </c>
      <c r="AB884">
        <v>5</v>
      </c>
      <c r="AK884">
        <v>2</v>
      </c>
      <c r="AO884">
        <v>0</v>
      </c>
      <c r="AP884">
        <v>0</v>
      </c>
      <c r="AR884">
        <v>0</v>
      </c>
      <c r="AU884">
        <v>0</v>
      </c>
      <c r="AW884">
        <v>0</v>
      </c>
      <c r="AX884">
        <v>7</v>
      </c>
      <c r="AY884">
        <v>288</v>
      </c>
      <c r="AZ884">
        <v>288</v>
      </c>
      <c r="BA884">
        <v>652</v>
      </c>
      <c r="BB884">
        <v>44</v>
      </c>
      <c r="BD884">
        <v>1</v>
      </c>
      <c r="BF884" t="s">
        <v>1008</v>
      </c>
      <c r="BG884" s="1">
        <v>44354.026388888888</v>
      </c>
      <c r="BH884" s="1">
        <v>44354.040578703702</v>
      </c>
      <c r="BI884" s="1">
        <v>44354.041192129633</v>
      </c>
      <c r="BJ884" t="s">
        <v>85</v>
      </c>
      <c r="BK884" t="s">
        <v>86</v>
      </c>
      <c r="BL884" t="s">
        <v>87</v>
      </c>
    </row>
    <row r="885" spans="1:64" x14ac:dyDescent="0.3">
      <c r="A885" t="str">
        <f>"200487C0100"</f>
        <v>200487C0100</v>
      </c>
      <c r="B885" t="str">
        <f>"200487C01003"</f>
        <v>200487C01003</v>
      </c>
      <c r="C885" t="str">
        <f t="shared" si="55"/>
        <v>20</v>
      </c>
      <c r="D885" t="s">
        <v>81</v>
      </c>
      <c r="E885" t="str">
        <f t="shared" si="53"/>
        <v>066</v>
      </c>
      <c r="F885" t="s">
        <v>951</v>
      </c>
      <c r="G885" t="str">
        <f>"0487"</f>
        <v>0487</v>
      </c>
      <c r="H885" t="str">
        <f>"0001"</f>
        <v>0001</v>
      </c>
      <c r="I885" t="s">
        <v>89</v>
      </c>
      <c r="J885">
        <v>0</v>
      </c>
      <c r="K885">
        <v>1</v>
      </c>
      <c r="L885">
        <v>3</v>
      </c>
      <c r="M885">
        <v>412</v>
      </c>
      <c r="N885">
        <v>284</v>
      </c>
      <c r="O885">
        <v>5</v>
      </c>
      <c r="P885">
        <v>284</v>
      </c>
      <c r="Q885">
        <v>17</v>
      </c>
      <c r="R885">
        <v>69</v>
      </c>
      <c r="S885">
        <v>1</v>
      </c>
      <c r="T885">
        <v>3</v>
      </c>
      <c r="U885">
        <v>9</v>
      </c>
      <c r="V885">
        <v>3</v>
      </c>
      <c r="W885">
        <v>3</v>
      </c>
      <c r="X885">
        <v>153</v>
      </c>
      <c r="Y885">
        <v>2</v>
      </c>
      <c r="Z885">
        <v>5</v>
      </c>
      <c r="AA885">
        <v>2</v>
      </c>
      <c r="AB885">
        <v>6</v>
      </c>
      <c r="AK885">
        <v>4</v>
      </c>
      <c r="AO885">
        <v>2</v>
      </c>
      <c r="AP885">
        <v>0</v>
      </c>
      <c r="AR885">
        <v>0</v>
      </c>
      <c r="AU885">
        <v>0</v>
      </c>
      <c r="AW885">
        <v>0</v>
      </c>
      <c r="AX885">
        <v>5</v>
      </c>
      <c r="AY885">
        <v>284</v>
      </c>
      <c r="AZ885">
        <v>284</v>
      </c>
      <c r="BA885">
        <v>652</v>
      </c>
      <c r="BB885">
        <v>44</v>
      </c>
      <c r="BD885">
        <v>1</v>
      </c>
      <c r="BF885" t="s">
        <v>1009</v>
      </c>
      <c r="BG885" s="1">
        <v>44354.027083333334</v>
      </c>
      <c r="BH885" s="1">
        <v>44354.039895833332</v>
      </c>
      <c r="BI885" s="1">
        <v>44354.040567129632</v>
      </c>
      <c r="BJ885" t="s">
        <v>85</v>
      </c>
      <c r="BK885" t="s">
        <v>86</v>
      </c>
      <c r="BL885" t="s">
        <v>87</v>
      </c>
    </row>
    <row r="886" spans="1:64" x14ac:dyDescent="0.3">
      <c r="A886" t="str">
        <f>"200487C0200"</f>
        <v>200487C0200</v>
      </c>
      <c r="B886" t="str">
        <f>"200487C02003"</f>
        <v>200487C02003</v>
      </c>
      <c r="C886" t="str">
        <f t="shared" si="55"/>
        <v>20</v>
      </c>
      <c r="D886" t="s">
        <v>81</v>
      </c>
      <c r="E886" t="str">
        <f t="shared" si="53"/>
        <v>066</v>
      </c>
      <c r="F886" t="s">
        <v>951</v>
      </c>
      <c r="G886" t="str">
        <f>"0487"</f>
        <v>0487</v>
      </c>
      <c r="H886" t="str">
        <f>"0002"</f>
        <v>0002</v>
      </c>
      <c r="I886" t="s">
        <v>89</v>
      </c>
      <c r="J886">
        <v>0</v>
      </c>
      <c r="K886">
        <v>1</v>
      </c>
      <c r="L886">
        <v>3</v>
      </c>
      <c r="M886">
        <v>389</v>
      </c>
      <c r="N886">
        <v>306</v>
      </c>
      <c r="O886">
        <v>7</v>
      </c>
      <c r="P886">
        <v>306</v>
      </c>
      <c r="Q886">
        <v>12</v>
      </c>
      <c r="R886">
        <v>75</v>
      </c>
      <c r="S886">
        <v>3</v>
      </c>
      <c r="T886">
        <v>1</v>
      </c>
      <c r="U886">
        <v>3</v>
      </c>
      <c r="V886">
        <v>0</v>
      </c>
      <c r="W886">
        <v>1</v>
      </c>
      <c r="X886">
        <v>182</v>
      </c>
      <c r="Y886">
        <v>2</v>
      </c>
      <c r="Z886">
        <v>4</v>
      </c>
      <c r="AA886">
        <v>2</v>
      </c>
      <c r="AB886">
        <v>10</v>
      </c>
      <c r="AK886">
        <v>1</v>
      </c>
      <c r="AO886">
        <v>2</v>
      </c>
      <c r="AP886">
        <v>0</v>
      </c>
      <c r="AR886">
        <v>0</v>
      </c>
      <c r="AU886">
        <v>0</v>
      </c>
      <c r="AW886">
        <v>0</v>
      </c>
      <c r="AX886">
        <v>8</v>
      </c>
      <c r="AY886">
        <v>306</v>
      </c>
      <c r="AZ886">
        <v>306</v>
      </c>
      <c r="BA886">
        <v>651</v>
      </c>
      <c r="BB886">
        <v>44</v>
      </c>
      <c r="BD886">
        <v>1</v>
      </c>
      <c r="BF886" t="s">
        <v>1010</v>
      </c>
      <c r="BG886" s="1">
        <v>44354.012499999997</v>
      </c>
      <c r="BH886" s="1">
        <v>44354.021956018521</v>
      </c>
      <c r="BI886" s="1">
        <v>44354.022453703707</v>
      </c>
      <c r="BJ886" t="s">
        <v>85</v>
      </c>
      <c r="BK886" t="s">
        <v>86</v>
      </c>
      <c r="BL886" t="s">
        <v>87</v>
      </c>
    </row>
    <row r="887" spans="1:64" x14ac:dyDescent="0.3">
      <c r="A887" t="str">
        <f>"200488B0000"</f>
        <v>200488B0000</v>
      </c>
      <c r="B887" t="str">
        <f>"200488B00003"</f>
        <v>200488B00003</v>
      </c>
      <c r="C887" t="str">
        <f t="shared" si="55"/>
        <v>20</v>
      </c>
      <c r="D887" t="s">
        <v>81</v>
      </c>
      <c r="E887" t="str">
        <f t="shared" si="53"/>
        <v>066</v>
      </c>
      <c r="F887" t="s">
        <v>951</v>
      </c>
      <c r="G887" t="str">
        <f>"0488"</f>
        <v>0488</v>
      </c>
      <c r="H887" t="str">
        <f>"0000"</f>
        <v>0000</v>
      </c>
      <c r="I887" t="s">
        <v>83</v>
      </c>
      <c r="J887">
        <v>0</v>
      </c>
      <c r="K887">
        <v>1</v>
      </c>
      <c r="L887">
        <v>3</v>
      </c>
      <c r="M887">
        <v>294</v>
      </c>
      <c r="N887">
        <v>280</v>
      </c>
      <c r="O887">
        <v>5</v>
      </c>
      <c r="P887">
        <v>280</v>
      </c>
      <c r="Q887">
        <v>12</v>
      </c>
      <c r="R887">
        <v>79</v>
      </c>
      <c r="S887">
        <v>6</v>
      </c>
      <c r="T887">
        <v>3</v>
      </c>
      <c r="U887">
        <v>8</v>
      </c>
      <c r="V887">
        <v>7</v>
      </c>
      <c r="W887">
        <v>1</v>
      </c>
      <c r="X887">
        <v>148</v>
      </c>
      <c r="Y887">
        <v>1</v>
      </c>
      <c r="Z887">
        <v>3</v>
      </c>
      <c r="AA887">
        <v>0</v>
      </c>
      <c r="AB887">
        <v>8</v>
      </c>
      <c r="AK887">
        <v>2</v>
      </c>
      <c r="AO887">
        <v>0</v>
      </c>
      <c r="AP887">
        <v>0</v>
      </c>
      <c r="AR887">
        <v>0</v>
      </c>
      <c r="AU887">
        <v>0</v>
      </c>
      <c r="AW887">
        <v>0</v>
      </c>
      <c r="AX887">
        <v>2</v>
      </c>
      <c r="AY887">
        <v>280</v>
      </c>
      <c r="AZ887">
        <v>280</v>
      </c>
      <c r="BA887">
        <v>531</v>
      </c>
      <c r="BB887">
        <v>44</v>
      </c>
      <c r="BD887">
        <v>1</v>
      </c>
      <c r="BF887" t="s">
        <v>1011</v>
      </c>
      <c r="BG887" s="1">
        <v>44354.070833333331</v>
      </c>
      <c r="BH887" s="1">
        <v>44354.083020833335</v>
      </c>
      <c r="BI887" s="1">
        <v>44354.084062499998</v>
      </c>
      <c r="BJ887" t="s">
        <v>85</v>
      </c>
      <c r="BK887" t="s">
        <v>86</v>
      </c>
      <c r="BL887" t="s">
        <v>87</v>
      </c>
    </row>
    <row r="888" spans="1:64" x14ac:dyDescent="0.3">
      <c r="A888" t="str">
        <f>"200488C0100"</f>
        <v>200488C0100</v>
      </c>
      <c r="B888" t="str">
        <f>"200488C01003"</f>
        <v>200488C01003</v>
      </c>
      <c r="C888" t="str">
        <f t="shared" si="55"/>
        <v>20</v>
      </c>
      <c r="D888" t="s">
        <v>81</v>
      </c>
      <c r="E888" t="str">
        <f t="shared" si="53"/>
        <v>066</v>
      </c>
      <c r="F888" t="s">
        <v>951</v>
      </c>
      <c r="G888" t="str">
        <f>"0488"</f>
        <v>0488</v>
      </c>
      <c r="H888" t="str">
        <f>"0001"</f>
        <v>0001</v>
      </c>
      <c r="I888" t="s">
        <v>89</v>
      </c>
      <c r="J888">
        <v>0</v>
      </c>
      <c r="K888">
        <v>1</v>
      </c>
      <c r="L888">
        <v>3</v>
      </c>
      <c r="M888" t="s">
        <v>131</v>
      </c>
      <c r="N888" t="s">
        <v>131</v>
      </c>
      <c r="O888" t="s">
        <v>131</v>
      </c>
      <c r="P888" t="s">
        <v>131</v>
      </c>
      <c r="Q888">
        <v>11</v>
      </c>
      <c r="R888">
        <v>33</v>
      </c>
      <c r="S888">
        <v>4</v>
      </c>
      <c r="T888">
        <v>6</v>
      </c>
      <c r="U888">
        <v>13</v>
      </c>
      <c r="V888">
        <v>1</v>
      </c>
      <c r="W888">
        <v>0</v>
      </c>
      <c r="X888">
        <v>126</v>
      </c>
      <c r="Y888">
        <v>1</v>
      </c>
      <c r="Z888">
        <v>4</v>
      </c>
      <c r="AA888">
        <v>1</v>
      </c>
      <c r="AB888">
        <v>2</v>
      </c>
      <c r="AK888">
        <v>4</v>
      </c>
      <c r="AO888">
        <v>0</v>
      </c>
      <c r="AP888">
        <v>0</v>
      </c>
      <c r="AR888">
        <v>0</v>
      </c>
      <c r="AU888">
        <v>0</v>
      </c>
      <c r="AW888">
        <v>0</v>
      </c>
      <c r="AX888">
        <v>4</v>
      </c>
      <c r="AY888" t="s">
        <v>131</v>
      </c>
      <c r="AZ888">
        <v>210</v>
      </c>
      <c r="BA888">
        <v>531</v>
      </c>
      <c r="BB888">
        <v>44</v>
      </c>
      <c r="BD888">
        <v>1</v>
      </c>
      <c r="BF888" t="s">
        <v>1012</v>
      </c>
      <c r="BG888" s="1">
        <v>44354.305555555555</v>
      </c>
      <c r="BH888" s="1">
        <v>44354.325578703705</v>
      </c>
      <c r="BI888" s="1">
        <v>44354.339050925926</v>
      </c>
      <c r="BJ888" t="s">
        <v>85</v>
      </c>
      <c r="BK888" t="s">
        <v>86</v>
      </c>
      <c r="BL888" t="s">
        <v>87</v>
      </c>
    </row>
    <row r="889" spans="1:64" x14ac:dyDescent="0.3">
      <c r="A889" t="str">
        <f>"200488C0200"</f>
        <v>200488C0200</v>
      </c>
      <c r="B889" t="str">
        <f>"200488C02003"</f>
        <v>200488C02003</v>
      </c>
      <c r="C889" t="str">
        <f t="shared" si="55"/>
        <v>20</v>
      </c>
      <c r="D889" t="s">
        <v>81</v>
      </c>
      <c r="E889" t="str">
        <f t="shared" si="53"/>
        <v>066</v>
      </c>
      <c r="F889" t="s">
        <v>951</v>
      </c>
      <c r="G889" t="str">
        <f>"0488"</f>
        <v>0488</v>
      </c>
      <c r="H889" t="str">
        <f>"0002"</f>
        <v>0002</v>
      </c>
      <c r="I889" t="s">
        <v>89</v>
      </c>
      <c r="J889">
        <v>0</v>
      </c>
      <c r="K889">
        <v>1</v>
      </c>
      <c r="L889">
        <v>3</v>
      </c>
      <c r="M889">
        <v>291</v>
      </c>
      <c r="N889">
        <v>283</v>
      </c>
      <c r="O889">
        <v>7</v>
      </c>
      <c r="P889">
        <v>283</v>
      </c>
      <c r="Q889">
        <v>20</v>
      </c>
      <c r="R889">
        <v>41</v>
      </c>
      <c r="S889">
        <v>1</v>
      </c>
      <c r="T889">
        <v>4</v>
      </c>
      <c r="U889">
        <v>13</v>
      </c>
      <c r="V889" t="s">
        <v>131</v>
      </c>
      <c r="W889" t="s">
        <v>131</v>
      </c>
      <c r="X889">
        <v>136</v>
      </c>
      <c r="Y889">
        <v>3</v>
      </c>
      <c r="Z889">
        <v>1</v>
      </c>
      <c r="AA889">
        <v>1</v>
      </c>
      <c r="AB889">
        <v>5</v>
      </c>
      <c r="AK889">
        <v>3</v>
      </c>
      <c r="AO889">
        <v>1</v>
      </c>
      <c r="AP889">
        <v>0</v>
      </c>
      <c r="AR889">
        <v>0</v>
      </c>
      <c r="AU889">
        <v>1</v>
      </c>
      <c r="AW889">
        <v>0</v>
      </c>
      <c r="AX889">
        <v>3</v>
      </c>
      <c r="AY889">
        <v>283</v>
      </c>
      <c r="AZ889">
        <v>233</v>
      </c>
      <c r="BA889">
        <v>531</v>
      </c>
      <c r="BB889">
        <v>44</v>
      </c>
      <c r="BC889" t="s">
        <v>96</v>
      </c>
      <c r="BD889">
        <v>1</v>
      </c>
      <c r="BF889" t="s">
        <v>1013</v>
      </c>
      <c r="BG889" s="1">
        <v>44354.305555555555</v>
      </c>
      <c r="BH889" s="1">
        <v>44354.322604166664</v>
      </c>
      <c r="BI889" s="1">
        <v>44354.337997685187</v>
      </c>
      <c r="BJ889" t="s">
        <v>85</v>
      </c>
      <c r="BK889" t="s">
        <v>86</v>
      </c>
      <c r="BL889" t="s">
        <v>87</v>
      </c>
    </row>
    <row r="890" spans="1:64" x14ac:dyDescent="0.3">
      <c r="A890" t="str">
        <f>"200489B0000"</f>
        <v>200489B0000</v>
      </c>
      <c r="B890" t="str">
        <f>"200489B00003"</f>
        <v>200489B00003</v>
      </c>
      <c r="C890" t="str">
        <f t="shared" si="55"/>
        <v>20</v>
      </c>
      <c r="D890" t="s">
        <v>81</v>
      </c>
      <c r="E890" t="str">
        <f t="shared" si="53"/>
        <v>066</v>
      </c>
      <c r="F890" t="s">
        <v>951</v>
      </c>
      <c r="G890" t="str">
        <f>"0489"</f>
        <v>0489</v>
      </c>
      <c r="H890" t="str">
        <f>"0000"</f>
        <v>0000</v>
      </c>
      <c r="I890" t="s">
        <v>83</v>
      </c>
      <c r="J890">
        <v>0</v>
      </c>
      <c r="K890">
        <v>1</v>
      </c>
      <c r="L890">
        <v>3</v>
      </c>
      <c r="BA890">
        <v>534</v>
      </c>
      <c r="BB890">
        <v>44</v>
      </c>
      <c r="BC890" t="s">
        <v>381</v>
      </c>
      <c r="BD890">
        <v>0</v>
      </c>
      <c r="BF890" t="s">
        <v>1014</v>
      </c>
      <c r="BG890" s="1">
        <v>44354.534722222219</v>
      </c>
      <c r="BH890" s="1">
        <v>44354.540856481479</v>
      </c>
      <c r="BI890" s="1">
        <v>44354.540856481479</v>
      </c>
      <c r="BJ890" t="s">
        <v>85</v>
      </c>
      <c r="BK890" t="s">
        <v>86</v>
      </c>
      <c r="BL890" t="s">
        <v>87</v>
      </c>
    </row>
    <row r="891" spans="1:64" x14ac:dyDescent="0.3">
      <c r="A891" t="str">
        <f>"200489C0100"</f>
        <v>200489C0100</v>
      </c>
      <c r="B891" t="str">
        <f>"200489C01003"</f>
        <v>200489C01003</v>
      </c>
      <c r="C891" t="str">
        <f t="shared" si="55"/>
        <v>20</v>
      </c>
      <c r="D891" t="s">
        <v>81</v>
      </c>
      <c r="E891" t="str">
        <f t="shared" si="53"/>
        <v>066</v>
      </c>
      <c r="F891" t="s">
        <v>951</v>
      </c>
      <c r="G891" t="str">
        <f>"0489"</f>
        <v>0489</v>
      </c>
      <c r="H891" t="str">
        <f>"0001"</f>
        <v>0001</v>
      </c>
      <c r="I891" t="s">
        <v>89</v>
      </c>
      <c r="J891">
        <v>0</v>
      </c>
      <c r="K891">
        <v>1</v>
      </c>
      <c r="L891">
        <v>3</v>
      </c>
      <c r="M891">
        <v>226</v>
      </c>
      <c r="N891">
        <v>352</v>
      </c>
      <c r="O891">
        <v>5</v>
      </c>
      <c r="P891" t="s">
        <v>92</v>
      </c>
      <c r="Q891">
        <v>49</v>
      </c>
      <c r="R891">
        <v>115</v>
      </c>
      <c r="S891">
        <v>2</v>
      </c>
      <c r="T891">
        <v>4</v>
      </c>
      <c r="U891">
        <v>3</v>
      </c>
      <c r="V891">
        <v>3</v>
      </c>
      <c r="W891">
        <v>0</v>
      </c>
      <c r="X891">
        <v>144</v>
      </c>
      <c r="Y891">
        <v>4</v>
      </c>
      <c r="Z891">
        <v>5</v>
      </c>
      <c r="AA891">
        <v>6</v>
      </c>
      <c r="AB891">
        <v>5</v>
      </c>
      <c r="AK891">
        <v>3</v>
      </c>
      <c r="AO891">
        <v>1</v>
      </c>
      <c r="AP891">
        <v>0</v>
      </c>
      <c r="AR891">
        <v>0</v>
      </c>
      <c r="AU891">
        <v>0</v>
      </c>
      <c r="AW891">
        <v>0</v>
      </c>
      <c r="AX891">
        <v>8</v>
      </c>
      <c r="AY891">
        <v>352</v>
      </c>
      <c r="AZ891">
        <v>352</v>
      </c>
      <c r="BA891">
        <v>534</v>
      </c>
      <c r="BB891">
        <v>44</v>
      </c>
      <c r="BD891">
        <v>1</v>
      </c>
      <c r="BF891" t="s">
        <v>1015</v>
      </c>
      <c r="BG891" s="1">
        <v>44354.029861111114</v>
      </c>
      <c r="BH891" s="1">
        <v>44354.038622685184</v>
      </c>
      <c r="BI891" s="1">
        <v>44354.039224537039</v>
      </c>
      <c r="BJ891" t="s">
        <v>85</v>
      </c>
      <c r="BK891" t="s">
        <v>86</v>
      </c>
      <c r="BL891" t="s">
        <v>87</v>
      </c>
    </row>
    <row r="892" spans="1:64" x14ac:dyDescent="0.3">
      <c r="A892" t="str">
        <f>"200489C0200"</f>
        <v>200489C0200</v>
      </c>
      <c r="B892" t="str">
        <f>"200489C02003"</f>
        <v>200489C02003</v>
      </c>
      <c r="C892" t="str">
        <f t="shared" si="55"/>
        <v>20</v>
      </c>
      <c r="D892" t="s">
        <v>81</v>
      </c>
      <c r="E892" t="str">
        <f t="shared" ref="E892:E955" si="57">"066"</f>
        <v>066</v>
      </c>
      <c r="F892" t="s">
        <v>951</v>
      </c>
      <c r="G892" t="str">
        <f>"0489"</f>
        <v>0489</v>
      </c>
      <c r="H892" t="str">
        <f>"0002"</f>
        <v>0002</v>
      </c>
      <c r="I892" t="s">
        <v>89</v>
      </c>
      <c r="J892">
        <v>0</v>
      </c>
      <c r="K892">
        <v>1</v>
      </c>
      <c r="L892">
        <v>3</v>
      </c>
      <c r="M892">
        <v>238</v>
      </c>
      <c r="N892" t="s">
        <v>131</v>
      </c>
      <c r="O892" t="s">
        <v>131</v>
      </c>
      <c r="P892">
        <v>339</v>
      </c>
      <c r="Q892">
        <v>62</v>
      </c>
      <c r="R892">
        <v>118</v>
      </c>
      <c r="S892">
        <v>2</v>
      </c>
      <c r="T892">
        <v>3</v>
      </c>
      <c r="U892">
        <v>5</v>
      </c>
      <c r="V892">
        <v>6</v>
      </c>
      <c r="W892">
        <v>0</v>
      </c>
      <c r="X892">
        <v>103</v>
      </c>
      <c r="Y892">
        <v>2</v>
      </c>
      <c r="Z892">
        <v>5</v>
      </c>
      <c r="AA892">
        <v>3</v>
      </c>
      <c r="AB892">
        <v>14</v>
      </c>
      <c r="AK892">
        <v>5</v>
      </c>
      <c r="AO892">
        <v>0</v>
      </c>
      <c r="AP892">
        <v>0</v>
      </c>
      <c r="AR892">
        <v>0</v>
      </c>
      <c r="AU892">
        <v>1</v>
      </c>
      <c r="AW892">
        <v>0</v>
      </c>
      <c r="AX892">
        <v>9</v>
      </c>
      <c r="AY892">
        <v>339</v>
      </c>
      <c r="AZ892">
        <v>338</v>
      </c>
      <c r="BA892">
        <v>533</v>
      </c>
      <c r="BB892">
        <v>44</v>
      </c>
      <c r="BD892">
        <v>1</v>
      </c>
      <c r="BF892" t="s">
        <v>1016</v>
      </c>
      <c r="BG892" s="1">
        <v>44353.996527777781</v>
      </c>
      <c r="BH892" s="1">
        <v>44354.003206018519</v>
      </c>
      <c r="BI892" s="1">
        <v>44354.003877314812</v>
      </c>
      <c r="BJ892" t="s">
        <v>85</v>
      </c>
      <c r="BK892" t="s">
        <v>86</v>
      </c>
      <c r="BL892" t="s">
        <v>87</v>
      </c>
    </row>
    <row r="893" spans="1:64" x14ac:dyDescent="0.3">
      <c r="A893" t="str">
        <f>"200490B0000"</f>
        <v>200490B0000</v>
      </c>
      <c r="B893" t="str">
        <f>"200490B00003"</f>
        <v>200490B00003</v>
      </c>
      <c r="C893" t="str">
        <f t="shared" si="55"/>
        <v>20</v>
      </c>
      <c r="D893" t="s">
        <v>81</v>
      </c>
      <c r="E893" t="str">
        <f t="shared" si="57"/>
        <v>066</v>
      </c>
      <c r="F893" t="s">
        <v>951</v>
      </c>
      <c r="G893" t="str">
        <f>"0490"</f>
        <v>0490</v>
      </c>
      <c r="H893" t="str">
        <f>"0000"</f>
        <v>0000</v>
      </c>
      <c r="I893" t="s">
        <v>83</v>
      </c>
      <c r="J893">
        <v>0</v>
      </c>
      <c r="K893">
        <v>1</v>
      </c>
      <c r="L893">
        <v>3</v>
      </c>
      <c r="M893">
        <v>406</v>
      </c>
      <c r="N893">
        <v>412</v>
      </c>
      <c r="O893">
        <v>6</v>
      </c>
      <c r="P893">
        <v>412</v>
      </c>
      <c r="Q893">
        <v>43</v>
      </c>
      <c r="R893">
        <v>115</v>
      </c>
      <c r="S893">
        <v>4</v>
      </c>
      <c r="T893">
        <v>3</v>
      </c>
      <c r="U893">
        <v>3</v>
      </c>
      <c r="V893">
        <v>6</v>
      </c>
      <c r="W893">
        <v>0</v>
      </c>
      <c r="X893">
        <v>199</v>
      </c>
      <c r="Y893">
        <v>2</v>
      </c>
      <c r="Z893">
        <v>9</v>
      </c>
      <c r="AA893">
        <v>1</v>
      </c>
      <c r="AB893">
        <v>5</v>
      </c>
      <c r="AK893">
        <v>10</v>
      </c>
      <c r="AO893">
        <v>1</v>
      </c>
      <c r="AP893">
        <v>0</v>
      </c>
      <c r="AR893">
        <v>0</v>
      </c>
      <c r="AU893">
        <v>0</v>
      </c>
      <c r="AW893">
        <v>0</v>
      </c>
      <c r="AX893">
        <v>11</v>
      </c>
      <c r="AY893">
        <v>412</v>
      </c>
      <c r="AZ893">
        <v>412</v>
      </c>
      <c r="BA893">
        <v>720</v>
      </c>
      <c r="BB893">
        <v>44</v>
      </c>
      <c r="BD893">
        <v>1</v>
      </c>
      <c r="BF893" t="s">
        <v>1017</v>
      </c>
      <c r="BG893" s="1">
        <v>44353.940972222219</v>
      </c>
      <c r="BH893" s="1">
        <v>44353.944965277777</v>
      </c>
      <c r="BI893" s="1">
        <v>44353.946122685185</v>
      </c>
      <c r="BJ893" t="s">
        <v>85</v>
      </c>
      <c r="BK893" t="s">
        <v>86</v>
      </c>
      <c r="BL893" t="s">
        <v>87</v>
      </c>
    </row>
    <row r="894" spans="1:64" x14ac:dyDescent="0.3">
      <c r="A894" t="str">
        <f>"200490C0100"</f>
        <v>200490C0100</v>
      </c>
      <c r="B894" t="str">
        <f>"200490C01003"</f>
        <v>200490C01003</v>
      </c>
      <c r="C894" t="str">
        <f t="shared" si="55"/>
        <v>20</v>
      </c>
      <c r="D894" t="s">
        <v>81</v>
      </c>
      <c r="E894" t="str">
        <f t="shared" si="57"/>
        <v>066</v>
      </c>
      <c r="F894" t="s">
        <v>951</v>
      </c>
      <c r="G894" t="str">
        <f>"0490"</f>
        <v>0490</v>
      </c>
      <c r="H894" t="str">
        <f>"0001"</f>
        <v>0001</v>
      </c>
      <c r="I894" t="s">
        <v>89</v>
      </c>
      <c r="J894">
        <v>0</v>
      </c>
      <c r="K894">
        <v>1</v>
      </c>
      <c r="L894">
        <v>3</v>
      </c>
      <c r="M894">
        <v>380</v>
      </c>
      <c r="N894">
        <v>384</v>
      </c>
      <c r="O894">
        <v>3</v>
      </c>
      <c r="P894">
        <v>384</v>
      </c>
      <c r="Q894">
        <v>40</v>
      </c>
      <c r="R894">
        <v>113</v>
      </c>
      <c r="S894">
        <v>3</v>
      </c>
      <c r="T894">
        <v>4</v>
      </c>
      <c r="U894">
        <v>7</v>
      </c>
      <c r="V894">
        <v>3</v>
      </c>
      <c r="W894">
        <v>1</v>
      </c>
      <c r="X894">
        <v>179</v>
      </c>
      <c r="Y894">
        <v>1</v>
      </c>
      <c r="Z894">
        <v>8</v>
      </c>
      <c r="AA894">
        <v>2</v>
      </c>
      <c r="AB894">
        <v>9</v>
      </c>
      <c r="AK894">
        <v>3</v>
      </c>
      <c r="AO894">
        <v>1</v>
      </c>
      <c r="AP894">
        <v>0</v>
      </c>
      <c r="AR894">
        <v>0</v>
      </c>
      <c r="AU894">
        <v>0</v>
      </c>
      <c r="AW894">
        <v>0</v>
      </c>
      <c r="AX894">
        <v>10</v>
      </c>
      <c r="AY894">
        <v>384</v>
      </c>
      <c r="AZ894">
        <v>384</v>
      </c>
      <c r="BA894">
        <v>720</v>
      </c>
      <c r="BB894">
        <v>44</v>
      </c>
      <c r="BD894">
        <v>1</v>
      </c>
      <c r="BF894" t="s">
        <v>1018</v>
      </c>
      <c r="BG894" s="1">
        <v>44353.940972222219</v>
      </c>
      <c r="BH894" s="1">
        <v>44353.945347222223</v>
      </c>
      <c r="BI894" s="1">
        <v>44353.945925925924</v>
      </c>
      <c r="BJ894" t="s">
        <v>85</v>
      </c>
      <c r="BK894" t="s">
        <v>86</v>
      </c>
      <c r="BL894" t="s">
        <v>87</v>
      </c>
    </row>
    <row r="895" spans="1:64" x14ac:dyDescent="0.3">
      <c r="A895" t="str">
        <f>"200491B0000"</f>
        <v>200491B0000</v>
      </c>
      <c r="B895" t="str">
        <f>"200491B00003"</f>
        <v>200491B00003</v>
      </c>
      <c r="C895" t="str">
        <f t="shared" si="55"/>
        <v>20</v>
      </c>
      <c r="D895" t="s">
        <v>81</v>
      </c>
      <c r="E895" t="str">
        <f t="shared" si="57"/>
        <v>066</v>
      </c>
      <c r="F895" t="s">
        <v>951</v>
      </c>
      <c r="G895" t="str">
        <f>"0491"</f>
        <v>0491</v>
      </c>
      <c r="H895" t="str">
        <f>"0000"</f>
        <v>0000</v>
      </c>
      <c r="I895" t="s">
        <v>83</v>
      </c>
      <c r="J895">
        <v>0</v>
      </c>
      <c r="K895">
        <v>1</v>
      </c>
      <c r="L895">
        <v>3</v>
      </c>
      <c r="M895">
        <v>361</v>
      </c>
      <c r="N895">
        <v>410</v>
      </c>
      <c r="O895">
        <v>5</v>
      </c>
      <c r="P895">
        <v>409</v>
      </c>
      <c r="Q895">
        <v>18</v>
      </c>
      <c r="R895">
        <v>98</v>
      </c>
      <c r="S895">
        <v>2</v>
      </c>
      <c r="T895">
        <v>4</v>
      </c>
      <c r="U895">
        <v>12</v>
      </c>
      <c r="V895">
        <v>10</v>
      </c>
      <c r="W895">
        <v>2</v>
      </c>
      <c r="X895">
        <v>232</v>
      </c>
      <c r="Y895">
        <v>1</v>
      </c>
      <c r="Z895">
        <v>9</v>
      </c>
      <c r="AA895">
        <v>7</v>
      </c>
      <c r="AB895">
        <v>8</v>
      </c>
      <c r="AK895">
        <v>3</v>
      </c>
      <c r="AO895">
        <v>0</v>
      </c>
      <c r="AP895">
        <v>0</v>
      </c>
      <c r="AR895">
        <v>0</v>
      </c>
      <c r="AU895">
        <v>0</v>
      </c>
      <c r="AW895">
        <v>0</v>
      </c>
      <c r="AX895">
        <v>3</v>
      </c>
      <c r="AY895">
        <v>409</v>
      </c>
      <c r="AZ895">
        <v>409</v>
      </c>
      <c r="BA895">
        <v>729</v>
      </c>
      <c r="BB895">
        <v>44</v>
      </c>
      <c r="BD895">
        <v>1</v>
      </c>
      <c r="BF895" t="s">
        <v>1019</v>
      </c>
      <c r="BG895" s="1">
        <v>44354.103472222225</v>
      </c>
      <c r="BH895" s="1">
        <v>44354.109525462962</v>
      </c>
      <c r="BI895" s="1">
        <v>44354.110185185185</v>
      </c>
      <c r="BJ895" t="s">
        <v>85</v>
      </c>
      <c r="BK895" t="s">
        <v>86</v>
      </c>
      <c r="BL895" t="s">
        <v>87</v>
      </c>
    </row>
    <row r="896" spans="1:64" x14ac:dyDescent="0.3">
      <c r="A896" t="str">
        <f>"200491C0100"</f>
        <v>200491C0100</v>
      </c>
      <c r="B896" t="str">
        <f>"200491C01003"</f>
        <v>200491C01003</v>
      </c>
      <c r="C896" t="str">
        <f t="shared" si="55"/>
        <v>20</v>
      </c>
      <c r="D896" t="s">
        <v>81</v>
      </c>
      <c r="E896" t="str">
        <f t="shared" si="57"/>
        <v>066</v>
      </c>
      <c r="F896" t="s">
        <v>951</v>
      </c>
      <c r="G896" t="str">
        <f>"0491"</f>
        <v>0491</v>
      </c>
      <c r="H896" t="str">
        <f>"0001"</f>
        <v>0001</v>
      </c>
      <c r="I896" t="s">
        <v>89</v>
      </c>
      <c r="J896">
        <v>0</v>
      </c>
      <c r="K896">
        <v>1</v>
      </c>
      <c r="L896">
        <v>3</v>
      </c>
      <c r="M896">
        <v>399</v>
      </c>
      <c r="N896">
        <v>375</v>
      </c>
      <c r="O896">
        <v>3</v>
      </c>
      <c r="P896">
        <v>377</v>
      </c>
      <c r="Q896">
        <v>17</v>
      </c>
      <c r="R896">
        <v>90</v>
      </c>
      <c r="S896">
        <v>4</v>
      </c>
      <c r="T896">
        <v>5</v>
      </c>
      <c r="U896">
        <v>10</v>
      </c>
      <c r="V896">
        <v>8</v>
      </c>
      <c r="W896">
        <v>2</v>
      </c>
      <c r="X896">
        <v>210</v>
      </c>
      <c r="Y896">
        <v>5</v>
      </c>
      <c r="Z896">
        <v>6</v>
      </c>
      <c r="AA896">
        <v>1</v>
      </c>
      <c r="AB896">
        <v>14</v>
      </c>
      <c r="AK896">
        <v>111</v>
      </c>
      <c r="AO896">
        <v>107</v>
      </c>
      <c r="AP896">
        <v>21</v>
      </c>
      <c r="AR896">
        <v>94</v>
      </c>
      <c r="AU896">
        <v>15</v>
      </c>
      <c r="AW896">
        <v>0</v>
      </c>
      <c r="AX896">
        <v>5</v>
      </c>
      <c r="AY896">
        <v>377</v>
      </c>
      <c r="AZ896">
        <v>725</v>
      </c>
      <c r="BA896">
        <v>729</v>
      </c>
      <c r="BB896">
        <v>44</v>
      </c>
      <c r="BD896">
        <v>1</v>
      </c>
      <c r="BF896" t="s">
        <v>1020</v>
      </c>
      <c r="BG896" s="1">
        <v>44354.103472222225</v>
      </c>
      <c r="BH896" s="1">
        <v>44354.105624999997</v>
      </c>
      <c r="BI896" s="1">
        <v>44354.106365740743</v>
      </c>
      <c r="BJ896" t="s">
        <v>85</v>
      </c>
      <c r="BK896" t="s">
        <v>86</v>
      </c>
      <c r="BL896" t="s">
        <v>87</v>
      </c>
    </row>
    <row r="897" spans="1:64" x14ac:dyDescent="0.3">
      <c r="A897" t="str">
        <f>"200492B0000"</f>
        <v>200492B0000</v>
      </c>
      <c r="B897" t="str">
        <f>"200492B00003"</f>
        <v>200492B00003</v>
      </c>
      <c r="C897" t="str">
        <f t="shared" si="55"/>
        <v>20</v>
      </c>
      <c r="D897" t="s">
        <v>81</v>
      </c>
      <c r="E897" t="str">
        <f t="shared" si="57"/>
        <v>066</v>
      </c>
      <c r="F897" t="s">
        <v>951</v>
      </c>
      <c r="G897" t="str">
        <f>"0492"</f>
        <v>0492</v>
      </c>
      <c r="H897" t="str">
        <f>"0000"</f>
        <v>0000</v>
      </c>
      <c r="I897" t="s">
        <v>83</v>
      </c>
      <c r="J897">
        <v>0</v>
      </c>
      <c r="K897">
        <v>1</v>
      </c>
      <c r="L897">
        <v>3</v>
      </c>
      <c r="M897">
        <v>342</v>
      </c>
      <c r="N897">
        <v>250</v>
      </c>
      <c r="O897">
        <v>3</v>
      </c>
      <c r="P897">
        <v>250</v>
      </c>
      <c r="Q897">
        <v>14</v>
      </c>
      <c r="R897">
        <v>42</v>
      </c>
      <c r="S897">
        <v>5</v>
      </c>
      <c r="T897">
        <v>3</v>
      </c>
      <c r="U897">
        <v>5</v>
      </c>
      <c r="V897">
        <v>2</v>
      </c>
      <c r="W897">
        <v>1</v>
      </c>
      <c r="X897">
        <v>143</v>
      </c>
      <c r="Y897">
        <v>3</v>
      </c>
      <c r="Z897">
        <v>8</v>
      </c>
      <c r="AA897">
        <v>3</v>
      </c>
      <c r="AB897">
        <v>6</v>
      </c>
      <c r="AK897">
        <v>3</v>
      </c>
      <c r="AO897">
        <v>0</v>
      </c>
      <c r="AP897">
        <v>0</v>
      </c>
      <c r="AR897">
        <v>0</v>
      </c>
      <c r="AU897">
        <v>1</v>
      </c>
      <c r="AW897">
        <v>1</v>
      </c>
      <c r="AX897">
        <v>10</v>
      </c>
      <c r="AY897">
        <v>250</v>
      </c>
      <c r="AZ897">
        <v>250</v>
      </c>
      <c r="BA897">
        <v>547</v>
      </c>
      <c r="BB897">
        <v>44</v>
      </c>
      <c r="BD897">
        <v>1</v>
      </c>
      <c r="BF897" t="s">
        <v>1021</v>
      </c>
      <c r="BG897" s="1">
        <v>44354.029166666667</v>
      </c>
      <c r="BH897" s="1">
        <v>44354.040277777778</v>
      </c>
      <c r="BI897" s="1">
        <v>44354.040856481479</v>
      </c>
      <c r="BJ897" t="s">
        <v>85</v>
      </c>
      <c r="BK897" t="s">
        <v>86</v>
      </c>
      <c r="BL897" t="s">
        <v>87</v>
      </c>
    </row>
    <row r="898" spans="1:64" x14ac:dyDescent="0.3">
      <c r="A898" t="str">
        <f>"200492C0100"</f>
        <v>200492C0100</v>
      </c>
      <c r="B898" t="str">
        <f>"200492C01003"</f>
        <v>200492C01003</v>
      </c>
      <c r="C898" t="str">
        <f t="shared" si="55"/>
        <v>20</v>
      </c>
      <c r="D898" t="s">
        <v>81</v>
      </c>
      <c r="E898" t="str">
        <f t="shared" si="57"/>
        <v>066</v>
      </c>
      <c r="F898" t="s">
        <v>951</v>
      </c>
      <c r="G898" t="str">
        <f>"0492"</f>
        <v>0492</v>
      </c>
      <c r="H898" t="str">
        <f>"0001"</f>
        <v>0001</v>
      </c>
      <c r="I898" t="s">
        <v>89</v>
      </c>
      <c r="J898">
        <v>0</v>
      </c>
      <c r="K898">
        <v>1</v>
      </c>
      <c r="L898">
        <v>3</v>
      </c>
      <c r="M898">
        <v>323</v>
      </c>
      <c r="N898">
        <v>267</v>
      </c>
      <c r="O898">
        <v>8</v>
      </c>
      <c r="P898">
        <v>266</v>
      </c>
      <c r="Q898">
        <v>11</v>
      </c>
      <c r="R898">
        <v>46</v>
      </c>
      <c r="S898">
        <v>2</v>
      </c>
      <c r="T898">
        <v>7</v>
      </c>
      <c r="U898">
        <v>4</v>
      </c>
      <c r="V898">
        <v>5</v>
      </c>
      <c r="W898">
        <v>6</v>
      </c>
      <c r="X898">
        <v>158</v>
      </c>
      <c r="Y898">
        <v>2</v>
      </c>
      <c r="Z898">
        <v>5</v>
      </c>
      <c r="AA898">
        <v>1</v>
      </c>
      <c r="AB898">
        <v>8</v>
      </c>
      <c r="AK898">
        <v>2</v>
      </c>
      <c r="AO898">
        <v>0</v>
      </c>
      <c r="AP898">
        <v>0</v>
      </c>
      <c r="AR898">
        <v>0</v>
      </c>
      <c r="AU898">
        <v>0</v>
      </c>
      <c r="AW898">
        <v>0</v>
      </c>
      <c r="AX898">
        <v>9</v>
      </c>
      <c r="AY898">
        <v>266</v>
      </c>
      <c r="AZ898">
        <v>266</v>
      </c>
      <c r="BA898">
        <v>546</v>
      </c>
      <c r="BB898">
        <v>44</v>
      </c>
      <c r="BD898">
        <v>1</v>
      </c>
      <c r="BF898" t="s">
        <v>1022</v>
      </c>
      <c r="BG898" s="1">
        <v>44354.002083333333</v>
      </c>
      <c r="BH898" s="1">
        <v>44354.016111111108</v>
      </c>
      <c r="BI898" s="1">
        <v>44354.016585648147</v>
      </c>
      <c r="BJ898" t="s">
        <v>85</v>
      </c>
      <c r="BK898" t="s">
        <v>86</v>
      </c>
      <c r="BL898" t="s">
        <v>87</v>
      </c>
    </row>
    <row r="899" spans="1:64" x14ac:dyDescent="0.3">
      <c r="A899" t="str">
        <f>"200492C0200"</f>
        <v>200492C0200</v>
      </c>
      <c r="B899" t="str">
        <f>"200492C02003"</f>
        <v>200492C02003</v>
      </c>
      <c r="C899" t="str">
        <f t="shared" si="55"/>
        <v>20</v>
      </c>
      <c r="D899" t="s">
        <v>81</v>
      </c>
      <c r="E899" t="str">
        <f t="shared" si="57"/>
        <v>066</v>
      </c>
      <c r="F899" t="s">
        <v>951</v>
      </c>
      <c r="G899" t="str">
        <f>"0492"</f>
        <v>0492</v>
      </c>
      <c r="H899" t="str">
        <f>"0002"</f>
        <v>0002</v>
      </c>
      <c r="I899" t="s">
        <v>89</v>
      </c>
      <c r="J899">
        <v>0</v>
      </c>
      <c r="K899">
        <v>1</v>
      </c>
      <c r="L899">
        <v>3</v>
      </c>
      <c r="M899">
        <v>318</v>
      </c>
      <c r="N899">
        <v>272</v>
      </c>
      <c r="O899">
        <v>9</v>
      </c>
      <c r="P899">
        <v>263</v>
      </c>
      <c r="Q899">
        <v>9</v>
      </c>
      <c r="R899">
        <v>48</v>
      </c>
      <c r="S899">
        <v>1</v>
      </c>
      <c r="T899">
        <v>8</v>
      </c>
      <c r="U899">
        <v>7</v>
      </c>
      <c r="V899">
        <v>4</v>
      </c>
      <c r="W899">
        <v>2</v>
      </c>
      <c r="X899">
        <v>169</v>
      </c>
      <c r="Y899">
        <v>5</v>
      </c>
      <c r="Z899">
        <v>2</v>
      </c>
      <c r="AA899">
        <v>1</v>
      </c>
      <c r="AB899">
        <v>7</v>
      </c>
      <c r="AK899">
        <v>2</v>
      </c>
      <c r="AO899">
        <v>0</v>
      </c>
      <c r="AP899">
        <v>0</v>
      </c>
      <c r="AR899">
        <v>0</v>
      </c>
      <c r="AU899">
        <v>0</v>
      </c>
      <c r="AW899">
        <v>0</v>
      </c>
      <c r="AX899">
        <v>7</v>
      </c>
      <c r="AY899">
        <v>272</v>
      </c>
      <c r="AZ899">
        <v>272</v>
      </c>
      <c r="BA899">
        <v>546</v>
      </c>
      <c r="BB899">
        <v>44</v>
      </c>
      <c r="BD899">
        <v>1</v>
      </c>
      <c r="BF899" t="s">
        <v>1023</v>
      </c>
      <c r="BG899" s="1">
        <v>44354.018055555556</v>
      </c>
      <c r="BH899" s="1">
        <v>44354.027615740742</v>
      </c>
      <c r="BI899" s="1">
        <v>44354.028483796297</v>
      </c>
      <c r="BJ899" t="s">
        <v>85</v>
      </c>
      <c r="BK899" t="s">
        <v>86</v>
      </c>
      <c r="BL899" t="s">
        <v>87</v>
      </c>
    </row>
    <row r="900" spans="1:64" x14ac:dyDescent="0.3">
      <c r="A900" t="str">
        <f>"200493B0000"</f>
        <v>200493B0000</v>
      </c>
      <c r="B900" t="str">
        <f>"200493B00003"</f>
        <v>200493B00003</v>
      </c>
      <c r="C900" t="str">
        <f t="shared" si="55"/>
        <v>20</v>
      </c>
      <c r="D900" t="s">
        <v>81</v>
      </c>
      <c r="E900" t="str">
        <f t="shared" si="57"/>
        <v>066</v>
      </c>
      <c r="F900" t="s">
        <v>951</v>
      </c>
      <c r="G900" t="str">
        <f t="shared" ref="G900:G907" si="58">"0493"</f>
        <v>0493</v>
      </c>
      <c r="H900" t="str">
        <f>"0000"</f>
        <v>0000</v>
      </c>
      <c r="I900" t="s">
        <v>83</v>
      </c>
      <c r="J900">
        <v>0</v>
      </c>
      <c r="K900">
        <v>1</v>
      </c>
      <c r="L900">
        <v>3</v>
      </c>
      <c r="M900">
        <v>307</v>
      </c>
      <c r="N900">
        <v>265</v>
      </c>
      <c r="O900">
        <v>0</v>
      </c>
      <c r="P900" t="s">
        <v>92</v>
      </c>
      <c r="Q900">
        <v>13</v>
      </c>
      <c r="R900">
        <v>53</v>
      </c>
      <c r="S900">
        <v>1</v>
      </c>
      <c r="T900">
        <v>1</v>
      </c>
      <c r="U900">
        <v>9</v>
      </c>
      <c r="V900">
        <v>3</v>
      </c>
      <c r="W900">
        <v>5</v>
      </c>
      <c r="X900">
        <v>149</v>
      </c>
      <c r="Y900">
        <v>6</v>
      </c>
      <c r="Z900">
        <v>5</v>
      </c>
      <c r="AA900">
        <v>5</v>
      </c>
      <c r="AB900">
        <v>5</v>
      </c>
      <c r="AK900">
        <v>0</v>
      </c>
      <c r="AO900">
        <v>0</v>
      </c>
      <c r="AP900">
        <v>0</v>
      </c>
      <c r="AR900">
        <v>0</v>
      </c>
      <c r="AU900">
        <v>0</v>
      </c>
      <c r="AW900">
        <v>0</v>
      </c>
      <c r="AX900">
        <v>9</v>
      </c>
      <c r="AY900">
        <v>264</v>
      </c>
      <c r="AZ900">
        <v>264</v>
      </c>
      <c r="BA900">
        <v>528</v>
      </c>
      <c r="BB900">
        <v>44</v>
      </c>
      <c r="BD900">
        <v>1</v>
      </c>
      <c r="BF900" t="s">
        <v>1024</v>
      </c>
      <c r="BG900" s="1">
        <v>44353.975694444445</v>
      </c>
      <c r="BH900" s="1">
        <v>44353.979143518518</v>
      </c>
      <c r="BI900" s="1">
        <v>44353.980543981481</v>
      </c>
      <c r="BJ900" t="s">
        <v>85</v>
      </c>
      <c r="BK900" t="s">
        <v>86</v>
      </c>
      <c r="BL900" t="s">
        <v>87</v>
      </c>
    </row>
    <row r="901" spans="1:64" x14ac:dyDescent="0.3">
      <c r="A901" t="str">
        <f>"200493C0100"</f>
        <v>200493C0100</v>
      </c>
      <c r="B901" t="str">
        <f>"200493C01003"</f>
        <v>200493C01003</v>
      </c>
      <c r="C901" t="str">
        <f t="shared" si="55"/>
        <v>20</v>
      </c>
      <c r="D901" t="s">
        <v>81</v>
      </c>
      <c r="E901" t="str">
        <f t="shared" si="57"/>
        <v>066</v>
      </c>
      <c r="F901" t="s">
        <v>951</v>
      </c>
      <c r="G901" t="str">
        <f t="shared" si="58"/>
        <v>0493</v>
      </c>
      <c r="H901" t="str">
        <f>"0001"</f>
        <v>0001</v>
      </c>
      <c r="I901" t="s">
        <v>89</v>
      </c>
      <c r="J901">
        <v>0</v>
      </c>
      <c r="K901">
        <v>1</v>
      </c>
      <c r="L901">
        <v>3</v>
      </c>
      <c r="M901">
        <v>317</v>
      </c>
      <c r="N901">
        <v>254</v>
      </c>
      <c r="O901">
        <v>3</v>
      </c>
      <c r="P901">
        <v>252</v>
      </c>
      <c r="Q901">
        <v>6</v>
      </c>
      <c r="R901">
        <v>57</v>
      </c>
      <c r="S901">
        <v>3</v>
      </c>
      <c r="T901">
        <v>7</v>
      </c>
      <c r="U901">
        <v>9</v>
      </c>
      <c r="V901">
        <v>3</v>
      </c>
      <c r="W901">
        <v>4</v>
      </c>
      <c r="X901">
        <v>139</v>
      </c>
      <c r="Y901">
        <v>0</v>
      </c>
      <c r="Z901">
        <v>2</v>
      </c>
      <c r="AA901">
        <v>3</v>
      </c>
      <c r="AB901">
        <v>10</v>
      </c>
      <c r="AK901">
        <v>2</v>
      </c>
      <c r="AO901">
        <v>1</v>
      </c>
      <c r="AP901">
        <v>0</v>
      </c>
      <c r="AR901">
        <v>0</v>
      </c>
      <c r="AU901">
        <v>0</v>
      </c>
      <c r="AW901">
        <v>0</v>
      </c>
      <c r="AX901">
        <v>6</v>
      </c>
      <c r="AY901">
        <v>252</v>
      </c>
      <c r="AZ901">
        <v>252</v>
      </c>
      <c r="BA901">
        <v>527</v>
      </c>
      <c r="BB901">
        <v>44</v>
      </c>
      <c r="BD901">
        <v>1</v>
      </c>
      <c r="BF901" t="s">
        <v>1025</v>
      </c>
      <c r="BG901" s="1">
        <v>44353.946527777778</v>
      </c>
      <c r="BH901" s="1">
        <v>44353.983773148146</v>
      </c>
      <c r="BI901" s="1">
        <v>44353.9844212963</v>
      </c>
      <c r="BJ901" t="s">
        <v>85</v>
      </c>
      <c r="BK901" t="s">
        <v>86</v>
      </c>
      <c r="BL901" t="s">
        <v>87</v>
      </c>
    </row>
    <row r="902" spans="1:64" x14ac:dyDescent="0.3">
      <c r="A902" t="str">
        <f>"200493C0200"</f>
        <v>200493C0200</v>
      </c>
      <c r="B902" t="str">
        <f>"200493C02003"</f>
        <v>200493C02003</v>
      </c>
      <c r="C902" t="str">
        <f t="shared" si="55"/>
        <v>20</v>
      </c>
      <c r="D902" t="s">
        <v>81</v>
      </c>
      <c r="E902" t="str">
        <f t="shared" si="57"/>
        <v>066</v>
      </c>
      <c r="F902" t="s">
        <v>951</v>
      </c>
      <c r="G902" t="str">
        <f t="shared" si="58"/>
        <v>0493</v>
      </c>
      <c r="H902" t="str">
        <f>"0002"</f>
        <v>0002</v>
      </c>
      <c r="I902" t="s">
        <v>89</v>
      </c>
      <c r="J902">
        <v>0</v>
      </c>
      <c r="K902">
        <v>1</v>
      </c>
      <c r="L902">
        <v>3</v>
      </c>
      <c r="M902">
        <v>305</v>
      </c>
      <c r="N902">
        <v>266</v>
      </c>
      <c r="O902">
        <v>7</v>
      </c>
      <c r="P902">
        <v>266</v>
      </c>
      <c r="Q902">
        <v>4</v>
      </c>
      <c r="R902">
        <v>61</v>
      </c>
      <c r="S902">
        <v>1</v>
      </c>
      <c r="T902">
        <v>6</v>
      </c>
      <c r="U902">
        <v>6</v>
      </c>
      <c r="V902">
        <v>1</v>
      </c>
      <c r="W902">
        <v>2</v>
      </c>
      <c r="X902">
        <v>161</v>
      </c>
      <c r="Y902">
        <v>2</v>
      </c>
      <c r="Z902">
        <v>4</v>
      </c>
      <c r="AA902">
        <v>4</v>
      </c>
      <c r="AB902">
        <v>7</v>
      </c>
      <c r="AK902">
        <v>2</v>
      </c>
      <c r="AO902">
        <v>0</v>
      </c>
      <c r="AP902">
        <v>0</v>
      </c>
      <c r="AR902">
        <v>0</v>
      </c>
      <c r="AU902">
        <v>0</v>
      </c>
      <c r="AW902">
        <v>0</v>
      </c>
      <c r="AX902">
        <v>5</v>
      </c>
      <c r="AY902">
        <v>266</v>
      </c>
      <c r="AZ902">
        <v>266</v>
      </c>
      <c r="BA902">
        <v>527</v>
      </c>
      <c r="BB902">
        <v>44</v>
      </c>
      <c r="BD902">
        <v>1</v>
      </c>
      <c r="BF902" t="s">
        <v>1026</v>
      </c>
      <c r="BG902" s="1">
        <v>44353.95</v>
      </c>
      <c r="BH902" s="1">
        <v>44353.953518518516</v>
      </c>
      <c r="BI902" s="1">
        <v>44353.953935185185</v>
      </c>
      <c r="BJ902" t="s">
        <v>85</v>
      </c>
      <c r="BK902" t="s">
        <v>86</v>
      </c>
      <c r="BL902" t="s">
        <v>87</v>
      </c>
    </row>
    <row r="903" spans="1:64" x14ac:dyDescent="0.3">
      <c r="A903" t="str">
        <f>"200493E0100"</f>
        <v>200493E0100</v>
      </c>
      <c r="B903" t="str">
        <f>"200493E01003"</f>
        <v>200493E01003</v>
      </c>
      <c r="C903" t="str">
        <f t="shared" ref="C903:C966" si="59">"20"</f>
        <v>20</v>
      </c>
      <c r="D903" t="s">
        <v>81</v>
      </c>
      <c r="E903" t="str">
        <f t="shared" si="57"/>
        <v>066</v>
      </c>
      <c r="F903" t="s">
        <v>951</v>
      </c>
      <c r="G903" t="str">
        <f t="shared" si="58"/>
        <v>0493</v>
      </c>
      <c r="H903" t="str">
        <f>"0001"</f>
        <v>0001</v>
      </c>
      <c r="I903" t="s">
        <v>122</v>
      </c>
      <c r="J903">
        <v>0</v>
      </c>
      <c r="K903">
        <v>1</v>
      </c>
      <c r="L903">
        <v>3</v>
      </c>
      <c r="M903">
        <v>295</v>
      </c>
      <c r="N903">
        <v>218</v>
      </c>
      <c r="O903">
        <v>4</v>
      </c>
      <c r="P903">
        <v>218</v>
      </c>
      <c r="Q903">
        <v>16</v>
      </c>
      <c r="R903">
        <v>52</v>
      </c>
      <c r="S903">
        <v>0</v>
      </c>
      <c r="T903">
        <v>1</v>
      </c>
      <c r="U903">
        <v>9</v>
      </c>
      <c r="V903">
        <v>2</v>
      </c>
      <c r="W903">
        <v>1</v>
      </c>
      <c r="X903">
        <v>116</v>
      </c>
      <c r="Y903">
        <v>2</v>
      </c>
      <c r="Z903">
        <v>4</v>
      </c>
      <c r="AA903">
        <v>2</v>
      </c>
      <c r="AB903">
        <v>4</v>
      </c>
      <c r="AK903">
        <v>3</v>
      </c>
      <c r="AO903">
        <v>0</v>
      </c>
      <c r="AP903">
        <v>0</v>
      </c>
      <c r="AR903">
        <v>0</v>
      </c>
      <c r="AU903">
        <v>0</v>
      </c>
      <c r="AW903">
        <v>0</v>
      </c>
      <c r="AX903">
        <v>6</v>
      </c>
      <c r="AY903">
        <v>218</v>
      </c>
      <c r="AZ903">
        <v>218</v>
      </c>
      <c r="BA903">
        <v>469</v>
      </c>
      <c r="BB903">
        <v>44</v>
      </c>
      <c r="BD903">
        <v>1</v>
      </c>
      <c r="BF903" t="s">
        <v>1027</v>
      </c>
      <c r="BG903" s="1">
        <v>44353.948611111111</v>
      </c>
      <c r="BH903" s="1">
        <v>44353.951469907406</v>
      </c>
      <c r="BI903" s="1">
        <v>44353.951793981483</v>
      </c>
      <c r="BJ903" t="s">
        <v>85</v>
      </c>
      <c r="BK903" t="s">
        <v>86</v>
      </c>
      <c r="BL903" t="s">
        <v>87</v>
      </c>
    </row>
    <row r="904" spans="1:64" x14ac:dyDescent="0.3">
      <c r="A904" t="str">
        <f>"200493E0101"</f>
        <v>200493E0101</v>
      </c>
      <c r="B904" t="str">
        <f>"200493E01013"</f>
        <v>200493E01013</v>
      </c>
      <c r="C904" t="str">
        <f t="shared" si="59"/>
        <v>20</v>
      </c>
      <c r="D904" t="s">
        <v>81</v>
      </c>
      <c r="E904" t="str">
        <f t="shared" si="57"/>
        <v>066</v>
      </c>
      <c r="F904" t="s">
        <v>951</v>
      </c>
      <c r="G904" t="str">
        <f t="shared" si="58"/>
        <v>0493</v>
      </c>
      <c r="H904" t="str">
        <f>"0001"</f>
        <v>0001</v>
      </c>
      <c r="I904" t="s">
        <v>122</v>
      </c>
      <c r="J904">
        <v>1</v>
      </c>
      <c r="K904">
        <v>1</v>
      </c>
      <c r="L904">
        <v>3</v>
      </c>
      <c r="M904">
        <v>309</v>
      </c>
      <c r="N904">
        <v>204</v>
      </c>
      <c r="O904">
        <v>6</v>
      </c>
      <c r="P904">
        <v>204</v>
      </c>
      <c r="Q904">
        <v>8</v>
      </c>
      <c r="R904">
        <v>46</v>
      </c>
      <c r="S904">
        <v>1</v>
      </c>
      <c r="T904">
        <v>3</v>
      </c>
      <c r="U904">
        <v>5</v>
      </c>
      <c r="V904">
        <v>3</v>
      </c>
      <c r="W904">
        <v>2</v>
      </c>
      <c r="X904">
        <v>118</v>
      </c>
      <c r="Y904">
        <v>6</v>
      </c>
      <c r="Z904">
        <v>3</v>
      </c>
      <c r="AA904">
        <v>1</v>
      </c>
      <c r="AB904">
        <v>4</v>
      </c>
      <c r="AK904">
        <v>0</v>
      </c>
      <c r="AO904">
        <v>0</v>
      </c>
      <c r="AP904">
        <v>0</v>
      </c>
      <c r="AR904">
        <v>0</v>
      </c>
      <c r="AU904">
        <v>0</v>
      </c>
      <c r="AW904">
        <v>0</v>
      </c>
      <c r="AX904">
        <v>4</v>
      </c>
      <c r="AY904">
        <v>204</v>
      </c>
      <c r="AZ904">
        <v>204</v>
      </c>
      <c r="BA904">
        <v>469</v>
      </c>
      <c r="BB904">
        <v>44</v>
      </c>
      <c r="BD904">
        <v>1</v>
      </c>
      <c r="BF904" t="s">
        <v>1028</v>
      </c>
      <c r="BG904" s="1">
        <v>44353.948611111111</v>
      </c>
      <c r="BH904" s="1">
        <v>44353.951423611114</v>
      </c>
      <c r="BI904" s="1">
        <v>44353.951990740738</v>
      </c>
      <c r="BJ904" t="s">
        <v>85</v>
      </c>
      <c r="BK904" t="s">
        <v>86</v>
      </c>
      <c r="BL904" t="s">
        <v>87</v>
      </c>
    </row>
    <row r="905" spans="1:64" x14ac:dyDescent="0.3">
      <c r="A905" t="str">
        <f>"200493E0200"</f>
        <v>200493E0200</v>
      </c>
      <c r="B905" t="str">
        <f>"200493E02003"</f>
        <v>200493E02003</v>
      </c>
      <c r="C905" t="str">
        <f t="shared" si="59"/>
        <v>20</v>
      </c>
      <c r="D905" t="s">
        <v>81</v>
      </c>
      <c r="E905" t="str">
        <f t="shared" si="57"/>
        <v>066</v>
      </c>
      <c r="F905" t="s">
        <v>951</v>
      </c>
      <c r="G905" t="str">
        <f t="shared" si="58"/>
        <v>0493</v>
      </c>
      <c r="H905" t="str">
        <f>"0002"</f>
        <v>0002</v>
      </c>
      <c r="I905" t="s">
        <v>122</v>
      </c>
      <c r="J905">
        <v>0</v>
      </c>
      <c r="K905">
        <v>1</v>
      </c>
      <c r="L905">
        <v>3</v>
      </c>
      <c r="M905">
        <v>442</v>
      </c>
      <c r="N905">
        <v>318</v>
      </c>
      <c r="O905">
        <v>8</v>
      </c>
      <c r="P905">
        <v>318</v>
      </c>
      <c r="Q905">
        <v>17</v>
      </c>
      <c r="R905">
        <v>65</v>
      </c>
      <c r="S905">
        <v>0</v>
      </c>
      <c r="T905">
        <v>2</v>
      </c>
      <c r="U905">
        <v>8</v>
      </c>
      <c r="V905">
        <v>3</v>
      </c>
      <c r="W905">
        <v>1</v>
      </c>
      <c r="X905">
        <v>200</v>
      </c>
      <c r="Y905">
        <v>1</v>
      </c>
      <c r="Z905">
        <v>6</v>
      </c>
      <c r="AA905">
        <v>1</v>
      </c>
      <c r="AB905">
        <v>3</v>
      </c>
      <c r="AK905">
        <v>2</v>
      </c>
      <c r="AO905">
        <v>1</v>
      </c>
      <c r="AP905">
        <v>0</v>
      </c>
      <c r="AR905">
        <v>0</v>
      </c>
      <c r="AU905">
        <v>0</v>
      </c>
      <c r="AW905">
        <v>1</v>
      </c>
      <c r="AX905">
        <v>7</v>
      </c>
      <c r="AY905">
        <v>318</v>
      </c>
      <c r="AZ905">
        <v>318</v>
      </c>
      <c r="BA905">
        <v>716</v>
      </c>
      <c r="BB905">
        <v>44</v>
      </c>
      <c r="BD905">
        <v>1</v>
      </c>
      <c r="BF905" t="s">
        <v>1029</v>
      </c>
      <c r="BG905" s="1">
        <v>44354.018750000003</v>
      </c>
      <c r="BH905" s="1">
        <v>44354.027025462965</v>
      </c>
      <c r="BI905" s="1">
        <v>44354.02784722222</v>
      </c>
      <c r="BJ905" t="s">
        <v>85</v>
      </c>
      <c r="BK905" t="s">
        <v>86</v>
      </c>
      <c r="BL905" t="s">
        <v>87</v>
      </c>
    </row>
    <row r="906" spans="1:64" x14ac:dyDescent="0.3">
      <c r="A906" t="str">
        <f>"200493E0300"</f>
        <v>200493E0300</v>
      </c>
      <c r="B906" t="str">
        <f>"200493E03003"</f>
        <v>200493E03003</v>
      </c>
      <c r="C906" t="str">
        <f t="shared" si="59"/>
        <v>20</v>
      </c>
      <c r="D906" t="s">
        <v>81</v>
      </c>
      <c r="E906" t="str">
        <f t="shared" si="57"/>
        <v>066</v>
      </c>
      <c r="F906" t="s">
        <v>951</v>
      </c>
      <c r="G906" t="str">
        <f t="shared" si="58"/>
        <v>0493</v>
      </c>
      <c r="H906" t="str">
        <f>"0003"</f>
        <v>0003</v>
      </c>
      <c r="I906" t="s">
        <v>122</v>
      </c>
      <c r="J906">
        <v>0</v>
      </c>
      <c r="K906">
        <v>1</v>
      </c>
      <c r="L906">
        <v>3</v>
      </c>
      <c r="M906">
        <v>270</v>
      </c>
      <c r="N906">
        <v>168</v>
      </c>
      <c r="O906">
        <v>3</v>
      </c>
      <c r="P906" t="s">
        <v>92</v>
      </c>
      <c r="Q906">
        <v>6</v>
      </c>
      <c r="R906">
        <v>30</v>
      </c>
      <c r="S906">
        <v>5</v>
      </c>
      <c r="T906">
        <v>1</v>
      </c>
      <c r="U906">
        <v>9</v>
      </c>
      <c r="V906">
        <v>1</v>
      </c>
      <c r="W906">
        <v>4</v>
      </c>
      <c r="X906">
        <v>83</v>
      </c>
      <c r="Y906">
        <v>3</v>
      </c>
      <c r="Z906">
        <v>8</v>
      </c>
      <c r="AA906">
        <v>2</v>
      </c>
      <c r="AB906">
        <v>5</v>
      </c>
      <c r="AK906">
        <v>1</v>
      </c>
      <c r="AO906">
        <v>0</v>
      </c>
      <c r="AP906">
        <v>1</v>
      </c>
      <c r="AR906">
        <v>0</v>
      </c>
      <c r="AU906">
        <v>0</v>
      </c>
      <c r="AW906">
        <v>0</v>
      </c>
      <c r="AX906">
        <v>9</v>
      </c>
      <c r="AY906">
        <v>168</v>
      </c>
      <c r="AZ906">
        <v>168</v>
      </c>
      <c r="BA906">
        <v>394</v>
      </c>
      <c r="BB906">
        <v>44</v>
      </c>
      <c r="BD906">
        <v>1</v>
      </c>
      <c r="BF906" t="s">
        <v>1030</v>
      </c>
      <c r="BG906" s="1">
        <v>44354.029166666667</v>
      </c>
      <c r="BH906" s="1">
        <v>44354.037812499999</v>
      </c>
      <c r="BI906" s="1">
        <v>44354.038784722223</v>
      </c>
      <c r="BJ906" t="s">
        <v>85</v>
      </c>
      <c r="BK906" t="s">
        <v>86</v>
      </c>
      <c r="BL906" t="s">
        <v>87</v>
      </c>
    </row>
    <row r="907" spans="1:64" x14ac:dyDescent="0.3">
      <c r="A907" t="str">
        <f>"200493E0301"</f>
        <v>200493E0301</v>
      </c>
      <c r="B907" t="str">
        <f>"200493E03013"</f>
        <v>200493E03013</v>
      </c>
      <c r="C907" t="str">
        <f t="shared" si="59"/>
        <v>20</v>
      </c>
      <c r="D907" t="s">
        <v>81</v>
      </c>
      <c r="E907" t="str">
        <f t="shared" si="57"/>
        <v>066</v>
      </c>
      <c r="F907" t="s">
        <v>951</v>
      </c>
      <c r="G907" t="str">
        <f t="shared" si="58"/>
        <v>0493</v>
      </c>
      <c r="H907" t="str">
        <f>"0003"</f>
        <v>0003</v>
      </c>
      <c r="I907" t="s">
        <v>122</v>
      </c>
      <c r="J907">
        <v>1</v>
      </c>
      <c r="K907">
        <v>1</v>
      </c>
      <c r="L907">
        <v>3</v>
      </c>
      <c r="M907">
        <v>252</v>
      </c>
      <c r="N907">
        <v>185</v>
      </c>
      <c r="O907">
        <v>5</v>
      </c>
      <c r="P907">
        <v>185</v>
      </c>
      <c r="Q907">
        <v>7</v>
      </c>
      <c r="R907">
        <v>27</v>
      </c>
      <c r="S907">
        <v>2</v>
      </c>
      <c r="T907">
        <v>3</v>
      </c>
      <c r="U907">
        <v>3</v>
      </c>
      <c r="V907">
        <v>2</v>
      </c>
      <c r="W907">
        <v>0</v>
      </c>
      <c r="X907">
        <v>120</v>
      </c>
      <c r="Y907">
        <v>3</v>
      </c>
      <c r="Z907">
        <v>2</v>
      </c>
      <c r="AA907">
        <v>1</v>
      </c>
      <c r="AB907">
        <v>4</v>
      </c>
      <c r="AK907">
        <v>1</v>
      </c>
      <c r="AO907" t="s">
        <v>95</v>
      </c>
      <c r="AP907" t="s">
        <v>95</v>
      </c>
      <c r="AR907" t="s">
        <v>95</v>
      </c>
      <c r="AU907" t="s">
        <v>95</v>
      </c>
      <c r="AW907" t="s">
        <v>95</v>
      </c>
      <c r="AX907">
        <v>5</v>
      </c>
      <c r="AY907">
        <v>185</v>
      </c>
      <c r="AZ907">
        <v>180</v>
      </c>
      <c r="BA907">
        <v>393</v>
      </c>
      <c r="BB907">
        <v>44</v>
      </c>
      <c r="BC907" t="s">
        <v>96</v>
      </c>
      <c r="BD907">
        <v>1</v>
      </c>
      <c r="BF907" t="s">
        <v>1031</v>
      </c>
      <c r="BG907" s="1">
        <v>44354.029166666667</v>
      </c>
      <c r="BH907" s="1">
        <v>44354.038298611114</v>
      </c>
      <c r="BI907" s="1">
        <v>44354.038819444446</v>
      </c>
      <c r="BJ907" t="s">
        <v>85</v>
      </c>
      <c r="BK907" t="s">
        <v>86</v>
      </c>
      <c r="BL907" t="s">
        <v>87</v>
      </c>
    </row>
    <row r="908" spans="1:64" x14ac:dyDescent="0.3">
      <c r="A908" t="str">
        <f>"200494B0000"</f>
        <v>200494B0000</v>
      </c>
      <c r="B908" t="str">
        <f>"200494B00003"</f>
        <v>200494B00003</v>
      </c>
      <c r="C908" t="str">
        <f t="shared" si="59"/>
        <v>20</v>
      </c>
      <c r="D908" t="s">
        <v>81</v>
      </c>
      <c r="E908" t="str">
        <f t="shared" si="57"/>
        <v>066</v>
      </c>
      <c r="F908" t="s">
        <v>951</v>
      </c>
      <c r="G908" t="str">
        <f>"0494"</f>
        <v>0494</v>
      </c>
      <c r="H908" t="str">
        <f>"0000"</f>
        <v>0000</v>
      </c>
      <c r="I908" t="s">
        <v>83</v>
      </c>
      <c r="J908">
        <v>0</v>
      </c>
      <c r="K908">
        <v>1</v>
      </c>
      <c r="L908">
        <v>3</v>
      </c>
      <c r="M908">
        <v>386</v>
      </c>
      <c r="N908">
        <v>330</v>
      </c>
      <c r="O908">
        <v>7</v>
      </c>
      <c r="P908">
        <v>330</v>
      </c>
      <c r="Q908">
        <v>14</v>
      </c>
      <c r="R908">
        <v>74</v>
      </c>
      <c r="S908">
        <v>2</v>
      </c>
      <c r="T908">
        <v>4</v>
      </c>
      <c r="U908">
        <v>11</v>
      </c>
      <c r="V908">
        <v>6</v>
      </c>
      <c r="W908">
        <v>1</v>
      </c>
      <c r="X908">
        <v>188</v>
      </c>
      <c r="Y908">
        <v>3</v>
      </c>
      <c r="Z908">
        <v>3</v>
      </c>
      <c r="AA908">
        <v>1</v>
      </c>
      <c r="AB908">
        <v>7</v>
      </c>
      <c r="AK908">
        <v>3</v>
      </c>
      <c r="AO908">
        <v>2</v>
      </c>
      <c r="AP908">
        <v>0</v>
      </c>
      <c r="AR908">
        <v>0</v>
      </c>
      <c r="AU908">
        <v>0</v>
      </c>
      <c r="AW908">
        <v>0</v>
      </c>
      <c r="AX908">
        <v>11</v>
      </c>
      <c r="AY908">
        <v>330</v>
      </c>
      <c r="AZ908">
        <v>330</v>
      </c>
      <c r="BA908">
        <v>672</v>
      </c>
      <c r="BB908">
        <v>44</v>
      </c>
      <c r="BD908">
        <v>1</v>
      </c>
      <c r="BF908" t="s">
        <v>1032</v>
      </c>
      <c r="BG908" s="1">
        <v>44353.990972222222</v>
      </c>
      <c r="BH908" s="1">
        <v>44354.003240740742</v>
      </c>
      <c r="BI908" s="1">
        <v>44354.004108796296</v>
      </c>
      <c r="BJ908" t="s">
        <v>85</v>
      </c>
      <c r="BK908" t="s">
        <v>86</v>
      </c>
      <c r="BL908" t="s">
        <v>87</v>
      </c>
    </row>
    <row r="909" spans="1:64" x14ac:dyDescent="0.3">
      <c r="A909" t="str">
        <f>"200494C0100"</f>
        <v>200494C0100</v>
      </c>
      <c r="B909" t="str">
        <f>"200494C01003"</f>
        <v>200494C01003</v>
      </c>
      <c r="C909" t="str">
        <f t="shared" si="59"/>
        <v>20</v>
      </c>
      <c r="D909" t="s">
        <v>81</v>
      </c>
      <c r="E909" t="str">
        <f t="shared" si="57"/>
        <v>066</v>
      </c>
      <c r="F909" t="s">
        <v>951</v>
      </c>
      <c r="G909" t="str">
        <f>"0494"</f>
        <v>0494</v>
      </c>
      <c r="H909" t="str">
        <f>"0001"</f>
        <v>0001</v>
      </c>
      <c r="I909" t="s">
        <v>89</v>
      </c>
      <c r="J909">
        <v>0</v>
      </c>
      <c r="K909">
        <v>1</v>
      </c>
      <c r="L909">
        <v>3</v>
      </c>
      <c r="M909">
        <v>397</v>
      </c>
      <c r="N909">
        <v>319</v>
      </c>
      <c r="O909">
        <v>2</v>
      </c>
      <c r="P909">
        <v>320</v>
      </c>
      <c r="Q909">
        <v>10</v>
      </c>
      <c r="R909">
        <v>65</v>
      </c>
      <c r="S909">
        <v>1</v>
      </c>
      <c r="T909">
        <v>1</v>
      </c>
      <c r="U909">
        <v>7</v>
      </c>
      <c r="V909">
        <v>5</v>
      </c>
      <c r="W909">
        <v>1</v>
      </c>
      <c r="X909">
        <v>206</v>
      </c>
      <c r="Y909">
        <v>3</v>
      </c>
      <c r="Z909">
        <v>6</v>
      </c>
      <c r="AA909">
        <v>3</v>
      </c>
      <c r="AB909">
        <v>2</v>
      </c>
      <c r="AK909">
        <v>2</v>
      </c>
      <c r="AO909">
        <v>1</v>
      </c>
      <c r="AP909">
        <v>0</v>
      </c>
      <c r="AR909">
        <v>0</v>
      </c>
      <c r="AU909">
        <v>0</v>
      </c>
      <c r="AW909">
        <v>0</v>
      </c>
      <c r="AX909">
        <v>7</v>
      </c>
      <c r="AY909">
        <v>320</v>
      </c>
      <c r="AZ909">
        <v>320</v>
      </c>
      <c r="BA909">
        <v>672</v>
      </c>
      <c r="BB909">
        <v>44</v>
      </c>
      <c r="BD909">
        <v>1</v>
      </c>
      <c r="BF909" t="s">
        <v>1033</v>
      </c>
      <c r="BG909" s="1">
        <v>44353.990972222222</v>
      </c>
      <c r="BH909" s="1">
        <v>44353.995856481481</v>
      </c>
      <c r="BI909" s="1">
        <v>44353.996458333335</v>
      </c>
      <c r="BJ909" t="s">
        <v>85</v>
      </c>
      <c r="BK909" t="s">
        <v>86</v>
      </c>
      <c r="BL909" t="s">
        <v>87</v>
      </c>
    </row>
    <row r="910" spans="1:64" x14ac:dyDescent="0.3">
      <c r="A910" t="str">
        <f>"200494C0200"</f>
        <v>200494C0200</v>
      </c>
      <c r="B910" t="str">
        <f>"200494C02003"</f>
        <v>200494C02003</v>
      </c>
      <c r="C910" t="str">
        <f t="shared" si="59"/>
        <v>20</v>
      </c>
      <c r="D910" t="s">
        <v>81</v>
      </c>
      <c r="E910" t="str">
        <f t="shared" si="57"/>
        <v>066</v>
      </c>
      <c r="F910" t="s">
        <v>951</v>
      </c>
      <c r="G910" t="str">
        <f>"0494"</f>
        <v>0494</v>
      </c>
      <c r="H910" t="str">
        <f>"0002"</f>
        <v>0002</v>
      </c>
      <c r="I910" t="s">
        <v>89</v>
      </c>
      <c r="J910">
        <v>0</v>
      </c>
      <c r="K910">
        <v>1</v>
      </c>
      <c r="L910">
        <v>3</v>
      </c>
      <c r="M910">
        <v>409</v>
      </c>
      <c r="N910">
        <v>306</v>
      </c>
      <c r="O910">
        <v>8</v>
      </c>
      <c r="P910">
        <v>305</v>
      </c>
      <c r="Q910">
        <v>12</v>
      </c>
      <c r="R910">
        <v>67</v>
      </c>
      <c r="S910">
        <v>2</v>
      </c>
      <c r="T910">
        <v>9</v>
      </c>
      <c r="U910">
        <v>4</v>
      </c>
      <c r="V910">
        <v>9</v>
      </c>
      <c r="W910">
        <v>1</v>
      </c>
      <c r="X910">
        <v>174</v>
      </c>
      <c r="Y910">
        <v>2</v>
      </c>
      <c r="Z910">
        <v>2</v>
      </c>
      <c r="AA910">
        <v>6</v>
      </c>
      <c r="AB910">
        <v>6</v>
      </c>
      <c r="AK910">
        <v>4</v>
      </c>
      <c r="AO910">
        <v>2</v>
      </c>
      <c r="AP910">
        <v>0</v>
      </c>
      <c r="AR910">
        <v>0</v>
      </c>
      <c r="AU910">
        <v>0</v>
      </c>
      <c r="AW910">
        <v>0</v>
      </c>
      <c r="AX910">
        <v>6</v>
      </c>
      <c r="AY910">
        <v>305</v>
      </c>
      <c r="AZ910">
        <v>306</v>
      </c>
      <c r="BA910">
        <v>671</v>
      </c>
      <c r="BB910">
        <v>44</v>
      </c>
      <c r="BD910">
        <v>1</v>
      </c>
      <c r="BF910" t="s">
        <v>1034</v>
      </c>
      <c r="BG910" s="1">
        <v>44353.994444444441</v>
      </c>
      <c r="BH910" s="1">
        <v>44354.001018518517</v>
      </c>
      <c r="BI910" s="1">
        <v>44354.001539351855</v>
      </c>
      <c r="BJ910" t="s">
        <v>85</v>
      </c>
      <c r="BK910" t="s">
        <v>86</v>
      </c>
      <c r="BL910" t="s">
        <v>87</v>
      </c>
    </row>
    <row r="911" spans="1:64" x14ac:dyDescent="0.3">
      <c r="A911" t="str">
        <f>"200495B0000"</f>
        <v>200495B0000</v>
      </c>
      <c r="B911" t="str">
        <f>"200495B00003"</f>
        <v>200495B00003</v>
      </c>
      <c r="C911" t="str">
        <f t="shared" si="59"/>
        <v>20</v>
      </c>
      <c r="D911" t="s">
        <v>81</v>
      </c>
      <c r="E911" t="str">
        <f t="shared" si="57"/>
        <v>066</v>
      </c>
      <c r="F911" t="s">
        <v>951</v>
      </c>
      <c r="G911" t="str">
        <f>"0495"</f>
        <v>0495</v>
      </c>
      <c r="H911" t="str">
        <f>"0000"</f>
        <v>0000</v>
      </c>
      <c r="I911" t="s">
        <v>83</v>
      </c>
      <c r="J911">
        <v>0</v>
      </c>
      <c r="K911">
        <v>1</v>
      </c>
      <c r="L911">
        <v>3</v>
      </c>
      <c r="M911">
        <v>329</v>
      </c>
      <c r="N911">
        <v>323</v>
      </c>
      <c r="O911">
        <v>6</v>
      </c>
      <c r="P911">
        <v>323</v>
      </c>
      <c r="Q911">
        <v>9</v>
      </c>
      <c r="R911">
        <v>82</v>
      </c>
      <c r="S911">
        <v>5</v>
      </c>
      <c r="T911">
        <v>4</v>
      </c>
      <c r="U911">
        <v>9</v>
      </c>
      <c r="V911">
        <v>6</v>
      </c>
      <c r="W911">
        <v>4</v>
      </c>
      <c r="X911">
        <v>184</v>
      </c>
      <c r="Y911">
        <v>2</v>
      </c>
      <c r="Z911">
        <v>2</v>
      </c>
      <c r="AA911">
        <v>2</v>
      </c>
      <c r="AB911">
        <v>6</v>
      </c>
      <c r="AK911">
        <v>1</v>
      </c>
      <c r="AO911">
        <v>0</v>
      </c>
      <c r="AP911">
        <v>0</v>
      </c>
      <c r="AR911">
        <v>0</v>
      </c>
      <c r="AU911">
        <v>0</v>
      </c>
      <c r="AW911">
        <v>0</v>
      </c>
      <c r="AX911">
        <v>7</v>
      </c>
      <c r="AY911">
        <v>323</v>
      </c>
      <c r="AZ911">
        <v>323</v>
      </c>
      <c r="BA911">
        <v>609</v>
      </c>
      <c r="BB911">
        <v>44</v>
      </c>
      <c r="BD911">
        <v>1</v>
      </c>
      <c r="BF911" t="s">
        <v>1035</v>
      </c>
      <c r="BG911" s="1">
        <v>44353.991666666669</v>
      </c>
      <c r="BH911" s="1">
        <v>44353.996967592589</v>
      </c>
      <c r="BI911" s="1">
        <v>44353.997569444444</v>
      </c>
      <c r="BJ911" t="s">
        <v>85</v>
      </c>
      <c r="BK911" t="s">
        <v>86</v>
      </c>
      <c r="BL911" t="s">
        <v>87</v>
      </c>
    </row>
    <row r="912" spans="1:64" x14ac:dyDescent="0.3">
      <c r="A912" t="str">
        <f>"200495C0100"</f>
        <v>200495C0100</v>
      </c>
      <c r="B912" t="str">
        <f>"200495C01003"</f>
        <v>200495C01003</v>
      </c>
      <c r="C912" t="str">
        <f t="shared" si="59"/>
        <v>20</v>
      </c>
      <c r="D912" t="s">
        <v>81</v>
      </c>
      <c r="E912" t="str">
        <f t="shared" si="57"/>
        <v>066</v>
      </c>
      <c r="F912" t="s">
        <v>951</v>
      </c>
      <c r="G912" t="str">
        <f>"0495"</f>
        <v>0495</v>
      </c>
      <c r="H912" t="str">
        <f>"0001"</f>
        <v>0001</v>
      </c>
      <c r="I912" t="s">
        <v>89</v>
      </c>
      <c r="J912">
        <v>0</v>
      </c>
      <c r="K912">
        <v>1</v>
      </c>
      <c r="L912">
        <v>3</v>
      </c>
      <c r="M912">
        <v>331</v>
      </c>
      <c r="N912">
        <v>321</v>
      </c>
      <c r="O912">
        <v>5</v>
      </c>
      <c r="P912">
        <v>321</v>
      </c>
      <c r="Q912">
        <v>15</v>
      </c>
      <c r="R912">
        <v>82</v>
      </c>
      <c r="S912">
        <v>1</v>
      </c>
      <c r="T912">
        <v>3</v>
      </c>
      <c r="U912">
        <v>10</v>
      </c>
      <c r="V912">
        <v>7</v>
      </c>
      <c r="W912">
        <v>7</v>
      </c>
      <c r="X912">
        <v>169</v>
      </c>
      <c r="Y912">
        <v>2</v>
      </c>
      <c r="Z912">
        <v>4</v>
      </c>
      <c r="AA912">
        <v>2</v>
      </c>
      <c r="AB912">
        <v>7</v>
      </c>
      <c r="AK912">
        <v>3</v>
      </c>
      <c r="AO912">
        <v>0</v>
      </c>
      <c r="AP912">
        <v>0</v>
      </c>
      <c r="AR912">
        <v>0</v>
      </c>
      <c r="AU912">
        <v>0</v>
      </c>
      <c r="AW912">
        <v>0</v>
      </c>
      <c r="AX912">
        <v>9</v>
      </c>
      <c r="AY912">
        <v>321</v>
      </c>
      <c r="AZ912">
        <v>321</v>
      </c>
      <c r="BA912">
        <v>608</v>
      </c>
      <c r="BB912">
        <v>44</v>
      </c>
      <c r="BD912">
        <v>1</v>
      </c>
      <c r="BF912" t="s">
        <v>1036</v>
      </c>
      <c r="BG912" s="1">
        <v>44353.993750000001</v>
      </c>
      <c r="BH912" s="1">
        <v>44353.9997337963</v>
      </c>
      <c r="BI912" s="1">
        <v>44354.000509259262</v>
      </c>
      <c r="BJ912" t="s">
        <v>85</v>
      </c>
      <c r="BK912" t="s">
        <v>86</v>
      </c>
      <c r="BL912" t="s">
        <v>87</v>
      </c>
    </row>
    <row r="913" spans="1:64" x14ac:dyDescent="0.3">
      <c r="A913" t="str">
        <f>"200495C0200"</f>
        <v>200495C0200</v>
      </c>
      <c r="B913" t="str">
        <f>"200495C02003"</f>
        <v>200495C02003</v>
      </c>
      <c r="C913" t="str">
        <f t="shared" si="59"/>
        <v>20</v>
      </c>
      <c r="D913" t="s">
        <v>81</v>
      </c>
      <c r="E913" t="str">
        <f t="shared" si="57"/>
        <v>066</v>
      </c>
      <c r="F913" t="s">
        <v>951</v>
      </c>
      <c r="G913" t="str">
        <f>"0495"</f>
        <v>0495</v>
      </c>
      <c r="H913" t="str">
        <f>"0002"</f>
        <v>0002</v>
      </c>
      <c r="I913" t="s">
        <v>89</v>
      </c>
      <c r="J913">
        <v>0</v>
      </c>
      <c r="K913">
        <v>1</v>
      </c>
      <c r="L913">
        <v>3</v>
      </c>
      <c r="M913">
        <v>356</v>
      </c>
      <c r="N913">
        <v>296</v>
      </c>
      <c r="O913">
        <v>4</v>
      </c>
      <c r="P913">
        <v>296</v>
      </c>
      <c r="Q913">
        <v>6</v>
      </c>
      <c r="R913">
        <v>70</v>
      </c>
      <c r="S913">
        <v>2</v>
      </c>
      <c r="T913">
        <v>7</v>
      </c>
      <c r="U913">
        <v>6</v>
      </c>
      <c r="V913">
        <v>7</v>
      </c>
      <c r="W913">
        <v>1</v>
      </c>
      <c r="X913">
        <v>167</v>
      </c>
      <c r="Y913">
        <v>2</v>
      </c>
      <c r="Z913">
        <v>1</v>
      </c>
      <c r="AA913">
        <v>5</v>
      </c>
      <c r="AB913">
        <v>4</v>
      </c>
      <c r="AK913">
        <v>2</v>
      </c>
      <c r="AO913">
        <v>1</v>
      </c>
      <c r="AP913">
        <v>0</v>
      </c>
      <c r="AR913">
        <v>0</v>
      </c>
      <c r="AU913">
        <v>0</v>
      </c>
      <c r="AW913">
        <v>0</v>
      </c>
      <c r="AX913">
        <v>15</v>
      </c>
      <c r="AY913">
        <v>296</v>
      </c>
      <c r="AZ913">
        <v>296</v>
      </c>
      <c r="BA913">
        <v>608</v>
      </c>
      <c r="BB913">
        <v>44</v>
      </c>
      <c r="BD913">
        <v>1</v>
      </c>
      <c r="BF913" t="s">
        <v>1037</v>
      </c>
      <c r="BG913" s="1">
        <v>44353.990277777775</v>
      </c>
      <c r="BH913" s="1">
        <v>44353.994826388887</v>
      </c>
      <c r="BI913" s="1">
        <v>44353.995254629626</v>
      </c>
      <c r="BJ913" t="s">
        <v>85</v>
      </c>
      <c r="BK913" t="s">
        <v>86</v>
      </c>
      <c r="BL913" t="s">
        <v>87</v>
      </c>
    </row>
    <row r="914" spans="1:64" x14ac:dyDescent="0.3">
      <c r="A914" t="str">
        <f>"200496B0000"</f>
        <v>200496B0000</v>
      </c>
      <c r="B914" t="str">
        <f>"200496B00003"</f>
        <v>200496B00003</v>
      </c>
      <c r="C914" t="str">
        <f t="shared" si="59"/>
        <v>20</v>
      </c>
      <c r="D914" t="s">
        <v>81</v>
      </c>
      <c r="E914" t="str">
        <f t="shared" si="57"/>
        <v>066</v>
      </c>
      <c r="F914" t="s">
        <v>951</v>
      </c>
      <c r="G914" t="str">
        <f>"0496"</f>
        <v>0496</v>
      </c>
      <c r="H914" t="str">
        <f>"0000"</f>
        <v>0000</v>
      </c>
      <c r="I914" t="s">
        <v>83</v>
      </c>
      <c r="J914">
        <v>0</v>
      </c>
      <c r="K914">
        <v>1</v>
      </c>
      <c r="L914">
        <v>3</v>
      </c>
      <c r="M914">
        <v>358</v>
      </c>
      <c r="N914">
        <v>350</v>
      </c>
      <c r="O914">
        <v>7</v>
      </c>
      <c r="P914">
        <v>350</v>
      </c>
      <c r="Q914">
        <v>19</v>
      </c>
      <c r="R914">
        <v>66</v>
      </c>
      <c r="S914">
        <v>1</v>
      </c>
      <c r="T914">
        <v>2</v>
      </c>
      <c r="U914">
        <v>7</v>
      </c>
      <c r="V914">
        <v>3</v>
      </c>
      <c r="W914">
        <v>1</v>
      </c>
      <c r="X914">
        <v>219</v>
      </c>
      <c r="Y914">
        <v>3</v>
      </c>
      <c r="Z914">
        <v>5</v>
      </c>
      <c r="AA914">
        <v>1</v>
      </c>
      <c r="AB914">
        <v>6</v>
      </c>
      <c r="AK914">
        <v>2</v>
      </c>
      <c r="AO914">
        <v>1</v>
      </c>
      <c r="AP914">
        <v>0</v>
      </c>
      <c r="AR914">
        <v>0</v>
      </c>
      <c r="AU914">
        <v>0</v>
      </c>
      <c r="AW914">
        <v>0</v>
      </c>
      <c r="AX914">
        <v>14</v>
      </c>
      <c r="AY914">
        <v>350</v>
      </c>
      <c r="AZ914">
        <v>350</v>
      </c>
      <c r="BA914">
        <v>663</v>
      </c>
      <c r="BB914">
        <v>44</v>
      </c>
      <c r="BD914">
        <v>1</v>
      </c>
      <c r="BF914" t="s">
        <v>1038</v>
      </c>
      <c r="BG914" s="1">
        <v>44354.102777777778</v>
      </c>
      <c r="BH914" s="1">
        <v>44354.107002314813</v>
      </c>
      <c r="BI914" s="1">
        <v>44354.107685185183</v>
      </c>
      <c r="BJ914" t="s">
        <v>85</v>
      </c>
      <c r="BK914" t="s">
        <v>86</v>
      </c>
      <c r="BL914" t="s">
        <v>87</v>
      </c>
    </row>
    <row r="915" spans="1:64" x14ac:dyDescent="0.3">
      <c r="A915" t="str">
        <f>"200496C0100"</f>
        <v>200496C0100</v>
      </c>
      <c r="B915" t="str">
        <f>"200496C01003"</f>
        <v>200496C01003</v>
      </c>
      <c r="C915" t="str">
        <f t="shared" si="59"/>
        <v>20</v>
      </c>
      <c r="D915" t="s">
        <v>81</v>
      </c>
      <c r="E915" t="str">
        <f t="shared" si="57"/>
        <v>066</v>
      </c>
      <c r="F915" t="s">
        <v>951</v>
      </c>
      <c r="G915" t="str">
        <f>"0496"</f>
        <v>0496</v>
      </c>
      <c r="H915" t="str">
        <f>"0001"</f>
        <v>0001</v>
      </c>
      <c r="I915" t="s">
        <v>89</v>
      </c>
      <c r="J915">
        <v>0</v>
      </c>
      <c r="K915">
        <v>1</v>
      </c>
      <c r="L915">
        <v>3</v>
      </c>
      <c r="M915">
        <v>361</v>
      </c>
      <c r="N915">
        <v>346</v>
      </c>
      <c r="O915">
        <v>8</v>
      </c>
      <c r="P915">
        <v>346</v>
      </c>
      <c r="Q915">
        <v>29</v>
      </c>
      <c r="R915">
        <v>53</v>
      </c>
      <c r="S915">
        <v>1</v>
      </c>
      <c r="T915">
        <v>3</v>
      </c>
      <c r="U915">
        <v>11</v>
      </c>
      <c r="V915">
        <v>7</v>
      </c>
      <c r="W915">
        <v>0</v>
      </c>
      <c r="X915">
        <v>219</v>
      </c>
      <c r="Y915">
        <v>10</v>
      </c>
      <c r="Z915">
        <v>2</v>
      </c>
      <c r="AA915">
        <v>3</v>
      </c>
      <c r="AB915">
        <v>4</v>
      </c>
      <c r="AK915">
        <v>2</v>
      </c>
      <c r="AO915">
        <v>1</v>
      </c>
      <c r="AP915">
        <v>0</v>
      </c>
      <c r="AR915">
        <v>0</v>
      </c>
      <c r="AU915">
        <v>0</v>
      </c>
      <c r="AW915">
        <v>0</v>
      </c>
      <c r="AX915">
        <v>1</v>
      </c>
      <c r="AY915">
        <v>346</v>
      </c>
      <c r="AZ915">
        <v>346</v>
      </c>
      <c r="BA915">
        <v>663</v>
      </c>
      <c r="BB915">
        <v>44</v>
      </c>
      <c r="BD915">
        <v>1</v>
      </c>
      <c r="BF915" t="s">
        <v>1039</v>
      </c>
      <c r="BG915" s="1">
        <v>44354.102083333331</v>
      </c>
      <c r="BH915" s="1">
        <v>44354.112488425926</v>
      </c>
      <c r="BI915" s="1">
        <v>44354.113032407404</v>
      </c>
      <c r="BJ915" t="s">
        <v>85</v>
      </c>
      <c r="BK915" t="s">
        <v>86</v>
      </c>
      <c r="BL915" t="s">
        <v>87</v>
      </c>
    </row>
    <row r="916" spans="1:64" x14ac:dyDescent="0.3">
      <c r="A916" t="str">
        <f>"200497B0000"</f>
        <v>200497B0000</v>
      </c>
      <c r="B916" t="str">
        <f>"200497B00003"</f>
        <v>200497B00003</v>
      </c>
      <c r="C916" t="str">
        <f t="shared" si="59"/>
        <v>20</v>
      </c>
      <c r="D916" t="s">
        <v>81</v>
      </c>
      <c r="E916" t="str">
        <f t="shared" si="57"/>
        <v>066</v>
      </c>
      <c r="F916" t="s">
        <v>951</v>
      </c>
      <c r="G916" t="str">
        <f>"0497"</f>
        <v>0497</v>
      </c>
      <c r="H916" t="str">
        <f>"0000"</f>
        <v>0000</v>
      </c>
      <c r="I916" t="s">
        <v>83</v>
      </c>
      <c r="J916">
        <v>0</v>
      </c>
      <c r="K916">
        <v>1</v>
      </c>
      <c r="L916">
        <v>3</v>
      </c>
      <c r="M916">
        <v>336</v>
      </c>
      <c r="N916" t="s">
        <v>131</v>
      </c>
      <c r="O916">
        <v>7</v>
      </c>
      <c r="P916" t="s">
        <v>92</v>
      </c>
      <c r="Q916">
        <v>15</v>
      </c>
      <c r="R916">
        <v>88</v>
      </c>
      <c r="S916">
        <v>5</v>
      </c>
      <c r="T916">
        <v>7</v>
      </c>
      <c r="U916">
        <v>7</v>
      </c>
      <c r="V916">
        <v>4</v>
      </c>
      <c r="W916">
        <v>1</v>
      </c>
      <c r="X916">
        <v>195</v>
      </c>
      <c r="Y916">
        <v>4</v>
      </c>
      <c r="Z916">
        <v>5</v>
      </c>
      <c r="AA916">
        <v>3</v>
      </c>
      <c r="AB916">
        <v>12</v>
      </c>
      <c r="AK916">
        <v>1</v>
      </c>
      <c r="AO916" t="s">
        <v>95</v>
      </c>
      <c r="AP916" t="s">
        <v>95</v>
      </c>
      <c r="AR916" t="s">
        <v>95</v>
      </c>
      <c r="AU916" t="s">
        <v>95</v>
      </c>
      <c r="AW916" t="s">
        <v>95</v>
      </c>
      <c r="AX916">
        <v>8</v>
      </c>
      <c r="AY916">
        <v>355</v>
      </c>
      <c r="AZ916">
        <v>355</v>
      </c>
      <c r="BA916">
        <v>647</v>
      </c>
      <c r="BB916">
        <v>44</v>
      </c>
      <c r="BC916" t="s">
        <v>96</v>
      </c>
      <c r="BD916">
        <v>1</v>
      </c>
      <c r="BF916" t="s">
        <v>1040</v>
      </c>
      <c r="BG916" s="1">
        <v>44354.054166666669</v>
      </c>
      <c r="BH916" s="1">
        <v>44354.060601851852</v>
      </c>
      <c r="BI916" s="1">
        <v>44354.06108796296</v>
      </c>
      <c r="BJ916" t="s">
        <v>85</v>
      </c>
      <c r="BK916" t="s">
        <v>86</v>
      </c>
      <c r="BL916" t="s">
        <v>87</v>
      </c>
    </row>
    <row r="917" spans="1:64" x14ac:dyDescent="0.3">
      <c r="A917" t="str">
        <f>"200497C0100"</f>
        <v>200497C0100</v>
      </c>
      <c r="B917" t="str">
        <f>"200497C01003"</f>
        <v>200497C01003</v>
      </c>
      <c r="C917" t="str">
        <f t="shared" si="59"/>
        <v>20</v>
      </c>
      <c r="D917" t="s">
        <v>81</v>
      </c>
      <c r="E917" t="str">
        <f t="shared" si="57"/>
        <v>066</v>
      </c>
      <c r="F917" t="s">
        <v>951</v>
      </c>
      <c r="G917" t="str">
        <f>"0497"</f>
        <v>0497</v>
      </c>
      <c r="H917" t="str">
        <f>"0001"</f>
        <v>0001</v>
      </c>
      <c r="I917" t="s">
        <v>89</v>
      </c>
      <c r="J917">
        <v>0</v>
      </c>
      <c r="K917">
        <v>1</v>
      </c>
      <c r="L917">
        <v>3</v>
      </c>
      <c r="M917">
        <v>329</v>
      </c>
      <c r="N917">
        <v>361</v>
      </c>
      <c r="O917">
        <v>13</v>
      </c>
      <c r="P917" t="s">
        <v>92</v>
      </c>
      <c r="Q917">
        <v>20</v>
      </c>
      <c r="R917">
        <v>55</v>
      </c>
      <c r="S917">
        <v>5</v>
      </c>
      <c r="T917">
        <v>3</v>
      </c>
      <c r="U917">
        <v>9</v>
      </c>
      <c r="V917">
        <v>9</v>
      </c>
      <c r="W917">
        <v>8</v>
      </c>
      <c r="X917">
        <v>216</v>
      </c>
      <c r="Y917">
        <v>6</v>
      </c>
      <c r="Z917">
        <v>7</v>
      </c>
      <c r="AA917">
        <v>2</v>
      </c>
      <c r="AB917">
        <v>13</v>
      </c>
      <c r="AK917">
        <v>2</v>
      </c>
      <c r="AO917">
        <v>0</v>
      </c>
      <c r="AP917">
        <v>0</v>
      </c>
      <c r="AR917">
        <v>0</v>
      </c>
      <c r="AU917">
        <v>0</v>
      </c>
      <c r="AW917">
        <v>0</v>
      </c>
      <c r="AX917">
        <v>6</v>
      </c>
      <c r="AY917">
        <v>361</v>
      </c>
      <c r="AZ917">
        <v>361</v>
      </c>
      <c r="BA917">
        <v>646</v>
      </c>
      <c r="BB917">
        <v>44</v>
      </c>
      <c r="BD917">
        <v>1</v>
      </c>
      <c r="BF917" t="s">
        <v>1041</v>
      </c>
      <c r="BG917" s="1">
        <v>44354.054166666669</v>
      </c>
      <c r="BH917" s="1">
        <v>44354.062569444446</v>
      </c>
      <c r="BI917" s="1">
        <v>44354.063356481478</v>
      </c>
      <c r="BJ917" t="s">
        <v>85</v>
      </c>
      <c r="BK917" t="s">
        <v>86</v>
      </c>
      <c r="BL917" t="s">
        <v>87</v>
      </c>
    </row>
    <row r="918" spans="1:64" x14ac:dyDescent="0.3">
      <c r="A918" t="str">
        <f>"200498B0000"</f>
        <v>200498B0000</v>
      </c>
      <c r="B918" t="str">
        <f>"200498B00003"</f>
        <v>200498B00003</v>
      </c>
      <c r="C918" t="str">
        <f t="shared" si="59"/>
        <v>20</v>
      </c>
      <c r="D918" t="s">
        <v>81</v>
      </c>
      <c r="E918" t="str">
        <f t="shared" si="57"/>
        <v>066</v>
      </c>
      <c r="F918" t="s">
        <v>951</v>
      </c>
      <c r="G918" t="str">
        <f>"0498"</f>
        <v>0498</v>
      </c>
      <c r="H918" t="str">
        <f>"0000"</f>
        <v>0000</v>
      </c>
      <c r="I918" t="s">
        <v>83</v>
      </c>
      <c r="J918">
        <v>0</v>
      </c>
      <c r="K918">
        <v>1</v>
      </c>
      <c r="L918">
        <v>3</v>
      </c>
      <c r="M918">
        <v>302</v>
      </c>
      <c r="N918">
        <v>363</v>
      </c>
      <c r="O918">
        <v>8</v>
      </c>
      <c r="P918" t="s">
        <v>92</v>
      </c>
      <c r="Q918">
        <v>24</v>
      </c>
      <c r="R918">
        <v>122</v>
      </c>
      <c r="S918">
        <v>2</v>
      </c>
      <c r="T918">
        <v>6</v>
      </c>
      <c r="U918">
        <v>6</v>
      </c>
      <c r="V918">
        <v>7</v>
      </c>
      <c r="W918">
        <v>0</v>
      </c>
      <c r="X918">
        <v>163</v>
      </c>
      <c r="Y918">
        <v>4</v>
      </c>
      <c r="Z918">
        <v>2</v>
      </c>
      <c r="AA918">
        <v>5</v>
      </c>
      <c r="AB918">
        <v>6</v>
      </c>
      <c r="AK918">
        <v>2</v>
      </c>
      <c r="AO918">
        <v>0</v>
      </c>
      <c r="AP918">
        <v>0</v>
      </c>
      <c r="AR918">
        <v>1</v>
      </c>
      <c r="AU918">
        <v>0</v>
      </c>
      <c r="AW918">
        <v>0</v>
      </c>
      <c r="AX918">
        <v>10</v>
      </c>
      <c r="AY918">
        <v>359</v>
      </c>
      <c r="AZ918">
        <v>360</v>
      </c>
      <c r="BA918">
        <v>619</v>
      </c>
      <c r="BB918">
        <v>44</v>
      </c>
      <c r="BD918">
        <v>1</v>
      </c>
      <c r="BF918" t="s">
        <v>1042</v>
      </c>
      <c r="BG918" s="1">
        <v>44354.073611111111</v>
      </c>
      <c r="BH918" s="1">
        <v>44354.089837962965</v>
      </c>
      <c r="BI918" s="1">
        <v>44354.090590277781</v>
      </c>
      <c r="BJ918" t="s">
        <v>85</v>
      </c>
      <c r="BK918" t="s">
        <v>86</v>
      </c>
      <c r="BL918" t="s">
        <v>87</v>
      </c>
    </row>
    <row r="919" spans="1:64" x14ac:dyDescent="0.3">
      <c r="A919" t="str">
        <f>"200498C0100"</f>
        <v>200498C0100</v>
      </c>
      <c r="B919" t="str">
        <f>"200498C01003"</f>
        <v>200498C01003</v>
      </c>
      <c r="C919" t="str">
        <f t="shared" si="59"/>
        <v>20</v>
      </c>
      <c r="D919" t="s">
        <v>81</v>
      </c>
      <c r="E919" t="str">
        <f t="shared" si="57"/>
        <v>066</v>
      </c>
      <c r="F919" t="s">
        <v>951</v>
      </c>
      <c r="G919" t="str">
        <f>"0498"</f>
        <v>0498</v>
      </c>
      <c r="H919" t="str">
        <f>"0001"</f>
        <v>0001</v>
      </c>
      <c r="I919" t="s">
        <v>89</v>
      </c>
      <c r="J919">
        <v>0</v>
      </c>
      <c r="K919">
        <v>1</v>
      </c>
      <c r="L919">
        <v>3</v>
      </c>
      <c r="M919">
        <v>313</v>
      </c>
      <c r="N919">
        <v>349</v>
      </c>
      <c r="O919">
        <v>6</v>
      </c>
      <c r="P919">
        <v>351</v>
      </c>
      <c r="Q919">
        <v>20</v>
      </c>
      <c r="R919">
        <v>108</v>
      </c>
      <c r="S919">
        <v>3</v>
      </c>
      <c r="T919">
        <v>5</v>
      </c>
      <c r="U919">
        <v>6</v>
      </c>
      <c r="V919">
        <v>8</v>
      </c>
      <c r="W919">
        <v>2</v>
      </c>
      <c r="X919">
        <v>169</v>
      </c>
      <c r="Y919">
        <v>2</v>
      </c>
      <c r="Z919">
        <v>6</v>
      </c>
      <c r="AA919">
        <v>2</v>
      </c>
      <c r="AB919">
        <v>10</v>
      </c>
      <c r="AK919">
        <v>1</v>
      </c>
      <c r="AO919">
        <v>2</v>
      </c>
      <c r="AP919">
        <v>0</v>
      </c>
      <c r="AR919">
        <v>0</v>
      </c>
      <c r="AU919">
        <v>0</v>
      </c>
      <c r="AW919">
        <v>0</v>
      </c>
      <c r="AX919">
        <v>7</v>
      </c>
      <c r="AY919">
        <v>351</v>
      </c>
      <c r="AZ919">
        <v>351</v>
      </c>
      <c r="BA919">
        <v>618</v>
      </c>
      <c r="BB919">
        <v>44</v>
      </c>
      <c r="BD919">
        <v>1</v>
      </c>
      <c r="BF919" t="s">
        <v>1043</v>
      </c>
      <c r="BG919" s="1">
        <v>44354.065972222219</v>
      </c>
      <c r="BH919" s="1">
        <v>44354.083877314813</v>
      </c>
      <c r="BI919" s="1">
        <v>44354.084537037037</v>
      </c>
      <c r="BJ919" t="s">
        <v>85</v>
      </c>
      <c r="BK919" t="s">
        <v>86</v>
      </c>
      <c r="BL919" t="s">
        <v>87</v>
      </c>
    </row>
    <row r="920" spans="1:64" x14ac:dyDescent="0.3">
      <c r="A920" t="str">
        <f>"200499B0000"</f>
        <v>200499B0000</v>
      </c>
      <c r="B920" t="str">
        <f>"200499B00003"</f>
        <v>200499B00003</v>
      </c>
      <c r="C920" t="str">
        <f t="shared" si="59"/>
        <v>20</v>
      </c>
      <c r="D920" t="s">
        <v>81</v>
      </c>
      <c r="E920" t="str">
        <f t="shared" si="57"/>
        <v>066</v>
      </c>
      <c r="F920" t="s">
        <v>951</v>
      </c>
      <c r="G920" t="str">
        <f>"0499"</f>
        <v>0499</v>
      </c>
      <c r="H920" t="str">
        <f>"0000"</f>
        <v>0000</v>
      </c>
      <c r="I920" t="s">
        <v>83</v>
      </c>
      <c r="J920">
        <v>0</v>
      </c>
      <c r="K920">
        <v>1</v>
      </c>
      <c r="L920">
        <v>3</v>
      </c>
      <c r="M920" t="s">
        <v>92</v>
      </c>
      <c r="N920">
        <v>408</v>
      </c>
      <c r="O920">
        <v>4</v>
      </c>
      <c r="P920">
        <v>408</v>
      </c>
      <c r="Q920">
        <v>32</v>
      </c>
      <c r="R920">
        <v>164</v>
      </c>
      <c r="S920">
        <v>1</v>
      </c>
      <c r="T920">
        <v>10</v>
      </c>
      <c r="U920">
        <v>5</v>
      </c>
      <c r="V920">
        <v>8</v>
      </c>
      <c r="W920">
        <v>2</v>
      </c>
      <c r="X920">
        <v>152</v>
      </c>
      <c r="Y920">
        <v>6</v>
      </c>
      <c r="Z920">
        <v>3</v>
      </c>
      <c r="AA920">
        <v>3</v>
      </c>
      <c r="AB920">
        <v>13</v>
      </c>
      <c r="AK920">
        <v>0</v>
      </c>
      <c r="AO920">
        <v>0</v>
      </c>
      <c r="AP920">
        <v>0</v>
      </c>
      <c r="AR920">
        <v>0</v>
      </c>
      <c r="AU920">
        <v>0</v>
      </c>
      <c r="AW920">
        <v>0</v>
      </c>
      <c r="AX920">
        <v>10</v>
      </c>
      <c r="AY920">
        <v>408</v>
      </c>
      <c r="AZ920">
        <v>409</v>
      </c>
      <c r="BA920">
        <v>654</v>
      </c>
      <c r="BB920">
        <v>44</v>
      </c>
      <c r="BD920">
        <v>1</v>
      </c>
      <c r="BF920" t="s">
        <v>1044</v>
      </c>
      <c r="BG920" s="1">
        <v>44353.924305555556</v>
      </c>
      <c r="BH920" s="1">
        <v>44353.928587962961</v>
      </c>
      <c r="BI920" s="1">
        <v>44353.929351851853</v>
      </c>
      <c r="BJ920" t="s">
        <v>85</v>
      </c>
      <c r="BK920" t="s">
        <v>86</v>
      </c>
      <c r="BL920" t="s">
        <v>87</v>
      </c>
    </row>
    <row r="921" spans="1:64" x14ac:dyDescent="0.3">
      <c r="A921" t="str">
        <f>"200499C0100"</f>
        <v>200499C0100</v>
      </c>
      <c r="B921" t="str">
        <f>"200499C01003"</f>
        <v>200499C01003</v>
      </c>
      <c r="C921" t="str">
        <f t="shared" si="59"/>
        <v>20</v>
      </c>
      <c r="D921" t="s">
        <v>81</v>
      </c>
      <c r="E921" t="str">
        <f t="shared" si="57"/>
        <v>066</v>
      </c>
      <c r="F921" t="s">
        <v>951</v>
      </c>
      <c r="G921" t="str">
        <f>"0499"</f>
        <v>0499</v>
      </c>
      <c r="H921" t="str">
        <f>"0001"</f>
        <v>0001</v>
      </c>
      <c r="I921" t="s">
        <v>89</v>
      </c>
      <c r="J921">
        <v>0</v>
      </c>
      <c r="K921">
        <v>1</v>
      </c>
      <c r="L921">
        <v>3</v>
      </c>
      <c r="M921">
        <v>295</v>
      </c>
      <c r="N921">
        <v>403</v>
      </c>
      <c r="O921">
        <v>5</v>
      </c>
      <c r="P921">
        <v>403</v>
      </c>
      <c r="Q921">
        <v>24</v>
      </c>
      <c r="R921">
        <v>145</v>
      </c>
      <c r="S921">
        <v>3</v>
      </c>
      <c r="T921">
        <v>8</v>
      </c>
      <c r="U921">
        <v>4</v>
      </c>
      <c r="V921">
        <v>8</v>
      </c>
      <c r="W921">
        <v>0</v>
      </c>
      <c r="X921">
        <v>171</v>
      </c>
      <c r="Y921">
        <v>5</v>
      </c>
      <c r="Z921">
        <v>8</v>
      </c>
      <c r="AA921">
        <v>4</v>
      </c>
      <c r="AB921">
        <v>8</v>
      </c>
      <c r="AK921">
        <v>5</v>
      </c>
      <c r="AO921">
        <v>1</v>
      </c>
      <c r="AP921">
        <v>0</v>
      </c>
      <c r="AR921">
        <v>0</v>
      </c>
      <c r="AU921">
        <v>0</v>
      </c>
      <c r="AW921">
        <v>1</v>
      </c>
      <c r="AX921">
        <v>8</v>
      </c>
      <c r="AY921">
        <v>403</v>
      </c>
      <c r="AZ921">
        <v>403</v>
      </c>
      <c r="BA921">
        <v>654</v>
      </c>
      <c r="BB921">
        <v>44</v>
      </c>
      <c r="BD921">
        <v>1</v>
      </c>
      <c r="BF921" t="s">
        <v>1045</v>
      </c>
      <c r="BG921" s="1">
        <v>44353.924305555556</v>
      </c>
      <c r="BH921" s="1">
        <v>44353.93041666667</v>
      </c>
      <c r="BI921" s="1">
        <v>44353.931122685186</v>
      </c>
      <c r="BJ921" t="s">
        <v>85</v>
      </c>
      <c r="BK921" t="s">
        <v>86</v>
      </c>
      <c r="BL921" t="s">
        <v>87</v>
      </c>
    </row>
    <row r="922" spans="1:64" x14ac:dyDescent="0.3">
      <c r="A922" t="str">
        <f>"200500B0000"</f>
        <v>200500B0000</v>
      </c>
      <c r="B922" t="str">
        <f>"200500B00003"</f>
        <v>200500B00003</v>
      </c>
      <c r="C922" t="str">
        <f t="shared" si="59"/>
        <v>20</v>
      </c>
      <c r="D922" t="s">
        <v>81</v>
      </c>
      <c r="E922" t="str">
        <f t="shared" si="57"/>
        <v>066</v>
      </c>
      <c r="F922" t="s">
        <v>951</v>
      </c>
      <c r="G922" t="str">
        <f t="shared" ref="G922:G928" si="60">"0500"</f>
        <v>0500</v>
      </c>
      <c r="H922" t="str">
        <f>"0000"</f>
        <v>0000</v>
      </c>
      <c r="I922" t="s">
        <v>83</v>
      </c>
      <c r="J922">
        <v>0</v>
      </c>
      <c r="K922">
        <v>1</v>
      </c>
      <c r="L922">
        <v>3</v>
      </c>
      <c r="M922">
        <v>389</v>
      </c>
      <c r="N922">
        <v>325</v>
      </c>
      <c r="O922">
        <v>6</v>
      </c>
      <c r="P922">
        <v>325</v>
      </c>
      <c r="Q922">
        <v>13</v>
      </c>
      <c r="R922">
        <v>82</v>
      </c>
      <c r="S922">
        <v>1</v>
      </c>
      <c r="T922">
        <v>2</v>
      </c>
      <c r="U922">
        <v>10</v>
      </c>
      <c r="V922">
        <v>5</v>
      </c>
      <c r="W922">
        <v>1</v>
      </c>
      <c r="X922">
        <v>177</v>
      </c>
      <c r="Y922">
        <v>5</v>
      </c>
      <c r="Z922">
        <v>6</v>
      </c>
      <c r="AA922">
        <v>2</v>
      </c>
      <c r="AB922">
        <v>11</v>
      </c>
      <c r="AK922">
        <v>1</v>
      </c>
      <c r="AO922" t="s">
        <v>95</v>
      </c>
      <c r="AP922" t="s">
        <v>95</v>
      </c>
      <c r="AR922" t="s">
        <v>95</v>
      </c>
      <c r="AU922" t="s">
        <v>95</v>
      </c>
      <c r="AW922" t="s">
        <v>95</v>
      </c>
      <c r="AX922">
        <v>9</v>
      </c>
      <c r="AY922">
        <v>325</v>
      </c>
      <c r="AZ922">
        <v>325</v>
      </c>
      <c r="BA922">
        <v>670</v>
      </c>
      <c r="BB922">
        <v>44</v>
      </c>
      <c r="BC922" t="s">
        <v>96</v>
      </c>
      <c r="BD922">
        <v>1</v>
      </c>
      <c r="BF922" t="s">
        <v>1046</v>
      </c>
      <c r="BG922" s="1">
        <v>44354.05</v>
      </c>
      <c r="BH922" s="1">
        <v>44354.058634259258</v>
      </c>
      <c r="BI922" s="1">
        <v>44354.05914351852</v>
      </c>
      <c r="BJ922" t="s">
        <v>85</v>
      </c>
      <c r="BK922" t="s">
        <v>86</v>
      </c>
      <c r="BL922" t="s">
        <v>87</v>
      </c>
    </row>
    <row r="923" spans="1:64" x14ac:dyDescent="0.3">
      <c r="A923" t="str">
        <f>"200500C0100"</f>
        <v>200500C0100</v>
      </c>
      <c r="B923" t="str">
        <f>"200500C01003"</f>
        <v>200500C01003</v>
      </c>
      <c r="C923" t="str">
        <f t="shared" si="59"/>
        <v>20</v>
      </c>
      <c r="D923" t="s">
        <v>81</v>
      </c>
      <c r="E923" t="str">
        <f t="shared" si="57"/>
        <v>066</v>
      </c>
      <c r="F923" t="s">
        <v>951</v>
      </c>
      <c r="G923" t="str">
        <f t="shared" si="60"/>
        <v>0500</v>
      </c>
      <c r="H923" t="str">
        <f>"0001"</f>
        <v>0001</v>
      </c>
      <c r="I923" t="s">
        <v>89</v>
      </c>
      <c r="J923">
        <v>0</v>
      </c>
      <c r="K923">
        <v>1</v>
      </c>
      <c r="L923">
        <v>3</v>
      </c>
      <c r="M923">
        <v>401</v>
      </c>
      <c r="N923">
        <v>313</v>
      </c>
      <c r="O923">
        <v>7</v>
      </c>
      <c r="P923">
        <v>313</v>
      </c>
      <c r="Q923">
        <v>20</v>
      </c>
      <c r="R923">
        <v>67</v>
      </c>
      <c r="S923">
        <v>1</v>
      </c>
      <c r="T923">
        <v>4</v>
      </c>
      <c r="U923">
        <v>8</v>
      </c>
      <c r="V923">
        <v>5</v>
      </c>
      <c r="W923">
        <v>1</v>
      </c>
      <c r="X923">
        <v>170</v>
      </c>
      <c r="Y923">
        <v>7</v>
      </c>
      <c r="Z923">
        <v>5</v>
      </c>
      <c r="AA923">
        <v>2</v>
      </c>
      <c r="AB923">
        <v>8</v>
      </c>
      <c r="AK923">
        <v>5</v>
      </c>
      <c r="AO923" t="s">
        <v>95</v>
      </c>
      <c r="AP923" t="s">
        <v>95</v>
      </c>
      <c r="AR923" t="s">
        <v>95</v>
      </c>
      <c r="AU923">
        <v>1</v>
      </c>
      <c r="AW923" t="s">
        <v>95</v>
      </c>
      <c r="AX923">
        <v>9</v>
      </c>
      <c r="AY923">
        <v>313</v>
      </c>
      <c r="AZ923">
        <v>313</v>
      </c>
      <c r="BA923">
        <v>670</v>
      </c>
      <c r="BB923">
        <v>44</v>
      </c>
      <c r="BC923" t="s">
        <v>96</v>
      </c>
      <c r="BD923">
        <v>1</v>
      </c>
      <c r="BF923" t="s">
        <v>1047</v>
      </c>
      <c r="BG923" s="1">
        <v>44354.039583333331</v>
      </c>
      <c r="BH923" s="1">
        <v>44354.049108796295</v>
      </c>
      <c r="BI923" s="1">
        <v>44354.049502314818</v>
      </c>
      <c r="BJ923" t="s">
        <v>85</v>
      </c>
      <c r="BK923" t="s">
        <v>86</v>
      </c>
      <c r="BL923" t="s">
        <v>87</v>
      </c>
    </row>
    <row r="924" spans="1:64" x14ac:dyDescent="0.3">
      <c r="A924" t="str">
        <f>"200500C0200"</f>
        <v>200500C0200</v>
      </c>
      <c r="B924" t="str">
        <f>"200500C02003"</f>
        <v>200500C02003</v>
      </c>
      <c r="C924" t="str">
        <f t="shared" si="59"/>
        <v>20</v>
      </c>
      <c r="D924" t="s">
        <v>81</v>
      </c>
      <c r="E924" t="str">
        <f t="shared" si="57"/>
        <v>066</v>
      </c>
      <c r="F924" t="s">
        <v>951</v>
      </c>
      <c r="G924" t="str">
        <f t="shared" si="60"/>
        <v>0500</v>
      </c>
      <c r="H924" t="str">
        <f>"0002"</f>
        <v>0002</v>
      </c>
      <c r="I924" t="s">
        <v>89</v>
      </c>
      <c r="J924">
        <v>0</v>
      </c>
      <c r="K924">
        <v>1</v>
      </c>
      <c r="L924">
        <v>3</v>
      </c>
      <c r="M924">
        <v>361</v>
      </c>
      <c r="N924">
        <v>353</v>
      </c>
      <c r="O924">
        <v>6</v>
      </c>
      <c r="P924">
        <v>4</v>
      </c>
      <c r="Q924">
        <v>10</v>
      </c>
      <c r="R924">
        <v>84</v>
      </c>
      <c r="S924">
        <v>2</v>
      </c>
      <c r="T924">
        <v>1</v>
      </c>
      <c r="U924">
        <v>9</v>
      </c>
      <c r="V924">
        <v>6</v>
      </c>
      <c r="W924">
        <v>2</v>
      </c>
      <c r="X924">
        <v>196</v>
      </c>
      <c r="Y924">
        <v>6</v>
      </c>
      <c r="Z924">
        <v>7</v>
      </c>
      <c r="AA924">
        <v>3</v>
      </c>
      <c r="AB924">
        <v>13</v>
      </c>
      <c r="AK924">
        <v>1</v>
      </c>
      <c r="AO924">
        <v>0</v>
      </c>
      <c r="AP924">
        <v>0</v>
      </c>
      <c r="AR924">
        <v>0</v>
      </c>
      <c r="AU924">
        <v>0</v>
      </c>
      <c r="AW924">
        <v>0</v>
      </c>
      <c r="AX924">
        <v>13</v>
      </c>
      <c r="AY924">
        <v>353</v>
      </c>
      <c r="AZ924">
        <v>353</v>
      </c>
      <c r="BA924">
        <v>670</v>
      </c>
      <c r="BB924">
        <v>44</v>
      </c>
      <c r="BD924">
        <v>1</v>
      </c>
      <c r="BF924" t="s">
        <v>1048</v>
      </c>
      <c r="BG924" s="1">
        <v>44354.048611111109</v>
      </c>
      <c r="BH924" s="1">
        <v>44354.05572916667</v>
      </c>
      <c r="BI924" s="1">
        <v>44354.056284722225</v>
      </c>
      <c r="BJ924" t="s">
        <v>85</v>
      </c>
      <c r="BK924" t="s">
        <v>86</v>
      </c>
      <c r="BL924" t="s">
        <v>87</v>
      </c>
    </row>
    <row r="925" spans="1:64" x14ac:dyDescent="0.3">
      <c r="A925" t="str">
        <f>"200500E0100"</f>
        <v>200500E0100</v>
      </c>
      <c r="B925" t="str">
        <f>"200500E01003"</f>
        <v>200500E01003</v>
      </c>
      <c r="C925" t="str">
        <f t="shared" si="59"/>
        <v>20</v>
      </c>
      <c r="D925" t="s">
        <v>81</v>
      </c>
      <c r="E925" t="str">
        <f t="shared" si="57"/>
        <v>066</v>
      </c>
      <c r="F925" t="s">
        <v>951</v>
      </c>
      <c r="G925" t="str">
        <f t="shared" si="60"/>
        <v>0500</v>
      </c>
      <c r="H925" t="str">
        <f>"0001"</f>
        <v>0001</v>
      </c>
      <c r="I925" t="s">
        <v>122</v>
      </c>
      <c r="J925">
        <v>0</v>
      </c>
      <c r="K925">
        <v>1</v>
      </c>
      <c r="L925">
        <v>3</v>
      </c>
      <c r="M925">
        <v>333</v>
      </c>
      <c r="N925">
        <v>258</v>
      </c>
      <c r="O925">
        <v>8</v>
      </c>
      <c r="P925">
        <v>260</v>
      </c>
      <c r="Q925">
        <v>7</v>
      </c>
      <c r="R925">
        <v>85</v>
      </c>
      <c r="S925">
        <v>3</v>
      </c>
      <c r="T925">
        <v>6</v>
      </c>
      <c r="U925">
        <v>3</v>
      </c>
      <c r="V925">
        <v>4</v>
      </c>
      <c r="W925">
        <v>2</v>
      </c>
      <c r="X925">
        <v>127</v>
      </c>
      <c r="Y925">
        <v>3</v>
      </c>
      <c r="Z925">
        <v>2</v>
      </c>
      <c r="AA925">
        <v>0</v>
      </c>
      <c r="AB925">
        <v>8</v>
      </c>
      <c r="AK925">
        <v>3</v>
      </c>
      <c r="AO925">
        <v>0</v>
      </c>
      <c r="AP925">
        <v>0</v>
      </c>
      <c r="AR925">
        <v>0</v>
      </c>
      <c r="AU925">
        <v>0</v>
      </c>
      <c r="AW925">
        <v>0</v>
      </c>
      <c r="AX925">
        <v>7</v>
      </c>
      <c r="AY925">
        <v>260</v>
      </c>
      <c r="AZ925">
        <v>260</v>
      </c>
      <c r="BA925">
        <v>547</v>
      </c>
      <c r="BB925">
        <v>44</v>
      </c>
      <c r="BD925">
        <v>1</v>
      </c>
      <c r="BF925" t="s">
        <v>1049</v>
      </c>
      <c r="BG925" s="1">
        <v>44354.005555555559</v>
      </c>
      <c r="BH925" s="1">
        <v>44354.016574074078</v>
      </c>
      <c r="BI925" s="1">
        <v>44354.017384259256</v>
      </c>
      <c r="BJ925" t="s">
        <v>85</v>
      </c>
      <c r="BK925" t="s">
        <v>86</v>
      </c>
      <c r="BL925" t="s">
        <v>87</v>
      </c>
    </row>
    <row r="926" spans="1:64" x14ac:dyDescent="0.3">
      <c r="A926" t="str">
        <f>"200500E0101"</f>
        <v>200500E0101</v>
      </c>
      <c r="B926" t="str">
        <f>"200500E01013"</f>
        <v>200500E01013</v>
      </c>
      <c r="C926" t="str">
        <f t="shared" si="59"/>
        <v>20</v>
      </c>
      <c r="D926" t="s">
        <v>81</v>
      </c>
      <c r="E926" t="str">
        <f t="shared" si="57"/>
        <v>066</v>
      </c>
      <c r="F926" t="s">
        <v>951</v>
      </c>
      <c r="G926" t="str">
        <f t="shared" si="60"/>
        <v>0500</v>
      </c>
      <c r="H926" t="str">
        <f>"0001"</f>
        <v>0001</v>
      </c>
      <c r="I926" t="s">
        <v>122</v>
      </c>
      <c r="J926">
        <v>1</v>
      </c>
      <c r="K926">
        <v>1</v>
      </c>
      <c r="L926">
        <v>3</v>
      </c>
      <c r="M926">
        <v>344</v>
      </c>
      <c r="N926">
        <v>247</v>
      </c>
      <c r="O926">
        <v>7</v>
      </c>
      <c r="P926">
        <v>243</v>
      </c>
      <c r="Q926">
        <v>12</v>
      </c>
      <c r="R926">
        <v>63</v>
      </c>
      <c r="S926">
        <v>1</v>
      </c>
      <c r="T926">
        <v>6</v>
      </c>
      <c r="U926">
        <v>8</v>
      </c>
      <c r="V926">
        <v>6</v>
      </c>
      <c r="W926">
        <v>1</v>
      </c>
      <c r="X926">
        <v>111</v>
      </c>
      <c r="Y926">
        <v>4</v>
      </c>
      <c r="Z926">
        <v>4</v>
      </c>
      <c r="AA926">
        <v>4</v>
      </c>
      <c r="AB926">
        <v>14</v>
      </c>
      <c r="AK926">
        <v>1</v>
      </c>
      <c r="AO926">
        <v>0</v>
      </c>
      <c r="AP926">
        <v>0</v>
      </c>
      <c r="AR926">
        <v>0</v>
      </c>
      <c r="AU926">
        <v>0</v>
      </c>
      <c r="AW926">
        <v>0</v>
      </c>
      <c r="AX926">
        <v>8</v>
      </c>
      <c r="AY926">
        <v>243</v>
      </c>
      <c r="AZ926">
        <v>243</v>
      </c>
      <c r="BA926">
        <v>546</v>
      </c>
      <c r="BB926">
        <v>44</v>
      </c>
      <c r="BD926">
        <v>1</v>
      </c>
      <c r="BF926" t="s">
        <v>1050</v>
      </c>
      <c r="BG926" s="1">
        <v>44354.009722222225</v>
      </c>
      <c r="BH926" s="1">
        <v>44354.018368055556</v>
      </c>
      <c r="BI926" s="1">
        <v>44354.018935185188</v>
      </c>
      <c r="BJ926" t="s">
        <v>85</v>
      </c>
      <c r="BK926" t="s">
        <v>86</v>
      </c>
      <c r="BL926" t="s">
        <v>87</v>
      </c>
    </row>
    <row r="927" spans="1:64" x14ac:dyDescent="0.3">
      <c r="A927" t="str">
        <f>"200500E0102"</f>
        <v>200500E0102</v>
      </c>
      <c r="B927" t="str">
        <f>"200500E01023"</f>
        <v>200500E01023</v>
      </c>
      <c r="C927" t="str">
        <f t="shared" si="59"/>
        <v>20</v>
      </c>
      <c r="D927" t="s">
        <v>81</v>
      </c>
      <c r="E927" t="str">
        <f t="shared" si="57"/>
        <v>066</v>
      </c>
      <c r="F927" t="s">
        <v>951</v>
      </c>
      <c r="G927" t="str">
        <f t="shared" si="60"/>
        <v>0500</v>
      </c>
      <c r="H927" t="str">
        <f>"0001"</f>
        <v>0001</v>
      </c>
      <c r="I927" t="s">
        <v>122</v>
      </c>
      <c r="J927">
        <v>2</v>
      </c>
      <c r="K927">
        <v>1</v>
      </c>
      <c r="L927">
        <v>3</v>
      </c>
      <c r="BA927">
        <v>546</v>
      </c>
      <c r="BB927">
        <v>44</v>
      </c>
      <c r="BC927" t="s">
        <v>381</v>
      </c>
      <c r="BD927">
        <v>0</v>
      </c>
      <c r="BF927" t="s">
        <v>1051</v>
      </c>
      <c r="BG927" s="1">
        <v>44354.493055555555</v>
      </c>
      <c r="BH927" s="1">
        <v>44354.503321759257</v>
      </c>
      <c r="BI927" s="1">
        <v>44354.503321759257</v>
      </c>
      <c r="BJ927" t="s">
        <v>85</v>
      </c>
      <c r="BK927" t="s">
        <v>86</v>
      </c>
      <c r="BL927" t="s">
        <v>87</v>
      </c>
    </row>
    <row r="928" spans="1:64" x14ac:dyDescent="0.3">
      <c r="A928" t="str">
        <f>"200500E0200"</f>
        <v>200500E0200</v>
      </c>
      <c r="B928" t="str">
        <f>"200500E02003"</f>
        <v>200500E02003</v>
      </c>
      <c r="C928" t="str">
        <f t="shared" si="59"/>
        <v>20</v>
      </c>
      <c r="D928" t="s">
        <v>81</v>
      </c>
      <c r="E928" t="str">
        <f t="shared" si="57"/>
        <v>066</v>
      </c>
      <c r="F928" t="s">
        <v>951</v>
      </c>
      <c r="G928" t="str">
        <f t="shared" si="60"/>
        <v>0500</v>
      </c>
      <c r="H928" t="str">
        <f>"0002"</f>
        <v>0002</v>
      </c>
      <c r="I928" t="s">
        <v>122</v>
      </c>
      <c r="J928">
        <v>0</v>
      </c>
      <c r="K928">
        <v>1</v>
      </c>
      <c r="L928">
        <v>3</v>
      </c>
      <c r="M928">
        <v>292</v>
      </c>
      <c r="N928">
        <v>211</v>
      </c>
      <c r="O928">
        <v>7</v>
      </c>
      <c r="P928">
        <v>211</v>
      </c>
      <c r="Q928">
        <v>2</v>
      </c>
      <c r="R928">
        <v>73</v>
      </c>
      <c r="S928">
        <v>1</v>
      </c>
      <c r="T928">
        <v>3</v>
      </c>
      <c r="U928">
        <v>7</v>
      </c>
      <c r="V928">
        <v>2</v>
      </c>
      <c r="W928">
        <v>1</v>
      </c>
      <c r="X928">
        <v>94</v>
      </c>
      <c r="Y928">
        <v>8</v>
      </c>
      <c r="Z928">
        <v>4</v>
      </c>
      <c r="AA928">
        <v>1</v>
      </c>
      <c r="AB928">
        <v>7</v>
      </c>
      <c r="AK928">
        <v>0</v>
      </c>
      <c r="AO928">
        <v>0</v>
      </c>
      <c r="AP928">
        <v>0</v>
      </c>
      <c r="AR928">
        <v>0</v>
      </c>
      <c r="AU928">
        <v>0</v>
      </c>
      <c r="AW928">
        <v>0</v>
      </c>
      <c r="AX928">
        <v>8</v>
      </c>
      <c r="AY928">
        <v>211</v>
      </c>
      <c r="AZ928">
        <v>211</v>
      </c>
      <c r="BA928">
        <v>462</v>
      </c>
      <c r="BB928">
        <v>44</v>
      </c>
      <c r="BD928">
        <v>1</v>
      </c>
      <c r="BF928" t="s">
        <v>1052</v>
      </c>
      <c r="BG928" s="1">
        <v>44354.022916666669</v>
      </c>
      <c r="BH928" s="1">
        <v>44354.031805555554</v>
      </c>
      <c r="BI928" s="1">
        <v>44354.032581018517</v>
      </c>
      <c r="BJ928" t="s">
        <v>85</v>
      </c>
      <c r="BK928" t="s">
        <v>86</v>
      </c>
      <c r="BL928" t="s">
        <v>87</v>
      </c>
    </row>
    <row r="929" spans="1:64" x14ac:dyDescent="0.3">
      <c r="A929" t="str">
        <f>"200501B0000"</f>
        <v>200501B0000</v>
      </c>
      <c r="B929" t="str">
        <f>"200501B00003"</f>
        <v>200501B00003</v>
      </c>
      <c r="C929" t="str">
        <f t="shared" si="59"/>
        <v>20</v>
      </c>
      <c r="D929" t="s">
        <v>81</v>
      </c>
      <c r="E929" t="str">
        <f t="shared" si="57"/>
        <v>066</v>
      </c>
      <c r="F929" t="s">
        <v>951</v>
      </c>
      <c r="G929" t="str">
        <f>"0501"</f>
        <v>0501</v>
      </c>
      <c r="H929" t="str">
        <f>"0000"</f>
        <v>0000</v>
      </c>
      <c r="I929" t="s">
        <v>83</v>
      </c>
      <c r="J929">
        <v>0</v>
      </c>
      <c r="K929">
        <v>1</v>
      </c>
      <c r="L929">
        <v>3</v>
      </c>
      <c r="M929">
        <v>355</v>
      </c>
      <c r="N929">
        <v>272</v>
      </c>
      <c r="O929">
        <v>4</v>
      </c>
      <c r="P929">
        <v>272</v>
      </c>
      <c r="Q929">
        <v>10</v>
      </c>
      <c r="R929">
        <v>74</v>
      </c>
      <c r="S929">
        <v>3</v>
      </c>
      <c r="T929">
        <v>1</v>
      </c>
      <c r="U929">
        <v>7</v>
      </c>
      <c r="V929">
        <v>6</v>
      </c>
      <c r="W929">
        <v>2</v>
      </c>
      <c r="X929">
        <v>144</v>
      </c>
      <c r="Y929">
        <v>1</v>
      </c>
      <c r="Z929">
        <v>3</v>
      </c>
      <c r="AA929">
        <v>7</v>
      </c>
      <c r="AB929">
        <v>3</v>
      </c>
      <c r="AK929">
        <v>0</v>
      </c>
      <c r="AO929">
        <v>0</v>
      </c>
      <c r="AP929">
        <v>0</v>
      </c>
      <c r="AR929">
        <v>0</v>
      </c>
      <c r="AU929">
        <v>0</v>
      </c>
      <c r="AW929">
        <v>0</v>
      </c>
      <c r="AX929">
        <v>11</v>
      </c>
      <c r="AY929">
        <v>272</v>
      </c>
      <c r="AZ929">
        <v>272</v>
      </c>
      <c r="BA929">
        <v>583</v>
      </c>
      <c r="BB929">
        <v>44</v>
      </c>
      <c r="BD929">
        <v>1</v>
      </c>
      <c r="BF929" t="s">
        <v>1053</v>
      </c>
      <c r="BG929" s="1">
        <v>44354.004166666666</v>
      </c>
      <c r="BH929" s="1">
        <v>44354.009988425925</v>
      </c>
      <c r="BI929" s="1">
        <v>44354.010729166665</v>
      </c>
      <c r="BJ929" t="s">
        <v>85</v>
      </c>
      <c r="BK929" t="s">
        <v>86</v>
      </c>
      <c r="BL929" t="s">
        <v>87</v>
      </c>
    </row>
    <row r="930" spans="1:64" x14ac:dyDescent="0.3">
      <c r="A930" t="str">
        <f>"200501C0100"</f>
        <v>200501C0100</v>
      </c>
      <c r="B930" t="str">
        <f>"200501C01003"</f>
        <v>200501C01003</v>
      </c>
      <c r="C930" t="str">
        <f t="shared" si="59"/>
        <v>20</v>
      </c>
      <c r="D930" t="s">
        <v>81</v>
      </c>
      <c r="E930" t="str">
        <f t="shared" si="57"/>
        <v>066</v>
      </c>
      <c r="F930" t="s">
        <v>951</v>
      </c>
      <c r="G930" t="str">
        <f>"0501"</f>
        <v>0501</v>
      </c>
      <c r="H930" t="str">
        <f>"0001"</f>
        <v>0001</v>
      </c>
      <c r="I930" t="s">
        <v>89</v>
      </c>
      <c r="J930">
        <v>0</v>
      </c>
      <c r="K930">
        <v>1</v>
      </c>
      <c r="L930">
        <v>3</v>
      </c>
      <c r="M930">
        <v>357</v>
      </c>
      <c r="N930">
        <v>269</v>
      </c>
      <c r="O930">
        <v>7</v>
      </c>
      <c r="P930">
        <v>269</v>
      </c>
      <c r="Q930">
        <v>8</v>
      </c>
      <c r="R930">
        <v>70</v>
      </c>
      <c r="S930">
        <v>5</v>
      </c>
      <c r="T930">
        <v>2</v>
      </c>
      <c r="U930">
        <v>8</v>
      </c>
      <c r="V930">
        <v>10</v>
      </c>
      <c r="W930">
        <v>5</v>
      </c>
      <c r="X930">
        <v>147</v>
      </c>
      <c r="Y930">
        <v>0</v>
      </c>
      <c r="Z930">
        <v>3</v>
      </c>
      <c r="AA930">
        <v>2</v>
      </c>
      <c r="AB930">
        <v>2</v>
      </c>
      <c r="AK930">
        <v>3</v>
      </c>
      <c r="AO930">
        <v>1</v>
      </c>
      <c r="AP930">
        <v>0</v>
      </c>
      <c r="AR930">
        <v>1</v>
      </c>
      <c r="AU930">
        <v>0</v>
      </c>
      <c r="AW930">
        <v>0</v>
      </c>
      <c r="AX930">
        <v>2</v>
      </c>
      <c r="AY930">
        <v>269</v>
      </c>
      <c r="AZ930">
        <v>269</v>
      </c>
      <c r="BA930">
        <v>583</v>
      </c>
      <c r="BB930">
        <v>44</v>
      </c>
      <c r="BD930">
        <v>1</v>
      </c>
      <c r="BF930" s="2" t="s">
        <v>1054</v>
      </c>
      <c r="BG930" s="1">
        <v>44354.004861111112</v>
      </c>
      <c r="BH930" s="1">
        <v>44354.011238425926</v>
      </c>
      <c r="BI930" s="1">
        <v>44354.011620370373</v>
      </c>
      <c r="BJ930" t="s">
        <v>85</v>
      </c>
      <c r="BK930" t="s">
        <v>86</v>
      </c>
      <c r="BL930" t="s">
        <v>87</v>
      </c>
    </row>
    <row r="931" spans="1:64" x14ac:dyDescent="0.3">
      <c r="A931" t="str">
        <f>"200501C0200"</f>
        <v>200501C0200</v>
      </c>
      <c r="B931" t="str">
        <f>"200501C02003"</f>
        <v>200501C02003</v>
      </c>
      <c r="C931" t="str">
        <f t="shared" si="59"/>
        <v>20</v>
      </c>
      <c r="D931" t="s">
        <v>81</v>
      </c>
      <c r="E931" t="str">
        <f t="shared" si="57"/>
        <v>066</v>
      </c>
      <c r="F931" t="s">
        <v>951</v>
      </c>
      <c r="G931" t="str">
        <f>"0501"</f>
        <v>0501</v>
      </c>
      <c r="H931" t="str">
        <f>"0002"</f>
        <v>0002</v>
      </c>
      <c r="I931" t="s">
        <v>89</v>
      </c>
      <c r="J931">
        <v>0</v>
      </c>
      <c r="K931">
        <v>1</v>
      </c>
      <c r="L931">
        <v>3</v>
      </c>
      <c r="M931">
        <v>370</v>
      </c>
      <c r="N931">
        <v>255</v>
      </c>
      <c r="O931">
        <v>3</v>
      </c>
      <c r="P931">
        <v>258</v>
      </c>
      <c r="Q931">
        <v>9</v>
      </c>
      <c r="R931">
        <v>60</v>
      </c>
      <c r="S931">
        <v>0</v>
      </c>
      <c r="T931">
        <v>4</v>
      </c>
      <c r="U931">
        <v>7</v>
      </c>
      <c r="V931">
        <v>4</v>
      </c>
      <c r="W931">
        <v>1</v>
      </c>
      <c r="X931">
        <v>148</v>
      </c>
      <c r="Y931">
        <v>5</v>
      </c>
      <c r="Z931">
        <v>3</v>
      </c>
      <c r="AA931">
        <v>7</v>
      </c>
      <c r="AB931">
        <v>4</v>
      </c>
      <c r="AK931">
        <v>0</v>
      </c>
      <c r="AO931">
        <v>0</v>
      </c>
      <c r="AP931">
        <v>0</v>
      </c>
      <c r="AR931">
        <v>0</v>
      </c>
      <c r="AU931">
        <v>0</v>
      </c>
      <c r="AW931">
        <v>0</v>
      </c>
      <c r="AX931">
        <v>6</v>
      </c>
      <c r="AY931">
        <v>258</v>
      </c>
      <c r="AZ931">
        <v>258</v>
      </c>
      <c r="BA931">
        <v>583</v>
      </c>
      <c r="BB931">
        <v>44</v>
      </c>
      <c r="BD931">
        <v>1</v>
      </c>
      <c r="BF931" t="s">
        <v>1055</v>
      </c>
      <c r="BG931" s="1">
        <v>44354.003472222219</v>
      </c>
      <c r="BH931" s="1">
        <v>44354.010231481479</v>
      </c>
      <c r="BI931" s="1">
        <v>44354.011724537035</v>
      </c>
      <c r="BJ931" t="s">
        <v>85</v>
      </c>
      <c r="BK931" t="s">
        <v>86</v>
      </c>
      <c r="BL931" t="s">
        <v>87</v>
      </c>
    </row>
    <row r="932" spans="1:64" x14ac:dyDescent="0.3">
      <c r="A932" t="str">
        <f>"200502B0000"</f>
        <v>200502B0000</v>
      </c>
      <c r="B932" t="str">
        <f>"200502B00003"</f>
        <v>200502B00003</v>
      </c>
      <c r="C932" t="str">
        <f t="shared" si="59"/>
        <v>20</v>
      </c>
      <c r="D932" t="s">
        <v>81</v>
      </c>
      <c r="E932" t="str">
        <f t="shared" si="57"/>
        <v>066</v>
      </c>
      <c r="F932" t="s">
        <v>951</v>
      </c>
      <c r="G932" t="str">
        <f>"0502"</f>
        <v>0502</v>
      </c>
      <c r="H932" t="str">
        <f>"0000"</f>
        <v>0000</v>
      </c>
      <c r="I932" t="s">
        <v>83</v>
      </c>
      <c r="J932">
        <v>0</v>
      </c>
      <c r="K932">
        <v>1</v>
      </c>
      <c r="L932">
        <v>3</v>
      </c>
      <c r="M932" t="s">
        <v>92</v>
      </c>
      <c r="N932" t="s">
        <v>92</v>
      </c>
      <c r="O932">
        <v>9</v>
      </c>
      <c r="P932">
        <v>127</v>
      </c>
      <c r="Q932">
        <v>9</v>
      </c>
      <c r="R932">
        <v>77</v>
      </c>
      <c r="S932">
        <v>1</v>
      </c>
      <c r="T932">
        <v>2</v>
      </c>
      <c r="U932">
        <v>2</v>
      </c>
      <c r="V932">
        <v>6</v>
      </c>
      <c r="W932">
        <v>3</v>
      </c>
      <c r="X932">
        <v>146</v>
      </c>
      <c r="Y932">
        <v>4</v>
      </c>
      <c r="Z932">
        <v>2</v>
      </c>
      <c r="AA932">
        <v>2</v>
      </c>
      <c r="AB932">
        <v>3</v>
      </c>
      <c r="AK932">
        <v>1</v>
      </c>
      <c r="AO932">
        <v>1</v>
      </c>
      <c r="AP932">
        <v>0</v>
      </c>
      <c r="AR932">
        <v>0</v>
      </c>
      <c r="AU932">
        <v>0</v>
      </c>
      <c r="AW932">
        <v>1</v>
      </c>
      <c r="AX932">
        <v>7</v>
      </c>
      <c r="AY932">
        <v>127</v>
      </c>
      <c r="AZ932">
        <v>267</v>
      </c>
      <c r="BA932">
        <v>519</v>
      </c>
      <c r="BB932">
        <v>44</v>
      </c>
      <c r="BD932">
        <v>1</v>
      </c>
      <c r="BF932" t="s">
        <v>1056</v>
      </c>
      <c r="BG932" s="1">
        <v>44353.993055555555</v>
      </c>
      <c r="BH932" s="1">
        <v>44353.998738425929</v>
      </c>
      <c r="BI932" s="1">
        <v>44353.999479166669</v>
      </c>
      <c r="BJ932" t="s">
        <v>85</v>
      </c>
      <c r="BK932" t="s">
        <v>86</v>
      </c>
      <c r="BL932" t="s">
        <v>87</v>
      </c>
    </row>
    <row r="933" spans="1:64" x14ac:dyDescent="0.3">
      <c r="A933" t="str">
        <f>"200502C0100"</f>
        <v>200502C0100</v>
      </c>
      <c r="B933" t="str">
        <f>"200502C01003"</f>
        <v>200502C01003</v>
      </c>
      <c r="C933" t="str">
        <f t="shared" si="59"/>
        <v>20</v>
      </c>
      <c r="D933" t="s">
        <v>81</v>
      </c>
      <c r="E933" t="str">
        <f t="shared" si="57"/>
        <v>066</v>
      </c>
      <c r="F933" t="s">
        <v>951</v>
      </c>
      <c r="G933" t="str">
        <f>"0502"</f>
        <v>0502</v>
      </c>
      <c r="H933" t="str">
        <f>"0001"</f>
        <v>0001</v>
      </c>
      <c r="I933" t="s">
        <v>89</v>
      </c>
      <c r="J933">
        <v>0</v>
      </c>
      <c r="K933">
        <v>1</v>
      </c>
      <c r="L933">
        <v>3</v>
      </c>
      <c r="M933">
        <v>301</v>
      </c>
      <c r="N933">
        <v>276</v>
      </c>
      <c r="O933">
        <v>6</v>
      </c>
      <c r="P933">
        <v>270</v>
      </c>
      <c r="Q933">
        <v>8</v>
      </c>
      <c r="R933">
        <v>61</v>
      </c>
      <c r="S933">
        <v>1</v>
      </c>
      <c r="T933">
        <v>1</v>
      </c>
      <c r="U933">
        <v>9</v>
      </c>
      <c r="V933">
        <v>5</v>
      </c>
      <c r="W933">
        <v>2</v>
      </c>
      <c r="X933">
        <v>161</v>
      </c>
      <c r="Y933">
        <v>5</v>
      </c>
      <c r="Z933">
        <v>2</v>
      </c>
      <c r="AA933">
        <v>3</v>
      </c>
      <c r="AB933">
        <v>6</v>
      </c>
      <c r="AK933">
        <v>2</v>
      </c>
      <c r="AO933">
        <v>1</v>
      </c>
      <c r="AP933" t="s">
        <v>95</v>
      </c>
      <c r="AR933" t="s">
        <v>95</v>
      </c>
      <c r="AU933" t="s">
        <v>95</v>
      </c>
      <c r="AW933" t="s">
        <v>95</v>
      </c>
      <c r="AX933">
        <v>3</v>
      </c>
      <c r="AY933" t="s">
        <v>95</v>
      </c>
      <c r="AZ933">
        <v>270</v>
      </c>
      <c r="BA933">
        <v>518</v>
      </c>
      <c r="BB933">
        <v>44</v>
      </c>
      <c r="BC933" t="s">
        <v>96</v>
      </c>
      <c r="BD933">
        <v>1</v>
      </c>
      <c r="BF933" t="s">
        <v>1057</v>
      </c>
      <c r="BG933" s="1">
        <v>44353.987500000003</v>
      </c>
      <c r="BH933" s="1">
        <v>44354.009340277778</v>
      </c>
      <c r="BI933" s="1">
        <v>44354.0237037037</v>
      </c>
      <c r="BJ933" t="s">
        <v>85</v>
      </c>
      <c r="BK933" t="s">
        <v>86</v>
      </c>
      <c r="BL933" t="s">
        <v>87</v>
      </c>
    </row>
    <row r="934" spans="1:64" x14ac:dyDescent="0.3">
      <c r="A934" t="str">
        <f>"200502E0100"</f>
        <v>200502E0100</v>
      </c>
      <c r="B934" t="str">
        <f>"200502E01003"</f>
        <v>200502E01003</v>
      </c>
      <c r="C934" t="str">
        <f t="shared" si="59"/>
        <v>20</v>
      </c>
      <c r="D934" t="s">
        <v>81</v>
      </c>
      <c r="E934" t="str">
        <f t="shared" si="57"/>
        <v>066</v>
      </c>
      <c r="F934" t="s">
        <v>951</v>
      </c>
      <c r="G934" t="str">
        <f>"0502"</f>
        <v>0502</v>
      </c>
      <c r="H934" t="str">
        <f>"0001"</f>
        <v>0001</v>
      </c>
      <c r="I934" t="s">
        <v>122</v>
      </c>
      <c r="J934">
        <v>0</v>
      </c>
      <c r="K934">
        <v>1</v>
      </c>
      <c r="L934">
        <v>3</v>
      </c>
      <c r="M934">
        <v>482</v>
      </c>
      <c r="N934">
        <v>281</v>
      </c>
      <c r="O934">
        <v>7</v>
      </c>
      <c r="P934">
        <v>283</v>
      </c>
      <c r="Q934">
        <v>7</v>
      </c>
      <c r="R934">
        <v>77</v>
      </c>
      <c r="S934">
        <v>0</v>
      </c>
      <c r="T934">
        <v>2</v>
      </c>
      <c r="U934">
        <v>4</v>
      </c>
      <c r="V934">
        <v>3</v>
      </c>
      <c r="W934">
        <v>3</v>
      </c>
      <c r="X934">
        <v>170</v>
      </c>
      <c r="Y934">
        <v>1</v>
      </c>
      <c r="Z934">
        <v>5</v>
      </c>
      <c r="AA934">
        <v>1</v>
      </c>
      <c r="AB934">
        <v>2</v>
      </c>
      <c r="AK934">
        <v>1</v>
      </c>
      <c r="AO934">
        <v>0</v>
      </c>
      <c r="AP934">
        <v>0</v>
      </c>
      <c r="AR934">
        <v>1</v>
      </c>
      <c r="AU934">
        <v>0</v>
      </c>
      <c r="AW934">
        <v>0</v>
      </c>
      <c r="AX934">
        <v>5</v>
      </c>
      <c r="AY934">
        <v>283</v>
      </c>
      <c r="AZ934">
        <v>282</v>
      </c>
      <c r="BA934">
        <v>719</v>
      </c>
      <c r="BB934">
        <v>44</v>
      </c>
      <c r="BD934">
        <v>1</v>
      </c>
      <c r="BF934" t="s">
        <v>1058</v>
      </c>
      <c r="BG934" s="1">
        <v>44353.993750000001</v>
      </c>
      <c r="BH934" s="1">
        <v>44354.006053240744</v>
      </c>
      <c r="BI934" s="1">
        <v>44354.008368055554</v>
      </c>
      <c r="BJ934" t="s">
        <v>85</v>
      </c>
      <c r="BK934" t="s">
        <v>86</v>
      </c>
      <c r="BL934" t="s">
        <v>87</v>
      </c>
    </row>
    <row r="935" spans="1:64" x14ac:dyDescent="0.3">
      <c r="A935" t="str">
        <f>"200502E0101"</f>
        <v>200502E0101</v>
      </c>
      <c r="B935" t="str">
        <f>"200502E01013"</f>
        <v>200502E01013</v>
      </c>
      <c r="C935" t="str">
        <f t="shared" si="59"/>
        <v>20</v>
      </c>
      <c r="D935" t="s">
        <v>81</v>
      </c>
      <c r="E935" t="str">
        <f t="shared" si="57"/>
        <v>066</v>
      </c>
      <c r="F935" t="s">
        <v>951</v>
      </c>
      <c r="G935" t="str">
        <f>"0502"</f>
        <v>0502</v>
      </c>
      <c r="H935" t="str">
        <f>"0001"</f>
        <v>0001</v>
      </c>
      <c r="I935" t="s">
        <v>122</v>
      </c>
      <c r="J935">
        <v>1</v>
      </c>
      <c r="K935">
        <v>1</v>
      </c>
      <c r="L935">
        <v>3</v>
      </c>
      <c r="M935">
        <v>488</v>
      </c>
      <c r="N935">
        <v>275</v>
      </c>
      <c r="O935">
        <v>7</v>
      </c>
      <c r="P935">
        <v>271</v>
      </c>
      <c r="Q935">
        <v>11</v>
      </c>
      <c r="R935">
        <v>62</v>
      </c>
      <c r="S935">
        <v>3</v>
      </c>
      <c r="T935">
        <v>4</v>
      </c>
      <c r="U935">
        <v>9</v>
      </c>
      <c r="V935">
        <v>3</v>
      </c>
      <c r="W935">
        <v>2</v>
      </c>
      <c r="X935">
        <v>157</v>
      </c>
      <c r="Y935">
        <v>3</v>
      </c>
      <c r="Z935">
        <v>3</v>
      </c>
      <c r="AA935">
        <v>1</v>
      </c>
      <c r="AB935">
        <v>2</v>
      </c>
      <c r="AK935">
        <v>1</v>
      </c>
      <c r="AO935">
        <v>1</v>
      </c>
      <c r="AP935" t="s">
        <v>95</v>
      </c>
      <c r="AR935" t="s">
        <v>95</v>
      </c>
      <c r="AU935" t="s">
        <v>95</v>
      </c>
      <c r="AW935" t="s">
        <v>95</v>
      </c>
      <c r="AX935">
        <v>9</v>
      </c>
      <c r="AY935">
        <v>271</v>
      </c>
      <c r="AZ935">
        <v>271</v>
      </c>
      <c r="BA935">
        <v>718</v>
      </c>
      <c r="BB935">
        <v>44</v>
      </c>
      <c r="BC935" t="s">
        <v>96</v>
      </c>
      <c r="BD935">
        <v>1</v>
      </c>
      <c r="BF935" t="s">
        <v>1059</v>
      </c>
      <c r="BG935" s="1">
        <v>44353.993750000001</v>
      </c>
      <c r="BH935" s="1">
        <v>44354.000486111108</v>
      </c>
      <c r="BI935" s="1">
        <v>44354.002349537041</v>
      </c>
      <c r="BJ935" t="s">
        <v>85</v>
      </c>
      <c r="BK935" t="s">
        <v>86</v>
      </c>
      <c r="BL935" t="s">
        <v>87</v>
      </c>
    </row>
    <row r="936" spans="1:64" x14ac:dyDescent="0.3">
      <c r="A936" t="str">
        <f>"200503B0000"</f>
        <v>200503B0000</v>
      </c>
      <c r="B936" t="str">
        <f>"200503B00003"</f>
        <v>200503B00003</v>
      </c>
      <c r="C936" t="str">
        <f t="shared" si="59"/>
        <v>20</v>
      </c>
      <c r="D936" t="s">
        <v>81</v>
      </c>
      <c r="E936" t="str">
        <f t="shared" si="57"/>
        <v>066</v>
      </c>
      <c r="F936" t="s">
        <v>951</v>
      </c>
      <c r="G936" t="str">
        <f>"0503"</f>
        <v>0503</v>
      </c>
      <c r="H936" t="str">
        <f>"0000"</f>
        <v>0000</v>
      </c>
      <c r="I936" t="s">
        <v>83</v>
      </c>
      <c r="J936">
        <v>0</v>
      </c>
      <c r="K936">
        <v>1</v>
      </c>
      <c r="L936">
        <v>3</v>
      </c>
      <c r="M936">
        <v>239</v>
      </c>
      <c r="N936">
        <v>304</v>
      </c>
      <c r="O936">
        <v>8</v>
      </c>
      <c r="P936">
        <v>304</v>
      </c>
      <c r="Q936">
        <v>10</v>
      </c>
      <c r="R936">
        <v>71</v>
      </c>
      <c r="S936">
        <v>3</v>
      </c>
      <c r="T936">
        <v>3</v>
      </c>
      <c r="U936">
        <v>8</v>
      </c>
      <c r="V936">
        <v>8</v>
      </c>
      <c r="W936">
        <v>1</v>
      </c>
      <c r="X936">
        <v>170</v>
      </c>
      <c r="Y936">
        <v>7</v>
      </c>
      <c r="Z936">
        <v>3</v>
      </c>
      <c r="AA936">
        <v>6</v>
      </c>
      <c r="AB936">
        <v>6</v>
      </c>
      <c r="AK936">
        <v>1</v>
      </c>
      <c r="AO936" t="s">
        <v>95</v>
      </c>
      <c r="AP936" t="s">
        <v>95</v>
      </c>
      <c r="AR936" t="s">
        <v>95</v>
      </c>
      <c r="AU936" t="s">
        <v>95</v>
      </c>
      <c r="AW936">
        <v>0</v>
      </c>
      <c r="AX936">
        <v>7</v>
      </c>
      <c r="AY936">
        <v>304</v>
      </c>
      <c r="AZ936">
        <v>304</v>
      </c>
      <c r="BA936">
        <v>499</v>
      </c>
      <c r="BB936">
        <v>44</v>
      </c>
      <c r="BC936" t="s">
        <v>96</v>
      </c>
      <c r="BD936">
        <v>1</v>
      </c>
      <c r="BF936" t="s">
        <v>1060</v>
      </c>
      <c r="BG936" s="1">
        <v>44353.963194444441</v>
      </c>
      <c r="BH936" s="1">
        <v>44353.967164351852</v>
      </c>
      <c r="BI936" s="1">
        <v>44353.971875000003</v>
      </c>
      <c r="BJ936" t="s">
        <v>85</v>
      </c>
      <c r="BK936" t="s">
        <v>86</v>
      </c>
      <c r="BL936" t="s">
        <v>87</v>
      </c>
    </row>
    <row r="937" spans="1:64" x14ac:dyDescent="0.3">
      <c r="A937" t="str">
        <f>"200503C0100"</f>
        <v>200503C0100</v>
      </c>
      <c r="B937" t="str">
        <f>"200503C01003"</f>
        <v>200503C01003</v>
      </c>
      <c r="C937" t="str">
        <f t="shared" si="59"/>
        <v>20</v>
      </c>
      <c r="D937" t="s">
        <v>81</v>
      </c>
      <c r="E937" t="str">
        <f t="shared" si="57"/>
        <v>066</v>
      </c>
      <c r="F937" t="s">
        <v>951</v>
      </c>
      <c r="G937" t="str">
        <f>"0503"</f>
        <v>0503</v>
      </c>
      <c r="H937" t="str">
        <f>"0001"</f>
        <v>0001</v>
      </c>
      <c r="I937" t="s">
        <v>89</v>
      </c>
      <c r="J937">
        <v>0</v>
      </c>
      <c r="K937">
        <v>1</v>
      </c>
      <c r="L937">
        <v>3</v>
      </c>
      <c r="M937">
        <v>266</v>
      </c>
      <c r="N937">
        <v>277</v>
      </c>
      <c r="O937">
        <v>7</v>
      </c>
      <c r="P937">
        <v>277</v>
      </c>
      <c r="Q937">
        <v>14</v>
      </c>
      <c r="R937">
        <v>66</v>
      </c>
      <c r="S937">
        <v>3</v>
      </c>
      <c r="T937">
        <v>6</v>
      </c>
      <c r="U937">
        <v>11</v>
      </c>
      <c r="V937">
        <v>2</v>
      </c>
      <c r="W937">
        <v>0</v>
      </c>
      <c r="X937">
        <v>143</v>
      </c>
      <c r="Y937">
        <v>11</v>
      </c>
      <c r="Z937">
        <v>1</v>
      </c>
      <c r="AA937">
        <v>1</v>
      </c>
      <c r="AB937">
        <v>8</v>
      </c>
      <c r="AK937">
        <v>4</v>
      </c>
      <c r="AO937">
        <v>0</v>
      </c>
      <c r="AP937">
        <v>0</v>
      </c>
      <c r="AR937">
        <v>0</v>
      </c>
      <c r="AU937">
        <v>0</v>
      </c>
      <c r="AW937">
        <v>0</v>
      </c>
      <c r="AX937">
        <v>7</v>
      </c>
      <c r="AY937">
        <v>277</v>
      </c>
      <c r="AZ937">
        <v>277</v>
      </c>
      <c r="BA937">
        <v>499</v>
      </c>
      <c r="BB937">
        <v>44</v>
      </c>
      <c r="BD937">
        <v>1</v>
      </c>
      <c r="BF937" t="s">
        <v>1061</v>
      </c>
      <c r="BG937" s="1">
        <v>44353.995138888888</v>
      </c>
      <c r="BH937" s="1">
        <v>44354.001250000001</v>
      </c>
      <c r="BI937" s="1">
        <v>44354.001886574071</v>
      </c>
      <c r="BJ937" t="s">
        <v>85</v>
      </c>
      <c r="BK937" t="s">
        <v>86</v>
      </c>
      <c r="BL937" t="s">
        <v>87</v>
      </c>
    </row>
    <row r="938" spans="1:64" x14ac:dyDescent="0.3">
      <c r="A938" t="str">
        <f>"200504B0000"</f>
        <v>200504B0000</v>
      </c>
      <c r="B938" t="str">
        <f>"200504B00003"</f>
        <v>200504B00003</v>
      </c>
      <c r="C938" t="str">
        <f t="shared" si="59"/>
        <v>20</v>
      </c>
      <c r="D938" t="s">
        <v>81</v>
      </c>
      <c r="E938" t="str">
        <f t="shared" si="57"/>
        <v>066</v>
      </c>
      <c r="F938" t="s">
        <v>951</v>
      </c>
      <c r="G938" t="str">
        <f>"0504"</f>
        <v>0504</v>
      </c>
      <c r="H938" t="str">
        <f>"0000"</f>
        <v>0000</v>
      </c>
      <c r="I938" t="s">
        <v>83</v>
      </c>
      <c r="J938">
        <v>0</v>
      </c>
      <c r="K938">
        <v>1</v>
      </c>
      <c r="L938">
        <v>3</v>
      </c>
      <c r="M938">
        <v>254</v>
      </c>
      <c r="N938">
        <v>353</v>
      </c>
      <c r="O938">
        <v>10</v>
      </c>
      <c r="P938">
        <v>353</v>
      </c>
      <c r="Q938">
        <v>36</v>
      </c>
      <c r="R938">
        <v>76</v>
      </c>
      <c r="S938">
        <v>1</v>
      </c>
      <c r="T938">
        <v>3</v>
      </c>
      <c r="U938">
        <v>8</v>
      </c>
      <c r="V938">
        <v>10</v>
      </c>
      <c r="W938">
        <v>5</v>
      </c>
      <c r="X938">
        <v>185</v>
      </c>
      <c r="Y938">
        <v>6</v>
      </c>
      <c r="Z938">
        <v>1</v>
      </c>
      <c r="AA938">
        <v>2</v>
      </c>
      <c r="AB938">
        <v>8</v>
      </c>
      <c r="AK938">
        <v>4</v>
      </c>
      <c r="AO938">
        <v>1</v>
      </c>
      <c r="AP938">
        <v>0</v>
      </c>
      <c r="AR938">
        <v>0</v>
      </c>
      <c r="AU938">
        <v>0</v>
      </c>
      <c r="AW938">
        <v>1</v>
      </c>
      <c r="AX938">
        <v>6</v>
      </c>
      <c r="AY938">
        <v>353</v>
      </c>
      <c r="AZ938">
        <v>353</v>
      </c>
      <c r="BA938">
        <v>563</v>
      </c>
      <c r="BB938">
        <v>44</v>
      </c>
      <c r="BD938">
        <v>1</v>
      </c>
      <c r="BF938" t="s">
        <v>1062</v>
      </c>
      <c r="BG938" s="1">
        <v>44354.125694444447</v>
      </c>
      <c r="BH938" s="1">
        <v>44354.129166666666</v>
      </c>
      <c r="BI938" s="1">
        <v>44354.129976851851</v>
      </c>
      <c r="BJ938" t="s">
        <v>85</v>
      </c>
      <c r="BK938" t="s">
        <v>86</v>
      </c>
      <c r="BL938" t="s">
        <v>87</v>
      </c>
    </row>
    <row r="939" spans="1:64" x14ac:dyDescent="0.3">
      <c r="A939" t="str">
        <f>"200504C0100"</f>
        <v>200504C0100</v>
      </c>
      <c r="B939" t="str">
        <f>"200504C01003"</f>
        <v>200504C01003</v>
      </c>
      <c r="C939" t="str">
        <f t="shared" si="59"/>
        <v>20</v>
      </c>
      <c r="D939" t="s">
        <v>81</v>
      </c>
      <c r="E939" t="str">
        <f t="shared" si="57"/>
        <v>066</v>
      </c>
      <c r="F939" t="s">
        <v>951</v>
      </c>
      <c r="G939" t="str">
        <f>"0504"</f>
        <v>0504</v>
      </c>
      <c r="H939" t="str">
        <f>"0001"</f>
        <v>0001</v>
      </c>
      <c r="I939" t="s">
        <v>89</v>
      </c>
      <c r="J939">
        <v>0</v>
      </c>
      <c r="K939">
        <v>1</v>
      </c>
      <c r="L939">
        <v>3</v>
      </c>
      <c r="M939">
        <v>308</v>
      </c>
      <c r="N939">
        <v>297</v>
      </c>
      <c r="O939">
        <v>7</v>
      </c>
      <c r="P939">
        <v>298</v>
      </c>
      <c r="Q939">
        <v>14</v>
      </c>
      <c r="R939">
        <v>82</v>
      </c>
      <c r="S939">
        <v>1</v>
      </c>
      <c r="T939">
        <v>6</v>
      </c>
      <c r="U939">
        <v>9</v>
      </c>
      <c r="V939">
        <v>6</v>
      </c>
      <c r="W939">
        <v>4</v>
      </c>
      <c r="X939">
        <v>152</v>
      </c>
      <c r="Y939">
        <v>5</v>
      </c>
      <c r="Z939">
        <v>2</v>
      </c>
      <c r="AA939">
        <v>1</v>
      </c>
      <c r="AB939">
        <v>7</v>
      </c>
      <c r="AK939">
        <v>1</v>
      </c>
      <c r="AO939" t="s">
        <v>95</v>
      </c>
      <c r="AP939" t="s">
        <v>95</v>
      </c>
      <c r="AR939" t="s">
        <v>95</v>
      </c>
      <c r="AU939" t="s">
        <v>95</v>
      </c>
      <c r="AW939">
        <v>2</v>
      </c>
      <c r="AX939">
        <v>6</v>
      </c>
      <c r="AY939">
        <v>298</v>
      </c>
      <c r="AZ939">
        <v>298</v>
      </c>
      <c r="BA939">
        <v>562</v>
      </c>
      <c r="BB939">
        <v>44</v>
      </c>
      <c r="BC939" t="s">
        <v>96</v>
      </c>
      <c r="BD939">
        <v>1</v>
      </c>
      <c r="BF939" t="s">
        <v>1063</v>
      </c>
      <c r="BG939" s="1">
        <v>44354.125694444447</v>
      </c>
      <c r="BH939" s="1">
        <v>44354.128854166665</v>
      </c>
      <c r="BI939" s="1">
        <v>44354.129687499997</v>
      </c>
      <c r="BJ939" t="s">
        <v>85</v>
      </c>
      <c r="BK939" t="s">
        <v>86</v>
      </c>
      <c r="BL939" t="s">
        <v>87</v>
      </c>
    </row>
    <row r="940" spans="1:64" x14ac:dyDescent="0.3">
      <c r="A940" t="str">
        <f>"200504C0200"</f>
        <v>200504C0200</v>
      </c>
      <c r="B940" t="str">
        <f>"200504C02003"</f>
        <v>200504C02003</v>
      </c>
      <c r="C940" t="str">
        <f t="shared" si="59"/>
        <v>20</v>
      </c>
      <c r="D940" t="s">
        <v>81</v>
      </c>
      <c r="E940" t="str">
        <f t="shared" si="57"/>
        <v>066</v>
      </c>
      <c r="F940" t="s">
        <v>951</v>
      </c>
      <c r="G940" t="str">
        <f>"0504"</f>
        <v>0504</v>
      </c>
      <c r="H940" t="str">
        <f>"0002"</f>
        <v>0002</v>
      </c>
      <c r="I940" t="s">
        <v>89</v>
      </c>
      <c r="J940">
        <v>0</v>
      </c>
      <c r="K940">
        <v>1</v>
      </c>
      <c r="L940">
        <v>3</v>
      </c>
      <c r="BA940">
        <v>562</v>
      </c>
      <c r="BB940">
        <v>44</v>
      </c>
      <c r="BC940" t="s">
        <v>381</v>
      </c>
      <c r="BD940">
        <v>0</v>
      </c>
      <c r="BF940" t="s">
        <v>1064</v>
      </c>
      <c r="BG940" s="1">
        <v>44354.427083333336</v>
      </c>
      <c r="BH940" s="1">
        <v>44354.443356481483</v>
      </c>
      <c r="BI940" s="1">
        <v>44354.443356481483</v>
      </c>
      <c r="BJ940" t="s">
        <v>85</v>
      </c>
      <c r="BK940" t="s">
        <v>86</v>
      </c>
      <c r="BL940" t="s">
        <v>87</v>
      </c>
    </row>
    <row r="941" spans="1:64" x14ac:dyDescent="0.3">
      <c r="A941" t="str">
        <f>"200505B0000"</f>
        <v>200505B0000</v>
      </c>
      <c r="B941" t="str">
        <f>"200505B00003"</f>
        <v>200505B00003</v>
      </c>
      <c r="C941" t="str">
        <f t="shared" si="59"/>
        <v>20</v>
      </c>
      <c r="D941" t="s">
        <v>81</v>
      </c>
      <c r="E941" t="str">
        <f t="shared" si="57"/>
        <v>066</v>
      </c>
      <c r="F941" t="s">
        <v>951</v>
      </c>
      <c r="G941" t="str">
        <f>"0505"</f>
        <v>0505</v>
      </c>
      <c r="H941" t="str">
        <f>"0000"</f>
        <v>0000</v>
      </c>
      <c r="I941" t="s">
        <v>83</v>
      </c>
      <c r="J941">
        <v>0</v>
      </c>
      <c r="K941">
        <v>1</v>
      </c>
      <c r="L941">
        <v>3</v>
      </c>
      <c r="M941" t="s">
        <v>131</v>
      </c>
      <c r="N941" t="s">
        <v>131</v>
      </c>
      <c r="O941" t="s">
        <v>131</v>
      </c>
      <c r="P941" t="s">
        <v>131</v>
      </c>
      <c r="Q941">
        <v>20</v>
      </c>
      <c r="R941">
        <v>80</v>
      </c>
      <c r="S941">
        <v>6</v>
      </c>
      <c r="T941">
        <v>10</v>
      </c>
      <c r="U941">
        <v>9</v>
      </c>
      <c r="V941">
        <v>7</v>
      </c>
      <c r="W941">
        <v>1</v>
      </c>
      <c r="X941">
        <v>178</v>
      </c>
      <c r="Y941">
        <v>2</v>
      </c>
      <c r="Z941">
        <v>5</v>
      </c>
      <c r="AA941">
        <v>6</v>
      </c>
      <c r="AB941">
        <v>11</v>
      </c>
      <c r="AK941">
        <v>3</v>
      </c>
      <c r="AO941">
        <v>1</v>
      </c>
      <c r="AP941">
        <v>0</v>
      </c>
      <c r="AR941">
        <v>0</v>
      </c>
      <c r="AU941">
        <v>0</v>
      </c>
      <c r="AW941">
        <v>0</v>
      </c>
      <c r="AX941">
        <v>6</v>
      </c>
      <c r="AY941">
        <v>345</v>
      </c>
      <c r="AZ941">
        <v>345</v>
      </c>
      <c r="BA941">
        <v>651</v>
      </c>
      <c r="BB941">
        <v>44</v>
      </c>
      <c r="BD941">
        <v>1</v>
      </c>
      <c r="BF941" s="2" t="s">
        <v>1065</v>
      </c>
      <c r="BG941" s="1">
        <v>44354.304861111108</v>
      </c>
      <c r="BH941" s="1">
        <v>44354.370856481481</v>
      </c>
      <c r="BI941" s="1">
        <v>44354.371851851851</v>
      </c>
      <c r="BJ941" t="s">
        <v>85</v>
      </c>
      <c r="BK941" t="s">
        <v>86</v>
      </c>
      <c r="BL941" t="s">
        <v>87</v>
      </c>
    </row>
    <row r="942" spans="1:64" x14ac:dyDescent="0.3">
      <c r="A942" t="str">
        <f>"200505C0100"</f>
        <v>200505C0100</v>
      </c>
      <c r="B942" t="str">
        <f>"200505C01003"</f>
        <v>200505C01003</v>
      </c>
      <c r="C942" t="str">
        <f t="shared" si="59"/>
        <v>20</v>
      </c>
      <c r="D942" t="s">
        <v>81</v>
      </c>
      <c r="E942" t="str">
        <f t="shared" si="57"/>
        <v>066</v>
      </c>
      <c r="F942" t="s">
        <v>951</v>
      </c>
      <c r="G942" t="str">
        <f>"0505"</f>
        <v>0505</v>
      </c>
      <c r="H942" t="str">
        <f>"0001"</f>
        <v>0001</v>
      </c>
      <c r="I942" t="s">
        <v>89</v>
      </c>
      <c r="J942">
        <v>0</v>
      </c>
      <c r="K942">
        <v>1</v>
      </c>
      <c r="L942">
        <v>3</v>
      </c>
      <c r="M942">
        <v>339</v>
      </c>
      <c r="N942">
        <v>355</v>
      </c>
      <c r="O942">
        <v>5</v>
      </c>
      <c r="P942" t="s">
        <v>92</v>
      </c>
      <c r="Q942">
        <v>27</v>
      </c>
      <c r="R942">
        <v>72</v>
      </c>
      <c r="S942">
        <v>2</v>
      </c>
      <c r="T942">
        <v>5</v>
      </c>
      <c r="U942">
        <v>6</v>
      </c>
      <c r="V942">
        <v>9</v>
      </c>
      <c r="W942">
        <v>2</v>
      </c>
      <c r="X942">
        <v>185</v>
      </c>
      <c r="Y942">
        <v>4</v>
      </c>
      <c r="Z942">
        <v>12</v>
      </c>
      <c r="AA942">
        <v>1</v>
      </c>
      <c r="AB942">
        <v>12</v>
      </c>
      <c r="AK942">
        <v>6</v>
      </c>
      <c r="AO942">
        <v>1</v>
      </c>
      <c r="AP942">
        <v>0</v>
      </c>
      <c r="AR942">
        <v>0</v>
      </c>
      <c r="AU942">
        <v>0</v>
      </c>
      <c r="AW942">
        <v>0</v>
      </c>
      <c r="AX942">
        <v>11</v>
      </c>
      <c r="AY942">
        <v>355</v>
      </c>
      <c r="AZ942">
        <v>355</v>
      </c>
      <c r="BA942">
        <v>650</v>
      </c>
      <c r="BB942">
        <v>44</v>
      </c>
      <c r="BD942">
        <v>1</v>
      </c>
      <c r="BF942" t="s">
        <v>1066</v>
      </c>
      <c r="BG942" s="1">
        <v>44354.125</v>
      </c>
      <c r="BH942" s="1">
        <v>44354.132268518515</v>
      </c>
      <c r="BI942" s="1">
        <v>44354.132905092592</v>
      </c>
      <c r="BJ942" t="s">
        <v>85</v>
      </c>
      <c r="BK942" t="s">
        <v>86</v>
      </c>
      <c r="BL942" t="s">
        <v>87</v>
      </c>
    </row>
    <row r="943" spans="1:64" x14ac:dyDescent="0.3">
      <c r="A943" t="str">
        <f>"200506B0000"</f>
        <v>200506B0000</v>
      </c>
      <c r="B943" t="str">
        <f>"200506B00003"</f>
        <v>200506B00003</v>
      </c>
      <c r="C943" t="str">
        <f t="shared" si="59"/>
        <v>20</v>
      </c>
      <c r="D943" t="s">
        <v>81</v>
      </c>
      <c r="E943" t="str">
        <f t="shared" si="57"/>
        <v>066</v>
      </c>
      <c r="F943" t="s">
        <v>951</v>
      </c>
      <c r="G943" t="str">
        <f>"0506"</f>
        <v>0506</v>
      </c>
      <c r="H943" t="str">
        <f>"0000"</f>
        <v>0000</v>
      </c>
      <c r="I943" t="s">
        <v>83</v>
      </c>
      <c r="J943">
        <v>0</v>
      </c>
      <c r="K943">
        <v>1</v>
      </c>
      <c r="L943">
        <v>3</v>
      </c>
      <c r="M943">
        <v>283</v>
      </c>
      <c r="N943">
        <v>291</v>
      </c>
      <c r="O943">
        <v>3</v>
      </c>
      <c r="P943">
        <v>291</v>
      </c>
      <c r="Q943">
        <v>11</v>
      </c>
      <c r="R943">
        <v>40</v>
      </c>
      <c r="S943">
        <v>1</v>
      </c>
      <c r="T943">
        <v>2</v>
      </c>
      <c r="U943">
        <v>16</v>
      </c>
      <c r="V943">
        <v>9</v>
      </c>
      <c r="W943">
        <v>2</v>
      </c>
      <c r="X943">
        <v>177</v>
      </c>
      <c r="Y943">
        <v>9</v>
      </c>
      <c r="Z943">
        <v>2</v>
      </c>
      <c r="AA943">
        <v>1</v>
      </c>
      <c r="AB943">
        <v>8</v>
      </c>
      <c r="AK943">
        <v>4</v>
      </c>
      <c r="AO943">
        <v>1</v>
      </c>
      <c r="AP943">
        <v>0</v>
      </c>
      <c r="AR943">
        <v>0</v>
      </c>
      <c r="AU943">
        <v>0</v>
      </c>
      <c r="AW943">
        <v>0</v>
      </c>
      <c r="AX943">
        <v>8</v>
      </c>
      <c r="AY943">
        <v>291</v>
      </c>
      <c r="AZ943">
        <v>291</v>
      </c>
      <c r="BA943">
        <v>530</v>
      </c>
      <c r="BB943">
        <v>44</v>
      </c>
      <c r="BD943">
        <v>1</v>
      </c>
      <c r="BF943" t="s">
        <v>1067</v>
      </c>
      <c r="BG943" s="1">
        <v>44353.966666666667</v>
      </c>
      <c r="BH943" s="1">
        <v>44353.969386574077</v>
      </c>
      <c r="BI943" s="1">
        <v>44353.969918981478</v>
      </c>
      <c r="BJ943" t="s">
        <v>85</v>
      </c>
      <c r="BK943" t="s">
        <v>86</v>
      </c>
      <c r="BL943" t="s">
        <v>87</v>
      </c>
    </row>
    <row r="944" spans="1:64" x14ac:dyDescent="0.3">
      <c r="A944" t="str">
        <f>"200506C0100"</f>
        <v>200506C0100</v>
      </c>
      <c r="B944" t="str">
        <f>"200506C01003"</f>
        <v>200506C01003</v>
      </c>
      <c r="C944" t="str">
        <f t="shared" si="59"/>
        <v>20</v>
      </c>
      <c r="D944" t="s">
        <v>81</v>
      </c>
      <c r="E944" t="str">
        <f t="shared" si="57"/>
        <v>066</v>
      </c>
      <c r="F944" t="s">
        <v>951</v>
      </c>
      <c r="G944" t="str">
        <f>"0506"</f>
        <v>0506</v>
      </c>
      <c r="H944" t="str">
        <f>"0001"</f>
        <v>0001</v>
      </c>
      <c r="I944" t="s">
        <v>89</v>
      </c>
      <c r="J944">
        <v>0</v>
      </c>
      <c r="K944">
        <v>1</v>
      </c>
      <c r="L944">
        <v>3</v>
      </c>
      <c r="M944">
        <v>267</v>
      </c>
      <c r="N944">
        <v>305</v>
      </c>
      <c r="O944">
        <v>2</v>
      </c>
      <c r="P944">
        <v>306</v>
      </c>
      <c r="Q944">
        <v>12</v>
      </c>
      <c r="R944">
        <v>54</v>
      </c>
      <c r="S944">
        <v>2</v>
      </c>
      <c r="T944">
        <v>3</v>
      </c>
      <c r="U944">
        <v>8</v>
      </c>
      <c r="V944">
        <v>7</v>
      </c>
      <c r="W944">
        <v>3</v>
      </c>
      <c r="X944">
        <v>189</v>
      </c>
      <c r="Y944">
        <v>10</v>
      </c>
      <c r="Z944">
        <v>3</v>
      </c>
      <c r="AA944">
        <v>2</v>
      </c>
      <c r="AB944">
        <v>4</v>
      </c>
      <c r="AK944">
        <v>1</v>
      </c>
      <c r="AO944">
        <v>1</v>
      </c>
      <c r="AP944">
        <v>0</v>
      </c>
      <c r="AR944">
        <v>1</v>
      </c>
      <c r="AU944">
        <v>0</v>
      </c>
      <c r="AW944">
        <v>0</v>
      </c>
      <c r="AX944">
        <v>6</v>
      </c>
      <c r="AY944">
        <v>306</v>
      </c>
      <c r="AZ944">
        <v>306</v>
      </c>
      <c r="BA944">
        <v>529</v>
      </c>
      <c r="BB944">
        <v>44</v>
      </c>
      <c r="BD944">
        <v>1</v>
      </c>
      <c r="BF944" t="s">
        <v>1068</v>
      </c>
      <c r="BG944" s="1">
        <v>44353.963194444441</v>
      </c>
      <c r="BH944" s="1">
        <v>44353.966122685182</v>
      </c>
      <c r="BI944" s="1">
        <v>44353.966956018521</v>
      </c>
      <c r="BJ944" t="s">
        <v>85</v>
      </c>
      <c r="BK944" t="s">
        <v>86</v>
      </c>
      <c r="BL944" t="s">
        <v>87</v>
      </c>
    </row>
    <row r="945" spans="1:64" x14ac:dyDescent="0.3">
      <c r="A945" t="str">
        <f>"200507B0000"</f>
        <v>200507B0000</v>
      </c>
      <c r="B945" t="str">
        <f>"200507B00003"</f>
        <v>200507B00003</v>
      </c>
      <c r="C945" t="str">
        <f t="shared" si="59"/>
        <v>20</v>
      </c>
      <c r="D945" t="s">
        <v>81</v>
      </c>
      <c r="E945" t="str">
        <f t="shared" si="57"/>
        <v>066</v>
      </c>
      <c r="F945" t="s">
        <v>951</v>
      </c>
      <c r="G945" t="str">
        <f>"0507"</f>
        <v>0507</v>
      </c>
      <c r="H945" t="str">
        <f>"0000"</f>
        <v>0000</v>
      </c>
      <c r="I945" t="s">
        <v>83</v>
      </c>
      <c r="J945">
        <v>0</v>
      </c>
      <c r="K945">
        <v>1</v>
      </c>
      <c r="L945">
        <v>3</v>
      </c>
      <c r="M945">
        <v>293</v>
      </c>
      <c r="N945">
        <v>313</v>
      </c>
      <c r="O945">
        <v>4</v>
      </c>
      <c r="P945">
        <v>313</v>
      </c>
      <c r="Q945">
        <v>28</v>
      </c>
      <c r="R945">
        <v>94</v>
      </c>
      <c r="S945">
        <v>3</v>
      </c>
      <c r="T945">
        <v>6</v>
      </c>
      <c r="U945">
        <v>6</v>
      </c>
      <c r="V945">
        <v>6</v>
      </c>
      <c r="W945">
        <v>2</v>
      </c>
      <c r="X945">
        <v>137</v>
      </c>
      <c r="Y945">
        <v>4</v>
      </c>
      <c r="Z945">
        <v>2</v>
      </c>
      <c r="AA945">
        <v>4</v>
      </c>
      <c r="AB945">
        <v>12</v>
      </c>
      <c r="AK945">
        <v>1</v>
      </c>
      <c r="AO945">
        <v>3</v>
      </c>
      <c r="AP945">
        <v>0</v>
      </c>
      <c r="AR945">
        <v>0</v>
      </c>
      <c r="AU945">
        <v>0</v>
      </c>
      <c r="AW945">
        <v>0</v>
      </c>
      <c r="AX945">
        <v>5</v>
      </c>
      <c r="AY945">
        <v>313</v>
      </c>
      <c r="AZ945">
        <v>313</v>
      </c>
      <c r="BA945">
        <v>562</v>
      </c>
      <c r="BB945">
        <v>44</v>
      </c>
      <c r="BD945">
        <v>1</v>
      </c>
      <c r="BF945" s="2" t="s">
        <v>1069</v>
      </c>
      <c r="BG945" s="1">
        <v>44354.022916666669</v>
      </c>
      <c r="BH945" s="1">
        <v>44354.033229166664</v>
      </c>
      <c r="BI945" s="1">
        <v>44354.034479166665</v>
      </c>
      <c r="BJ945" t="s">
        <v>85</v>
      </c>
      <c r="BK945" t="s">
        <v>86</v>
      </c>
      <c r="BL945" t="s">
        <v>87</v>
      </c>
    </row>
    <row r="946" spans="1:64" x14ac:dyDescent="0.3">
      <c r="A946" t="str">
        <f>"200507C0100"</f>
        <v>200507C0100</v>
      </c>
      <c r="B946" t="str">
        <f>"200507C01003"</f>
        <v>200507C01003</v>
      </c>
      <c r="C946" t="str">
        <f t="shared" si="59"/>
        <v>20</v>
      </c>
      <c r="D946" t="s">
        <v>81</v>
      </c>
      <c r="E946" t="str">
        <f t="shared" si="57"/>
        <v>066</v>
      </c>
      <c r="F946" t="s">
        <v>951</v>
      </c>
      <c r="G946" t="str">
        <f>"0507"</f>
        <v>0507</v>
      </c>
      <c r="H946" t="str">
        <f>"0001"</f>
        <v>0001</v>
      </c>
      <c r="I946" t="s">
        <v>89</v>
      </c>
      <c r="J946">
        <v>0</v>
      </c>
      <c r="K946">
        <v>1</v>
      </c>
      <c r="L946">
        <v>3</v>
      </c>
      <c r="M946">
        <v>277</v>
      </c>
      <c r="N946">
        <v>329</v>
      </c>
      <c r="O946">
        <v>4</v>
      </c>
      <c r="P946">
        <v>329</v>
      </c>
      <c r="Q946">
        <v>44</v>
      </c>
      <c r="R946">
        <v>91</v>
      </c>
      <c r="S946">
        <v>1</v>
      </c>
      <c r="T946">
        <v>3</v>
      </c>
      <c r="U946">
        <v>10</v>
      </c>
      <c r="V946">
        <v>4</v>
      </c>
      <c r="W946">
        <v>2</v>
      </c>
      <c r="X946">
        <v>141</v>
      </c>
      <c r="Y946">
        <v>9</v>
      </c>
      <c r="Z946">
        <v>3</v>
      </c>
      <c r="AA946">
        <v>3</v>
      </c>
      <c r="AB946">
        <v>6</v>
      </c>
      <c r="AK946">
        <v>4</v>
      </c>
      <c r="AO946">
        <v>0</v>
      </c>
      <c r="AP946">
        <v>0</v>
      </c>
      <c r="AR946">
        <v>0</v>
      </c>
      <c r="AU946">
        <v>0</v>
      </c>
      <c r="AW946">
        <v>0</v>
      </c>
      <c r="AX946">
        <v>8</v>
      </c>
      <c r="AY946">
        <v>329</v>
      </c>
      <c r="AZ946">
        <v>329</v>
      </c>
      <c r="BA946">
        <v>562</v>
      </c>
      <c r="BB946">
        <v>44</v>
      </c>
      <c r="BD946">
        <v>1</v>
      </c>
      <c r="BF946" t="s">
        <v>1070</v>
      </c>
      <c r="BG946" s="1">
        <v>44354.022916666669</v>
      </c>
      <c r="BH946" s="1">
        <v>44354.031018518515</v>
      </c>
      <c r="BI946" s="1">
        <v>44354.031597222223</v>
      </c>
      <c r="BJ946" t="s">
        <v>85</v>
      </c>
      <c r="BK946" t="s">
        <v>86</v>
      </c>
      <c r="BL946" t="s">
        <v>87</v>
      </c>
    </row>
    <row r="947" spans="1:64" x14ac:dyDescent="0.3">
      <c r="A947" t="str">
        <f>"200507C0200"</f>
        <v>200507C0200</v>
      </c>
      <c r="B947" t="str">
        <f>"200507C02003"</f>
        <v>200507C02003</v>
      </c>
      <c r="C947" t="str">
        <f t="shared" si="59"/>
        <v>20</v>
      </c>
      <c r="D947" t="s">
        <v>81</v>
      </c>
      <c r="E947" t="str">
        <f t="shared" si="57"/>
        <v>066</v>
      </c>
      <c r="F947" t="s">
        <v>951</v>
      </c>
      <c r="G947" t="str">
        <f>"0507"</f>
        <v>0507</v>
      </c>
      <c r="H947" t="str">
        <f>"0002"</f>
        <v>0002</v>
      </c>
      <c r="I947" t="s">
        <v>89</v>
      </c>
      <c r="J947">
        <v>0</v>
      </c>
      <c r="K947">
        <v>1</v>
      </c>
      <c r="L947">
        <v>3</v>
      </c>
      <c r="M947">
        <v>282</v>
      </c>
      <c r="N947">
        <v>324</v>
      </c>
      <c r="O947">
        <v>3</v>
      </c>
      <c r="P947" t="s">
        <v>92</v>
      </c>
      <c r="Q947">
        <v>39</v>
      </c>
      <c r="R947">
        <v>100</v>
      </c>
      <c r="S947">
        <v>2</v>
      </c>
      <c r="T947">
        <v>3</v>
      </c>
      <c r="U947">
        <v>2</v>
      </c>
      <c r="V947">
        <v>5</v>
      </c>
      <c r="W947">
        <v>3</v>
      </c>
      <c r="X947">
        <v>142</v>
      </c>
      <c r="Y947">
        <v>6</v>
      </c>
      <c r="Z947">
        <v>3</v>
      </c>
      <c r="AA947">
        <v>1</v>
      </c>
      <c r="AB947">
        <v>7</v>
      </c>
      <c r="AK947">
        <v>4</v>
      </c>
      <c r="AO947">
        <v>1</v>
      </c>
      <c r="AP947">
        <v>0</v>
      </c>
      <c r="AR947">
        <v>0</v>
      </c>
      <c r="AU947">
        <v>0</v>
      </c>
      <c r="AW947">
        <v>0</v>
      </c>
      <c r="AX947">
        <v>6</v>
      </c>
      <c r="AY947">
        <v>324</v>
      </c>
      <c r="AZ947">
        <v>324</v>
      </c>
      <c r="BA947">
        <v>562</v>
      </c>
      <c r="BB947">
        <v>44</v>
      </c>
      <c r="BD947">
        <v>1</v>
      </c>
      <c r="BF947" t="s">
        <v>1071</v>
      </c>
      <c r="BG947" s="1">
        <v>44354.024305555555</v>
      </c>
      <c r="BH947" s="1">
        <v>44354.033009259256</v>
      </c>
      <c r="BI947" s="1">
        <v>44354.033807870372</v>
      </c>
      <c r="BJ947" t="s">
        <v>85</v>
      </c>
      <c r="BK947" t="s">
        <v>86</v>
      </c>
      <c r="BL947" t="s">
        <v>87</v>
      </c>
    </row>
    <row r="948" spans="1:64" x14ac:dyDescent="0.3">
      <c r="A948" t="str">
        <f>"200508B0000"</f>
        <v>200508B0000</v>
      </c>
      <c r="B948" t="str">
        <f>"200508B00003"</f>
        <v>200508B00003</v>
      </c>
      <c r="C948" t="str">
        <f t="shared" si="59"/>
        <v>20</v>
      </c>
      <c r="D948" t="s">
        <v>81</v>
      </c>
      <c r="E948" t="str">
        <f t="shared" si="57"/>
        <v>066</v>
      </c>
      <c r="F948" t="s">
        <v>951</v>
      </c>
      <c r="G948" t="str">
        <f>"0508"</f>
        <v>0508</v>
      </c>
      <c r="H948" t="str">
        <f>"0000"</f>
        <v>0000</v>
      </c>
      <c r="I948" t="s">
        <v>83</v>
      </c>
      <c r="J948">
        <v>0</v>
      </c>
      <c r="K948">
        <v>1</v>
      </c>
      <c r="L948">
        <v>3</v>
      </c>
      <c r="M948">
        <v>294</v>
      </c>
      <c r="N948">
        <v>330</v>
      </c>
      <c r="O948">
        <v>4</v>
      </c>
      <c r="P948">
        <v>330</v>
      </c>
      <c r="Q948">
        <v>46</v>
      </c>
      <c r="R948">
        <v>86</v>
      </c>
      <c r="S948">
        <v>4</v>
      </c>
      <c r="T948">
        <v>3</v>
      </c>
      <c r="U948">
        <v>7</v>
      </c>
      <c r="V948">
        <v>6</v>
      </c>
      <c r="W948">
        <v>2</v>
      </c>
      <c r="X948">
        <v>156</v>
      </c>
      <c r="Y948">
        <v>3</v>
      </c>
      <c r="Z948">
        <v>2</v>
      </c>
      <c r="AA948">
        <v>3</v>
      </c>
      <c r="AB948">
        <v>4</v>
      </c>
      <c r="AK948">
        <v>1</v>
      </c>
      <c r="AO948">
        <v>0</v>
      </c>
      <c r="AP948">
        <v>0</v>
      </c>
      <c r="AR948">
        <v>0</v>
      </c>
      <c r="AU948">
        <v>0</v>
      </c>
      <c r="AW948">
        <v>0</v>
      </c>
      <c r="AX948">
        <v>7</v>
      </c>
      <c r="AY948">
        <v>330</v>
      </c>
      <c r="AZ948">
        <v>330</v>
      </c>
      <c r="BA948">
        <v>580</v>
      </c>
      <c r="BB948">
        <v>44</v>
      </c>
      <c r="BD948">
        <v>1</v>
      </c>
      <c r="BF948" t="s">
        <v>1072</v>
      </c>
      <c r="BG948" s="1">
        <v>44354.061111111114</v>
      </c>
      <c r="BH948" s="1">
        <v>44354.071157407408</v>
      </c>
      <c r="BI948" s="1">
        <v>44354.072060185186</v>
      </c>
      <c r="BJ948" t="s">
        <v>85</v>
      </c>
      <c r="BK948" t="s">
        <v>86</v>
      </c>
      <c r="BL948" t="s">
        <v>87</v>
      </c>
    </row>
    <row r="949" spans="1:64" x14ac:dyDescent="0.3">
      <c r="A949" t="str">
        <f>"200508C0100"</f>
        <v>200508C0100</v>
      </c>
      <c r="B949" t="str">
        <f>"200508C01003"</f>
        <v>200508C01003</v>
      </c>
      <c r="C949" t="str">
        <f t="shared" si="59"/>
        <v>20</v>
      </c>
      <c r="D949" t="s">
        <v>81</v>
      </c>
      <c r="E949" t="str">
        <f t="shared" si="57"/>
        <v>066</v>
      </c>
      <c r="F949" t="s">
        <v>951</v>
      </c>
      <c r="G949" t="str">
        <f>"0508"</f>
        <v>0508</v>
      </c>
      <c r="H949" t="str">
        <f>"0001"</f>
        <v>0001</v>
      </c>
      <c r="I949" t="s">
        <v>89</v>
      </c>
      <c r="J949">
        <v>0</v>
      </c>
      <c r="K949">
        <v>1</v>
      </c>
      <c r="L949">
        <v>3</v>
      </c>
      <c r="M949">
        <v>288</v>
      </c>
      <c r="N949">
        <v>334</v>
      </c>
      <c r="O949">
        <v>5</v>
      </c>
      <c r="P949">
        <v>334</v>
      </c>
      <c r="Q949">
        <v>42</v>
      </c>
      <c r="R949">
        <v>92</v>
      </c>
      <c r="S949">
        <v>3</v>
      </c>
      <c r="T949">
        <v>5</v>
      </c>
      <c r="U949">
        <v>5</v>
      </c>
      <c r="V949">
        <v>12</v>
      </c>
      <c r="W949">
        <v>3</v>
      </c>
      <c r="X949">
        <v>145</v>
      </c>
      <c r="Y949">
        <v>4</v>
      </c>
      <c r="Z949">
        <v>7</v>
      </c>
      <c r="AA949">
        <v>6</v>
      </c>
      <c r="AB949">
        <v>5</v>
      </c>
      <c r="AK949">
        <v>2</v>
      </c>
      <c r="AO949">
        <v>0</v>
      </c>
      <c r="AP949">
        <v>0</v>
      </c>
      <c r="AR949">
        <v>0</v>
      </c>
      <c r="AU949">
        <v>0</v>
      </c>
      <c r="AW949">
        <v>0</v>
      </c>
      <c r="AX949">
        <v>8</v>
      </c>
      <c r="AY949">
        <v>334</v>
      </c>
      <c r="AZ949">
        <v>339</v>
      </c>
      <c r="BA949">
        <v>579</v>
      </c>
      <c r="BB949">
        <v>44</v>
      </c>
      <c r="BD949">
        <v>1</v>
      </c>
      <c r="BF949" t="s">
        <v>1073</v>
      </c>
      <c r="BG949" s="1">
        <v>44354.060416666667</v>
      </c>
      <c r="BH949" s="1">
        <v>44354.070972222224</v>
      </c>
      <c r="BI949" s="1">
        <v>44354.071979166663</v>
      </c>
      <c r="BJ949" t="s">
        <v>85</v>
      </c>
      <c r="BK949" t="s">
        <v>86</v>
      </c>
      <c r="BL949" t="s">
        <v>87</v>
      </c>
    </row>
    <row r="950" spans="1:64" x14ac:dyDescent="0.3">
      <c r="A950" t="str">
        <f>"200509B0000"</f>
        <v>200509B0000</v>
      </c>
      <c r="B950" t="str">
        <f>"200509B00003"</f>
        <v>200509B00003</v>
      </c>
      <c r="C950" t="str">
        <f t="shared" si="59"/>
        <v>20</v>
      </c>
      <c r="D950" t="s">
        <v>81</v>
      </c>
      <c r="E950" t="str">
        <f t="shared" si="57"/>
        <v>066</v>
      </c>
      <c r="F950" t="s">
        <v>951</v>
      </c>
      <c r="G950" t="str">
        <f>"0509"</f>
        <v>0509</v>
      </c>
      <c r="H950" t="str">
        <f>"0000"</f>
        <v>0000</v>
      </c>
      <c r="I950" t="s">
        <v>83</v>
      </c>
      <c r="J950">
        <v>0</v>
      </c>
      <c r="K950">
        <v>1</v>
      </c>
      <c r="L950">
        <v>3</v>
      </c>
      <c r="M950">
        <v>295</v>
      </c>
      <c r="N950">
        <v>412</v>
      </c>
      <c r="O950">
        <v>7</v>
      </c>
      <c r="P950">
        <v>412</v>
      </c>
      <c r="Q950">
        <v>31</v>
      </c>
      <c r="R950">
        <v>120</v>
      </c>
      <c r="S950">
        <v>6</v>
      </c>
      <c r="T950">
        <v>6</v>
      </c>
      <c r="U950">
        <v>6</v>
      </c>
      <c r="V950">
        <v>14</v>
      </c>
      <c r="W950">
        <v>2</v>
      </c>
      <c r="X950">
        <v>199</v>
      </c>
      <c r="Y950">
        <v>4</v>
      </c>
      <c r="Z950">
        <v>4</v>
      </c>
      <c r="AA950">
        <v>2</v>
      </c>
      <c r="AB950">
        <v>5</v>
      </c>
      <c r="AK950">
        <v>2</v>
      </c>
      <c r="AO950">
        <v>2</v>
      </c>
      <c r="AP950">
        <v>0</v>
      </c>
      <c r="AR950">
        <v>0</v>
      </c>
      <c r="AU950">
        <v>0</v>
      </c>
      <c r="AW950">
        <v>0</v>
      </c>
      <c r="AX950">
        <v>9</v>
      </c>
      <c r="AY950">
        <v>412</v>
      </c>
      <c r="AZ950">
        <v>412</v>
      </c>
      <c r="BA950">
        <v>663</v>
      </c>
      <c r="BB950">
        <v>44</v>
      </c>
      <c r="BD950">
        <v>1</v>
      </c>
      <c r="BF950" t="s">
        <v>1074</v>
      </c>
      <c r="BG950" s="1">
        <v>44354.004861111112</v>
      </c>
      <c r="BH950" s="1">
        <v>44354.012685185182</v>
      </c>
      <c r="BI950" s="1">
        <v>44354.013310185182</v>
      </c>
      <c r="BJ950" t="s">
        <v>85</v>
      </c>
      <c r="BK950" t="s">
        <v>86</v>
      </c>
      <c r="BL950" t="s">
        <v>87</v>
      </c>
    </row>
    <row r="951" spans="1:64" x14ac:dyDescent="0.3">
      <c r="A951" t="str">
        <f>"200509C0100"</f>
        <v>200509C0100</v>
      </c>
      <c r="B951" t="str">
        <f>"200509C01003"</f>
        <v>200509C01003</v>
      </c>
      <c r="C951" t="str">
        <f t="shared" si="59"/>
        <v>20</v>
      </c>
      <c r="D951" t="s">
        <v>81</v>
      </c>
      <c r="E951" t="str">
        <f t="shared" si="57"/>
        <v>066</v>
      </c>
      <c r="F951" t="s">
        <v>951</v>
      </c>
      <c r="G951" t="str">
        <f>"0509"</f>
        <v>0509</v>
      </c>
      <c r="H951" t="str">
        <f>"0001"</f>
        <v>0001</v>
      </c>
      <c r="I951" t="s">
        <v>89</v>
      </c>
      <c r="J951">
        <v>0</v>
      </c>
      <c r="K951">
        <v>1</v>
      </c>
      <c r="L951">
        <v>3</v>
      </c>
      <c r="M951">
        <v>317</v>
      </c>
      <c r="N951">
        <v>388</v>
      </c>
      <c r="O951">
        <v>7</v>
      </c>
      <c r="P951">
        <v>390</v>
      </c>
      <c r="Q951">
        <v>40</v>
      </c>
      <c r="R951">
        <v>101</v>
      </c>
      <c r="S951">
        <v>2</v>
      </c>
      <c r="T951">
        <v>4</v>
      </c>
      <c r="U951">
        <v>10</v>
      </c>
      <c r="V951">
        <v>8</v>
      </c>
      <c r="W951">
        <v>0</v>
      </c>
      <c r="X951">
        <v>173</v>
      </c>
      <c r="Y951">
        <v>3</v>
      </c>
      <c r="Z951">
        <v>10</v>
      </c>
      <c r="AA951">
        <v>4</v>
      </c>
      <c r="AB951">
        <v>21</v>
      </c>
      <c r="AK951">
        <v>3</v>
      </c>
      <c r="AO951">
        <v>0</v>
      </c>
      <c r="AP951">
        <v>0</v>
      </c>
      <c r="AR951">
        <v>0</v>
      </c>
      <c r="AU951">
        <v>0</v>
      </c>
      <c r="AW951">
        <v>0</v>
      </c>
      <c r="AX951">
        <v>11</v>
      </c>
      <c r="AY951">
        <v>390</v>
      </c>
      <c r="AZ951">
        <v>390</v>
      </c>
      <c r="BA951">
        <v>663</v>
      </c>
      <c r="BB951">
        <v>44</v>
      </c>
      <c r="BD951">
        <v>1</v>
      </c>
      <c r="BF951" t="s">
        <v>1075</v>
      </c>
      <c r="BG951" s="1">
        <v>44353.994444444441</v>
      </c>
      <c r="BH951" s="1">
        <v>44354.000474537039</v>
      </c>
      <c r="BI951" s="1">
        <v>44354.001319444447</v>
      </c>
      <c r="BJ951" t="s">
        <v>85</v>
      </c>
      <c r="BK951" t="s">
        <v>86</v>
      </c>
      <c r="BL951" t="s">
        <v>87</v>
      </c>
    </row>
    <row r="952" spans="1:64" x14ac:dyDescent="0.3">
      <c r="A952" t="str">
        <f>"200510B0000"</f>
        <v>200510B0000</v>
      </c>
      <c r="B952" t="str">
        <f>"200510B00003"</f>
        <v>200510B00003</v>
      </c>
      <c r="C952" t="str">
        <f t="shared" si="59"/>
        <v>20</v>
      </c>
      <c r="D952" t="s">
        <v>81</v>
      </c>
      <c r="E952" t="str">
        <f t="shared" si="57"/>
        <v>066</v>
      </c>
      <c r="F952" t="s">
        <v>951</v>
      </c>
      <c r="G952" t="str">
        <f>"0510"</f>
        <v>0510</v>
      </c>
      <c r="H952" t="str">
        <f>"0000"</f>
        <v>0000</v>
      </c>
      <c r="I952" t="s">
        <v>83</v>
      </c>
      <c r="J952">
        <v>0</v>
      </c>
      <c r="K952">
        <v>1</v>
      </c>
      <c r="L952">
        <v>3</v>
      </c>
      <c r="M952">
        <v>273</v>
      </c>
      <c r="N952">
        <v>433</v>
      </c>
      <c r="O952">
        <v>5</v>
      </c>
      <c r="P952" t="s">
        <v>92</v>
      </c>
      <c r="Q952">
        <v>34</v>
      </c>
      <c r="R952">
        <v>136</v>
      </c>
      <c r="S952">
        <v>7</v>
      </c>
      <c r="T952">
        <v>4</v>
      </c>
      <c r="U952">
        <v>10</v>
      </c>
      <c r="V952">
        <v>3</v>
      </c>
      <c r="W952">
        <v>2</v>
      </c>
      <c r="X952">
        <v>193</v>
      </c>
      <c r="Y952">
        <v>9</v>
      </c>
      <c r="Z952">
        <v>7</v>
      </c>
      <c r="AA952">
        <v>1</v>
      </c>
      <c r="AB952">
        <v>9</v>
      </c>
      <c r="AK952">
        <v>5</v>
      </c>
      <c r="AO952">
        <v>5</v>
      </c>
      <c r="AP952">
        <v>0</v>
      </c>
      <c r="AR952">
        <v>0</v>
      </c>
      <c r="AU952">
        <v>0</v>
      </c>
      <c r="AW952">
        <v>0</v>
      </c>
      <c r="AX952">
        <v>9</v>
      </c>
      <c r="AY952">
        <v>434</v>
      </c>
      <c r="AZ952">
        <v>434</v>
      </c>
      <c r="BA952">
        <v>664</v>
      </c>
      <c r="BB952">
        <v>44</v>
      </c>
      <c r="BD952">
        <v>1</v>
      </c>
      <c r="BF952" t="s">
        <v>1076</v>
      </c>
      <c r="BG952" s="1">
        <v>44353.970833333333</v>
      </c>
      <c r="BH952" s="1">
        <v>44353.973958333336</v>
      </c>
      <c r="BI952" s="1">
        <v>44353.974641203706</v>
      </c>
      <c r="BJ952" t="s">
        <v>85</v>
      </c>
      <c r="BK952" t="s">
        <v>86</v>
      </c>
      <c r="BL952" t="s">
        <v>87</v>
      </c>
    </row>
    <row r="953" spans="1:64" x14ac:dyDescent="0.3">
      <c r="A953" t="str">
        <f>"200510C0100"</f>
        <v>200510C0100</v>
      </c>
      <c r="B953" t="str">
        <f>"200510C01003"</f>
        <v>200510C01003</v>
      </c>
      <c r="C953" t="str">
        <f t="shared" si="59"/>
        <v>20</v>
      </c>
      <c r="D953" t="s">
        <v>81</v>
      </c>
      <c r="E953" t="str">
        <f t="shared" si="57"/>
        <v>066</v>
      </c>
      <c r="F953" t="s">
        <v>951</v>
      </c>
      <c r="G953" t="str">
        <f>"0510"</f>
        <v>0510</v>
      </c>
      <c r="H953" t="str">
        <f>"0001"</f>
        <v>0001</v>
      </c>
      <c r="I953" t="s">
        <v>89</v>
      </c>
      <c r="J953">
        <v>0</v>
      </c>
      <c r="K953">
        <v>1</v>
      </c>
      <c r="L953">
        <v>3</v>
      </c>
      <c r="M953">
        <v>266</v>
      </c>
      <c r="N953">
        <v>440</v>
      </c>
      <c r="O953">
        <v>5</v>
      </c>
      <c r="P953">
        <v>443</v>
      </c>
      <c r="Q953">
        <v>33</v>
      </c>
      <c r="R953">
        <v>127</v>
      </c>
      <c r="S953">
        <v>2</v>
      </c>
      <c r="T953">
        <v>7</v>
      </c>
      <c r="U953">
        <v>5</v>
      </c>
      <c r="V953">
        <v>8</v>
      </c>
      <c r="W953">
        <v>1</v>
      </c>
      <c r="X953">
        <v>222</v>
      </c>
      <c r="Y953">
        <v>4</v>
      </c>
      <c r="Z953">
        <v>6</v>
      </c>
      <c r="AA953">
        <v>4</v>
      </c>
      <c r="AB953">
        <v>11</v>
      </c>
      <c r="AK953">
        <v>6</v>
      </c>
      <c r="AO953">
        <v>0</v>
      </c>
      <c r="AP953">
        <v>0</v>
      </c>
      <c r="AR953">
        <v>0</v>
      </c>
      <c r="AU953">
        <v>0</v>
      </c>
      <c r="AW953">
        <v>1</v>
      </c>
      <c r="AX953">
        <v>6</v>
      </c>
      <c r="AY953">
        <v>443</v>
      </c>
      <c r="AZ953">
        <v>443</v>
      </c>
      <c r="BA953">
        <v>664</v>
      </c>
      <c r="BB953">
        <v>44</v>
      </c>
      <c r="BD953">
        <v>1</v>
      </c>
      <c r="BF953" t="s">
        <v>1077</v>
      </c>
      <c r="BG953" s="1">
        <v>44353.969444444447</v>
      </c>
      <c r="BH953" s="1">
        <v>44353.971620370372</v>
      </c>
      <c r="BI953" s="1">
        <v>44353.972372685188</v>
      </c>
      <c r="BJ953" t="s">
        <v>85</v>
      </c>
      <c r="BK953" t="s">
        <v>86</v>
      </c>
      <c r="BL953" t="s">
        <v>87</v>
      </c>
    </row>
    <row r="954" spans="1:64" x14ac:dyDescent="0.3">
      <c r="A954" t="str">
        <f>"200511B0000"</f>
        <v>200511B0000</v>
      </c>
      <c r="B954" t="str">
        <f>"200511B00003"</f>
        <v>200511B00003</v>
      </c>
      <c r="C954" t="str">
        <f t="shared" si="59"/>
        <v>20</v>
      </c>
      <c r="D954" t="s">
        <v>81</v>
      </c>
      <c r="E954" t="str">
        <f t="shared" si="57"/>
        <v>066</v>
      </c>
      <c r="F954" t="s">
        <v>951</v>
      </c>
      <c r="G954" t="str">
        <f>"0511"</f>
        <v>0511</v>
      </c>
      <c r="H954" t="str">
        <f>"0000"</f>
        <v>0000</v>
      </c>
      <c r="I954" t="s">
        <v>83</v>
      </c>
      <c r="J954">
        <v>0</v>
      </c>
      <c r="K954">
        <v>1</v>
      </c>
      <c r="L954">
        <v>3</v>
      </c>
      <c r="M954">
        <v>247</v>
      </c>
      <c r="N954">
        <v>303</v>
      </c>
      <c r="O954">
        <v>1</v>
      </c>
      <c r="P954">
        <v>303</v>
      </c>
      <c r="Q954">
        <v>33</v>
      </c>
      <c r="R954">
        <v>107</v>
      </c>
      <c r="S954">
        <v>2</v>
      </c>
      <c r="T954">
        <v>6</v>
      </c>
      <c r="U954">
        <v>4</v>
      </c>
      <c r="V954">
        <v>11</v>
      </c>
      <c r="W954">
        <v>1</v>
      </c>
      <c r="X954">
        <v>113</v>
      </c>
      <c r="Y954">
        <v>4</v>
      </c>
      <c r="Z954">
        <v>5</v>
      </c>
      <c r="AA954">
        <v>2</v>
      </c>
      <c r="AB954">
        <v>5</v>
      </c>
      <c r="AK954">
        <v>2</v>
      </c>
      <c r="AO954">
        <v>2</v>
      </c>
      <c r="AP954" t="s">
        <v>95</v>
      </c>
      <c r="AR954" t="s">
        <v>95</v>
      </c>
      <c r="AU954" t="s">
        <v>95</v>
      </c>
      <c r="AW954" t="s">
        <v>95</v>
      </c>
      <c r="AX954">
        <v>6</v>
      </c>
      <c r="AY954">
        <v>303</v>
      </c>
      <c r="AZ954">
        <v>303</v>
      </c>
      <c r="BA954">
        <v>506</v>
      </c>
      <c r="BB954">
        <v>44</v>
      </c>
      <c r="BC954" t="s">
        <v>96</v>
      </c>
      <c r="BD954">
        <v>1</v>
      </c>
      <c r="BF954" t="s">
        <v>1078</v>
      </c>
      <c r="BG954" s="1">
        <v>44353.924305555556</v>
      </c>
      <c r="BH954" s="1">
        <v>44353.928819444445</v>
      </c>
      <c r="BI954" s="1">
        <v>44353.929328703707</v>
      </c>
      <c r="BJ954" t="s">
        <v>85</v>
      </c>
      <c r="BK954" t="s">
        <v>86</v>
      </c>
      <c r="BL954" t="s">
        <v>87</v>
      </c>
    </row>
    <row r="955" spans="1:64" x14ac:dyDescent="0.3">
      <c r="A955" t="str">
        <f>"200511C0100"</f>
        <v>200511C0100</v>
      </c>
      <c r="B955" t="str">
        <f>"200511C01003"</f>
        <v>200511C01003</v>
      </c>
      <c r="C955" t="str">
        <f t="shared" si="59"/>
        <v>20</v>
      </c>
      <c r="D955" t="s">
        <v>81</v>
      </c>
      <c r="E955" t="str">
        <f t="shared" si="57"/>
        <v>066</v>
      </c>
      <c r="F955" t="s">
        <v>951</v>
      </c>
      <c r="G955" t="str">
        <f>"0511"</f>
        <v>0511</v>
      </c>
      <c r="H955" t="str">
        <f>"0001"</f>
        <v>0001</v>
      </c>
      <c r="I955" t="s">
        <v>89</v>
      </c>
      <c r="J955">
        <v>0</v>
      </c>
      <c r="K955">
        <v>1</v>
      </c>
      <c r="L955">
        <v>3</v>
      </c>
      <c r="M955">
        <v>251</v>
      </c>
      <c r="N955">
        <v>299</v>
      </c>
      <c r="O955">
        <v>4</v>
      </c>
      <c r="P955">
        <v>1</v>
      </c>
      <c r="Q955">
        <v>37</v>
      </c>
      <c r="R955">
        <v>88</v>
      </c>
      <c r="S955">
        <v>1</v>
      </c>
      <c r="T955">
        <v>2</v>
      </c>
      <c r="U955">
        <v>3</v>
      </c>
      <c r="V955">
        <v>11</v>
      </c>
      <c r="W955">
        <v>2</v>
      </c>
      <c r="X955">
        <v>124</v>
      </c>
      <c r="Y955">
        <v>7</v>
      </c>
      <c r="Z955">
        <v>3</v>
      </c>
      <c r="AA955">
        <v>3</v>
      </c>
      <c r="AB955">
        <v>5</v>
      </c>
      <c r="AK955">
        <v>2</v>
      </c>
      <c r="AO955">
        <v>0</v>
      </c>
      <c r="AP955">
        <v>0</v>
      </c>
      <c r="AR955">
        <v>0</v>
      </c>
      <c r="AU955">
        <v>0</v>
      </c>
      <c r="AW955">
        <v>0</v>
      </c>
      <c r="AX955">
        <v>9</v>
      </c>
      <c r="AY955">
        <v>297</v>
      </c>
      <c r="AZ955">
        <v>297</v>
      </c>
      <c r="BA955">
        <v>506</v>
      </c>
      <c r="BB955">
        <v>44</v>
      </c>
      <c r="BD955">
        <v>1</v>
      </c>
      <c r="BF955" t="s">
        <v>1079</v>
      </c>
      <c r="BG955" s="1">
        <v>44353.9375</v>
      </c>
      <c r="BH955" s="1">
        <v>44353.943611111114</v>
      </c>
      <c r="BI955" s="1">
        <v>44353.944444444445</v>
      </c>
      <c r="BJ955" t="s">
        <v>85</v>
      </c>
      <c r="BK955" t="s">
        <v>86</v>
      </c>
      <c r="BL955" t="s">
        <v>87</v>
      </c>
    </row>
    <row r="956" spans="1:64" x14ac:dyDescent="0.3">
      <c r="A956" t="str">
        <f>"200511C0200"</f>
        <v>200511C0200</v>
      </c>
      <c r="B956" t="str">
        <f>"200511C02003"</f>
        <v>200511C02003</v>
      </c>
      <c r="C956" t="str">
        <f t="shared" si="59"/>
        <v>20</v>
      </c>
      <c r="D956" t="s">
        <v>81</v>
      </c>
      <c r="E956" t="str">
        <f t="shared" ref="E956:E1019" si="61">"066"</f>
        <v>066</v>
      </c>
      <c r="F956" t="s">
        <v>951</v>
      </c>
      <c r="G956" t="str">
        <f>"0511"</f>
        <v>0511</v>
      </c>
      <c r="H956" t="str">
        <f>"0002"</f>
        <v>0002</v>
      </c>
      <c r="I956" t="s">
        <v>89</v>
      </c>
      <c r="J956">
        <v>0</v>
      </c>
      <c r="K956">
        <v>1</v>
      </c>
      <c r="L956">
        <v>3</v>
      </c>
      <c r="M956">
        <v>246</v>
      </c>
      <c r="N956">
        <v>304</v>
      </c>
      <c r="O956">
        <v>6</v>
      </c>
      <c r="P956">
        <v>304</v>
      </c>
      <c r="Q956">
        <v>27</v>
      </c>
      <c r="R956">
        <v>85</v>
      </c>
      <c r="S956">
        <v>3</v>
      </c>
      <c r="T956">
        <v>3</v>
      </c>
      <c r="U956">
        <v>3</v>
      </c>
      <c r="V956">
        <v>14</v>
      </c>
      <c r="W956">
        <v>5</v>
      </c>
      <c r="X956">
        <v>133</v>
      </c>
      <c r="Y956">
        <v>10</v>
      </c>
      <c r="Z956">
        <v>3</v>
      </c>
      <c r="AA956">
        <v>2</v>
      </c>
      <c r="AB956">
        <v>5</v>
      </c>
      <c r="AK956">
        <v>4</v>
      </c>
      <c r="AO956">
        <v>1</v>
      </c>
      <c r="AP956">
        <v>0</v>
      </c>
      <c r="AR956">
        <v>0</v>
      </c>
      <c r="AU956">
        <v>0</v>
      </c>
      <c r="AW956">
        <v>0</v>
      </c>
      <c r="AX956">
        <v>6</v>
      </c>
      <c r="AY956">
        <v>304</v>
      </c>
      <c r="AZ956">
        <v>304</v>
      </c>
      <c r="BA956">
        <v>506</v>
      </c>
      <c r="BB956">
        <v>44</v>
      </c>
      <c r="BD956">
        <v>1</v>
      </c>
      <c r="BF956" t="s">
        <v>1080</v>
      </c>
      <c r="BG956" s="1">
        <v>44353.924305555556</v>
      </c>
      <c r="BH956" s="1">
        <v>44353.933391203704</v>
      </c>
      <c r="BI956" s="1">
        <v>44353.934884259259</v>
      </c>
      <c r="BJ956" t="s">
        <v>85</v>
      </c>
      <c r="BK956" t="s">
        <v>86</v>
      </c>
      <c r="BL956" t="s">
        <v>87</v>
      </c>
    </row>
    <row r="957" spans="1:64" x14ac:dyDescent="0.3">
      <c r="A957" t="str">
        <f>"200512B0000"</f>
        <v>200512B0000</v>
      </c>
      <c r="B957" t="str">
        <f>"200512B00003"</f>
        <v>200512B00003</v>
      </c>
      <c r="C957" t="str">
        <f t="shared" si="59"/>
        <v>20</v>
      </c>
      <c r="D957" t="s">
        <v>81</v>
      </c>
      <c r="E957" t="str">
        <f t="shared" si="61"/>
        <v>066</v>
      </c>
      <c r="F957" t="s">
        <v>951</v>
      </c>
      <c r="G957" t="str">
        <f>"0512"</f>
        <v>0512</v>
      </c>
      <c r="H957" t="str">
        <f>"0000"</f>
        <v>0000</v>
      </c>
      <c r="I957" t="s">
        <v>83</v>
      </c>
      <c r="J957">
        <v>0</v>
      </c>
      <c r="K957">
        <v>1</v>
      </c>
      <c r="L957">
        <v>3</v>
      </c>
      <c r="M957">
        <v>293</v>
      </c>
      <c r="N957">
        <v>341</v>
      </c>
      <c r="O957">
        <v>3</v>
      </c>
      <c r="P957">
        <v>342</v>
      </c>
      <c r="Q957">
        <v>30</v>
      </c>
      <c r="R957">
        <v>115</v>
      </c>
      <c r="S957">
        <v>2</v>
      </c>
      <c r="T957">
        <v>5</v>
      </c>
      <c r="U957">
        <v>11</v>
      </c>
      <c r="V957">
        <v>5</v>
      </c>
      <c r="W957">
        <v>1</v>
      </c>
      <c r="X957">
        <v>141</v>
      </c>
      <c r="Y957">
        <v>5</v>
      </c>
      <c r="Z957">
        <v>2</v>
      </c>
      <c r="AA957">
        <v>2</v>
      </c>
      <c r="AB957">
        <v>9</v>
      </c>
      <c r="AK957">
        <v>3</v>
      </c>
      <c r="AO957" t="s">
        <v>95</v>
      </c>
      <c r="AP957" t="s">
        <v>95</v>
      </c>
      <c r="AR957" t="s">
        <v>95</v>
      </c>
      <c r="AU957" t="s">
        <v>95</v>
      </c>
      <c r="AW957" t="s">
        <v>95</v>
      </c>
      <c r="AX957">
        <v>11</v>
      </c>
      <c r="AY957" t="s">
        <v>95</v>
      </c>
      <c r="AZ957">
        <v>342</v>
      </c>
      <c r="BA957">
        <v>592</v>
      </c>
      <c r="BB957">
        <v>44</v>
      </c>
      <c r="BC957" t="s">
        <v>96</v>
      </c>
      <c r="BD957">
        <v>1</v>
      </c>
      <c r="BF957" t="s">
        <v>1081</v>
      </c>
      <c r="BG957" s="1">
        <v>44353.970138888886</v>
      </c>
      <c r="BH957" s="1">
        <v>44353.97457175926</v>
      </c>
      <c r="BI957" s="1">
        <v>44353.974988425929</v>
      </c>
      <c r="BJ957" t="s">
        <v>85</v>
      </c>
      <c r="BK957" t="s">
        <v>86</v>
      </c>
      <c r="BL957" t="s">
        <v>87</v>
      </c>
    </row>
    <row r="958" spans="1:64" x14ac:dyDescent="0.3">
      <c r="A958" t="str">
        <f>"200512C0100"</f>
        <v>200512C0100</v>
      </c>
      <c r="B958" t="str">
        <f>"200512C01003"</f>
        <v>200512C01003</v>
      </c>
      <c r="C958" t="str">
        <f t="shared" si="59"/>
        <v>20</v>
      </c>
      <c r="D958" t="s">
        <v>81</v>
      </c>
      <c r="E958" t="str">
        <f t="shared" si="61"/>
        <v>066</v>
      </c>
      <c r="F958" t="s">
        <v>951</v>
      </c>
      <c r="G958" t="str">
        <f>"0512"</f>
        <v>0512</v>
      </c>
      <c r="H958" t="str">
        <f>"0001"</f>
        <v>0001</v>
      </c>
      <c r="I958" t="s">
        <v>89</v>
      </c>
      <c r="J958">
        <v>0</v>
      </c>
      <c r="K958">
        <v>1</v>
      </c>
      <c r="L958">
        <v>3</v>
      </c>
      <c r="M958">
        <v>281</v>
      </c>
      <c r="N958">
        <v>355</v>
      </c>
      <c r="O958">
        <v>6</v>
      </c>
      <c r="P958">
        <v>355</v>
      </c>
      <c r="Q958">
        <v>19</v>
      </c>
      <c r="R958">
        <v>100</v>
      </c>
      <c r="S958">
        <v>5</v>
      </c>
      <c r="T958">
        <v>7</v>
      </c>
      <c r="U958">
        <v>8</v>
      </c>
      <c r="V958">
        <v>1</v>
      </c>
      <c r="W958">
        <v>3</v>
      </c>
      <c r="X958">
        <v>181</v>
      </c>
      <c r="Y958">
        <v>2</v>
      </c>
      <c r="Z958">
        <v>6</v>
      </c>
      <c r="AA958">
        <v>2</v>
      </c>
      <c r="AB958">
        <v>6</v>
      </c>
      <c r="AK958">
        <v>5</v>
      </c>
      <c r="AO958">
        <v>0</v>
      </c>
      <c r="AP958">
        <v>0</v>
      </c>
      <c r="AR958">
        <v>0</v>
      </c>
      <c r="AU958">
        <v>1</v>
      </c>
      <c r="AW958">
        <v>2</v>
      </c>
      <c r="AX958">
        <v>7</v>
      </c>
      <c r="AY958">
        <v>355</v>
      </c>
      <c r="AZ958">
        <v>355</v>
      </c>
      <c r="BA958">
        <v>592</v>
      </c>
      <c r="BB958">
        <v>44</v>
      </c>
      <c r="BD958">
        <v>1</v>
      </c>
      <c r="BF958" s="2" t="s">
        <v>1082</v>
      </c>
      <c r="BG958" s="1">
        <v>44353.969444444447</v>
      </c>
      <c r="BH958" s="1">
        <v>44353.971782407411</v>
      </c>
      <c r="BI958" s="1">
        <v>44353.972685185188</v>
      </c>
      <c r="BJ958" t="s">
        <v>85</v>
      </c>
      <c r="BK958" t="s">
        <v>86</v>
      </c>
      <c r="BL958" t="s">
        <v>87</v>
      </c>
    </row>
    <row r="959" spans="1:64" x14ac:dyDescent="0.3">
      <c r="A959" t="str">
        <f>"200513B0000"</f>
        <v>200513B0000</v>
      </c>
      <c r="B959" t="str">
        <f>"200513B00003"</f>
        <v>200513B00003</v>
      </c>
      <c r="C959" t="str">
        <f t="shared" si="59"/>
        <v>20</v>
      </c>
      <c r="D959" t="s">
        <v>81</v>
      </c>
      <c r="E959" t="str">
        <f t="shared" si="61"/>
        <v>066</v>
      </c>
      <c r="F959" t="s">
        <v>951</v>
      </c>
      <c r="G959" t="str">
        <f>"0513"</f>
        <v>0513</v>
      </c>
      <c r="H959" t="str">
        <f>"0000"</f>
        <v>0000</v>
      </c>
      <c r="I959" t="s">
        <v>83</v>
      </c>
      <c r="J959">
        <v>0</v>
      </c>
      <c r="K959">
        <v>1</v>
      </c>
      <c r="L959">
        <v>3</v>
      </c>
      <c r="M959">
        <v>335</v>
      </c>
      <c r="N959">
        <v>369</v>
      </c>
      <c r="O959">
        <v>2</v>
      </c>
      <c r="P959">
        <v>369</v>
      </c>
      <c r="Q959">
        <v>24</v>
      </c>
      <c r="R959">
        <v>113</v>
      </c>
      <c r="S959">
        <v>2</v>
      </c>
      <c r="T959">
        <v>4</v>
      </c>
      <c r="U959">
        <v>9</v>
      </c>
      <c r="V959">
        <v>5</v>
      </c>
      <c r="W959">
        <v>7</v>
      </c>
      <c r="X959">
        <v>178</v>
      </c>
      <c r="Y959">
        <v>7</v>
      </c>
      <c r="Z959">
        <v>3</v>
      </c>
      <c r="AA959">
        <v>1</v>
      </c>
      <c r="AB959">
        <v>10</v>
      </c>
      <c r="AK959">
        <v>1</v>
      </c>
      <c r="AO959">
        <v>1</v>
      </c>
      <c r="AP959" t="s">
        <v>95</v>
      </c>
      <c r="AR959" t="s">
        <v>95</v>
      </c>
      <c r="AU959" t="s">
        <v>95</v>
      </c>
      <c r="AW959" t="s">
        <v>95</v>
      </c>
      <c r="AX959">
        <v>4</v>
      </c>
      <c r="AY959">
        <v>369</v>
      </c>
      <c r="AZ959">
        <v>369</v>
      </c>
      <c r="BA959">
        <v>660</v>
      </c>
      <c r="BB959">
        <v>44</v>
      </c>
      <c r="BC959" t="s">
        <v>96</v>
      </c>
      <c r="BD959">
        <v>1</v>
      </c>
      <c r="BF959" t="s">
        <v>1083</v>
      </c>
      <c r="BG959" s="1">
        <v>44353.997916666667</v>
      </c>
      <c r="BH959" s="1">
        <v>44354.007824074077</v>
      </c>
      <c r="BI959" s="1">
        <v>44354.008761574078</v>
      </c>
      <c r="BJ959" t="s">
        <v>85</v>
      </c>
      <c r="BK959" t="s">
        <v>86</v>
      </c>
      <c r="BL959" t="s">
        <v>87</v>
      </c>
    </row>
    <row r="960" spans="1:64" x14ac:dyDescent="0.3">
      <c r="A960" t="str">
        <f>"200513C0100"</f>
        <v>200513C0100</v>
      </c>
      <c r="B960" t="str">
        <f>"200513C01003"</f>
        <v>200513C01003</v>
      </c>
      <c r="C960" t="str">
        <f t="shared" si="59"/>
        <v>20</v>
      </c>
      <c r="D960" t="s">
        <v>81</v>
      </c>
      <c r="E960" t="str">
        <f t="shared" si="61"/>
        <v>066</v>
      </c>
      <c r="F960" t="s">
        <v>951</v>
      </c>
      <c r="G960" t="str">
        <f>"0513"</f>
        <v>0513</v>
      </c>
      <c r="H960" t="str">
        <f>"0001"</f>
        <v>0001</v>
      </c>
      <c r="I960" t="s">
        <v>89</v>
      </c>
      <c r="J960">
        <v>0</v>
      </c>
      <c r="K960">
        <v>1</v>
      </c>
      <c r="L960">
        <v>3</v>
      </c>
      <c r="M960">
        <v>353</v>
      </c>
      <c r="N960">
        <v>350</v>
      </c>
      <c r="O960">
        <v>4</v>
      </c>
      <c r="P960">
        <v>350</v>
      </c>
      <c r="Q960">
        <v>22</v>
      </c>
      <c r="R960">
        <v>90</v>
      </c>
      <c r="S960">
        <v>2</v>
      </c>
      <c r="T960">
        <v>3</v>
      </c>
      <c r="U960">
        <v>8</v>
      </c>
      <c r="V960">
        <v>3</v>
      </c>
      <c r="W960">
        <v>4</v>
      </c>
      <c r="X960">
        <v>192</v>
      </c>
      <c r="Y960">
        <v>3</v>
      </c>
      <c r="Z960">
        <v>3</v>
      </c>
      <c r="AA960">
        <v>2</v>
      </c>
      <c r="AB960">
        <v>9</v>
      </c>
      <c r="AK960">
        <v>0</v>
      </c>
      <c r="AO960">
        <v>2</v>
      </c>
      <c r="AP960">
        <v>0</v>
      </c>
      <c r="AR960">
        <v>0</v>
      </c>
      <c r="AU960">
        <v>1</v>
      </c>
      <c r="AW960">
        <v>0</v>
      </c>
      <c r="AX960">
        <v>6</v>
      </c>
      <c r="AY960">
        <v>350</v>
      </c>
      <c r="AZ960">
        <v>350</v>
      </c>
      <c r="BA960">
        <v>659</v>
      </c>
      <c r="BB960">
        <v>44</v>
      </c>
      <c r="BD960">
        <v>1</v>
      </c>
      <c r="BF960" t="s">
        <v>1084</v>
      </c>
      <c r="BG960" s="1">
        <v>44354.003472222219</v>
      </c>
      <c r="BH960" s="1">
        <v>44354.010011574072</v>
      </c>
      <c r="BI960" s="1">
        <v>44354.010578703703</v>
      </c>
      <c r="BJ960" t="s">
        <v>85</v>
      </c>
      <c r="BK960" t="s">
        <v>86</v>
      </c>
      <c r="BL960" t="s">
        <v>87</v>
      </c>
    </row>
    <row r="961" spans="1:64" x14ac:dyDescent="0.3">
      <c r="A961" t="str">
        <f>"200514B0000"</f>
        <v>200514B0000</v>
      </c>
      <c r="B961" t="str">
        <f>"200514B00003"</f>
        <v>200514B00003</v>
      </c>
      <c r="C961" t="str">
        <f t="shared" si="59"/>
        <v>20</v>
      </c>
      <c r="D961" t="s">
        <v>81</v>
      </c>
      <c r="E961" t="str">
        <f t="shared" si="61"/>
        <v>066</v>
      </c>
      <c r="F961" t="s">
        <v>951</v>
      </c>
      <c r="G961" t="str">
        <f>"0514"</f>
        <v>0514</v>
      </c>
      <c r="H961" t="str">
        <f>"0000"</f>
        <v>0000</v>
      </c>
      <c r="I961" t="s">
        <v>83</v>
      </c>
      <c r="J961">
        <v>0</v>
      </c>
      <c r="K961">
        <v>1</v>
      </c>
      <c r="L961">
        <v>3</v>
      </c>
      <c r="M961">
        <v>363</v>
      </c>
      <c r="N961">
        <v>420</v>
      </c>
      <c r="O961">
        <v>0</v>
      </c>
      <c r="P961">
        <v>420</v>
      </c>
      <c r="Q961">
        <v>29</v>
      </c>
      <c r="R961">
        <v>104</v>
      </c>
      <c r="S961">
        <v>4</v>
      </c>
      <c r="T961">
        <v>3</v>
      </c>
      <c r="U961">
        <v>10</v>
      </c>
      <c r="V961">
        <v>3</v>
      </c>
      <c r="W961">
        <v>1</v>
      </c>
      <c r="X961">
        <v>228</v>
      </c>
      <c r="Y961">
        <v>8</v>
      </c>
      <c r="Z961">
        <v>7</v>
      </c>
      <c r="AA961">
        <v>2</v>
      </c>
      <c r="AB961">
        <v>4</v>
      </c>
      <c r="AK961">
        <v>2</v>
      </c>
      <c r="AO961">
        <v>0</v>
      </c>
      <c r="AP961">
        <v>0</v>
      </c>
      <c r="AR961">
        <v>1</v>
      </c>
      <c r="AU961">
        <v>0</v>
      </c>
      <c r="AW961" t="s">
        <v>95</v>
      </c>
      <c r="AX961">
        <v>14</v>
      </c>
      <c r="AY961">
        <v>420</v>
      </c>
      <c r="AZ961">
        <v>420</v>
      </c>
      <c r="BA961">
        <v>740</v>
      </c>
      <c r="BB961">
        <v>44</v>
      </c>
      <c r="BC961" t="s">
        <v>96</v>
      </c>
      <c r="BD961">
        <v>1</v>
      </c>
      <c r="BF961" t="s">
        <v>1085</v>
      </c>
      <c r="BG961" s="1">
        <v>44354.030555555553</v>
      </c>
      <c r="BH961" s="1">
        <v>44354.040312500001</v>
      </c>
      <c r="BI961" s="1">
        <v>44354.041238425925</v>
      </c>
      <c r="BJ961" t="s">
        <v>85</v>
      </c>
      <c r="BK961" t="s">
        <v>86</v>
      </c>
      <c r="BL961" t="s">
        <v>87</v>
      </c>
    </row>
    <row r="962" spans="1:64" x14ac:dyDescent="0.3">
      <c r="A962" t="str">
        <f>"200514C0100"</f>
        <v>200514C0100</v>
      </c>
      <c r="B962" t="str">
        <f>"200514C01003"</f>
        <v>200514C01003</v>
      </c>
      <c r="C962" t="str">
        <f t="shared" si="59"/>
        <v>20</v>
      </c>
      <c r="D962" t="s">
        <v>81</v>
      </c>
      <c r="E962" t="str">
        <f t="shared" si="61"/>
        <v>066</v>
      </c>
      <c r="F962" t="s">
        <v>951</v>
      </c>
      <c r="G962" t="str">
        <f>"0514"</f>
        <v>0514</v>
      </c>
      <c r="H962" t="str">
        <f>"0001"</f>
        <v>0001</v>
      </c>
      <c r="I962" t="s">
        <v>89</v>
      </c>
      <c r="J962">
        <v>0</v>
      </c>
      <c r="K962">
        <v>1</v>
      </c>
      <c r="L962">
        <v>3</v>
      </c>
      <c r="M962">
        <v>373</v>
      </c>
      <c r="N962">
        <v>410</v>
      </c>
      <c r="O962">
        <v>4</v>
      </c>
      <c r="P962">
        <v>410</v>
      </c>
      <c r="Q962">
        <v>20</v>
      </c>
      <c r="R962">
        <v>103</v>
      </c>
      <c r="S962">
        <v>2</v>
      </c>
      <c r="T962">
        <v>4</v>
      </c>
      <c r="U962">
        <v>5</v>
      </c>
      <c r="V962">
        <v>0</v>
      </c>
      <c r="W962">
        <v>0</v>
      </c>
      <c r="X962">
        <v>239</v>
      </c>
      <c r="Y962">
        <v>3</v>
      </c>
      <c r="Z962">
        <v>7</v>
      </c>
      <c r="AA962">
        <v>2</v>
      </c>
      <c r="AB962">
        <v>9</v>
      </c>
      <c r="AK962">
        <v>4</v>
      </c>
      <c r="AO962">
        <v>1</v>
      </c>
      <c r="AP962">
        <v>0</v>
      </c>
      <c r="AR962">
        <v>0</v>
      </c>
      <c r="AU962">
        <v>0</v>
      </c>
      <c r="AW962">
        <v>0</v>
      </c>
      <c r="AX962">
        <v>11</v>
      </c>
      <c r="AY962">
        <v>410</v>
      </c>
      <c r="AZ962">
        <v>410</v>
      </c>
      <c r="BA962">
        <v>739</v>
      </c>
      <c r="BB962">
        <v>44</v>
      </c>
      <c r="BD962">
        <v>1</v>
      </c>
      <c r="BF962" t="s">
        <v>1086</v>
      </c>
      <c r="BG962" s="1">
        <v>44354.030555555553</v>
      </c>
      <c r="BH962" s="1">
        <v>44354.039641203701</v>
      </c>
      <c r="BI962" s="1">
        <v>44354.040729166663</v>
      </c>
      <c r="BJ962" t="s">
        <v>85</v>
      </c>
      <c r="BK962" t="s">
        <v>86</v>
      </c>
      <c r="BL962" t="s">
        <v>87</v>
      </c>
    </row>
    <row r="963" spans="1:64" x14ac:dyDescent="0.3">
      <c r="A963" t="str">
        <f>"200515B0000"</f>
        <v>200515B0000</v>
      </c>
      <c r="B963" t="str">
        <f>"200515B00003"</f>
        <v>200515B00003</v>
      </c>
      <c r="C963" t="str">
        <f t="shared" si="59"/>
        <v>20</v>
      </c>
      <c r="D963" t="s">
        <v>81</v>
      </c>
      <c r="E963" t="str">
        <f t="shared" si="61"/>
        <v>066</v>
      </c>
      <c r="F963" t="s">
        <v>951</v>
      </c>
      <c r="G963" t="str">
        <f>"0515"</f>
        <v>0515</v>
      </c>
      <c r="H963" t="str">
        <f>"0000"</f>
        <v>0000</v>
      </c>
      <c r="I963" t="s">
        <v>83</v>
      </c>
      <c r="J963">
        <v>0</v>
      </c>
      <c r="K963">
        <v>1</v>
      </c>
      <c r="L963">
        <v>3</v>
      </c>
      <c r="M963">
        <v>222</v>
      </c>
      <c r="N963">
        <v>266</v>
      </c>
      <c r="O963">
        <v>6</v>
      </c>
      <c r="P963">
        <v>266</v>
      </c>
      <c r="Q963">
        <v>10</v>
      </c>
      <c r="R963">
        <v>71</v>
      </c>
      <c r="S963">
        <v>1</v>
      </c>
      <c r="T963">
        <v>5</v>
      </c>
      <c r="U963">
        <v>5</v>
      </c>
      <c r="V963">
        <v>6</v>
      </c>
      <c r="W963">
        <v>1</v>
      </c>
      <c r="X963">
        <v>144</v>
      </c>
      <c r="Y963">
        <v>1</v>
      </c>
      <c r="Z963">
        <v>4</v>
      </c>
      <c r="AA963">
        <v>1</v>
      </c>
      <c r="AB963">
        <v>9</v>
      </c>
      <c r="AK963">
        <v>2</v>
      </c>
      <c r="AO963">
        <v>1</v>
      </c>
      <c r="AP963">
        <v>0</v>
      </c>
      <c r="AR963">
        <v>0</v>
      </c>
      <c r="AU963">
        <v>0</v>
      </c>
      <c r="AW963">
        <v>0</v>
      </c>
      <c r="AX963">
        <v>5</v>
      </c>
      <c r="AY963">
        <v>266</v>
      </c>
      <c r="AZ963">
        <v>266</v>
      </c>
      <c r="BA963">
        <v>444</v>
      </c>
      <c r="BB963">
        <v>44</v>
      </c>
      <c r="BD963">
        <v>1</v>
      </c>
      <c r="BF963" t="s">
        <v>1087</v>
      </c>
      <c r="BG963" s="1">
        <v>44353.96875</v>
      </c>
      <c r="BH963" s="1">
        <v>44353.970937500002</v>
      </c>
      <c r="BI963" s="1">
        <v>44353.971458333333</v>
      </c>
      <c r="BJ963" t="s">
        <v>85</v>
      </c>
      <c r="BK963" t="s">
        <v>86</v>
      </c>
      <c r="BL963" t="s">
        <v>87</v>
      </c>
    </row>
    <row r="964" spans="1:64" x14ac:dyDescent="0.3">
      <c r="A964" t="str">
        <f>"200515C0100"</f>
        <v>200515C0100</v>
      </c>
      <c r="B964" t="str">
        <f>"200515C01003"</f>
        <v>200515C01003</v>
      </c>
      <c r="C964" t="str">
        <f t="shared" si="59"/>
        <v>20</v>
      </c>
      <c r="D964" t="s">
        <v>81</v>
      </c>
      <c r="E964" t="str">
        <f t="shared" si="61"/>
        <v>066</v>
      </c>
      <c r="F964" t="s">
        <v>951</v>
      </c>
      <c r="G964" t="str">
        <f>"0515"</f>
        <v>0515</v>
      </c>
      <c r="H964" t="str">
        <f>"0001"</f>
        <v>0001</v>
      </c>
      <c r="I964" t="s">
        <v>89</v>
      </c>
      <c r="J964">
        <v>0</v>
      </c>
      <c r="K964">
        <v>1</v>
      </c>
      <c r="L964">
        <v>3</v>
      </c>
      <c r="M964">
        <v>210</v>
      </c>
      <c r="N964">
        <v>277</v>
      </c>
      <c r="O964">
        <v>4</v>
      </c>
      <c r="P964">
        <v>277</v>
      </c>
      <c r="Q964">
        <v>15</v>
      </c>
      <c r="R964">
        <v>84</v>
      </c>
      <c r="S964">
        <v>2</v>
      </c>
      <c r="T964">
        <v>2</v>
      </c>
      <c r="U964">
        <v>4</v>
      </c>
      <c r="V964">
        <v>11</v>
      </c>
      <c r="W964">
        <v>0</v>
      </c>
      <c r="X964">
        <v>142</v>
      </c>
      <c r="Y964">
        <v>3</v>
      </c>
      <c r="Z964">
        <v>2</v>
      </c>
      <c r="AA964">
        <v>1</v>
      </c>
      <c r="AB964">
        <v>3</v>
      </c>
      <c r="AK964">
        <v>0</v>
      </c>
      <c r="AO964">
        <v>0</v>
      </c>
      <c r="AP964">
        <v>0</v>
      </c>
      <c r="AR964">
        <v>0</v>
      </c>
      <c r="AU964">
        <v>0</v>
      </c>
      <c r="AW964">
        <v>1</v>
      </c>
      <c r="AX964">
        <v>7</v>
      </c>
      <c r="AY964">
        <v>277</v>
      </c>
      <c r="AZ964">
        <v>277</v>
      </c>
      <c r="BA964">
        <v>443</v>
      </c>
      <c r="BB964">
        <v>44</v>
      </c>
      <c r="BD964">
        <v>1</v>
      </c>
      <c r="BF964" t="s">
        <v>1088</v>
      </c>
      <c r="BG964" s="1">
        <v>44353.96875</v>
      </c>
      <c r="BH964" s="1">
        <v>44353.972951388889</v>
      </c>
      <c r="BI964" s="1">
        <v>44353.973553240743</v>
      </c>
      <c r="BJ964" t="s">
        <v>85</v>
      </c>
      <c r="BK964" t="s">
        <v>86</v>
      </c>
      <c r="BL964" t="s">
        <v>87</v>
      </c>
    </row>
    <row r="965" spans="1:64" x14ac:dyDescent="0.3">
      <c r="A965" t="str">
        <f>"200516B0000"</f>
        <v>200516B0000</v>
      </c>
      <c r="B965" t="str">
        <f>"200516B00003"</f>
        <v>200516B00003</v>
      </c>
      <c r="C965" t="str">
        <f t="shared" si="59"/>
        <v>20</v>
      </c>
      <c r="D965" t="s">
        <v>81</v>
      </c>
      <c r="E965" t="str">
        <f t="shared" si="61"/>
        <v>066</v>
      </c>
      <c r="F965" t="s">
        <v>951</v>
      </c>
      <c r="G965" t="str">
        <f>"0516"</f>
        <v>0516</v>
      </c>
      <c r="H965" t="str">
        <f>"0000"</f>
        <v>0000</v>
      </c>
      <c r="I965" t="s">
        <v>83</v>
      </c>
      <c r="J965">
        <v>0</v>
      </c>
      <c r="K965">
        <v>1</v>
      </c>
      <c r="L965">
        <v>3</v>
      </c>
      <c r="M965">
        <v>256</v>
      </c>
      <c r="N965" t="s">
        <v>92</v>
      </c>
      <c r="O965" t="s">
        <v>92</v>
      </c>
      <c r="P965">
        <v>288</v>
      </c>
      <c r="Q965">
        <v>10</v>
      </c>
      <c r="R965">
        <v>94</v>
      </c>
      <c r="S965">
        <v>4</v>
      </c>
      <c r="T965">
        <v>4</v>
      </c>
      <c r="U965">
        <v>5</v>
      </c>
      <c r="V965">
        <v>4</v>
      </c>
      <c r="W965">
        <v>2</v>
      </c>
      <c r="X965">
        <v>128</v>
      </c>
      <c r="Y965">
        <v>1</v>
      </c>
      <c r="Z965">
        <v>10</v>
      </c>
      <c r="AA965">
        <v>2</v>
      </c>
      <c r="AB965">
        <v>8</v>
      </c>
      <c r="AK965">
        <v>4</v>
      </c>
      <c r="AO965">
        <v>1</v>
      </c>
      <c r="AP965">
        <v>0</v>
      </c>
      <c r="AR965">
        <v>0</v>
      </c>
      <c r="AU965">
        <v>0</v>
      </c>
      <c r="AW965">
        <v>1</v>
      </c>
      <c r="AX965">
        <v>10</v>
      </c>
      <c r="AY965">
        <v>288</v>
      </c>
      <c r="AZ965">
        <v>288</v>
      </c>
      <c r="BA965">
        <v>500</v>
      </c>
      <c r="BB965">
        <v>44</v>
      </c>
      <c r="BD965">
        <v>1</v>
      </c>
      <c r="BF965" t="s">
        <v>1089</v>
      </c>
      <c r="BG965" s="1">
        <v>44354.020833333336</v>
      </c>
      <c r="BH965" s="1">
        <v>44354.029074074075</v>
      </c>
      <c r="BI965" s="1">
        <v>44354.029594907406</v>
      </c>
      <c r="BJ965" t="s">
        <v>85</v>
      </c>
      <c r="BK965" t="s">
        <v>86</v>
      </c>
      <c r="BL965" t="s">
        <v>87</v>
      </c>
    </row>
    <row r="966" spans="1:64" x14ac:dyDescent="0.3">
      <c r="A966" t="str">
        <f>"200516C0100"</f>
        <v>200516C0100</v>
      </c>
      <c r="B966" t="str">
        <f>"200516C01003"</f>
        <v>200516C01003</v>
      </c>
      <c r="C966" t="str">
        <f t="shared" si="59"/>
        <v>20</v>
      </c>
      <c r="D966" t="s">
        <v>81</v>
      </c>
      <c r="E966" t="str">
        <f t="shared" si="61"/>
        <v>066</v>
      </c>
      <c r="F966" t="s">
        <v>951</v>
      </c>
      <c r="G966" t="str">
        <f>"0516"</f>
        <v>0516</v>
      </c>
      <c r="H966" t="str">
        <f>"0001"</f>
        <v>0001</v>
      </c>
      <c r="I966" t="s">
        <v>89</v>
      </c>
      <c r="J966">
        <v>0</v>
      </c>
      <c r="K966">
        <v>1</v>
      </c>
      <c r="L966">
        <v>3</v>
      </c>
      <c r="M966">
        <v>246</v>
      </c>
      <c r="N966">
        <v>298</v>
      </c>
      <c r="O966">
        <v>2</v>
      </c>
      <c r="P966">
        <v>298</v>
      </c>
      <c r="Q966">
        <v>10</v>
      </c>
      <c r="R966">
        <v>84</v>
      </c>
      <c r="S966">
        <v>1</v>
      </c>
      <c r="T966">
        <v>5</v>
      </c>
      <c r="U966">
        <v>7</v>
      </c>
      <c r="V966">
        <v>2</v>
      </c>
      <c r="W966">
        <v>4</v>
      </c>
      <c r="X966">
        <v>148</v>
      </c>
      <c r="Y966">
        <v>7</v>
      </c>
      <c r="Z966">
        <v>3</v>
      </c>
      <c r="AA966">
        <v>3</v>
      </c>
      <c r="AB966">
        <v>12</v>
      </c>
      <c r="AK966">
        <v>5</v>
      </c>
      <c r="AO966">
        <v>0</v>
      </c>
      <c r="AP966">
        <v>0</v>
      </c>
      <c r="AR966">
        <v>0</v>
      </c>
      <c r="AU966">
        <v>0</v>
      </c>
      <c r="AW966">
        <v>0</v>
      </c>
      <c r="AX966">
        <v>7</v>
      </c>
      <c r="AY966">
        <v>298</v>
      </c>
      <c r="AZ966">
        <v>298</v>
      </c>
      <c r="BA966">
        <v>500</v>
      </c>
      <c r="BB966">
        <v>44</v>
      </c>
      <c r="BD966">
        <v>1</v>
      </c>
      <c r="BF966" t="s">
        <v>1090</v>
      </c>
      <c r="BG966" s="1">
        <v>44354.021527777775</v>
      </c>
      <c r="BH966" s="1">
        <v>44354.040775462963</v>
      </c>
      <c r="BI966" s="1">
        <v>44354.041319444441</v>
      </c>
      <c r="BJ966" t="s">
        <v>85</v>
      </c>
      <c r="BK966" t="s">
        <v>86</v>
      </c>
      <c r="BL966" t="s">
        <v>87</v>
      </c>
    </row>
    <row r="967" spans="1:64" x14ac:dyDescent="0.3">
      <c r="A967" t="str">
        <f>"200517B0000"</f>
        <v>200517B0000</v>
      </c>
      <c r="B967" t="str">
        <f>"200517B00003"</f>
        <v>200517B00003</v>
      </c>
      <c r="C967" t="str">
        <f t="shared" ref="C967:C1030" si="62">"20"</f>
        <v>20</v>
      </c>
      <c r="D967" t="s">
        <v>81</v>
      </c>
      <c r="E967" t="str">
        <f t="shared" si="61"/>
        <v>066</v>
      </c>
      <c r="F967" t="s">
        <v>951</v>
      </c>
      <c r="G967" t="str">
        <f>"0517"</f>
        <v>0517</v>
      </c>
      <c r="H967" t="str">
        <f>"0000"</f>
        <v>0000</v>
      </c>
      <c r="I967" t="s">
        <v>83</v>
      </c>
      <c r="J967">
        <v>0</v>
      </c>
      <c r="K967">
        <v>1</v>
      </c>
      <c r="L967">
        <v>3</v>
      </c>
      <c r="M967">
        <v>310</v>
      </c>
      <c r="N967">
        <v>319</v>
      </c>
      <c r="O967">
        <v>2</v>
      </c>
      <c r="P967">
        <v>319</v>
      </c>
      <c r="Q967">
        <v>8</v>
      </c>
      <c r="R967">
        <v>106</v>
      </c>
      <c r="S967">
        <v>8</v>
      </c>
      <c r="T967">
        <v>6</v>
      </c>
      <c r="U967">
        <v>8</v>
      </c>
      <c r="V967">
        <v>3</v>
      </c>
      <c r="W967">
        <v>1</v>
      </c>
      <c r="X967">
        <v>147</v>
      </c>
      <c r="Y967">
        <v>4</v>
      </c>
      <c r="Z967">
        <v>7</v>
      </c>
      <c r="AA967">
        <v>5</v>
      </c>
      <c r="AB967">
        <v>8</v>
      </c>
      <c r="AK967">
        <v>1</v>
      </c>
      <c r="AO967">
        <v>0</v>
      </c>
      <c r="AP967">
        <v>0</v>
      </c>
      <c r="AR967">
        <v>0</v>
      </c>
      <c r="AU967">
        <v>0</v>
      </c>
      <c r="AW967">
        <v>0</v>
      </c>
      <c r="AX967">
        <v>7</v>
      </c>
      <c r="AY967">
        <v>319</v>
      </c>
      <c r="AZ967">
        <v>319</v>
      </c>
      <c r="BA967">
        <v>585</v>
      </c>
      <c r="BB967">
        <v>44</v>
      </c>
      <c r="BD967">
        <v>1</v>
      </c>
      <c r="BF967" t="s">
        <v>1091</v>
      </c>
      <c r="BG967" s="1">
        <v>44354.025694444441</v>
      </c>
      <c r="BH967" s="1">
        <v>44354.039317129631</v>
      </c>
      <c r="BI967" s="1">
        <v>44354.039606481485</v>
      </c>
      <c r="BJ967" t="s">
        <v>85</v>
      </c>
      <c r="BK967" t="s">
        <v>86</v>
      </c>
      <c r="BL967" t="s">
        <v>87</v>
      </c>
    </row>
    <row r="968" spans="1:64" x14ac:dyDescent="0.3">
      <c r="A968" t="str">
        <f>"200517C0100"</f>
        <v>200517C0100</v>
      </c>
      <c r="B968" t="str">
        <f>"200517C01003"</f>
        <v>200517C01003</v>
      </c>
      <c r="C968" t="str">
        <f t="shared" si="62"/>
        <v>20</v>
      </c>
      <c r="D968" t="s">
        <v>81</v>
      </c>
      <c r="E968" t="str">
        <f t="shared" si="61"/>
        <v>066</v>
      </c>
      <c r="F968" t="s">
        <v>951</v>
      </c>
      <c r="G968" t="str">
        <f>"0517"</f>
        <v>0517</v>
      </c>
      <c r="H968" t="str">
        <f>"0001"</f>
        <v>0001</v>
      </c>
      <c r="I968" t="s">
        <v>89</v>
      </c>
      <c r="J968">
        <v>0</v>
      </c>
      <c r="K968">
        <v>1</v>
      </c>
      <c r="L968">
        <v>3</v>
      </c>
      <c r="M968">
        <v>291</v>
      </c>
      <c r="N968">
        <v>337</v>
      </c>
      <c r="O968">
        <v>0</v>
      </c>
      <c r="P968">
        <v>337</v>
      </c>
      <c r="Q968">
        <v>12</v>
      </c>
      <c r="R968">
        <v>103</v>
      </c>
      <c r="S968">
        <v>0</v>
      </c>
      <c r="T968">
        <v>7</v>
      </c>
      <c r="U968">
        <v>5</v>
      </c>
      <c r="V968">
        <v>6</v>
      </c>
      <c r="W968">
        <v>3</v>
      </c>
      <c r="X968">
        <v>181</v>
      </c>
      <c r="Y968">
        <v>3</v>
      </c>
      <c r="Z968">
        <v>0</v>
      </c>
      <c r="AA968">
        <v>3</v>
      </c>
      <c r="AB968">
        <v>11</v>
      </c>
      <c r="AK968">
        <v>0</v>
      </c>
      <c r="AO968">
        <v>0</v>
      </c>
      <c r="AP968">
        <v>0</v>
      </c>
      <c r="AR968">
        <v>0</v>
      </c>
      <c r="AU968">
        <v>0</v>
      </c>
      <c r="AW968">
        <v>0</v>
      </c>
      <c r="AX968">
        <v>3</v>
      </c>
      <c r="AY968">
        <v>337</v>
      </c>
      <c r="AZ968">
        <v>337</v>
      </c>
      <c r="BA968">
        <v>584</v>
      </c>
      <c r="BB968">
        <v>44</v>
      </c>
      <c r="BD968">
        <v>1</v>
      </c>
      <c r="BF968" t="s">
        <v>1092</v>
      </c>
      <c r="BG968" s="1">
        <v>44354.019444444442</v>
      </c>
      <c r="BH968" s="1">
        <v>44354.029143518521</v>
      </c>
      <c r="BI968" s="1">
        <v>44354.030127314814</v>
      </c>
      <c r="BJ968" t="s">
        <v>85</v>
      </c>
      <c r="BK968" t="s">
        <v>86</v>
      </c>
      <c r="BL968" t="s">
        <v>87</v>
      </c>
    </row>
    <row r="969" spans="1:64" x14ac:dyDescent="0.3">
      <c r="A969" t="str">
        <f>"200518B0000"</f>
        <v>200518B0000</v>
      </c>
      <c r="B969" t="str">
        <f>"200518B00003"</f>
        <v>200518B00003</v>
      </c>
      <c r="C969" t="str">
        <f t="shared" si="62"/>
        <v>20</v>
      </c>
      <c r="D969" t="s">
        <v>81</v>
      </c>
      <c r="E969" t="str">
        <f t="shared" si="61"/>
        <v>066</v>
      </c>
      <c r="F969" t="s">
        <v>951</v>
      </c>
      <c r="G969" t="str">
        <f>"0518"</f>
        <v>0518</v>
      </c>
      <c r="H969" t="str">
        <f>"0000"</f>
        <v>0000</v>
      </c>
      <c r="I969" t="s">
        <v>83</v>
      </c>
      <c r="J969">
        <v>0</v>
      </c>
      <c r="K969">
        <v>1</v>
      </c>
      <c r="L969">
        <v>3</v>
      </c>
      <c r="M969">
        <v>239</v>
      </c>
      <c r="N969">
        <v>297</v>
      </c>
      <c r="O969">
        <v>2</v>
      </c>
      <c r="P969">
        <v>297</v>
      </c>
      <c r="Q969">
        <v>19</v>
      </c>
      <c r="R969">
        <v>80</v>
      </c>
      <c r="S969">
        <v>3</v>
      </c>
      <c r="T969">
        <v>4</v>
      </c>
      <c r="U969">
        <v>10</v>
      </c>
      <c r="V969">
        <v>5</v>
      </c>
      <c r="W969">
        <v>5</v>
      </c>
      <c r="X969">
        <v>149</v>
      </c>
      <c r="Y969">
        <v>2</v>
      </c>
      <c r="Z969">
        <v>5</v>
      </c>
      <c r="AA969">
        <v>2</v>
      </c>
      <c r="AB969">
        <v>4</v>
      </c>
      <c r="AK969">
        <v>2</v>
      </c>
      <c r="AO969">
        <v>0</v>
      </c>
      <c r="AP969">
        <v>0</v>
      </c>
      <c r="AR969">
        <v>0</v>
      </c>
      <c r="AU969">
        <v>0</v>
      </c>
      <c r="AW969">
        <v>0</v>
      </c>
      <c r="AX969">
        <v>7</v>
      </c>
      <c r="AY969">
        <v>297</v>
      </c>
      <c r="AZ969">
        <v>297</v>
      </c>
      <c r="BA969">
        <v>492</v>
      </c>
      <c r="BB969">
        <v>44</v>
      </c>
      <c r="BD969">
        <v>1</v>
      </c>
      <c r="BF969" t="s">
        <v>1093</v>
      </c>
      <c r="BG969" s="1">
        <v>44353.969444444447</v>
      </c>
      <c r="BH969" s="1">
        <v>44353.972256944442</v>
      </c>
      <c r="BI969" s="1">
        <v>44353.973009259258</v>
      </c>
      <c r="BJ969" t="s">
        <v>85</v>
      </c>
      <c r="BK969" t="s">
        <v>86</v>
      </c>
      <c r="BL969" t="s">
        <v>87</v>
      </c>
    </row>
    <row r="970" spans="1:64" x14ac:dyDescent="0.3">
      <c r="A970" t="str">
        <f>"200518C0100"</f>
        <v>200518C0100</v>
      </c>
      <c r="B970" t="str">
        <f>"200518C01003"</f>
        <v>200518C01003</v>
      </c>
      <c r="C970" t="str">
        <f t="shared" si="62"/>
        <v>20</v>
      </c>
      <c r="D970" t="s">
        <v>81</v>
      </c>
      <c r="E970" t="str">
        <f t="shared" si="61"/>
        <v>066</v>
      </c>
      <c r="F970" t="s">
        <v>951</v>
      </c>
      <c r="G970" t="str">
        <f>"0518"</f>
        <v>0518</v>
      </c>
      <c r="H970" t="str">
        <f>"0001"</f>
        <v>0001</v>
      </c>
      <c r="I970" t="s">
        <v>89</v>
      </c>
      <c r="J970">
        <v>0</v>
      </c>
      <c r="K970">
        <v>1</v>
      </c>
      <c r="L970">
        <v>3</v>
      </c>
      <c r="M970">
        <v>263</v>
      </c>
      <c r="N970">
        <v>271</v>
      </c>
      <c r="O970">
        <v>7</v>
      </c>
      <c r="P970">
        <v>271</v>
      </c>
      <c r="Q970">
        <v>18</v>
      </c>
      <c r="R970">
        <v>64</v>
      </c>
      <c r="S970">
        <v>0</v>
      </c>
      <c r="T970">
        <v>1</v>
      </c>
      <c r="U970">
        <v>4</v>
      </c>
      <c r="V970">
        <v>4</v>
      </c>
      <c r="W970">
        <v>5</v>
      </c>
      <c r="X970">
        <v>153</v>
      </c>
      <c r="Y970">
        <v>6</v>
      </c>
      <c r="Z970">
        <v>1</v>
      </c>
      <c r="AA970">
        <v>5</v>
      </c>
      <c r="AB970">
        <v>1</v>
      </c>
      <c r="AK970">
        <v>4</v>
      </c>
      <c r="AO970">
        <v>1</v>
      </c>
      <c r="AP970">
        <v>0</v>
      </c>
      <c r="AR970">
        <v>0</v>
      </c>
      <c r="AU970">
        <v>0</v>
      </c>
      <c r="AW970">
        <v>0</v>
      </c>
      <c r="AX970">
        <v>4</v>
      </c>
      <c r="AY970">
        <v>271</v>
      </c>
      <c r="AZ970">
        <v>271</v>
      </c>
      <c r="BA970">
        <v>491</v>
      </c>
      <c r="BB970">
        <v>44</v>
      </c>
      <c r="BD970">
        <v>1</v>
      </c>
      <c r="BF970" t="s">
        <v>1094</v>
      </c>
      <c r="BG970" s="1">
        <v>44353.967361111114</v>
      </c>
      <c r="BH970" s="1">
        <v>44353.970289351855</v>
      </c>
      <c r="BI970" s="1">
        <v>44353.97146990741</v>
      </c>
      <c r="BJ970" t="s">
        <v>85</v>
      </c>
      <c r="BK970" t="s">
        <v>86</v>
      </c>
      <c r="BL970" t="s">
        <v>87</v>
      </c>
    </row>
    <row r="971" spans="1:64" x14ac:dyDescent="0.3">
      <c r="A971" t="str">
        <f>"200519B0000"</f>
        <v>200519B0000</v>
      </c>
      <c r="B971" t="str">
        <f>"200519B00003"</f>
        <v>200519B00003</v>
      </c>
      <c r="C971" t="str">
        <f t="shared" si="62"/>
        <v>20</v>
      </c>
      <c r="D971" t="s">
        <v>81</v>
      </c>
      <c r="E971" t="str">
        <f t="shared" si="61"/>
        <v>066</v>
      </c>
      <c r="F971" t="s">
        <v>951</v>
      </c>
      <c r="G971" t="str">
        <f>"0519"</f>
        <v>0519</v>
      </c>
      <c r="H971" t="str">
        <f>"0000"</f>
        <v>0000</v>
      </c>
      <c r="I971" t="s">
        <v>83</v>
      </c>
      <c r="J971">
        <v>0</v>
      </c>
      <c r="K971">
        <v>1</v>
      </c>
      <c r="L971">
        <v>3</v>
      </c>
      <c r="M971">
        <v>288</v>
      </c>
      <c r="N971">
        <v>363</v>
      </c>
      <c r="O971">
        <v>0</v>
      </c>
      <c r="P971">
        <v>363</v>
      </c>
      <c r="Q971">
        <v>33</v>
      </c>
      <c r="R971">
        <v>128</v>
      </c>
      <c r="S971">
        <v>2</v>
      </c>
      <c r="T971">
        <v>5</v>
      </c>
      <c r="U971">
        <v>4</v>
      </c>
      <c r="V971">
        <v>7</v>
      </c>
      <c r="W971">
        <v>2</v>
      </c>
      <c r="X971">
        <v>154</v>
      </c>
      <c r="Y971">
        <v>2</v>
      </c>
      <c r="Z971">
        <v>7</v>
      </c>
      <c r="AA971">
        <v>4</v>
      </c>
      <c r="AB971">
        <v>11</v>
      </c>
      <c r="AK971" t="s">
        <v>95</v>
      </c>
      <c r="AO971" t="s">
        <v>95</v>
      </c>
      <c r="AP971" t="s">
        <v>95</v>
      </c>
      <c r="AR971" t="s">
        <v>95</v>
      </c>
      <c r="AU971" t="s">
        <v>95</v>
      </c>
      <c r="AW971" t="s">
        <v>95</v>
      </c>
      <c r="AX971">
        <v>4</v>
      </c>
      <c r="AY971">
        <v>363</v>
      </c>
      <c r="AZ971">
        <v>363</v>
      </c>
      <c r="BA971">
        <v>607</v>
      </c>
      <c r="BB971">
        <v>44</v>
      </c>
      <c r="BC971" t="s">
        <v>96</v>
      </c>
      <c r="BD971">
        <v>1</v>
      </c>
      <c r="BF971" t="s">
        <v>1095</v>
      </c>
      <c r="BG971" s="1">
        <v>44354.006944444445</v>
      </c>
      <c r="BH971" s="1">
        <v>44354.01290509259</v>
      </c>
      <c r="BI971" s="1">
        <v>44354.013773148145</v>
      </c>
      <c r="BJ971" t="s">
        <v>85</v>
      </c>
      <c r="BK971" t="s">
        <v>86</v>
      </c>
      <c r="BL971" t="s">
        <v>87</v>
      </c>
    </row>
    <row r="972" spans="1:64" x14ac:dyDescent="0.3">
      <c r="A972" t="str">
        <f>"200519C0100"</f>
        <v>200519C0100</v>
      </c>
      <c r="B972" t="str">
        <f>"200519C01003"</f>
        <v>200519C01003</v>
      </c>
      <c r="C972" t="str">
        <f t="shared" si="62"/>
        <v>20</v>
      </c>
      <c r="D972" t="s">
        <v>81</v>
      </c>
      <c r="E972" t="str">
        <f t="shared" si="61"/>
        <v>066</v>
      </c>
      <c r="F972" t="s">
        <v>951</v>
      </c>
      <c r="G972" t="str">
        <f>"0519"</f>
        <v>0519</v>
      </c>
      <c r="H972" t="str">
        <f>"0001"</f>
        <v>0001</v>
      </c>
      <c r="I972" t="s">
        <v>89</v>
      </c>
      <c r="J972">
        <v>0</v>
      </c>
      <c r="K972">
        <v>1</v>
      </c>
      <c r="L972">
        <v>3</v>
      </c>
      <c r="M972" t="s">
        <v>92</v>
      </c>
      <c r="N972">
        <v>359</v>
      </c>
      <c r="O972">
        <v>2</v>
      </c>
      <c r="P972">
        <v>359</v>
      </c>
      <c r="Q972">
        <v>15</v>
      </c>
      <c r="R972">
        <v>116</v>
      </c>
      <c r="S972">
        <v>4</v>
      </c>
      <c r="T972">
        <v>4</v>
      </c>
      <c r="U972">
        <v>10</v>
      </c>
      <c r="V972">
        <v>15</v>
      </c>
      <c r="W972">
        <v>6</v>
      </c>
      <c r="X972">
        <v>166</v>
      </c>
      <c r="Y972">
        <v>5</v>
      </c>
      <c r="Z972">
        <v>4</v>
      </c>
      <c r="AA972">
        <v>1</v>
      </c>
      <c r="AB972">
        <v>6</v>
      </c>
      <c r="AK972" t="s">
        <v>95</v>
      </c>
      <c r="AO972" t="s">
        <v>95</v>
      </c>
      <c r="AP972" t="s">
        <v>95</v>
      </c>
      <c r="AR972" t="s">
        <v>95</v>
      </c>
      <c r="AU972" t="s">
        <v>95</v>
      </c>
      <c r="AW972" t="s">
        <v>95</v>
      </c>
      <c r="AX972">
        <v>7</v>
      </c>
      <c r="AY972">
        <v>359</v>
      </c>
      <c r="AZ972">
        <v>359</v>
      </c>
      <c r="BA972">
        <v>607</v>
      </c>
      <c r="BB972">
        <v>44</v>
      </c>
      <c r="BC972" t="s">
        <v>96</v>
      </c>
      <c r="BD972">
        <v>1</v>
      </c>
      <c r="BF972" t="s">
        <v>1096</v>
      </c>
      <c r="BG972" s="1">
        <v>44354.006249999999</v>
      </c>
      <c r="BH972" s="1">
        <v>44354.014490740738</v>
      </c>
      <c r="BI972" s="1">
        <v>44354.015115740738</v>
      </c>
      <c r="BJ972" t="s">
        <v>85</v>
      </c>
      <c r="BK972" t="s">
        <v>86</v>
      </c>
      <c r="BL972" t="s">
        <v>87</v>
      </c>
    </row>
    <row r="973" spans="1:64" x14ac:dyDescent="0.3">
      <c r="A973" t="str">
        <f>"200520B0000"</f>
        <v>200520B0000</v>
      </c>
      <c r="B973" t="str">
        <f>"200520B00003"</f>
        <v>200520B00003</v>
      </c>
      <c r="C973" t="str">
        <f t="shared" si="62"/>
        <v>20</v>
      </c>
      <c r="D973" t="s">
        <v>81</v>
      </c>
      <c r="E973" t="str">
        <f t="shared" si="61"/>
        <v>066</v>
      </c>
      <c r="F973" t="s">
        <v>951</v>
      </c>
      <c r="G973" t="str">
        <f>"0520"</f>
        <v>0520</v>
      </c>
      <c r="H973" t="str">
        <f>"0000"</f>
        <v>0000</v>
      </c>
      <c r="I973" t="s">
        <v>83</v>
      </c>
      <c r="J973">
        <v>0</v>
      </c>
      <c r="K973">
        <v>1</v>
      </c>
      <c r="L973">
        <v>3</v>
      </c>
      <c r="M973">
        <v>230</v>
      </c>
      <c r="N973">
        <v>314</v>
      </c>
      <c r="O973">
        <v>6</v>
      </c>
      <c r="P973">
        <v>314</v>
      </c>
      <c r="Q973">
        <v>23</v>
      </c>
      <c r="R973">
        <v>92</v>
      </c>
      <c r="S973">
        <v>4</v>
      </c>
      <c r="T973">
        <v>5</v>
      </c>
      <c r="U973">
        <v>1</v>
      </c>
      <c r="V973">
        <v>9</v>
      </c>
      <c r="W973">
        <v>1</v>
      </c>
      <c r="X973">
        <v>164</v>
      </c>
      <c r="Y973">
        <v>3</v>
      </c>
      <c r="Z973">
        <v>1</v>
      </c>
      <c r="AA973">
        <v>1</v>
      </c>
      <c r="AB973">
        <v>5</v>
      </c>
      <c r="AK973">
        <v>1</v>
      </c>
      <c r="AO973">
        <v>0</v>
      </c>
      <c r="AP973">
        <v>0</v>
      </c>
      <c r="AR973">
        <v>0</v>
      </c>
      <c r="AU973">
        <v>0</v>
      </c>
      <c r="AW973">
        <v>0</v>
      </c>
      <c r="AX973">
        <v>4</v>
      </c>
      <c r="AY973">
        <v>314</v>
      </c>
      <c r="AZ973">
        <v>314</v>
      </c>
      <c r="BA973">
        <v>500</v>
      </c>
      <c r="BB973">
        <v>44</v>
      </c>
      <c r="BD973">
        <v>1</v>
      </c>
      <c r="BF973" t="s">
        <v>1097</v>
      </c>
      <c r="BG973" s="1">
        <v>44354.058333333334</v>
      </c>
      <c r="BH973" s="1">
        <v>44354.067187499997</v>
      </c>
      <c r="BI973" s="1">
        <v>44354.067662037036</v>
      </c>
      <c r="BJ973" t="s">
        <v>85</v>
      </c>
      <c r="BK973" t="s">
        <v>86</v>
      </c>
      <c r="BL973" t="s">
        <v>87</v>
      </c>
    </row>
    <row r="974" spans="1:64" x14ac:dyDescent="0.3">
      <c r="A974" t="str">
        <f>"200520C0100"</f>
        <v>200520C0100</v>
      </c>
      <c r="B974" t="str">
        <f>"200520C01003"</f>
        <v>200520C01003</v>
      </c>
      <c r="C974" t="str">
        <f t="shared" si="62"/>
        <v>20</v>
      </c>
      <c r="D974" t="s">
        <v>81</v>
      </c>
      <c r="E974" t="str">
        <f t="shared" si="61"/>
        <v>066</v>
      </c>
      <c r="F974" t="s">
        <v>951</v>
      </c>
      <c r="G974" t="str">
        <f>"0520"</f>
        <v>0520</v>
      </c>
      <c r="H974" t="str">
        <f>"0001"</f>
        <v>0001</v>
      </c>
      <c r="I974" t="s">
        <v>89</v>
      </c>
      <c r="J974">
        <v>0</v>
      </c>
      <c r="K974">
        <v>1</v>
      </c>
      <c r="L974">
        <v>3</v>
      </c>
      <c r="M974">
        <v>249</v>
      </c>
      <c r="N974">
        <v>304</v>
      </c>
      <c r="O974">
        <v>5</v>
      </c>
      <c r="P974">
        <v>304</v>
      </c>
      <c r="Q974">
        <v>38</v>
      </c>
      <c r="R974">
        <v>84</v>
      </c>
      <c r="S974">
        <v>1</v>
      </c>
      <c r="T974">
        <v>5</v>
      </c>
      <c r="U974">
        <v>5</v>
      </c>
      <c r="V974">
        <v>11</v>
      </c>
      <c r="W974">
        <v>3</v>
      </c>
      <c r="X974">
        <v>122</v>
      </c>
      <c r="Y974">
        <v>8</v>
      </c>
      <c r="Z974">
        <v>4</v>
      </c>
      <c r="AA974">
        <v>1</v>
      </c>
      <c r="AB974">
        <v>2</v>
      </c>
      <c r="AK974">
        <v>2</v>
      </c>
      <c r="AO974">
        <v>1</v>
      </c>
      <c r="AP974">
        <v>0</v>
      </c>
      <c r="AR974">
        <v>0</v>
      </c>
      <c r="AU974">
        <v>0</v>
      </c>
      <c r="AW974">
        <v>0</v>
      </c>
      <c r="AX974">
        <v>7</v>
      </c>
      <c r="AY974">
        <v>304</v>
      </c>
      <c r="AZ974">
        <v>294</v>
      </c>
      <c r="BA974">
        <v>499</v>
      </c>
      <c r="BB974">
        <v>44</v>
      </c>
      <c r="BD974">
        <v>1</v>
      </c>
      <c r="BF974" t="s">
        <v>1098</v>
      </c>
      <c r="BG974" s="1">
        <v>44354.058333333334</v>
      </c>
      <c r="BH974" s="1">
        <v>44354.069166666668</v>
      </c>
      <c r="BI974" s="1">
        <v>44354.069606481484</v>
      </c>
      <c r="BJ974" t="s">
        <v>85</v>
      </c>
      <c r="BK974" t="s">
        <v>86</v>
      </c>
      <c r="BL974" t="s">
        <v>87</v>
      </c>
    </row>
    <row r="975" spans="1:64" x14ac:dyDescent="0.3">
      <c r="A975" t="str">
        <f>"200521B0000"</f>
        <v>200521B0000</v>
      </c>
      <c r="B975" t="str">
        <f>"200521B00003"</f>
        <v>200521B00003</v>
      </c>
      <c r="C975" t="str">
        <f t="shared" si="62"/>
        <v>20</v>
      </c>
      <c r="D975" t="s">
        <v>81</v>
      </c>
      <c r="E975" t="str">
        <f t="shared" si="61"/>
        <v>066</v>
      </c>
      <c r="F975" t="s">
        <v>951</v>
      </c>
      <c r="G975" t="str">
        <f>"0521"</f>
        <v>0521</v>
      </c>
      <c r="H975" t="str">
        <f>"0000"</f>
        <v>0000</v>
      </c>
      <c r="I975" t="s">
        <v>83</v>
      </c>
      <c r="J975">
        <v>0</v>
      </c>
      <c r="K975">
        <v>1</v>
      </c>
      <c r="L975">
        <v>3</v>
      </c>
      <c r="M975">
        <v>341</v>
      </c>
      <c r="N975">
        <v>336</v>
      </c>
      <c r="O975">
        <v>0</v>
      </c>
      <c r="P975">
        <v>336</v>
      </c>
      <c r="Q975">
        <v>13</v>
      </c>
      <c r="R975">
        <v>77</v>
      </c>
      <c r="S975">
        <v>6</v>
      </c>
      <c r="T975">
        <v>0</v>
      </c>
      <c r="U975">
        <v>7</v>
      </c>
      <c r="V975">
        <v>6</v>
      </c>
      <c r="W975">
        <v>3</v>
      </c>
      <c r="X975">
        <v>194</v>
      </c>
      <c r="Y975">
        <v>5</v>
      </c>
      <c r="Z975">
        <v>5</v>
      </c>
      <c r="AA975">
        <v>1</v>
      </c>
      <c r="AB975">
        <v>9</v>
      </c>
      <c r="AK975">
        <v>1</v>
      </c>
      <c r="AO975">
        <v>0</v>
      </c>
      <c r="AP975">
        <v>0</v>
      </c>
      <c r="AR975">
        <v>0</v>
      </c>
      <c r="AU975">
        <v>0</v>
      </c>
      <c r="AW975">
        <v>0</v>
      </c>
      <c r="AX975">
        <v>9</v>
      </c>
      <c r="AY975">
        <v>336</v>
      </c>
      <c r="AZ975">
        <v>336</v>
      </c>
      <c r="BA975">
        <v>633</v>
      </c>
      <c r="BB975">
        <v>44</v>
      </c>
      <c r="BD975">
        <v>1</v>
      </c>
      <c r="BF975" t="s">
        <v>1099</v>
      </c>
      <c r="BG975" s="1">
        <v>44354.013194444444</v>
      </c>
      <c r="BH975" s="1">
        <v>44354.021192129629</v>
      </c>
      <c r="BI975" s="1">
        <v>44354.022731481484</v>
      </c>
      <c r="BJ975" t="s">
        <v>85</v>
      </c>
      <c r="BK975" t="s">
        <v>86</v>
      </c>
      <c r="BL975" t="s">
        <v>87</v>
      </c>
    </row>
    <row r="976" spans="1:64" x14ac:dyDescent="0.3">
      <c r="A976" t="str">
        <f>"200521C0100"</f>
        <v>200521C0100</v>
      </c>
      <c r="B976" t="str">
        <f>"200521C01003"</f>
        <v>200521C01003</v>
      </c>
      <c r="C976" t="str">
        <f t="shared" si="62"/>
        <v>20</v>
      </c>
      <c r="D976" t="s">
        <v>81</v>
      </c>
      <c r="E976" t="str">
        <f t="shared" si="61"/>
        <v>066</v>
      </c>
      <c r="F976" t="s">
        <v>951</v>
      </c>
      <c r="G976" t="str">
        <f>"0521"</f>
        <v>0521</v>
      </c>
      <c r="H976" t="str">
        <f>"0001"</f>
        <v>0001</v>
      </c>
      <c r="I976" t="s">
        <v>89</v>
      </c>
      <c r="J976">
        <v>0</v>
      </c>
      <c r="K976">
        <v>1</v>
      </c>
      <c r="L976">
        <v>3</v>
      </c>
      <c r="M976">
        <v>377</v>
      </c>
      <c r="N976">
        <v>300</v>
      </c>
      <c r="O976">
        <v>1</v>
      </c>
      <c r="P976">
        <v>300</v>
      </c>
      <c r="Q976">
        <v>13</v>
      </c>
      <c r="R976">
        <v>66</v>
      </c>
      <c r="S976">
        <v>1</v>
      </c>
      <c r="T976">
        <v>6</v>
      </c>
      <c r="U976">
        <v>6</v>
      </c>
      <c r="V976">
        <v>3</v>
      </c>
      <c r="W976">
        <v>3</v>
      </c>
      <c r="X976">
        <v>166</v>
      </c>
      <c r="Y976">
        <v>5</v>
      </c>
      <c r="Z976">
        <v>6</v>
      </c>
      <c r="AA976">
        <v>7</v>
      </c>
      <c r="AB976">
        <v>9</v>
      </c>
      <c r="AK976">
        <v>2</v>
      </c>
      <c r="AO976">
        <v>0</v>
      </c>
      <c r="AP976">
        <v>0</v>
      </c>
      <c r="AR976">
        <v>0</v>
      </c>
      <c r="AU976">
        <v>0</v>
      </c>
      <c r="AW976">
        <v>0</v>
      </c>
      <c r="AX976">
        <v>7</v>
      </c>
      <c r="AY976">
        <v>300</v>
      </c>
      <c r="AZ976">
        <v>300</v>
      </c>
      <c r="BA976">
        <v>633</v>
      </c>
      <c r="BB976">
        <v>44</v>
      </c>
      <c r="BD976">
        <v>1</v>
      </c>
      <c r="BF976" t="s">
        <v>1100</v>
      </c>
      <c r="BG976" s="1">
        <v>44354.013888888891</v>
      </c>
      <c r="BH976" s="1">
        <v>44354.021469907406</v>
      </c>
      <c r="BI976" s="1">
        <v>44354.022222222222</v>
      </c>
      <c r="BJ976" t="s">
        <v>85</v>
      </c>
      <c r="BK976" t="s">
        <v>86</v>
      </c>
      <c r="BL976" t="s">
        <v>87</v>
      </c>
    </row>
    <row r="977" spans="1:64" x14ac:dyDescent="0.3">
      <c r="A977" t="str">
        <f>"200521C0200"</f>
        <v>200521C0200</v>
      </c>
      <c r="B977" t="str">
        <f>"200521C02003"</f>
        <v>200521C02003</v>
      </c>
      <c r="C977" t="str">
        <f t="shared" si="62"/>
        <v>20</v>
      </c>
      <c r="D977" t="s">
        <v>81</v>
      </c>
      <c r="E977" t="str">
        <f t="shared" si="61"/>
        <v>066</v>
      </c>
      <c r="F977" t="s">
        <v>951</v>
      </c>
      <c r="G977" t="str">
        <f>"0521"</f>
        <v>0521</v>
      </c>
      <c r="H977" t="str">
        <f>"0002"</f>
        <v>0002</v>
      </c>
      <c r="I977" t="s">
        <v>89</v>
      </c>
      <c r="J977">
        <v>0</v>
      </c>
      <c r="K977">
        <v>1</v>
      </c>
      <c r="L977">
        <v>3</v>
      </c>
      <c r="M977">
        <v>353</v>
      </c>
      <c r="N977">
        <v>324</v>
      </c>
      <c r="O977">
        <v>3</v>
      </c>
      <c r="P977">
        <v>324</v>
      </c>
      <c r="Q977">
        <v>10</v>
      </c>
      <c r="R977">
        <v>86</v>
      </c>
      <c r="S977">
        <v>2</v>
      </c>
      <c r="T977">
        <v>2</v>
      </c>
      <c r="U977">
        <v>12</v>
      </c>
      <c r="V977">
        <v>6</v>
      </c>
      <c r="W977">
        <v>3</v>
      </c>
      <c r="X977">
        <v>171</v>
      </c>
      <c r="Y977">
        <v>7</v>
      </c>
      <c r="Z977">
        <v>6</v>
      </c>
      <c r="AA977">
        <v>5</v>
      </c>
      <c r="AB977">
        <v>6</v>
      </c>
      <c r="AK977">
        <v>2</v>
      </c>
      <c r="AO977">
        <v>0</v>
      </c>
      <c r="AP977">
        <v>0</v>
      </c>
      <c r="AR977">
        <v>0</v>
      </c>
      <c r="AU977">
        <v>0</v>
      </c>
      <c r="AW977">
        <v>0</v>
      </c>
      <c r="AX977">
        <v>6</v>
      </c>
      <c r="AY977">
        <v>324</v>
      </c>
      <c r="AZ977">
        <v>324</v>
      </c>
      <c r="BA977">
        <v>633</v>
      </c>
      <c r="BB977">
        <v>44</v>
      </c>
      <c r="BD977">
        <v>1</v>
      </c>
      <c r="BF977" t="s">
        <v>1101</v>
      </c>
      <c r="BG977" s="1">
        <v>44354.01666666667</v>
      </c>
      <c r="BH977" s="1">
        <v>44354.026145833333</v>
      </c>
      <c r="BI977" s="1">
        <v>44354.026828703703</v>
      </c>
      <c r="BJ977" t="s">
        <v>85</v>
      </c>
      <c r="BK977" t="s">
        <v>86</v>
      </c>
      <c r="BL977" t="s">
        <v>87</v>
      </c>
    </row>
    <row r="978" spans="1:64" x14ac:dyDescent="0.3">
      <c r="A978" t="str">
        <f>"200522B0000"</f>
        <v>200522B0000</v>
      </c>
      <c r="B978" t="str">
        <f>"200522B00003"</f>
        <v>200522B00003</v>
      </c>
      <c r="C978" t="str">
        <f t="shared" si="62"/>
        <v>20</v>
      </c>
      <c r="D978" t="s">
        <v>81</v>
      </c>
      <c r="E978" t="str">
        <f t="shared" si="61"/>
        <v>066</v>
      </c>
      <c r="F978" t="s">
        <v>951</v>
      </c>
      <c r="G978" t="str">
        <f>"0522"</f>
        <v>0522</v>
      </c>
      <c r="H978" t="str">
        <f>"0000"</f>
        <v>0000</v>
      </c>
      <c r="I978" t="s">
        <v>83</v>
      </c>
      <c r="J978">
        <v>0</v>
      </c>
      <c r="K978">
        <v>1</v>
      </c>
      <c r="L978">
        <v>3</v>
      </c>
      <c r="M978">
        <v>348</v>
      </c>
      <c r="N978">
        <v>293</v>
      </c>
      <c r="O978">
        <v>0</v>
      </c>
      <c r="P978">
        <v>293</v>
      </c>
      <c r="Q978">
        <v>16</v>
      </c>
      <c r="R978">
        <v>64</v>
      </c>
      <c r="S978">
        <v>5</v>
      </c>
      <c r="T978">
        <v>1</v>
      </c>
      <c r="U978">
        <v>9</v>
      </c>
      <c r="V978">
        <v>3</v>
      </c>
      <c r="W978">
        <v>0</v>
      </c>
      <c r="X978">
        <v>159</v>
      </c>
      <c r="Y978">
        <v>12</v>
      </c>
      <c r="Z978">
        <v>3</v>
      </c>
      <c r="AA978">
        <v>4</v>
      </c>
      <c r="AB978">
        <v>4</v>
      </c>
      <c r="AK978">
        <v>2</v>
      </c>
      <c r="AO978">
        <v>0</v>
      </c>
      <c r="AP978">
        <v>0</v>
      </c>
      <c r="AR978">
        <v>0</v>
      </c>
      <c r="AU978">
        <v>0</v>
      </c>
      <c r="AW978">
        <v>1</v>
      </c>
      <c r="AX978">
        <v>10</v>
      </c>
      <c r="AY978">
        <v>293</v>
      </c>
      <c r="AZ978">
        <v>293</v>
      </c>
      <c r="BA978">
        <v>597</v>
      </c>
      <c r="BB978">
        <v>44</v>
      </c>
      <c r="BD978">
        <v>1</v>
      </c>
      <c r="BF978" t="s">
        <v>1102</v>
      </c>
      <c r="BG978" s="1">
        <v>44353.949305555558</v>
      </c>
      <c r="BH978" s="1">
        <v>44353.951979166668</v>
      </c>
      <c r="BI978" s="1">
        <v>44353.952615740738</v>
      </c>
      <c r="BJ978" t="s">
        <v>85</v>
      </c>
      <c r="BK978" t="s">
        <v>86</v>
      </c>
      <c r="BL978" t="s">
        <v>87</v>
      </c>
    </row>
    <row r="979" spans="1:64" x14ac:dyDescent="0.3">
      <c r="A979" t="str">
        <f>"200522C0100"</f>
        <v>200522C0100</v>
      </c>
      <c r="B979" t="str">
        <f>"200522C01003"</f>
        <v>200522C01003</v>
      </c>
      <c r="C979" t="str">
        <f t="shared" si="62"/>
        <v>20</v>
      </c>
      <c r="D979" t="s">
        <v>81</v>
      </c>
      <c r="E979" t="str">
        <f t="shared" si="61"/>
        <v>066</v>
      </c>
      <c r="F979" t="s">
        <v>951</v>
      </c>
      <c r="G979" t="str">
        <f>"0522"</f>
        <v>0522</v>
      </c>
      <c r="H979" t="str">
        <f>"0001"</f>
        <v>0001</v>
      </c>
      <c r="I979" t="s">
        <v>89</v>
      </c>
      <c r="J979">
        <v>0</v>
      </c>
      <c r="K979">
        <v>1</v>
      </c>
      <c r="L979">
        <v>3</v>
      </c>
      <c r="M979">
        <v>323</v>
      </c>
      <c r="N979">
        <v>317</v>
      </c>
      <c r="O979">
        <v>4</v>
      </c>
      <c r="P979">
        <v>317</v>
      </c>
      <c r="Q979">
        <v>10</v>
      </c>
      <c r="R979">
        <v>67</v>
      </c>
      <c r="S979">
        <v>1</v>
      </c>
      <c r="T979">
        <v>5</v>
      </c>
      <c r="U979">
        <v>8</v>
      </c>
      <c r="V979">
        <v>7</v>
      </c>
      <c r="W979">
        <v>0</v>
      </c>
      <c r="X979">
        <v>188</v>
      </c>
      <c r="Y979">
        <v>10</v>
      </c>
      <c r="Z979">
        <v>2</v>
      </c>
      <c r="AA979">
        <v>1</v>
      </c>
      <c r="AB979">
        <v>6</v>
      </c>
      <c r="AK979">
        <v>2</v>
      </c>
      <c r="AO979">
        <v>1</v>
      </c>
      <c r="AP979">
        <v>1</v>
      </c>
      <c r="AR979">
        <v>0</v>
      </c>
      <c r="AU979">
        <v>0</v>
      </c>
      <c r="AW979">
        <v>0</v>
      </c>
      <c r="AX979">
        <v>7</v>
      </c>
      <c r="AY979">
        <v>317</v>
      </c>
      <c r="AZ979">
        <v>316</v>
      </c>
      <c r="BA979">
        <v>596</v>
      </c>
      <c r="BB979">
        <v>44</v>
      </c>
      <c r="BD979">
        <v>1</v>
      </c>
      <c r="BF979" t="s">
        <v>1103</v>
      </c>
      <c r="BG979" s="1">
        <v>44354.004861111112</v>
      </c>
      <c r="BH979" s="1">
        <v>44354.011967592596</v>
      </c>
      <c r="BI979" s="1">
        <v>44354.012789351851</v>
      </c>
      <c r="BJ979" t="s">
        <v>85</v>
      </c>
      <c r="BK979" t="s">
        <v>86</v>
      </c>
      <c r="BL979" t="s">
        <v>87</v>
      </c>
    </row>
    <row r="980" spans="1:64" x14ac:dyDescent="0.3">
      <c r="A980" t="str">
        <f>"200523B0000"</f>
        <v>200523B0000</v>
      </c>
      <c r="B980" t="str">
        <f>"200523B00003"</f>
        <v>200523B00003</v>
      </c>
      <c r="C980" t="str">
        <f t="shared" si="62"/>
        <v>20</v>
      </c>
      <c r="D980" t="s">
        <v>81</v>
      </c>
      <c r="E980" t="str">
        <f t="shared" si="61"/>
        <v>066</v>
      </c>
      <c r="F980" t="s">
        <v>951</v>
      </c>
      <c r="G980" t="str">
        <f>"0523"</f>
        <v>0523</v>
      </c>
      <c r="H980" t="str">
        <f>"0000"</f>
        <v>0000</v>
      </c>
      <c r="I980" t="s">
        <v>83</v>
      </c>
      <c r="J980">
        <v>0</v>
      </c>
      <c r="K980">
        <v>1</v>
      </c>
      <c r="L980">
        <v>3</v>
      </c>
      <c r="M980" t="s">
        <v>92</v>
      </c>
      <c r="N980" t="s">
        <v>92</v>
      </c>
      <c r="O980" t="s">
        <v>92</v>
      </c>
      <c r="P980" t="s">
        <v>92</v>
      </c>
      <c r="Q980" t="s">
        <v>95</v>
      </c>
      <c r="R980" t="s">
        <v>95</v>
      </c>
      <c r="S980" t="s">
        <v>95</v>
      </c>
      <c r="T980" t="s">
        <v>95</v>
      </c>
      <c r="U980" t="s">
        <v>95</v>
      </c>
      <c r="V980" t="s">
        <v>95</v>
      </c>
      <c r="W980" t="s">
        <v>95</v>
      </c>
      <c r="X980" t="s">
        <v>95</v>
      </c>
      <c r="Y980" t="s">
        <v>95</v>
      </c>
      <c r="Z980" t="s">
        <v>95</v>
      </c>
      <c r="AA980" t="s">
        <v>95</v>
      </c>
      <c r="AB980" t="s">
        <v>95</v>
      </c>
      <c r="AK980" t="s">
        <v>95</v>
      </c>
      <c r="AO980" t="s">
        <v>95</v>
      </c>
      <c r="AP980" t="s">
        <v>95</v>
      </c>
      <c r="AR980" t="s">
        <v>95</v>
      </c>
      <c r="AU980" t="s">
        <v>95</v>
      </c>
      <c r="AW980" t="s">
        <v>95</v>
      </c>
      <c r="AX980" t="s">
        <v>95</v>
      </c>
      <c r="BA980">
        <v>573</v>
      </c>
      <c r="BB980">
        <v>44</v>
      </c>
      <c r="BC980" t="s">
        <v>712</v>
      </c>
      <c r="BD980">
        <v>0</v>
      </c>
      <c r="BF980" t="s">
        <v>1104</v>
      </c>
      <c r="BG980" s="1">
        <v>44354.017361111109</v>
      </c>
      <c r="BH980" s="1">
        <v>44354.469722222224</v>
      </c>
      <c r="BI980" s="1">
        <v>44354.478182870371</v>
      </c>
      <c r="BJ980" t="s">
        <v>85</v>
      </c>
      <c r="BK980" t="s">
        <v>86</v>
      </c>
      <c r="BL980" t="s">
        <v>87</v>
      </c>
    </row>
    <row r="981" spans="1:64" x14ac:dyDescent="0.3">
      <c r="A981" t="str">
        <f>"200523C0100"</f>
        <v>200523C0100</v>
      </c>
      <c r="B981" t="str">
        <f>"200523C01003"</f>
        <v>200523C01003</v>
      </c>
      <c r="C981" t="str">
        <f t="shared" si="62"/>
        <v>20</v>
      </c>
      <c r="D981" t="s">
        <v>81</v>
      </c>
      <c r="E981" t="str">
        <f t="shared" si="61"/>
        <v>066</v>
      </c>
      <c r="F981" t="s">
        <v>951</v>
      </c>
      <c r="G981" t="str">
        <f>"0523"</f>
        <v>0523</v>
      </c>
      <c r="H981" t="str">
        <f>"0001"</f>
        <v>0001</v>
      </c>
      <c r="I981" t="s">
        <v>89</v>
      </c>
      <c r="J981">
        <v>0</v>
      </c>
      <c r="K981">
        <v>1</v>
      </c>
      <c r="L981">
        <v>3</v>
      </c>
      <c r="M981">
        <v>295</v>
      </c>
      <c r="N981">
        <v>321</v>
      </c>
      <c r="O981">
        <v>3</v>
      </c>
      <c r="P981">
        <v>321</v>
      </c>
      <c r="Q981">
        <v>23</v>
      </c>
      <c r="R981">
        <v>77</v>
      </c>
      <c r="S981">
        <v>3</v>
      </c>
      <c r="T981">
        <v>8</v>
      </c>
      <c r="U981">
        <v>8</v>
      </c>
      <c r="V981">
        <v>6</v>
      </c>
      <c r="W981">
        <v>2</v>
      </c>
      <c r="X981">
        <v>168</v>
      </c>
      <c r="Y981">
        <v>14</v>
      </c>
      <c r="Z981">
        <v>3</v>
      </c>
      <c r="AA981">
        <v>2</v>
      </c>
      <c r="AB981">
        <v>1</v>
      </c>
      <c r="AK981">
        <v>3</v>
      </c>
      <c r="AO981">
        <v>0</v>
      </c>
      <c r="AP981">
        <v>0</v>
      </c>
      <c r="AR981">
        <v>0</v>
      </c>
      <c r="AU981">
        <v>1</v>
      </c>
      <c r="AW981">
        <v>0</v>
      </c>
      <c r="AX981">
        <v>2</v>
      </c>
      <c r="AY981">
        <v>321</v>
      </c>
      <c r="AZ981">
        <v>321</v>
      </c>
      <c r="BA981">
        <v>572</v>
      </c>
      <c r="BB981">
        <v>44</v>
      </c>
      <c r="BD981">
        <v>1</v>
      </c>
      <c r="BF981" t="s">
        <v>1105</v>
      </c>
      <c r="BG981" s="1">
        <v>44354.017361111109</v>
      </c>
      <c r="BH981" s="1">
        <v>44354.027025462965</v>
      </c>
      <c r="BI981" s="1">
        <v>44354.027569444443</v>
      </c>
      <c r="BJ981" t="s">
        <v>85</v>
      </c>
      <c r="BK981" t="s">
        <v>86</v>
      </c>
      <c r="BL981" t="s">
        <v>87</v>
      </c>
    </row>
    <row r="982" spans="1:64" x14ac:dyDescent="0.3">
      <c r="A982" t="str">
        <f>"200524B0000"</f>
        <v>200524B0000</v>
      </c>
      <c r="B982" t="str">
        <f>"200524B00003"</f>
        <v>200524B00003</v>
      </c>
      <c r="C982" t="str">
        <f t="shared" si="62"/>
        <v>20</v>
      </c>
      <c r="D982" t="s">
        <v>81</v>
      </c>
      <c r="E982" t="str">
        <f t="shared" si="61"/>
        <v>066</v>
      </c>
      <c r="F982" t="s">
        <v>951</v>
      </c>
      <c r="G982" t="str">
        <f>"0524"</f>
        <v>0524</v>
      </c>
      <c r="H982" t="str">
        <f>"0000"</f>
        <v>0000</v>
      </c>
      <c r="I982" t="s">
        <v>83</v>
      </c>
      <c r="J982">
        <v>0</v>
      </c>
      <c r="K982">
        <v>1</v>
      </c>
      <c r="L982">
        <v>3</v>
      </c>
      <c r="M982">
        <v>370</v>
      </c>
      <c r="N982">
        <v>356</v>
      </c>
      <c r="O982">
        <v>2</v>
      </c>
      <c r="P982">
        <v>356</v>
      </c>
      <c r="Q982">
        <v>17</v>
      </c>
      <c r="R982">
        <v>89</v>
      </c>
      <c r="S982">
        <v>1</v>
      </c>
      <c r="T982">
        <v>4</v>
      </c>
      <c r="U982">
        <v>7</v>
      </c>
      <c r="V982">
        <v>10</v>
      </c>
      <c r="W982">
        <v>0</v>
      </c>
      <c r="X982">
        <v>193</v>
      </c>
      <c r="Y982">
        <v>5</v>
      </c>
      <c r="Z982">
        <v>6</v>
      </c>
      <c r="AA982">
        <v>2</v>
      </c>
      <c r="AB982">
        <v>11</v>
      </c>
      <c r="AK982">
        <v>2</v>
      </c>
      <c r="AO982">
        <v>0</v>
      </c>
      <c r="AP982">
        <v>0</v>
      </c>
      <c r="AR982">
        <v>0</v>
      </c>
      <c r="AU982">
        <v>0</v>
      </c>
      <c r="AW982">
        <v>0</v>
      </c>
      <c r="AX982">
        <v>9</v>
      </c>
      <c r="AY982">
        <v>356</v>
      </c>
      <c r="AZ982">
        <v>356</v>
      </c>
      <c r="BA982">
        <v>682</v>
      </c>
      <c r="BB982">
        <v>44</v>
      </c>
      <c r="BD982">
        <v>1</v>
      </c>
      <c r="BF982" t="s">
        <v>1106</v>
      </c>
      <c r="BG982" s="1">
        <v>44354.04583333333</v>
      </c>
      <c r="BH982" s="1">
        <v>44354.055393518516</v>
      </c>
      <c r="BI982" s="1">
        <v>44354.056122685186</v>
      </c>
      <c r="BJ982" t="s">
        <v>85</v>
      </c>
      <c r="BK982" t="s">
        <v>86</v>
      </c>
      <c r="BL982" t="s">
        <v>87</v>
      </c>
    </row>
    <row r="983" spans="1:64" x14ac:dyDescent="0.3">
      <c r="A983" t="str">
        <f>"200524C0100"</f>
        <v>200524C0100</v>
      </c>
      <c r="B983" t="str">
        <f>"200524C01003"</f>
        <v>200524C01003</v>
      </c>
      <c r="C983" t="str">
        <f t="shared" si="62"/>
        <v>20</v>
      </c>
      <c r="D983" t="s">
        <v>81</v>
      </c>
      <c r="E983" t="str">
        <f t="shared" si="61"/>
        <v>066</v>
      </c>
      <c r="F983" t="s">
        <v>951</v>
      </c>
      <c r="G983" t="str">
        <f>"0524"</f>
        <v>0524</v>
      </c>
      <c r="H983" t="str">
        <f>"0001"</f>
        <v>0001</v>
      </c>
      <c r="I983" t="s">
        <v>89</v>
      </c>
      <c r="J983">
        <v>0</v>
      </c>
      <c r="K983">
        <v>1</v>
      </c>
      <c r="L983">
        <v>3</v>
      </c>
      <c r="M983">
        <v>364</v>
      </c>
      <c r="N983">
        <v>364</v>
      </c>
      <c r="O983">
        <v>2</v>
      </c>
      <c r="P983">
        <v>362</v>
      </c>
      <c r="Q983">
        <v>21</v>
      </c>
      <c r="R983">
        <v>77</v>
      </c>
      <c r="S983">
        <v>2</v>
      </c>
      <c r="T983">
        <v>4</v>
      </c>
      <c r="U983">
        <v>9</v>
      </c>
      <c r="V983">
        <v>2</v>
      </c>
      <c r="W983">
        <v>1</v>
      </c>
      <c r="X983">
        <v>214</v>
      </c>
      <c r="Y983">
        <v>7</v>
      </c>
      <c r="Z983">
        <v>5</v>
      </c>
      <c r="AA983">
        <v>2</v>
      </c>
      <c r="AB983">
        <v>7</v>
      </c>
      <c r="AK983">
        <v>1</v>
      </c>
      <c r="AO983" t="s">
        <v>95</v>
      </c>
      <c r="AP983" t="s">
        <v>95</v>
      </c>
      <c r="AR983" t="s">
        <v>95</v>
      </c>
      <c r="AU983" t="s">
        <v>95</v>
      </c>
      <c r="AW983" t="s">
        <v>95</v>
      </c>
      <c r="AX983">
        <v>10</v>
      </c>
      <c r="AY983">
        <v>362</v>
      </c>
      <c r="AZ983">
        <v>362</v>
      </c>
      <c r="BA983">
        <v>682</v>
      </c>
      <c r="BB983">
        <v>44</v>
      </c>
      <c r="BC983" t="s">
        <v>96</v>
      </c>
      <c r="BD983">
        <v>1</v>
      </c>
      <c r="BF983" t="s">
        <v>1107</v>
      </c>
      <c r="BG983" s="1">
        <v>44354.046527777777</v>
      </c>
      <c r="BH983" s="1">
        <v>44354.055162037039</v>
      </c>
      <c r="BI983" s="1">
        <v>44354.056203703702</v>
      </c>
      <c r="BJ983" t="s">
        <v>85</v>
      </c>
      <c r="BK983" t="s">
        <v>86</v>
      </c>
      <c r="BL983" t="s">
        <v>87</v>
      </c>
    </row>
    <row r="984" spans="1:64" x14ac:dyDescent="0.3">
      <c r="A984" t="str">
        <f>"200524C0200"</f>
        <v>200524C0200</v>
      </c>
      <c r="B984" t="str">
        <f>"200524C02003"</f>
        <v>200524C02003</v>
      </c>
      <c r="C984" t="str">
        <f t="shared" si="62"/>
        <v>20</v>
      </c>
      <c r="D984" t="s">
        <v>81</v>
      </c>
      <c r="E984" t="str">
        <f t="shared" si="61"/>
        <v>066</v>
      </c>
      <c r="F984" t="s">
        <v>951</v>
      </c>
      <c r="G984" t="str">
        <f>"0524"</f>
        <v>0524</v>
      </c>
      <c r="H984" t="str">
        <f>"0002"</f>
        <v>0002</v>
      </c>
      <c r="I984" t="s">
        <v>89</v>
      </c>
      <c r="J984">
        <v>0</v>
      </c>
      <c r="K984">
        <v>1</v>
      </c>
      <c r="L984">
        <v>3</v>
      </c>
      <c r="M984">
        <v>412</v>
      </c>
      <c r="N984">
        <v>324</v>
      </c>
      <c r="O984">
        <v>4</v>
      </c>
      <c r="P984">
        <v>324</v>
      </c>
      <c r="Q984">
        <v>9</v>
      </c>
      <c r="R984">
        <v>87</v>
      </c>
      <c r="S984">
        <v>5</v>
      </c>
      <c r="T984">
        <v>2</v>
      </c>
      <c r="U984">
        <v>12</v>
      </c>
      <c r="V984">
        <v>2</v>
      </c>
      <c r="W984">
        <v>0</v>
      </c>
      <c r="X984">
        <v>180</v>
      </c>
      <c r="Y984">
        <v>2</v>
      </c>
      <c r="Z984">
        <v>5</v>
      </c>
      <c r="AA984">
        <v>0</v>
      </c>
      <c r="AB984">
        <v>7</v>
      </c>
      <c r="AK984">
        <v>4</v>
      </c>
      <c r="AO984">
        <v>1</v>
      </c>
      <c r="AP984">
        <v>0</v>
      </c>
      <c r="AR984">
        <v>0</v>
      </c>
      <c r="AU984">
        <v>0</v>
      </c>
      <c r="AW984">
        <v>0</v>
      </c>
      <c r="AX984">
        <v>8</v>
      </c>
      <c r="AY984">
        <v>324</v>
      </c>
      <c r="AZ984">
        <v>324</v>
      </c>
      <c r="BA984">
        <v>682</v>
      </c>
      <c r="BB984">
        <v>44</v>
      </c>
      <c r="BD984">
        <v>1</v>
      </c>
      <c r="BF984" t="s">
        <v>1108</v>
      </c>
      <c r="BG984" s="1">
        <v>44354.04583333333</v>
      </c>
      <c r="BH984" s="1">
        <v>44354.05541666667</v>
      </c>
      <c r="BI984" s="1">
        <v>44354.056111111109</v>
      </c>
      <c r="BJ984" t="s">
        <v>85</v>
      </c>
      <c r="BK984" t="s">
        <v>86</v>
      </c>
      <c r="BL984" t="s">
        <v>87</v>
      </c>
    </row>
    <row r="985" spans="1:64" x14ac:dyDescent="0.3">
      <c r="A985" t="str">
        <f>"200524C0300"</f>
        <v>200524C0300</v>
      </c>
      <c r="B985" t="str">
        <f>"200524C03003"</f>
        <v>200524C03003</v>
      </c>
      <c r="C985" t="str">
        <f t="shared" si="62"/>
        <v>20</v>
      </c>
      <c r="D985" t="s">
        <v>81</v>
      </c>
      <c r="E985" t="str">
        <f t="shared" si="61"/>
        <v>066</v>
      </c>
      <c r="F985" t="s">
        <v>951</v>
      </c>
      <c r="G985" t="str">
        <f>"0524"</f>
        <v>0524</v>
      </c>
      <c r="H985" t="str">
        <f>"0003"</f>
        <v>0003</v>
      </c>
      <c r="I985" t="s">
        <v>89</v>
      </c>
      <c r="J985">
        <v>0</v>
      </c>
      <c r="K985">
        <v>1</v>
      </c>
      <c r="L985">
        <v>3</v>
      </c>
      <c r="M985">
        <v>417</v>
      </c>
      <c r="N985">
        <v>307</v>
      </c>
      <c r="O985">
        <v>7</v>
      </c>
      <c r="P985">
        <v>308</v>
      </c>
      <c r="Q985">
        <v>12</v>
      </c>
      <c r="R985">
        <v>77</v>
      </c>
      <c r="S985">
        <v>2</v>
      </c>
      <c r="T985">
        <v>2</v>
      </c>
      <c r="U985">
        <v>7</v>
      </c>
      <c r="V985">
        <v>6</v>
      </c>
      <c r="W985">
        <v>3</v>
      </c>
      <c r="X985">
        <v>174</v>
      </c>
      <c r="Y985">
        <v>4</v>
      </c>
      <c r="Z985">
        <v>4</v>
      </c>
      <c r="AA985">
        <v>1</v>
      </c>
      <c r="AB985">
        <v>9</v>
      </c>
      <c r="AK985">
        <v>0</v>
      </c>
      <c r="AO985">
        <v>0</v>
      </c>
      <c r="AP985">
        <v>0</v>
      </c>
      <c r="AR985">
        <v>0</v>
      </c>
      <c r="AU985">
        <v>0</v>
      </c>
      <c r="AW985">
        <v>0</v>
      </c>
      <c r="AX985">
        <v>7</v>
      </c>
      <c r="AY985">
        <v>308</v>
      </c>
      <c r="AZ985">
        <v>308</v>
      </c>
      <c r="BA985">
        <v>681</v>
      </c>
      <c r="BB985">
        <v>44</v>
      </c>
      <c r="BD985">
        <v>1</v>
      </c>
      <c r="BF985" t="s">
        <v>1109</v>
      </c>
      <c r="BG985" s="1">
        <v>44354.04583333333</v>
      </c>
      <c r="BH985" s="1">
        <v>44354.056504629632</v>
      </c>
      <c r="BI985" s="1">
        <v>44354.056909722225</v>
      </c>
      <c r="BJ985" t="s">
        <v>85</v>
      </c>
      <c r="BK985" t="s">
        <v>86</v>
      </c>
      <c r="BL985" t="s">
        <v>87</v>
      </c>
    </row>
    <row r="986" spans="1:64" x14ac:dyDescent="0.3">
      <c r="A986" t="str">
        <f>"200524C0400"</f>
        <v>200524C0400</v>
      </c>
      <c r="B986" t="str">
        <f>"200524C04003"</f>
        <v>200524C04003</v>
      </c>
      <c r="C986" t="str">
        <f t="shared" si="62"/>
        <v>20</v>
      </c>
      <c r="D986" t="s">
        <v>81</v>
      </c>
      <c r="E986" t="str">
        <f t="shared" si="61"/>
        <v>066</v>
      </c>
      <c r="F986" t="s">
        <v>951</v>
      </c>
      <c r="G986" t="str">
        <f>"0524"</f>
        <v>0524</v>
      </c>
      <c r="H986" t="str">
        <f>"0004"</f>
        <v>0004</v>
      </c>
      <c r="I986" t="s">
        <v>89</v>
      </c>
      <c r="J986">
        <v>0</v>
      </c>
      <c r="K986">
        <v>1</v>
      </c>
      <c r="L986">
        <v>3</v>
      </c>
      <c r="M986">
        <v>380</v>
      </c>
      <c r="N986">
        <v>344</v>
      </c>
      <c r="O986">
        <v>4</v>
      </c>
      <c r="P986">
        <v>345</v>
      </c>
      <c r="Q986">
        <v>11</v>
      </c>
      <c r="R986">
        <v>76</v>
      </c>
      <c r="S986">
        <v>1</v>
      </c>
      <c r="T986">
        <v>2</v>
      </c>
      <c r="U986">
        <v>9</v>
      </c>
      <c r="V986">
        <v>6</v>
      </c>
      <c r="W986">
        <v>0</v>
      </c>
      <c r="X986">
        <v>207</v>
      </c>
      <c r="Y986">
        <v>5</v>
      </c>
      <c r="Z986">
        <v>4</v>
      </c>
      <c r="AA986">
        <v>3</v>
      </c>
      <c r="AB986">
        <v>13</v>
      </c>
      <c r="AK986">
        <v>0</v>
      </c>
      <c r="AO986">
        <v>0</v>
      </c>
      <c r="AP986">
        <v>0</v>
      </c>
      <c r="AR986">
        <v>0</v>
      </c>
      <c r="AU986">
        <v>0</v>
      </c>
      <c r="AW986">
        <v>0</v>
      </c>
      <c r="AX986">
        <v>8</v>
      </c>
      <c r="AY986">
        <v>345</v>
      </c>
      <c r="AZ986">
        <v>345</v>
      </c>
      <c r="BA986">
        <v>681</v>
      </c>
      <c r="BB986">
        <v>44</v>
      </c>
      <c r="BD986">
        <v>1</v>
      </c>
      <c r="BF986" t="s">
        <v>1110</v>
      </c>
      <c r="BG986" s="1">
        <v>44354.045138888891</v>
      </c>
      <c r="BH986" s="1">
        <v>44354.053159722222</v>
      </c>
      <c r="BI986" s="1">
        <v>44354.053877314815</v>
      </c>
      <c r="BJ986" t="s">
        <v>85</v>
      </c>
      <c r="BK986" t="s">
        <v>86</v>
      </c>
      <c r="BL986" t="s">
        <v>87</v>
      </c>
    </row>
    <row r="987" spans="1:64" x14ac:dyDescent="0.3">
      <c r="A987" t="str">
        <f>"200525B0000"</f>
        <v>200525B0000</v>
      </c>
      <c r="B987" t="str">
        <f>"200525B00003"</f>
        <v>200525B00003</v>
      </c>
      <c r="C987" t="str">
        <f t="shared" si="62"/>
        <v>20</v>
      </c>
      <c r="D987" t="s">
        <v>81</v>
      </c>
      <c r="E987" t="str">
        <f t="shared" si="61"/>
        <v>066</v>
      </c>
      <c r="F987" t="s">
        <v>951</v>
      </c>
      <c r="G987" t="str">
        <f>"0525"</f>
        <v>0525</v>
      </c>
      <c r="H987" t="str">
        <f>"0000"</f>
        <v>0000</v>
      </c>
      <c r="I987" t="s">
        <v>83</v>
      </c>
      <c r="J987">
        <v>0</v>
      </c>
      <c r="K987">
        <v>1</v>
      </c>
      <c r="L987">
        <v>3</v>
      </c>
      <c r="M987">
        <v>237</v>
      </c>
      <c r="N987">
        <v>265</v>
      </c>
      <c r="O987">
        <v>4</v>
      </c>
      <c r="P987">
        <v>265</v>
      </c>
      <c r="Q987">
        <v>19</v>
      </c>
      <c r="R987">
        <v>76</v>
      </c>
      <c r="S987">
        <v>3</v>
      </c>
      <c r="T987">
        <v>1</v>
      </c>
      <c r="U987">
        <v>3</v>
      </c>
      <c r="V987">
        <v>5</v>
      </c>
      <c r="W987">
        <v>0</v>
      </c>
      <c r="X987">
        <v>134</v>
      </c>
      <c r="Y987">
        <v>4</v>
      </c>
      <c r="Z987">
        <v>3</v>
      </c>
      <c r="AA987">
        <v>0</v>
      </c>
      <c r="AB987">
        <v>6</v>
      </c>
      <c r="AK987">
        <v>3</v>
      </c>
      <c r="AO987">
        <v>0</v>
      </c>
      <c r="AP987">
        <v>0</v>
      </c>
      <c r="AR987">
        <v>0</v>
      </c>
      <c r="AU987">
        <v>0</v>
      </c>
      <c r="AW987" t="s">
        <v>95</v>
      </c>
      <c r="AX987">
        <v>8</v>
      </c>
      <c r="AY987">
        <v>265</v>
      </c>
      <c r="AZ987">
        <v>265</v>
      </c>
      <c r="BA987">
        <v>458</v>
      </c>
      <c r="BB987">
        <v>44</v>
      </c>
      <c r="BC987" t="s">
        <v>96</v>
      </c>
      <c r="BD987">
        <v>1</v>
      </c>
      <c r="BF987" t="s">
        <v>1111</v>
      </c>
      <c r="BG987" s="1">
        <v>44354.009027777778</v>
      </c>
      <c r="BH987" s="1">
        <v>44354.01462962963</v>
      </c>
      <c r="BI987" s="1">
        <v>44354.01525462963</v>
      </c>
      <c r="BJ987" t="s">
        <v>85</v>
      </c>
      <c r="BK987" t="s">
        <v>86</v>
      </c>
      <c r="BL987" t="s">
        <v>87</v>
      </c>
    </row>
    <row r="988" spans="1:64" x14ac:dyDescent="0.3">
      <c r="A988" t="str">
        <f>"200525C0100"</f>
        <v>200525C0100</v>
      </c>
      <c r="B988" t="str">
        <f>"200525C01003"</f>
        <v>200525C01003</v>
      </c>
      <c r="C988" t="str">
        <f t="shared" si="62"/>
        <v>20</v>
      </c>
      <c r="D988" t="s">
        <v>81</v>
      </c>
      <c r="E988" t="str">
        <f t="shared" si="61"/>
        <v>066</v>
      </c>
      <c r="F988" t="s">
        <v>951</v>
      </c>
      <c r="G988" t="str">
        <f>"0525"</f>
        <v>0525</v>
      </c>
      <c r="H988" t="str">
        <f>"0001"</f>
        <v>0001</v>
      </c>
      <c r="I988" t="s">
        <v>89</v>
      </c>
      <c r="J988">
        <v>0</v>
      </c>
      <c r="K988">
        <v>1</v>
      </c>
      <c r="L988">
        <v>3</v>
      </c>
      <c r="M988">
        <v>231</v>
      </c>
      <c r="N988">
        <v>270</v>
      </c>
      <c r="O988">
        <v>6</v>
      </c>
      <c r="P988">
        <v>270</v>
      </c>
      <c r="Q988">
        <v>23</v>
      </c>
      <c r="R988">
        <v>74</v>
      </c>
      <c r="S988">
        <v>2</v>
      </c>
      <c r="T988">
        <v>3</v>
      </c>
      <c r="U988">
        <v>0</v>
      </c>
      <c r="V988">
        <v>3</v>
      </c>
      <c r="W988">
        <v>3</v>
      </c>
      <c r="X988">
        <v>129</v>
      </c>
      <c r="Y988">
        <v>5</v>
      </c>
      <c r="Z988">
        <v>4</v>
      </c>
      <c r="AA988">
        <v>2</v>
      </c>
      <c r="AB988">
        <v>10</v>
      </c>
      <c r="AK988">
        <v>3</v>
      </c>
      <c r="AO988">
        <v>1</v>
      </c>
      <c r="AP988">
        <v>0</v>
      </c>
      <c r="AR988">
        <v>1</v>
      </c>
      <c r="AU988">
        <v>0</v>
      </c>
      <c r="AW988">
        <v>0</v>
      </c>
      <c r="AX988">
        <v>7</v>
      </c>
      <c r="AY988">
        <v>270</v>
      </c>
      <c r="AZ988">
        <v>270</v>
      </c>
      <c r="BA988">
        <v>457</v>
      </c>
      <c r="BB988">
        <v>44</v>
      </c>
      <c r="BD988">
        <v>1</v>
      </c>
      <c r="BF988" t="s">
        <v>1112</v>
      </c>
      <c r="BG988" s="1">
        <v>44354.01666666667</v>
      </c>
      <c r="BH988" s="1">
        <v>44354.028715277775</v>
      </c>
      <c r="BI988" s="1">
        <v>44354.029317129629</v>
      </c>
      <c r="BJ988" t="s">
        <v>85</v>
      </c>
      <c r="BK988" t="s">
        <v>86</v>
      </c>
      <c r="BL988" t="s">
        <v>87</v>
      </c>
    </row>
    <row r="989" spans="1:64" x14ac:dyDescent="0.3">
      <c r="A989" t="str">
        <f>"200526B0000"</f>
        <v>200526B0000</v>
      </c>
      <c r="B989" t="str">
        <f>"200526B00003"</f>
        <v>200526B00003</v>
      </c>
      <c r="C989" t="str">
        <f t="shared" si="62"/>
        <v>20</v>
      </c>
      <c r="D989" t="s">
        <v>81</v>
      </c>
      <c r="E989" t="str">
        <f t="shared" si="61"/>
        <v>066</v>
      </c>
      <c r="F989" t="s">
        <v>951</v>
      </c>
      <c r="G989" t="str">
        <f>"0526"</f>
        <v>0526</v>
      </c>
      <c r="H989" t="str">
        <f>"0000"</f>
        <v>0000</v>
      </c>
      <c r="I989" t="s">
        <v>83</v>
      </c>
      <c r="J989">
        <v>0</v>
      </c>
      <c r="K989">
        <v>1</v>
      </c>
      <c r="L989">
        <v>3</v>
      </c>
      <c r="M989">
        <v>320</v>
      </c>
      <c r="N989">
        <v>234</v>
      </c>
      <c r="O989">
        <v>0</v>
      </c>
      <c r="P989">
        <v>234</v>
      </c>
      <c r="Q989">
        <v>11</v>
      </c>
      <c r="R989">
        <v>59</v>
      </c>
      <c r="S989">
        <v>2</v>
      </c>
      <c r="T989">
        <v>1</v>
      </c>
      <c r="U989">
        <v>4</v>
      </c>
      <c r="V989">
        <v>3</v>
      </c>
      <c r="W989">
        <v>0</v>
      </c>
      <c r="X989">
        <v>110</v>
      </c>
      <c r="Y989">
        <v>9</v>
      </c>
      <c r="Z989">
        <v>10</v>
      </c>
      <c r="AA989">
        <v>1</v>
      </c>
      <c r="AB989">
        <v>12</v>
      </c>
      <c r="AK989">
        <v>0</v>
      </c>
      <c r="AO989">
        <v>0</v>
      </c>
      <c r="AP989">
        <v>0</v>
      </c>
      <c r="AR989">
        <v>1</v>
      </c>
      <c r="AU989">
        <v>0</v>
      </c>
      <c r="AW989">
        <v>0</v>
      </c>
      <c r="AX989">
        <v>11</v>
      </c>
      <c r="AY989">
        <v>234</v>
      </c>
      <c r="AZ989">
        <v>234</v>
      </c>
      <c r="BA989">
        <v>510</v>
      </c>
      <c r="BB989">
        <v>44</v>
      </c>
      <c r="BD989">
        <v>1</v>
      </c>
      <c r="BF989" t="s">
        <v>1113</v>
      </c>
      <c r="BG989" s="1">
        <v>44353.959722222222</v>
      </c>
      <c r="BH989" s="1">
        <v>44353.961909722224</v>
      </c>
      <c r="BI989" s="1">
        <v>44353.962673611109</v>
      </c>
      <c r="BJ989" t="s">
        <v>85</v>
      </c>
      <c r="BK989" t="s">
        <v>86</v>
      </c>
      <c r="BL989" t="s">
        <v>87</v>
      </c>
    </row>
    <row r="990" spans="1:64" x14ac:dyDescent="0.3">
      <c r="A990" t="str">
        <f>"200526C0100"</f>
        <v>200526C0100</v>
      </c>
      <c r="B990" t="str">
        <f>"200526C01003"</f>
        <v>200526C01003</v>
      </c>
      <c r="C990" t="str">
        <f t="shared" si="62"/>
        <v>20</v>
      </c>
      <c r="D990" t="s">
        <v>81</v>
      </c>
      <c r="E990" t="str">
        <f t="shared" si="61"/>
        <v>066</v>
      </c>
      <c r="F990" t="s">
        <v>951</v>
      </c>
      <c r="G990" t="str">
        <f>"0526"</f>
        <v>0526</v>
      </c>
      <c r="H990" t="str">
        <f>"0001"</f>
        <v>0001</v>
      </c>
      <c r="I990" t="s">
        <v>89</v>
      </c>
      <c r="J990">
        <v>0</v>
      </c>
      <c r="K990">
        <v>1</v>
      </c>
      <c r="L990">
        <v>3</v>
      </c>
      <c r="M990">
        <v>303</v>
      </c>
      <c r="N990">
        <v>554</v>
      </c>
      <c r="O990">
        <v>0</v>
      </c>
      <c r="P990">
        <v>251</v>
      </c>
      <c r="Q990">
        <v>4</v>
      </c>
      <c r="R990">
        <v>56</v>
      </c>
      <c r="S990">
        <v>1</v>
      </c>
      <c r="T990">
        <v>3</v>
      </c>
      <c r="U990">
        <v>10</v>
      </c>
      <c r="V990">
        <v>1</v>
      </c>
      <c r="W990">
        <v>1</v>
      </c>
      <c r="X990">
        <v>148</v>
      </c>
      <c r="Y990">
        <v>6</v>
      </c>
      <c r="Z990">
        <v>3</v>
      </c>
      <c r="AA990">
        <v>4</v>
      </c>
      <c r="AB990">
        <v>5</v>
      </c>
      <c r="AK990">
        <v>4</v>
      </c>
      <c r="AO990">
        <v>0</v>
      </c>
      <c r="AP990">
        <v>0</v>
      </c>
      <c r="AR990">
        <v>0</v>
      </c>
      <c r="AU990">
        <v>0</v>
      </c>
      <c r="AW990">
        <v>0</v>
      </c>
      <c r="AX990">
        <v>5</v>
      </c>
      <c r="AY990">
        <v>251</v>
      </c>
      <c r="AZ990">
        <v>251</v>
      </c>
      <c r="BA990">
        <v>510</v>
      </c>
      <c r="BB990">
        <v>44</v>
      </c>
      <c r="BD990">
        <v>1</v>
      </c>
      <c r="BF990" t="s">
        <v>1114</v>
      </c>
      <c r="BG990" s="1">
        <v>44353.951388888891</v>
      </c>
      <c r="BH990" s="1">
        <v>44353.953912037039</v>
      </c>
      <c r="BI990" s="1">
        <v>44353.954710648148</v>
      </c>
      <c r="BJ990" t="s">
        <v>85</v>
      </c>
      <c r="BK990" t="s">
        <v>86</v>
      </c>
      <c r="BL990" t="s">
        <v>87</v>
      </c>
    </row>
    <row r="991" spans="1:64" x14ac:dyDescent="0.3">
      <c r="A991" t="str">
        <f>"200527B0000"</f>
        <v>200527B0000</v>
      </c>
      <c r="B991" t="str">
        <f>"200527B00003"</f>
        <v>200527B00003</v>
      </c>
      <c r="C991" t="str">
        <f t="shared" si="62"/>
        <v>20</v>
      </c>
      <c r="D991" t="s">
        <v>81</v>
      </c>
      <c r="E991" t="str">
        <f t="shared" si="61"/>
        <v>066</v>
      </c>
      <c r="F991" t="s">
        <v>951</v>
      </c>
      <c r="G991" t="str">
        <f>"0527"</f>
        <v>0527</v>
      </c>
      <c r="H991" t="str">
        <f>"0000"</f>
        <v>0000</v>
      </c>
      <c r="I991" t="s">
        <v>83</v>
      </c>
      <c r="J991">
        <v>0</v>
      </c>
      <c r="K991">
        <v>1</v>
      </c>
      <c r="L991">
        <v>3</v>
      </c>
      <c r="M991">
        <v>340</v>
      </c>
      <c r="N991">
        <v>323</v>
      </c>
      <c r="O991">
        <v>0</v>
      </c>
      <c r="P991">
        <v>323</v>
      </c>
      <c r="Q991">
        <v>14</v>
      </c>
      <c r="R991">
        <v>81</v>
      </c>
      <c r="S991">
        <v>5</v>
      </c>
      <c r="T991">
        <v>1</v>
      </c>
      <c r="U991">
        <v>7</v>
      </c>
      <c r="V991">
        <v>10</v>
      </c>
      <c r="W991">
        <v>1</v>
      </c>
      <c r="X991">
        <v>172</v>
      </c>
      <c r="Y991">
        <v>3</v>
      </c>
      <c r="Z991">
        <v>1</v>
      </c>
      <c r="AA991">
        <v>5</v>
      </c>
      <c r="AB991">
        <v>8</v>
      </c>
      <c r="AK991">
        <v>3</v>
      </c>
      <c r="AO991">
        <v>1</v>
      </c>
      <c r="AP991">
        <v>0</v>
      </c>
      <c r="AR991">
        <v>0</v>
      </c>
      <c r="AU991">
        <v>1</v>
      </c>
      <c r="AW991">
        <v>1</v>
      </c>
      <c r="AX991">
        <v>9</v>
      </c>
      <c r="AY991">
        <v>323</v>
      </c>
      <c r="AZ991">
        <v>323</v>
      </c>
      <c r="BA991">
        <v>620</v>
      </c>
      <c r="BB991">
        <v>44</v>
      </c>
      <c r="BD991">
        <v>1</v>
      </c>
      <c r="BF991" t="s">
        <v>1115</v>
      </c>
      <c r="BG991" s="1">
        <v>44354.063888888886</v>
      </c>
      <c r="BH991" s="1">
        <v>44354.073807870373</v>
      </c>
      <c r="BI991" s="1">
        <v>44354.074328703704</v>
      </c>
      <c r="BJ991" t="s">
        <v>85</v>
      </c>
      <c r="BK991" t="s">
        <v>86</v>
      </c>
      <c r="BL991" t="s">
        <v>87</v>
      </c>
    </row>
    <row r="992" spans="1:64" x14ac:dyDescent="0.3">
      <c r="A992" t="str">
        <f>"200527C0100"</f>
        <v>200527C0100</v>
      </c>
      <c r="B992" t="str">
        <f>"200527C01003"</f>
        <v>200527C01003</v>
      </c>
      <c r="C992" t="str">
        <f t="shared" si="62"/>
        <v>20</v>
      </c>
      <c r="D992" t="s">
        <v>81</v>
      </c>
      <c r="E992" t="str">
        <f t="shared" si="61"/>
        <v>066</v>
      </c>
      <c r="F992" t="s">
        <v>951</v>
      </c>
      <c r="G992" t="str">
        <f>"0527"</f>
        <v>0527</v>
      </c>
      <c r="H992" t="str">
        <f>"0001"</f>
        <v>0001</v>
      </c>
      <c r="I992" t="s">
        <v>89</v>
      </c>
      <c r="J992">
        <v>0</v>
      </c>
      <c r="K992">
        <v>1</v>
      </c>
      <c r="L992">
        <v>3</v>
      </c>
      <c r="M992">
        <v>338</v>
      </c>
      <c r="N992">
        <v>326</v>
      </c>
      <c r="O992">
        <v>2</v>
      </c>
      <c r="P992">
        <v>0</v>
      </c>
      <c r="Q992">
        <v>13</v>
      </c>
      <c r="R992">
        <v>82</v>
      </c>
      <c r="S992">
        <v>2</v>
      </c>
      <c r="T992">
        <v>1</v>
      </c>
      <c r="U992">
        <v>4</v>
      </c>
      <c r="V992">
        <v>23</v>
      </c>
      <c r="W992">
        <v>2</v>
      </c>
      <c r="X992">
        <v>175</v>
      </c>
      <c r="Y992">
        <v>5</v>
      </c>
      <c r="Z992">
        <v>1</v>
      </c>
      <c r="AA992">
        <v>3</v>
      </c>
      <c r="AB992">
        <v>7</v>
      </c>
      <c r="AK992">
        <v>0</v>
      </c>
      <c r="AO992">
        <v>0</v>
      </c>
      <c r="AP992">
        <v>0</v>
      </c>
      <c r="AR992">
        <v>0</v>
      </c>
      <c r="AU992">
        <v>0</v>
      </c>
      <c r="AW992">
        <v>0</v>
      </c>
      <c r="AX992">
        <v>8</v>
      </c>
      <c r="AY992">
        <v>326</v>
      </c>
      <c r="AZ992">
        <v>326</v>
      </c>
      <c r="BA992">
        <v>619</v>
      </c>
      <c r="BB992">
        <v>44</v>
      </c>
      <c r="BD992">
        <v>1</v>
      </c>
      <c r="BF992" t="s">
        <v>1116</v>
      </c>
      <c r="BG992" s="1">
        <v>44354.305555555555</v>
      </c>
      <c r="BH992" s="1">
        <v>44354.314583333333</v>
      </c>
      <c r="BI992" s="1">
        <v>44354.315150462964</v>
      </c>
      <c r="BJ992" t="s">
        <v>85</v>
      </c>
      <c r="BK992" t="s">
        <v>86</v>
      </c>
      <c r="BL992" t="s">
        <v>87</v>
      </c>
    </row>
    <row r="993" spans="1:64" x14ac:dyDescent="0.3">
      <c r="A993" t="str">
        <f>"200528B0000"</f>
        <v>200528B0000</v>
      </c>
      <c r="B993" t="str">
        <f>"200528B00003"</f>
        <v>200528B00003</v>
      </c>
      <c r="C993" t="str">
        <f t="shared" si="62"/>
        <v>20</v>
      </c>
      <c r="D993" t="s">
        <v>81</v>
      </c>
      <c r="E993" t="str">
        <f t="shared" si="61"/>
        <v>066</v>
      </c>
      <c r="F993" t="s">
        <v>951</v>
      </c>
      <c r="G993" t="str">
        <f>"0528"</f>
        <v>0528</v>
      </c>
      <c r="H993" t="str">
        <f>"0000"</f>
        <v>0000</v>
      </c>
      <c r="I993" t="s">
        <v>83</v>
      </c>
      <c r="J993">
        <v>0</v>
      </c>
      <c r="K993">
        <v>1</v>
      </c>
      <c r="L993">
        <v>3</v>
      </c>
      <c r="M993">
        <v>250</v>
      </c>
      <c r="N993">
        <v>315</v>
      </c>
      <c r="O993">
        <v>2</v>
      </c>
      <c r="P993">
        <v>315</v>
      </c>
      <c r="Q993">
        <v>24</v>
      </c>
      <c r="R993">
        <v>75</v>
      </c>
      <c r="S993">
        <v>4</v>
      </c>
      <c r="T993">
        <v>1</v>
      </c>
      <c r="U993">
        <v>10</v>
      </c>
      <c r="V993">
        <v>7</v>
      </c>
      <c r="W993">
        <v>4</v>
      </c>
      <c r="X993">
        <v>168</v>
      </c>
      <c r="Y993">
        <v>6</v>
      </c>
      <c r="Z993">
        <v>2</v>
      </c>
      <c r="AA993">
        <v>2</v>
      </c>
      <c r="AB993">
        <v>5</v>
      </c>
      <c r="AK993">
        <v>2</v>
      </c>
      <c r="AO993">
        <v>0</v>
      </c>
      <c r="AP993">
        <v>0</v>
      </c>
      <c r="AR993">
        <v>0</v>
      </c>
      <c r="AU993">
        <v>0</v>
      </c>
      <c r="AW993">
        <v>0</v>
      </c>
      <c r="AX993">
        <v>5</v>
      </c>
      <c r="AY993">
        <v>315</v>
      </c>
      <c r="AZ993">
        <v>315</v>
      </c>
      <c r="BA993">
        <v>521</v>
      </c>
      <c r="BB993">
        <v>44</v>
      </c>
      <c r="BD993">
        <v>1</v>
      </c>
      <c r="BF993" t="s">
        <v>1117</v>
      </c>
      <c r="BG993" s="1">
        <v>44353.875</v>
      </c>
      <c r="BH993" s="1">
        <v>44354.052789351852</v>
      </c>
      <c r="BI993" s="1">
        <v>44354.053136574075</v>
      </c>
      <c r="BJ993" t="s">
        <v>85</v>
      </c>
      <c r="BK993" t="s">
        <v>86</v>
      </c>
      <c r="BL993" t="s">
        <v>87</v>
      </c>
    </row>
    <row r="994" spans="1:64" x14ac:dyDescent="0.3">
      <c r="A994" t="str">
        <f>"200528C0100"</f>
        <v>200528C0100</v>
      </c>
      <c r="B994" t="str">
        <f>"200528C01003"</f>
        <v>200528C01003</v>
      </c>
      <c r="C994" t="str">
        <f t="shared" si="62"/>
        <v>20</v>
      </c>
      <c r="D994" t="s">
        <v>81</v>
      </c>
      <c r="E994" t="str">
        <f t="shared" si="61"/>
        <v>066</v>
      </c>
      <c r="F994" t="s">
        <v>951</v>
      </c>
      <c r="G994" t="str">
        <f>"0528"</f>
        <v>0528</v>
      </c>
      <c r="H994" t="str">
        <f>"0001"</f>
        <v>0001</v>
      </c>
      <c r="I994" t="s">
        <v>89</v>
      </c>
      <c r="J994">
        <v>0</v>
      </c>
      <c r="K994">
        <v>1</v>
      </c>
      <c r="L994">
        <v>3</v>
      </c>
      <c r="M994">
        <v>260</v>
      </c>
      <c r="N994">
        <v>305</v>
      </c>
      <c r="O994">
        <v>5</v>
      </c>
      <c r="P994">
        <v>305</v>
      </c>
      <c r="Q994">
        <v>28</v>
      </c>
      <c r="R994">
        <v>86</v>
      </c>
      <c r="S994">
        <v>3</v>
      </c>
      <c r="T994">
        <v>3</v>
      </c>
      <c r="U994">
        <v>2</v>
      </c>
      <c r="V994">
        <v>4</v>
      </c>
      <c r="W994">
        <v>4</v>
      </c>
      <c r="X994">
        <v>141</v>
      </c>
      <c r="Y994">
        <v>8</v>
      </c>
      <c r="Z994">
        <v>5</v>
      </c>
      <c r="AA994">
        <v>2</v>
      </c>
      <c r="AB994">
        <v>11</v>
      </c>
      <c r="AK994">
        <v>3</v>
      </c>
      <c r="AO994">
        <v>1</v>
      </c>
      <c r="AP994">
        <v>0</v>
      </c>
      <c r="AR994">
        <v>0</v>
      </c>
      <c r="AU994">
        <v>0</v>
      </c>
      <c r="AW994">
        <v>0</v>
      </c>
      <c r="AX994">
        <v>4</v>
      </c>
      <c r="AY994">
        <v>305</v>
      </c>
      <c r="AZ994">
        <v>305</v>
      </c>
      <c r="BA994">
        <v>521</v>
      </c>
      <c r="BB994">
        <v>44</v>
      </c>
      <c r="BD994">
        <v>1</v>
      </c>
      <c r="BF994" s="2" t="s">
        <v>1118</v>
      </c>
      <c r="BG994" s="1">
        <v>44354.045138888891</v>
      </c>
      <c r="BH994" s="1">
        <v>44354.055659722224</v>
      </c>
      <c r="BI994" s="1">
        <v>44354.056203703702</v>
      </c>
      <c r="BJ994" t="s">
        <v>85</v>
      </c>
      <c r="BK994" t="s">
        <v>86</v>
      </c>
      <c r="BL994" t="s">
        <v>87</v>
      </c>
    </row>
    <row r="995" spans="1:64" x14ac:dyDescent="0.3">
      <c r="A995" t="str">
        <f>"200528C0200"</f>
        <v>200528C0200</v>
      </c>
      <c r="B995" t="str">
        <f>"200528C02003"</f>
        <v>200528C02003</v>
      </c>
      <c r="C995" t="str">
        <f t="shared" si="62"/>
        <v>20</v>
      </c>
      <c r="D995" t="s">
        <v>81</v>
      </c>
      <c r="E995" t="str">
        <f t="shared" si="61"/>
        <v>066</v>
      </c>
      <c r="F995" t="s">
        <v>951</v>
      </c>
      <c r="G995" t="str">
        <f>"0528"</f>
        <v>0528</v>
      </c>
      <c r="H995" t="str">
        <f>"0002"</f>
        <v>0002</v>
      </c>
      <c r="I995" t="s">
        <v>89</v>
      </c>
      <c r="J995">
        <v>0</v>
      </c>
      <c r="K995">
        <v>1</v>
      </c>
      <c r="L995">
        <v>3</v>
      </c>
      <c r="M995">
        <v>260</v>
      </c>
      <c r="N995">
        <v>304</v>
      </c>
      <c r="O995">
        <v>6</v>
      </c>
      <c r="P995">
        <v>304</v>
      </c>
      <c r="Q995">
        <v>27</v>
      </c>
      <c r="R995">
        <v>86</v>
      </c>
      <c r="S995">
        <v>5</v>
      </c>
      <c r="T995">
        <v>6</v>
      </c>
      <c r="U995">
        <v>4</v>
      </c>
      <c r="V995">
        <v>5</v>
      </c>
      <c r="W995">
        <v>0</v>
      </c>
      <c r="X995">
        <v>142</v>
      </c>
      <c r="Y995">
        <v>9</v>
      </c>
      <c r="Z995">
        <v>2</v>
      </c>
      <c r="AA995">
        <v>1</v>
      </c>
      <c r="AB995">
        <v>7</v>
      </c>
      <c r="AK995">
        <v>1</v>
      </c>
      <c r="AO995">
        <v>0</v>
      </c>
      <c r="AP995">
        <v>0</v>
      </c>
      <c r="AR995">
        <v>0</v>
      </c>
      <c r="AU995">
        <v>0</v>
      </c>
      <c r="AW995">
        <v>0</v>
      </c>
      <c r="AX995">
        <v>11</v>
      </c>
      <c r="AY995">
        <v>304</v>
      </c>
      <c r="AZ995">
        <v>306</v>
      </c>
      <c r="BA995">
        <v>520</v>
      </c>
      <c r="BB995">
        <v>44</v>
      </c>
      <c r="BD995">
        <v>1</v>
      </c>
      <c r="BF995" t="s">
        <v>1119</v>
      </c>
      <c r="BG995" s="1">
        <v>44354.042361111111</v>
      </c>
      <c r="BH995" s="1">
        <v>44354.052187499998</v>
      </c>
      <c r="BI995" s="1">
        <v>44354.05265046296</v>
      </c>
      <c r="BJ995" t="s">
        <v>85</v>
      </c>
      <c r="BK995" t="s">
        <v>86</v>
      </c>
      <c r="BL995" t="s">
        <v>87</v>
      </c>
    </row>
    <row r="996" spans="1:64" x14ac:dyDescent="0.3">
      <c r="A996" t="str">
        <f>"200529B0000"</f>
        <v>200529B0000</v>
      </c>
      <c r="B996" t="str">
        <f>"200529B00003"</f>
        <v>200529B00003</v>
      </c>
      <c r="C996" t="str">
        <f t="shared" si="62"/>
        <v>20</v>
      </c>
      <c r="D996" t="s">
        <v>81</v>
      </c>
      <c r="E996" t="str">
        <f t="shared" si="61"/>
        <v>066</v>
      </c>
      <c r="F996" t="s">
        <v>951</v>
      </c>
      <c r="G996" t="str">
        <f>"0529"</f>
        <v>0529</v>
      </c>
      <c r="H996" t="str">
        <f>"0000"</f>
        <v>0000</v>
      </c>
      <c r="I996" t="s">
        <v>83</v>
      </c>
      <c r="J996">
        <v>0</v>
      </c>
      <c r="K996">
        <v>1</v>
      </c>
      <c r="L996">
        <v>3</v>
      </c>
      <c r="M996">
        <v>250</v>
      </c>
      <c r="N996">
        <v>358</v>
      </c>
      <c r="O996">
        <v>8</v>
      </c>
      <c r="P996">
        <v>358</v>
      </c>
      <c r="Q996">
        <v>52</v>
      </c>
      <c r="R996">
        <v>135</v>
      </c>
      <c r="S996">
        <v>2</v>
      </c>
      <c r="T996">
        <v>4</v>
      </c>
      <c r="U996">
        <v>6</v>
      </c>
      <c r="V996">
        <v>8</v>
      </c>
      <c r="W996">
        <v>4</v>
      </c>
      <c r="X996">
        <v>119</v>
      </c>
      <c r="Y996">
        <v>3</v>
      </c>
      <c r="Z996">
        <v>9</v>
      </c>
      <c r="AA996">
        <v>2</v>
      </c>
      <c r="AB996">
        <v>7</v>
      </c>
      <c r="AK996">
        <v>3</v>
      </c>
      <c r="AO996">
        <v>1</v>
      </c>
      <c r="AP996">
        <v>0</v>
      </c>
      <c r="AR996">
        <v>0</v>
      </c>
      <c r="AU996">
        <v>0</v>
      </c>
      <c r="AW996">
        <v>0</v>
      </c>
      <c r="AX996">
        <v>3</v>
      </c>
      <c r="AY996">
        <v>358</v>
      </c>
      <c r="AZ996">
        <v>358</v>
      </c>
      <c r="BA996">
        <v>564</v>
      </c>
      <c r="BB996">
        <v>44</v>
      </c>
      <c r="BD996">
        <v>1</v>
      </c>
      <c r="BF996" t="s">
        <v>1120</v>
      </c>
      <c r="BG996" s="1">
        <v>44354.049305555556</v>
      </c>
      <c r="BH996" s="1">
        <v>44354.060127314813</v>
      </c>
      <c r="BI996" s="1">
        <v>44354.06082175926</v>
      </c>
      <c r="BJ996" t="s">
        <v>85</v>
      </c>
      <c r="BK996" t="s">
        <v>86</v>
      </c>
      <c r="BL996" t="s">
        <v>87</v>
      </c>
    </row>
    <row r="997" spans="1:64" x14ac:dyDescent="0.3">
      <c r="A997" t="str">
        <f>"200529C0100"</f>
        <v>200529C0100</v>
      </c>
      <c r="B997" t="str">
        <f>"200529C01003"</f>
        <v>200529C01003</v>
      </c>
      <c r="C997" t="str">
        <f t="shared" si="62"/>
        <v>20</v>
      </c>
      <c r="D997" t="s">
        <v>81</v>
      </c>
      <c r="E997" t="str">
        <f t="shared" si="61"/>
        <v>066</v>
      </c>
      <c r="F997" t="s">
        <v>951</v>
      </c>
      <c r="G997" t="str">
        <f>"0529"</f>
        <v>0529</v>
      </c>
      <c r="H997" t="str">
        <f>"0001"</f>
        <v>0001</v>
      </c>
      <c r="I997" t="s">
        <v>89</v>
      </c>
      <c r="J997">
        <v>0</v>
      </c>
      <c r="K997">
        <v>1</v>
      </c>
      <c r="L997">
        <v>3</v>
      </c>
      <c r="M997">
        <v>264</v>
      </c>
      <c r="N997">
        <v>338</v>
      </c>
      <c r="O997">
        <v>5</v>
      </c>
      <c r="P997">
        <v>342</v>
      </c>
      <c r="Q997">
        <v>70</v>
      </c>
      <c r="R997">
        <v>113</v>
      </c>
      <c r="S997">
        <v>2</v>
      </c>
      <c r="T997">
        <v>5</v>
      </c>
      <c r="U997">
        <v>4</v>
      </c>
      <c r="V997">
        <v>5</v>
      </c>
      <c r="W997">
        <v>2</v>
      </c>
      <c r="X997">
        <v>123</v>
      </c>
      <c r="Y997">
        <v>6</v>
      </c>
      <c r="Z997">
        <v>2</v>
      </c>
      <c r="AA997">
        <v>2</v>
      </c>
      <c r="AB997">
        <v>3</v>
      </c>
      <c r="AK997">
        <v>1</v>
      </c>
      <c r="AO997">
        <v>0</v>
      </c>
      <c r="AP997">
        <v>0</v>
      </c>
      <c r="AR997">
        <v>0</v>
      </c>
      <c r="AU997">
        <v>0</v>
      </c>
      <c r="AW997">
        <v>1</v>
      </c>
      <c r="AX997">
        <v>3</v>
      </c>
      <c r="AY997">
        <v>342</v>
      </c>
      <c r="AZ997">
        <v>342</v>
      </c>
      <c r="BA997">
        <v>563</v>
      </c>
      <c r="BB997">
        <v>44</v>
      </c>
      <c r="BD997">
        <v>1</v>
      </c>
      <c r="BF997" t="s">
        <v>1121</v>
      </c>
      <c r="BG997" s="1">
        <v>44354.049305555556</v>
      </c>
      <c r="BH997" s="1">
        <v>44354.059953703705</v>
      </c>
      <c r="BI997" s="1">
        <v>44354.060231481482</v>
      </c>
      <c r="BJ997" t="s">
        <v>85</v>
      </c>
      <c r="BK997" t="s">
        <v>86</v>
      </c>
      <c r="BL997" t="s">
        <v>87</v>
      </c>
    </row>
    <row r="998" spans="1:64" x14ac:dyDescent="0.3">
      <c r="A998" t="str">
        <f>"200530B0000"</f>
        <v>200530B0000</v>
      </c>
      <c r="B998" t="str">
        <f>"200530B00003"</f>
        <v>200530B00003</v>
      </c>
      <c r="C998" t="str">
        <f t="shared" si="62"/>
        <v>20</v>
      </c>
      <c r="D998" t="s">
        <v>81</v>
      </c>
      <c r="E998" t="str">
        <f t="shared" si="61"/>
        <v>066</v>
      </c>
      <c r="F998" t="s">
        <v>951</v>
      </c>
      <c r="G998" t="str">
        <f>"0530"</f>
        <v>0530</v>
      </c>
      <c r="H998" t="str">
        <f>"0000"</f>
        <v>0000</v>
      </c>
      <c r="I998" t="s">
        <v>83</v>
      </c>
      <c r="J998">
        <v>0</v>
      </c>
      <c r="K998">
        <v>1</v>
      </c>
      <c r="L998">
        <v>3</v>
      </c>
      <c r="M998">
        <v>270</v>
      </c>
      <c r="N998">
        <v>328</v>
      </c>
      <c r="O998">
        <v>4</v>
      </c>
      <c r="P998">
        <v>328</v>
      </c>
      <c r="Q998">
        <v>43</v>
      </c>
      <c r="R998">
        <v>118</v>
      </c>
      <c r="S998">
        <v>1</v>
      </c>
      <c r="T998">
        <v>3</v>
      </c>
      <c r="U998">
        <v>8</v>
      </c>
      <c r="V998">
        <v>6</v>
      </c>
      <c r="W998">
        <v>2</v>
      </c>
      <c r="X998">
        <v>121</v>
      </c>
      <c r="Y998">
        <v>4</v>
      </c>
      <c r="Z998">
        <v>2</v>
      </c>
      <c r="AA998">
        <v>3</v>
      </c>
      <c r="AB998">
        <v>4</v>
      </c>
      <c r="AK998">
        <v>6</v>
      </c>
      <c r="AO998">
        <v>0</v>
      </c>
      <c r="AP998">
        <v>0</v>
      </c>
      <c r="AR998">
        <v>0</v>
      </c>
      <c r="AU998">
        <v>0</v>
      </c>
      <c r="AW998">
        <v>0</v>
      </c>
      <c r="AX998">
        <v>7</v>
      </c>
      <c r="AY998">
        <v>328</v>
      </c>
      <c r="AZ998">
        <v>328</v>
      </c>
      <c r="BA998">
        <v>554</v>
      </c>
      <c r="BB998">
        <v>44</v>
      </c>
      <c r="BD998">
        <v>1</v>
      </c>
      <c r="BF998" t="s">
        <v>1122</v>
      </c>
      <c r="BG998" s="1">
        <v>44354.073611111111</v>
      </c>
      <c r="BH998" s="1">
        <v>44354.083368055559</v>
      </c>
      <c r="BI998" s="1">
        <v>44354.084143518521</v>
      </c>
      <c r="BJ998" t="s">
        <v>85</v>
      </c>
      <c r="BK998" t="s">
        <v>86</v>
      </c>
      <c r="BL998" t="s">
        <v>87</v>
      </c>
    </row>
    <row r="999" spans="1:64" x14ac:dyDescent="0.3">
      <c r="A999" t="str">
        <f>"200530C0100"</f>
        <v>200530C0100</v>
      </c>
      <c r="B999" t="str">
        <f>"200530C01003"</f>
        <v>200530C01003</v>
      </c>
      <c r="C999" t="str">
        <f t="shared" si="62"/>
        <v>20</v>
      </c>
      <c r="D999" t="s">
        <v>81</v>
      </c>
      <c r="E999" t="str">
        <f t="shared" si="61"/>
        <v>066</v>
      </c>
      <c r="F999" t="s">
        <v>951</v>
      </c>
      <c r="G999" t="str">
        <f>"0530"</f>
        <v>0530</v>
      </c>
      <c r="H999" t="str">
        <f>"0001"</f>
        <v>0001</v>
      </c>
      <c r="I999" t="s">
        <v>89</v>
      </c>
      <c r="J999">
        <v>0</v>
      </c>
      <c r="K999">
        <v>1</v>
      </c>
      <c r="L999">
        <v>3</v>
      </c>
      <c r="M999">
        <v>256</v>
      </c>
      <c r="N999">
        <v>342</v>
      </c>
      <c r="O999">
        <v>4</v>
      </c>
      <c r="P999">
        <v>342</v>
      </c>
      <c r="Q999">
        <v>50</v>
      </c>
      <c r="R999">
        <v>97</v>
      </c>
      <c r="S999">
        <v>0</v>
      </c>
      <c r="T999">
        <v>3</v>
      </c>
      <c r="U999">
        <v>9</v>
      </c>
      <c r="V999">
        <v>10</v>
      </c>
      <c r="W999">
        <v>2</v>
      </c>
      <c r="X999">
        <v>142</v>
      </c>
      <c r="Y999">
        <v>3</v>
      </c>
      <c r="Z999">
        <v>7</v>
      </c>
      <c r="AA999">
        <v>4</v>
      </c>
      <c r="AB999">
        <v>5</v>
      </c>
      <c r="AK999">
        <v>2</v>
      </c>
      <c r="AO999">
        <v>1</v>
      </c>
      <c r="AP999">
        <v>0</v>
      </c>
      <c r="AR999">
        <v>0</v>
      </c>
      <c r="AU999">
        <v>0</v>
      </c>
      <c r="AW999">
        <v>1</v>
      </c>
      <c r="AX999">
        <v>6</v>
      </c>
      <c r="AY999">
        <v>342</v>
      </c>
      <c r="AZ999">
        <v>342</v>
      </c>
      <c r="BA999">
        <v>554</v>
      </c>
      <c r="BB999">
        <v>44</v>
      </c>
      <c r="BD999">
        <v>1</v>
      </c>
      <c r="BF999" t="s">
        <v>1123</v>
      </c>
      <c r="BG999" s="1">
        <v>44354.073611111111</v>
      </c>
      <c r="BH999" s="1">
        <v>44354.081423611111</v>
      </c>
      <c r="BI999" s="1">
        <v>44354.081817129627</v>
      </c>
      <c r="BJ999" t="s">
        <v>85</v>
      </c>
      <c r="BK999" t="s">
        <v>86</v>
      </c>
      <c r="BL999" t="s">
        <v>87</v>
      </c>
    </row>
    <row r="1000" spans="1:64" x14ac:dyDescent="0.3">
      <c r="A1000" t="str">
        <f>"200531B0000"</f>
        <v>200531B0000</v>
      </c>
      <c r="B1000" t="str">
        <f>"200531B00003"</f>
        <v>200531B00003</v>
      </c>
      <c r="C1000" t="str">
        <f t="shared" si="62"/>
        <v>20</v>
      </c>
      <c r="D1000" t="s">
        <v>81</v>
      </c>
      <c r="E1000" t="str">
        <f t="shared" si="61"/>
        <v>066</v>
      </c>
      <c r="F1000" t="s">
        <v>951</v>
      </c>
      <c r="G1000" t="str">
        <f>"0531"</f>
        <v>0531</v>
      </c>
      <c r="H1000" t="str">
        <f>"0000"</f>
        <v>0000</v>
      </c>
      <c r="I1000" t="s">
        <v>83</v>
      </c>
      <c r="J1000">
        <v>0</v>
      </c>
      <c r="K1000">
        <v>1</v>
      </c>
      <c r="L1000">
        <v>3</v>
      </c>
      <c r="M1000">
        <v>333</v>
      </c>
      <c r="N1000">
        <v>424</v>
      </c>
      <c r="O1000">
        <v>2</v>
      </c>
      <c r="P1000">
        <v>424</v>
      </c>
      <c r="Q1000">
        <v>48</v>
      </c>
      <c r="R1000">
        <v>148</v>
      </c>
      <c r="S1000">
        <v>2</v>
      </c>
      <c r="T1000">
        <v>7</v>
      </c>
      <c r="U1000">
        <v>12</v>
      </c>
      <c r="V1000">
        <v>9</v>
      </c>
      <c r="W1000">
        <v>5</v>
      </c>
      <c r="X1000">
        <v>156</v>
      </c>
      <c r="Y1000">
        <v>3</v>
      </c>
      <c r="Z1000">
        <v>6</v>
      </c>
      <c r="AA1000">
        <v>4</v>
      </c>
      <c r="AB1000">
        <v>10</v>
      </c>
      <c r="AK1000">
        <v>2</v>
      </c>
      <c r="AO1000">
        <v>2</v>
      </c>
      <c r="AP1000">
        <v>0</v>
      </c>
      <c r="AR1000">
        <v>0</v>
      </c>
      <c r="AU1000">
        <v>0</v>
      </c>
      <c r="AW1000">
        <v>0</v>
      </c>
      <c r="AX1000">
        <v>10</v>
      </c>
      <c r="AY1000">
        <v>424</v>
      </c>
      <c r="AZ1000">
        <v>424</v>
      </c>
      <c r="BA1000">
        <v>713</v>
      </c>
      <c r="BB1000">
        <v>44</v>
      </c>
      <c r="BD1000">
        <v>1</v>
      </c>
      <c r="BF1000" t="s">
        <v>1124</v>
      </c>
      <c r="BG1000" s="1">
        <v>44354.072916666664</v>
      </c>
      <c r="BH1000" s="1">
        <v>44354.083194444444</v>
      </c>
      <c r="BI1000" s="1">
        <v>44354.084386574075</v>
      </c>
      <c r="BJ1000" t="s">
        <v>85</v>
      </c>
      <c r="BK1000" t="s">
        <v>86</v>
      </c>
      <c r="BL1000" t="s">
        <v>87</v>
      </c>
    </row>
    <row r="1001" spans="1:64" x14ac:dyDescent="0.3">
      <c r="A1001" t="str">
        <f>"200532B0000"</f>
        <v>200532B0000</v>
      </c>
      <c r="B1001" t="str">
        <f>"200532B00003"</f>
        <v>200532B00003</v>
      </c>
      <c r="C1001" t="str">
        <f t="shared" si="62"/>
        <v>20</v>
      </c>
      <c r="D1001" t="s">
        <v>81</v>
      </c>
      <c r="E1001" t="str">
        <f t="shared" si="61"/>
        <v>066</v>
      </c>
      <c r="F1001" t="s">
        <v>951</v>
      </c>
      <c r="G1001" t="str">
        <f>"0532"</f>
        <v>0532</v>
      </c>
      <c r="H1001" t="str">
        <f>"0000"</f>
        <v>0000</v>
      </c>
      <c r="I1001" t="s">
        <v>83</v>
      </c>
      <c r="J1001">
        <v>0</v>
      </c>
      <c r="K1001">
        <v>1</v>
      </c>
      <c r="L1001">
        <v>3</v>
      </c>
      <c r="M1001">
        <v>219</v>
      </c>
      <c r="N1001">
        <v>280</v>
      </c>
      <c r="O1001">
        <v>5</v>
      </c>
      <c r="P1001">
        <v>279</v>
      </c>
      <c r="Q1001">
        <v>32</v>
      </c>
      <c r="R1001">
        <v>90</v>
      </c>
      <c r="S1001">
        <v>1</v>
      </c>
      <c r="T1001">
        <v>7</v>
      </c>
      <c r="U1001">
        <v>5</v>
      </c>
      <c r="V1001">
        <v>9</v>
      </c>
      <c r="W1001">
        <v>3</v>
      </c>
      <c r="X1001">
        <v>114</v>
      </c>
      <c r="Y1001">
        <v>0</v>
      </c>
      <c r="Z1001">
        <v>2</v>
      </c>
      <c r="AA1001">
        <v>3</v>
      </c>
      <c r="AB1001">
        <v>10</v>
      </c>
      <c r="AK1001">
        <v>0</v>
      </c>
      <c r="AO1001">
        <v>1</v>
      </c>
      <c r="AP1001">
        <v>0</v>
      </c>
      <c r="AR1001">
        <v>0</v>
      </c>
      <c r="AU1001">
        <v>1</v>
      </c>
      <c r="AW1001">
        <v>0</v>
      </c>
      <c r="AX1001">
        <v>1</v>
      </c>
      <c r="AY1001">
        <v>279</v>
      </c>
      <c r="AZ1001">
        <v>279</v>
      </c>
      <c r="BA1001">
        <v>455</v>
      </c>
      <c r="BB1001">
        <v>44</v>
      </c>
      <c r="BD1001">
        <v>1</v>
      </c>
      <c r="BF1001" t="s">
        <v>1125</v>
      </c>
      <c r="BG1001" s="1">
        <v>44354.0625</v>
      </c>
      <c r="BH1001" s="1">
        <v>44354.072662037041</v>
      </c>
      <c r="BI1001" s="1">
        <v>44354.073136574072</v>
      </c>
      <c r="BJ1001" t="s">
        <v>85</v>
      </c>
      <c r="BK1001" t="s">
        <v>86</v>
      </c>
      <c r="BL1001" t="s">
        <v>87</v>
      </c>
    </row>
    <row r="1002" spans="1:64" x14ac:dyDescent="0.3">
      <c r="A1002" t="str">
        <f>"200532C0100"</f>
        <v>200532C0100</v>
      </c>
      <c r="B1002" t="str">
        <f>"200532C01003"</f>
        <v>200532C01003</v>
      </c>
      <c r="C1002" t="str">
        <f t="shared" si="62"/>
        <v>20</v>
      </c>
      <c r="D1002" t="s">
        <v>81</v>
      </c>
      <c r="E1002" t="str">
        <f t="shared" si="61"/>
        <v>066</v>
      </c>
      <c r="F1002" t="s">
        <v>951</v>
      </c>
      <c r="G1002" t="str">
        <f>"0532"</f>
        <v>0532</v>
      </c>
      <c r="H1002" t="str">
        <f>"0001"</f>
        <v>0001</v>
      </c>
      <c r="I1002" t="s">
        <v>89</v>
      </c>
      <c r="J1002">
        <v>0</v>
      </c>
      <c r="K1002">
        <v>1</v>
      </c>
      <c r="L1002">
        <v>3</v>
      </c>
      <c r="M1002">
        <v>213</v>
      </c>
      <c r="N1002">
        <v>283</v>
      </c>
      <c r="O1002">
        <v>1</v>
      </c>
      <c r="P1002">
        <v>285</v>
      </c>
      <c r="Q1002">
        <v>45</v>
      </c>
      <c r="R1002">
        <v>104</v>
      </c>
      <c r="S1002">
        <v>3</v>
      </c>
      <c r="T1002">
        <v>6</v>
      </c>
      <c r="U1002">
        <v>0</v>
      </c>
      <c r="V1002">
        <v>8</v>
      </c>
      <c r="W1002">
        <v>0</v>
      </c>
      <c r="X1002">
        <v>94</v>
      </c>
      <c r="Y1002">
        <v>2</v>
      </c>
      <c r="Z1002">
        <v>5</v>
      </c>
      <c r="AA1002">
        <v>1</v>
      </c>
      <c r="AB1002">
        <v>8</v>
      </c>
      <c r="AK1002">
        <v>5</v>
      </c>
      <c r="AO1002" t="s">
        <v>95</v>
      </c>
      <c r="AP1002" t="s">
        <v>95</v>
      </c>
      <c r="AR1002" t="s">
        <v>95</v>
      </c>
      <c r="AU1002" t="s">
        <v>95</v>
      </c>
      <c r="AW1002" t="s">
        <v>95</v>
      </c>
      <c r="AX1002" t="s">
        <v>95</v>
      </c>
      <c r="AY1002" t="s">
        <v>95</v>
      </c>
      <c r="AZ1002">
        <v>281</v>
      </c>
      <c r="BA1002">
        <v>454</v>
      </c>
      <c r="BB1002">
        <v>44</v>
      </c>
      <c r="BC1002" t="s">
        <v>96</v>
      </c>
      <c r="BD1002">
        <v>1</v>
      </c>
      <c r="BF1002" t="s">
        <v>1126</v>
      </c>
      <c r="BG1002" s="1">
        <v>44354.054166666669</v>
      </c>
      <c r="BH1002" s="1">
        <v>44354.062696759262</v>
      </c>
      <c r="BI1002" s="1">
        <v>44354.06322916667</v>
      </c>
      <c r="BJ1002" t="s">
        <v>85</v>
      </c>
      <c r="BK1002" t="s">
        <v>86</v>
      </c>
      <c r="BL1002" t="s">
        <v>87</v>
      </c>
    </row>
    <row r="1003" spans="1:64" x14ac:dyDescent="0.3">
      <c r="A1003" t="str">
        <f>"200533B0000"</f>
        <v>200533B0000</v>
      </c>
      <c r="B1003" t="str">
        <f>"200533B00003"</f>
        <v>200533B00003</v>
      </c>
      <c r="C1003" t="str">
        <f t="shared" si="62"/>
        <v>20</v>
      </c>
      <c r="D1003" t="s">
        <v>81</v>
      </c>
      <c r="E1003" t="str">
        <f t="shared" si="61"/>
        <v>066</v>
      </c>
      <c r="F1003" t="s">
        <v>951</v>
      </c>
      <c r="G1003" t="str">
        <f>"0533"</f>
        <v>0533</v>
      </c>
      <c r="H1003" t="str">
        <f>"0000"</f>
        <v>0000</v>
      </c>
      <c r="I1003" t="s">
        <v>83</v>
      </c>
      <c r="J1003">
        <v>0</v>
      </c>
      <c r="K1003">
        <v>1</v>
      </c>
      <c r="L1003">
        <v>3</v>
      </c>
      <c r="M1003">
        <v>235</v>
      </c>
      <c r="N1003">
        <v>324</v>
      </c>
      <c r="O1003">
        <v>6</v>
      </c>
      <c r="P1003">
        <v>324</v>
      </c>
      <c r="Q1003">
        <v>42</v>
      </c>
      <c r="R1003">
        <v>109</v>
      </c>
      <c r="S1003">
        <v>3</v>
      </c>
      <c r="T1003">
        <v>4</v>
      </c>
      <c r="U1003">
        <v>4</v>
      </c>
      <c r="V1003">
        <v>9</v>
      </c>
      <c r="W1003">
        <v>1</v>
      </c>
      <c r="X1003">
        <v>125</v>
      </c>
      <c r="Y1003">
        <v>8</v>
      </c>
      <c r="Z1003">
        <v>3</v>
      </c>
      <c r="AA1003">
        <v>1</v>
      </c>
      <c r="AB1003">
        <v>7</v>
      </c>
      <c r="AK1003">
        <v>3</v>
      </c>
      <c r="AO1003">
        <v>1</v>
      </c>
      <c r="AP1003">
        <v>0</v>
      </c>
      <c r="AR1003">
        <v>0</v>
      </c>
      <c r="AU1003">
        <v>0</v>
      </c>
      <c r="AW1003">
        <v>0</v>
      </c>
      <c r="AX1003">
        <v>4</v>
      </c>
      <c r="AY1003">
        <v>324</v>
      </c>
      <c r="AZ1003">
        <v>324</v>
      </c>
      <c r="BA1003">
        <v>515</v>
      </c>
      <c r="BB1003">
        <v>44</v>
      </c>
      <c r="BD1003">
        <v>1</v>
      </c>
      <c r="BF1003" t="s">
        <v>1127</v>
      </c>
      <c r="BG1003" s="1">
        <v>44354.006249999999</v>
      </c>
      <c r="BH1003" s="1">
        <v>44354.01226851852</v>
      </c>
      <c r="BI1003" s="1">
        <v>44354.01289351852</v>
      </c>
      <c r="BJ1003" t="s">
        <v>85</v>
      </c>
      <c r="BK1003" t="s">
        <v>86</v>
      </c>
      <c r="BL1003" t="s">
        <v>87</v>
      </c>
    </row>
    <row r="1004" spans="1:64" x14ac:dyDescent="0.3">
      <c r="A1004" t="str">
        <f>"200534B0000"</f>
        <v>200534B0000</v>
      </c>
      <c r="B1004" t="str">
        <f>"200534B00003"</f>
        <v>200534B00003</v>
      </c>
      <c r="C1004" t="str">
        <f t="shared" si="62"/>
        <v>20</v>
      </c>
      <c r="D1004" t="s">
        <v>81</v>
      </c>
      <c r="E1004" t="str">
        <f t="shared" si="61"/>
        <v>066</v>
      </c>
      <c r="F1004" t="s">
        <v>951</v>
      </c>
      <c r="G1004" t="str">
        <f>"0534"</f>
        <v>0534</v>
      </c>
      <c r="H1004" t="str">
        <f>"0000"</f>
        <v>0000</v>
      </c>
      <c r="I1004" t="s">
        <v>83</v>
      </c>
      <c r="J1004">
        <v>0</v>
      </c>
      <c r="K1004">
        <v>1</v>
      </c>
      <c r="L1004">
        <v>3</v>
      </c>
      <c r="M1004">
        <v>238</v>
      </c>
      <c r="N1004">
        <v>327</v>
      </c>
      <c r="O1004">
        <v>8</v>
      </c>
      <c r="P1004">
        <v>326</v>
      </c>
      <c r="Q1004">
        <v>61</v>
      </c>
      <c r="R1004">
        <v>128</v>
      </c>
      <c r="S1004">
        <v>4</v>
      </c>
      <c r="T1004">
        <v>1</v>
      </c>
      <c r="U1004">
        <v>6</v>
      </c>
      <c r="V1004">
        <v>5</v>
      </c>
      <c r="W1004">
        <v>1</v>
      </c>
      <c r="X1004">
        <v>100</v>
      </c>
      <c r="Y1004">
        <v>3</v>
      </c>
      <c r="Z1004">
        <v>3</v>
      </c>
      <c r="AA1004">
        <v>2</v>
      </c>
      <c r="AB1004">
        <v>4</v>
      </c>
      <c r="AK1004">
        <v>3</v>
      </c>
      <c r="AO1004">
        <v>0</v>
      </c>
      <c r="AP1004">
        <v>0</v>
      </c>
      <c r="AR1004">
        <v>0</v>
      </c>
      <c r="AU1004">
        <v>0</v>
      </c>
      <c r="AW1004">
        <v>0</v>
      </c>
      <c r="AX1004">
        <v>5</v>
      </c>
      <c r="AY1004">
        <v>326</v>
      </c>
      <c r="AZ1004">
        <v>326</v>
      </c>
      <c r="BA1004">
        <v>521</v>
      </c>
      <c r="BB1004">
        <v>44</v>
      </c>
      <c r="BD1004">
        <v>1</v>
      </c>
      <c r="BF1004" t="s">
        <v>1128</v>
      </c>
      <c r="BG1004" s="1">
        <v>44354.040277777778</v>
      </c>
      <c r="BH1004" s="1">
        <v>44354.049675925926</v>
      </c>
      <c r="BI1004" s="1">
        <v>44354.050474537034</v>
      </c>
      <c r="BJ1004" t="s">
        <v>85</v>
      </c>
      <c r="BK1004" t="s">
        <v>86</v>
      </c>
      <c r="BL1004" t="s">
        <v>87</v>
      </c>
    </row>
    <row r="1005" spans="1:64" x14ac:dyDescent="0.3">
      <c r="A1005" t="str">
        <f>"200534C0100"</f>
        <v>200534C0100</v>
      </c>
      <c r="B1005" t="str">
        <f>"200534C01003"</f>
        <v>200534C01003</v>
      </c>
      <c r="C1005" t="str">
        <f t="shared" si="62"/>
        <v>20</v>
      </c>
      <c r="D1005" t="s">
        <v>81</v>
      </c>
      <c r="E1005" t="str">
        <f t="shared" si="61"/>
        <v>066</v>
      </c>
      <c r="F1005" t="s">
        <v>951</v>
      </c>
      <c r="G1005" t="str">
        <f>"0534"</f>
        <v>0534</v>
      </c>
      <c r="H1005" t="str">
        <f>"0001"</f>
        <v>0001</v>
      </c>
      <c r="I1005" t="s">
        <v>89</v>
      </c>
      <c r="J1005">
        <v>0</v>
      </c>
      <c r="K1005">
        <v>1</v>
      </c>
      <c r="L1005">
        <v>3</v>
      </c>
      <c r="M1005">
        <v>249</v>
      </c>
      <c r="N1005">
        <v>316</v>
      </c>
      <c r="O1005">
        <v>3</v>
      </c>
      <c r="P1005">
        <v>316</v>
      </c>
      <c r="Q1005">
        <v>74</v>
      </c>
      <c r="R1005">
        <v>122</v>
      </c>
      <c r="S1005">
        <v>5</v>
      </c>
      <c r="T1005">
        <v>1</v>
      </c>
      <c r="U1005">
        <v>5</v>
      </c>
      <c r="V1005">
        <v>3</v>
      </c>
      <c r="W1005">
        <v>0</v>
      </c>
      <c r="X1005">
        <v>85</v>
      </c>
      <c r="Y1005">
        <v>3</v>
      </c>
      <c r="Z1005">
        <v>0</v>
      </c>
      <c r="AA1005">
        <v>1</v>
      </c>
      <c r="AB1005">
        <v>7</v>
      </c>
      <c r="AK1005">
        <v>4</v>
      </c>
      <c r="AO1005">
        <v>2</v>
      </c>
      <c r="AP1005">
        <v>0</v>
      </c>
      <c r="AR1005">
        <v>1</v>
      </c>
      <c r="AU1005">
        <v>0</v>
      </c>
      <c r="AW1005">
        <v>1</v>
      </c>
      <c r="AX1005">
        <v>2</v>
      </c>
      <c r="AY1005">
        <v>316</v>
      </c>
      <c r="AZ1005">
        <v>316</v>
      </c>
      <c r="BA1005">
        <v>521</v>
      </c>
      <c r="BB1005">
        <v>44</v>
      </c>
      <c r="BD1005">
        <v>1</v>
      </c>
      <c r="BF1005" t="s">
        <v>1129</v>
      </c>
      <c r="BG1005" s="1">
        <v>44354.041666666664</v>
      </c>
      <c r="BH1005" s="1">
        <v>44354.05269675926</v>
      </c>
      <c r="BI1005" s="1">
        <v>44354.053206018521</v>
      </c>
      <c r="BJ1005" t="s">
        <v>85</v>
      </c>
      <c r="BK1005" t="s">
        <v>86</v>
      </c>
      <c r="BL1005" t="s">
        <v>87</v>
      </c>
    </row>
    <row r="1006" spans="1:64" x14ac:dyDescent="0.3">
      <c r="A1006" t="str">
        <f>"200535B0000"</f>
        <v>200535B0000</v>
      </c>
      <c r="B1006" t="str">
        <f>"200535B00003"</f>
        <v>200535B00003</v>
      </c>
      <c r="C1006" t="str">
        <f t="shared" si="62"/>
        <v>20</v>
      </c>
      <c r="D1006" t="s">
        <v>81</v>
      </c>
      <c r="E1006" t="str">
        <f t="shared" si="61"/>
        <v>066</v>
      </c>
      <c r="F1006" t="s">
        <v>951</v>
      </c>
      <c r="G1006" t="str">
        <f>"0535"</f>
        <v>0535</v>
      </c>
      <c r="H1006" t="str">
        <f>"0000"</f>
        <v>0000</v>
      </c>
      <c r="I1006" t="s">
        <v>83</v>
      </c>
      <c r="J1006">
        <v>0</v>
      </c>
      <c r="K1006">
        <v>1</v>
      </c>
      <c r="L1006">
        <v>3</v>
      </c>
      <c r="M1006">
        <v>303</v>
      </c>
      <c r="N1006">
        <v>401</v>
      </c>
      <c r="O1006">
        <v>7</v>
      </c>
      <c r="P1006">
        <v>396</v>
      </c>
      <c r="Q1006">
        <v>28</v>
      </c>
      <c r="R1006">
        <v>138</v>
      </c>
      <c r="S1006">
        <v>8</v>
      </c>
      <c r="T1006">
        <v>2</v>
      </c>
      <c r="U1006">
        <v>11</v>
      </c>
      <c r="V1006">
        <v>5</v>
      </c>
      <c r="W1006">
        <v>8</v>
      </c>
      <c r="X1006">
        <v>148</v>
      </c>
      <c r="Y1006">
        <v>6</v>
      </c>
      <c r="Z1006">
        <v>4</v>
      </c>
      <c r="AA1006">
        <v>0</v>
      </c>
      <c r="AB1006">
        <v>20</v>
      </c>
      <c r="AK1006">
        <v>9</v>
      </c>
      <c r="AO1006" t="s">
        <v>95</v>
      </c>
      <c r="AP1006" t="s">
        <v>95</v>
      </c>
      <c r="AR1006" t="s">
        <v>95</v>
      </c>
      <c r="AU1006" t="s">
        <v>95</v>
      </c>
      <c r="AW1006" t="s">
        <v>95</v>
      </c>
      <c r="AX1006">
        <v>9</v>
      </c>
      <c r="AY1006" t="s">
        <v>95</v>
      </c>
      <c r="AZ1006">
        <v>396</v>
      </c>
      <c r="BA1006">
        <v>656</v>
      </c>
      <c r="BB1006">
        <v>44</v>
      </c>
      <c r="BC1006" t="s">
        <v>96</v>
      </c>
      <c r="BD1006">
        <v>1</v>
      </c>
      <c r="BF1006" t="s">
        <v>1130</v>
      </c>
      <c r="BG1006" s="1">
        <v>44354.073611111111</v>
      </c>
      <c r="BH1006" s="1">
        <v>44354.089398148149</v>
      </c>
      <c r="BI1006" s="1">
        <v>44354.090104166666</v>
      </c>
      <c r="BJ1006" t="s">
        <v>85</v>
      </c>
      <c r="BK1006" t="s">
        <v>86</v>
      </c>
      <c r="BL1006" t="s">
        <v>87</v>
      </c>
    </row>
    <row r="1007" spans="1:64" x14ac:dyDescent="0.3">
      <c r="A1007" t="str">
        <f>"200535C0100"</f>
        <v>200535C0100</v>
      </c>
      <c r="B1007" t="str">
        <f>"200535C01003"</f>
        <v>200535C01003</v>
      </c>
      <c r="C1007" t="str">
        <f t="shared" si="62"/>
        <v>20</v>
      </c>
      <c r="D1007" t="s">
        <v>81</v>
      </c>
      <c r="E1007" t="str">
        <f t="shared" si="61"/>
        <v>066</v>
      </c>
      <c r="F1007" t="s">
        <v>951</v>
      </c>
      <c r="G1007" t="str">
        <f>"0535"</f>
        <v>0535</v>
      </c>
      <c r="H1007" t="str">
        <f>"0001"</f>
        <v>0001</v>
      </c>
      <c r="I1007" t="s">
        <v>89</v>
      </c>
      <c r="J1007">
        <v>0</v>
      </c>
      <c r="K1007">
        <v>1</v>
      </c>
      <c r="L1007">
        <v>3</v>
      </c>
      <c r="M1007">
        <v>334</v>
      </c>
      <c r="N1007">
        <v>365</v>
      </c>
      <c r="O1007">
        <v>4</v>
      </c>
      <c r="P1007" t="s">
        <v>92</v>
      </c>
      <c r="Q1007">
        <v>39</v>
      </c>
      <c r="R1007">
        <v>120</v>
      </c>
      <c r="S1007">
        <v>5</v>
      </c>
      <c r="T1007">
        <v>2</v>
      </c>
      <c r="U1007">
        <v>7</v>
      </c>
      <c r="V1007">
        <v>6</v>
      </c>
      <c r="W1007">
        <v>4</v>
      </c>
      <c r="X1007">
        <v>144</v>
      </c>
      <c r="Y1007">
        <v>5</v>
      </c>
      <c r="Z1007">
        <v>2</v>
      </c>
      <c r="AA1007">
        <v>3</v>
      </c>
      <c r="AB1007">
        <v>17</v>
      </c>
      <c r="AK1007">
        <v>5</v>
      </c>
      <c r="AO1007">
        <v>0</v>
      </c>
      <c r="AP1007">
        <v>0</v>
      </c>
      <c r="AR1007">
        <v>0</v>
      </c>
      <c r="AU1007">
        <v>0</v>
      </c>
      <c r="AW1007">
        <v>0</v>
      </c>
      <c r="AX1007">
        <v>6</v>
      </c>
      <c r="AY1007">
        <v>365</v>
      </c>
      <c r="AZ1007">
        <v>365</v>
      </c>
      <c r="BA1007">
        <v>655</v>
      </c>
      <c r="BB1007">
        <v>44</v>
      </c>
      <c r="BD1007">
        <v>1</v>
      </c>
      <c r="BF1007" t="s">
        <v>1131</v>
      </c>
      <c r="BG1007" s="1">
        <v>44354.064583333333</v>
      </c>
      <c r="BH1007" s="1">
        <v>44354.070393518516</v>
      </c>
      <c r="BI1007" s="1">
        <v>44354.070983796293</v>
      </c>
      <c r="BJ1007" t="s">
        <v>85</v>
      </c>
      <c r="BK1007" t="s">
        <v>86</v>
      </c>
      <c r="BL1007" t="s">
        <v>87</v>
      </c>
    </row>
    <row r="1008" spans="1:64" x14ac:dyDescent="0.3">
      <c r="A1008" t="str">
        <f>"200535S0100"</f>
        <v>200535S0100</v>
      </c>
      <c r="B1008" t="str">
        <f>"200535S01003E"</f>
        <v>200535S01003E</v>
      </c>
      <c r="C1008" t="str">
        <f t="shared" si="62"/>
        <v>20</v>
      </c>
      <c r="D1008" t="s">
        <v>81</v>
      </c>
      <c r="E1008" t="str">
        <f t="shared" si="61"/>
        <v>066</v>
      </c>
      <c r="F1008" t="s">
        <v>951</v>
      </c>
      <c r="G1008" t="str">
        <f>"0535"</f>
        <v>0535</v>
      </c>
      <c r="H1008" t="str">
        <f>"0001"</f>
        <v>0001</v>
      </c>
      <c r="I1008" t="s">
        <v>99</v>
      </c>
      <c r="J1008">
        <v>0</v>
      </c>
      <c r="K1008">
        <v>1</v>
      </c>
      <c r="L1008" t="s">
        <v>100</v>
      </c>
      <c r="M1008">
        <v>966</v>
      </c>
      <c r="N1008">
        <v>34</v>
      </c>
      <c r="O1008">
        <v>0</v>
      </c>
      <c r="P1008">
        <v>34</v>
      </c>
      <c r="Q1008">
        <v>3</v>
      </c>
      <c r="R1008">
        <v>5</v>
      </c>
      <c r="S1008">
        <v>2</v>
      </c>
      <c r="T1008">
        <v>2</v>
      </c>
      <c r="U1008">
        <v>0</v>
      </c>
      <c r="V1008">
        <v>0</v>
      </c>
      <c r="W1008">
        <v>1</v>
      </c>
      <c r="X1008">
        <v>19</v>
      </c>
      <c r="Y1008">
        <v>0</v>
      </c>
      <c r="Z1008">
        <v>0</v>
      </c>
      <c r="AA1008">
        <v>0</v>
      </c>
      <c r="AB1008">
        <v>1</v>
      </c>
      <c r="AK1008">
        <v>0</v>
      </c>
      <c r="AO1008">
        <v>0</v>
      </c>
      <c r="AP1008">
        <v>0</v>
      </c>
      <c r="AR1008">
        <v>0</v>
      </c>
      <c r="AU1008">
        <v>0</v>
      </c>
      <c r="AW1008">
        <v>0</v>
      </c>
      <c r="AX1008">
        <v>1</v>
      </c>
      <c r="AY1008">
        <v>34</v>
      </c>
      <c r="AZ1008">
        <v>34</v>
      </c>
      <c r="BA1008">
        <v>0</v>
      </c>
      <c r="BB1008">
        <v>44</v>
      </c>
      <c r="BD1008">
        <v>1</v>
      </c>
      <c r="BF1008" t="s">
        <v>1132</v>
      </c>
      <c r="BG1008" s="1">
        <v>44354.063888888886</v>
      </c>
      <c r="BH1008" s="1">
        <v>44354.083460648151</v>
      </c>
      <c r="BI1008" s="1">
        <v>44354.084016203706</v>
      </c>
      <c r="BJ1008" t="s">
        <v>85</v>
      </c>
      <c r="BK1008" t="s">
        <v>86</v>
      </c>
      <c r="BL1008" t="s">
        <v>87</v>
      </c>
    </row>
    <row r="1009" spans="1:64" x14ac:dyDescent="0.3">
      <c r="A1009" t="str">
        <f>"200536B0000"</f>
        <v>200536B0000</v>
      </c>
      <c r="B1009" t="str">
        <f>"200536B00003"</f>
        <v>200536B00003</v>
      </c>
      <c r="C1009" t="str">
        <f t="shared" si="62"/>
        <v>20</v>
      </c>
      <c r="D1009" t="s">
        <v>81</v>
      </c>
      <c r="E1009" t="str">
        <f t="shared" si="61"/>
        <v>066</v>
      </c>
      <c r="F1009" t="s">
        <v>951</v>
      </c>
      <c r="G1009" t="str">
        <f>"0536"</f>
        <v>0536</v>
      </c>
      <c r="H1009" t="str">
        <f>"0000"</f>
        <v>0000</v>
      </c>
      <c r="I1009" t="s">
        <v>83</v>
      </c>
      <c r="J1009">
        <v>0</v>
      </c>
      <c r="K1009">
        <v>1</v>
      </c>
      <c r="L1009">
        <v>3</v>
      </c>
      <c r="M1009">
        <v>385</v>
      </c>
      <c r="N1009">
        <v>377</v>
      </c>
      <c r="O1009">
        <v>6</v>
      </c>
      <c r="P1009">
        <v>377</v>
      </c>
      <c r="Q1009">
        <v>23</v>
      </c>
      <c r="R1009">
        <v>120</v>
      </c>
      <c r="S1009">
        <v>1</v>
      </c>
      <c r="T1009">
        <v>4</v>
      </c>
      <c r="U1009">
        <v>8</v>
      </c>
      <c r="V1009">
        <v>12</v>
      </c>
      <c r="W1009">
        <v>4</v>
      </c>
      <c r="X1009">
        <v>176</v>
      </c>
      <c r="Y1009">
        <v>2</v>
      </c>
      <c r="Z1009">
        <v>5</v>
      </c>
      <c r="AA1009">
        <v>5</v>
      </c>
      <c r="AB1009">
        <v>4</v>
      </c>
      <c r="AK1009">
        <v>2</v>
      </c>
      <c r="AO1009">
        <v>2</v>
      </c>
      <c r="AP1009" t="s">
        <v>95</v>
      </c>
      <c r="AR1009" t="s">
        <v>95</v>
      </c>
      <c r="AU1009" t="s">
        <v>95</v>
      </c>
      <c r="AW1009" t="s">
        <v>95</v>
      </c>
      <c r="AX1009">
        <v>9</v>
      </c>
      <c r="AY1009">
        <v>377</v>
      </c>
      <c r="AZ1009">
        <v>377</v>
      </c>
      <c r="BA1009">
        <v>718</v>
      </c>
      <c r="BB1009">
        <v>44</v>
      </c>
      <c r="BC1009" t="s">
        <v>96</v>
      </c>
      <c r="BD1009">
        <v>1</v>
      </c>
      <c r="BF1009" t="s">
        <v>1133</v>
      </c>
      <c r="BG1009" s="1">
        <v>44353.988888888889</v>
      </c>
      <c r="BH1009" s="1">
        <v>44353.993032407408</v>
      </c>
      <c r="BI1009" s="1">
        <v>44353.993796296294</v>
      </c>
      <c r="BJ1009" t="s">
        <v>85</v>
      </c>
      <c r="BK1009" t="s">
        <v>86</v>
      </c>
      <c r="BL1009" t="s">
        <v>87</v>
      </c>
    </row>
    <row r="1010" spans="1:64" x14ac:dyDescent="0.3">
      <c r="A1010" t="str">
        <f>"200537B0000"</f>
        <v>200537B0000</v>
      </c>
      <c r="B1010" t="str">
        <f>"200537B00003"</f>
        <v>200537B00003</v>
      </c>
      <c r="C1010" t="str">
        <f t="shared" si="62"/>
        <v>20</v>
      </c>
      <c r="D1010" t="s">
        <v>81</v>
      </c>
      <c r="E1010" t="str">
        <f t="shared" si="61"/>
        <v>066</v>
      </c>
      <c r="F1010" t="s">
        <v>951</v>
      </c>
      <c r="G1010" t="str">
        <f>"0537"</f>
        <v>0537</v>
      </c>
      <c r="H1010" t="str">
        <f>"0000"</f>
        <v>0000</v>
      </c>
      <c r="I1010" t="s">
        <v>83</v>
      </c>
      <c r="J1010">
        <v>0</v>
      </c>
      <c r="K1010">
        <v>1</v>
      </c>
      <c r="L1010">
        <v>3</v>
      </c>
      <c r="M1010">
        <v>269</v>
      </c>
      <c r="N1010">
        <v>312</v>
      </c>
      <c r="O1010">
        <v>3</v>
      </c>
      <c r="P1010">
        <v>2</v>
      </c>
      <c r="Q1010">
        <v>19</v>
      </c>
      <c r="R1010">
        <v>67</v>
      </c>
      <c r="S1010">
        <v>0</v>
      </c>
      <c r="T1010">
        <v>5</v>
      </c>
      <c r="U1010">
        <v>5</v>
      </c>
      <c r="V1010">
        <v>3</v>
      </c>
      <c r="W1010">
        <v>3</v>
      </c>
      <c r="X1010">
        <v>193</v>
      </c>
      <c r="Y1010">
        <v>1</v>
      </c>
      <c r="Z1010">
        <v>4</v>
      </c>
      <c r="AA1010">
        <v>2</v>
      </c>
      <c r="AB1010">
        <v>5</v>
      </c>
      <c r="AK1010">
        <v>1</v>
      </c>
      <c r="AO1010">
        <v>0</v>
      </c>
      <c r="AP1010">
        <v>0</v>
      </c>
      <c r="AR1010">
        <v>0</v>
      </c>
      <c r="AU1010">
        <v>0</v>
      </c>
      <c r="AW1010">
        <v>0</v>
      </c>
      <c r="AX1010">
        <v>4</v>
      </c>
      <c r="AY1010">
        <v>312</v>
      </c>
      <c r="AZ1010">
        <v>312</v>
      </c>
      <c r="BA1010">
        <v>541</v>
      </c>
      <c r="BB1010">
        <v>44</v>
      </c>
      <c r="BD1010">
        <v>1</v>
      </c>
      <c r="BF1010" t="s">
        <v>1134</v>
      </c>
      <c r="BG1010" s="1">
        <v>44354.041666666664</v>
      </c>
      <c r="BH1010" s="1">
        <v>44354.052847222221</v>
      </c>
      <c r="BI1010" s="1">
        <v>44354.05369212963</v>
      </c>
      <c r="BJ1010" t="s">
        <v>85</v>
      </c>
      <c r="BK1010" t="s">
        <v>86</v>
      </c>
      <c r="BL1010" t="s">
        <v>87</v>
      </c>
    </row>
    <row r="1011" spans="1:64" x14ac:dyDescent="0.3">
      <c r="A1011" t="str">
        <f>"200537C0100"</f>
        <v>200537C0100</v>
      </c>
      <c r="B1011" t="str">
        <f>"200537C01003"</f>
        <v>200537C01003</v>
      </c>
      <c r="C1011" t="str">
        <f t="shared" si="62"/>
        <v>20</v>
      </c>
      <c r="D1011" t="s">
        <v>81</v>
      </c>
      <c r="E1011" t="str">
        <f t="shared" si="61"/>
        <v>066</v>
      </c>
      <c r="F1011" t="s">
        <v>951</v>
      </c>
      <c r="G1011" t="str">
        <f>"0537"</f>
        <v>0537</v>
      </c>
      <c r="H1011" t="str">
        <f>"0001"</f>
        <v>0001</v>
      </c>
      <c r="I1011" t="s">
        <v>89</v>
      </c>
      <c r="J1011">
        <v>0</v>
      </c>
      <c r="K1011">
        <v>1</v>
      </c>
      <c r="L1011">
        <v>3</v>
      </c>
      <c r="M1011" t="s">
        <v>92</v>
      </c>
      <c r="N1011" t="s">
        <v>92</v>
      </c>
      <c r="O1011" t="s">
        <v>92</v>
      </c>
      <c r="P1011" t="s">
        <v>92</v>
      </c>
      <c r="Q1011">
        <v>11</v>
      </c>
      <c r="R1011">
        <v>71</v>
      </c>
      <c r="S1011">
        <v>1</v>
      </c>
      <c r="T1011">
        <v>6</v>
      </c>
      <c r="U1011">
        <v>6</v>
      </c>
      <c r="V1011">
        <v>0</v>
      </c>
      <c r="W1011">
        <v>0</v>
      </c>
      <c r="X1011">
        <v>175</v>
      </c>
      <c r="Y1011">
        <v>2</v>
      </c>
      <c r="Z1011">
        <v>4</v>
      </c>
      <c r="AA1011">
        <v>1</v>
      </c>
      <c r="AB1011">
        <v>6</v>
      </c>
      <c r="AK1011">
        <v>0</v>
      </c>
      <c r="AO1011">
        <v>0</v>
      </c>
      <c r="AP1011">
        <v>0</v>
      </c>
      <c r="AR1011">
        <v>0</v>
      </c>
      <c r="AU1011">
        <v>0</v>
      </c>
      <c r="AW1011">
        <v>0</v>
      </c>
      <c r="AX1011">
        <v>8</v>
      </c>
      <c r="AY1011">
        <v>291</v>
      </c>
      <c r="AZ1011">
        <v>291</v>
      </c>
      <c r="BA1011">
        <v>540</v>
      </c>
      <c r="BB1011">
        <v>44</v>
      </c>
      <c r="BD1011">
        <v>1</v>
      </c>
      <c r="BF1011" t="s">
        <v>1135</v>
      </c>
      <c r="BG1011" s="1">
        <v>44354.306250000001</v>
      </c>
      <c r="BH1011" s="1">
        <v>44354.31108796296</v>
      </c>
      <c r="BI1011" s="1">
        <v>44354.311678240738</v>
      </c>
      <c r="BJ1011" t="s">
        <v>85</v>
      </c>
      <c r="BK1011" t="s">
        <v>86</v>
      </c>
      <c r="BL1011" t="s">
        <v>87</v>
      </c>
    </row>
    <row r="1012" spans="1:64" x14ac:dyDescent="0.3">
      <c r="A1012" t="str">
        <f>"200538B0000"</f>
        <v>200538B0000</v>
      </c>
      <c r="B1012" t="str">
        <f>"200538B00003"</f>
        <v>200538B00003</v>
      </c>
      <c r="C1012" t="str">
        <f t="shared" si="62"/>
        <v>20</v>
      </c>
      <c r="D1012" t="s">
        <v>81</v>
      </c>
      <c r="E1012" t="str">
        <f t="shared" si="61"/>
        <v>066</v>
      </c>
      <c r="F1012" t="s">
        <v>951</v>
      </c>
      <c r="G1012" t="str">
        <f>"0538"</f>
        <v>0538</v>
      </c>
      <c r="H1012" t="str">
        <f>"0000"</f>
        <v>0000</v>
      </c>
      <c r="I1012" t="s">
        <v>83</v>
      </c>
      <c r="J1012">
        <v>0</v>
      </c>
      <c r="K1012">
        <v>1</v>
      </c>
      <c r="L1012">
        <v>3</v>
      </c>
      <c r="M1012">
        <v>233</v>
      </c>
      <c r="N1012">
        <v>287</v>
      </c>
      <c r="O1012">
        <v>3</v>
      </c>
      <c r="P1012">
        <v>287</v>
      </c>
      <c r="Q1012">
        <v>11</v>
      </c>
      <c r="R1012">
        <v>66</v>
      </c>
      <c r="S1012">
        <v>0</v>
      </c>
      <c r="T1012">
        <v>3</v>
      </c>
      <c r="U1012">
        <v>2</v>
      </c>
      <c r="V1012">
        <v>4</v>
      </c>
      <c r="W1012">
        <v>4</v>
      </c>
      <c r="X1012">
        <v>178</v>
      </c>
      <c r="Y1012">
        <v>3</v>
      </c>
      <c r="Z1012">
        <v>2</v>
      </c>
      <c r="AA1012">
        <v>3</v>
      </c>
      <c r="AB1012">
        <v>6</v>
      </c>
      <c r="AK1012">
        <v>1</v>
      </c>
      <c r="AO1012">
        <v>0</v>
      </c>
      <c r="AP1012">
        <v>0</v>
      </c>
      <c r="AR1012">
        <v>0</v>
      </c>
      <c r="AU1012">
        <v>1</v>
      </c>
      <c r="AW1012">
        <v>0</v>
      </c>
      <c r="AX1012">
        <v>3</v>
      </c>
      <c r="AY1012">
        <v>287</v>
      </c>
      <c r="AZ1012">
        <v>287</v>
      </c>
      <c r="BA1012">
        <v>520</v>
      </c>
      <c r="BB1012">
        <v>44</v>
      </c>
      <c r="BD1012">
        <v>1</v>
      </c>
      <c r="BF1012" t="s">
        <v>1136</v>
      </c>
      <c r="BG1012" s="1">
        <v>44354.041666666664</v>
      </c>
      <c r="BH1012" s="1">
        <v>44354.051180555558</v>
      </c>
      <c r="BI1012" s="1">
        <v>44354.051724537036</v>
      </c>
      <c r="BJ1012" t="s">
        <v>85</v>
      </c>
      <c r="BK1012" t="s">
        <v>86</v>
      </c>
      <c r="BL1012" t="s">
        <v>87</v>
      </c>
    </row>
    <row r="1013" spans="1:64" x14ac:dyDescent="0.3">
      <c r="A1013" t="str">
        <f>"200538C0100"</f>
        <v>200538C0100</v>
      </c>
      <c r="B1013" t="str">
        <f>"200538C01003"</f>
        <v>200538C01003</v>
      </c>
      <c r="C1013" t="str">
        <f t="shared" si="62"/>
        <v>20</v>
      </c>
      <c r="D1013" t="s">
        <v>81</v>
      </c>
      <c r="E1013" t="str">
        <f t="shared" si="61"/>
        <v>066</v>
      </c>
      <c r="F1013" t="s">
        <v>951</v>
      </c>
      <c r="G1013" t="str">
        <f>"0538"</f>
        <v>0538</v>
      </c>
      <c r="H1013" t="str">
        <f>"0001"</f>
        <v>0001</v>
      </c>
      <c r="I1013" t="s">
        <v>89</v>
      </c>
      <c r="J1013">
        <v>0</v>
      </c>
      <c r="K1013">
        <v>1</v>
      </c>
      <c r="L1013">
        <v>3</v>
      </c>
      <c r="M1013">
        <v>287</v>
      </c>
      <c r="N1013">
        <v>277</v>
      </c>
      <c r="O1013">
        <v>3</v>
      </c>
      <c r="P1013">
        <v>277</v>
      </c>
      <c r="Q1013">
        <v>13</v>
      </c>
      <c r="R1013">
        <v>64</v>
      </c>
      <c r="S1013">
        <v>4</v>
      </c>
      <c r="T1013">
        <v>5</v>
      </c>
      <c r="U1013">
        <v>8</v>
      </c>
      <c r="V1013">
        <v>7</v>
      </c>
      <c r="W1013">
        <v>3</v>
      </c>
      <c r="X1013">
        <v>154</v>
      </c>
      <c r="Y1013">
        <v>2</v>
      </c>
      <c r="Z1013">
        <v>3</v>
      </c>
      <c r="AA1013">
        <v>0</v>
      </c>
      <c r="AB1013">
        <v>7</v>
      </c>
      <c r="AK1013">
        <v>0</v>
      </c>
      <c r="AO1013">
        <v>0</v>
      </c>
      <c r="AP1013">
        <v>0</v>
      </c>
      <c r="AR1013">
        <v>0</v>
      </c>
      <c r="AU1013">
        <v>0</v>
      </c>
      <c r="AW1013">
        <v>0</v>
      </c>
      <c r="AX1013">
        <v>7</v>
      </c>
      <c r="AY1013">
        <v>277</v>
      </c>
      <c r="AZ1013">
        <v>277</v>
      </c>
      <c r="BA1013">
        <v>520</v>
      </c>
      <c r="BB1013">
        <v>44</v>
      </c>
      <c r="BD1013">
        <v>1</v>
      </c>
      <c r="BF1013" t="s">
        <v>1137</v>
      </c>
      <c r="BG1013" s="1">
        <v>44354.041666666664</v>
      </c>
      <c r="BH1013" s="1">
        <v>44354.054340277777</v>
      </c>
      <c r="BI1013" s="1">
        <v>44354.055046296293</v>
      </c>
      <c r="BJ1013" t="s">
        <v>85</v>
      </c>
      <c r="BK1013" t="s">
        <v>86</v>
      </c>
      <c r="BL1013" t="s">
        <v>87</v>
      </c>
    </row>
    <row r="1014" spans="1:64" x14ac:dyDescent="0.3">
      <c r="A1014" t="str">
        <f>"200539B0000"</f>
        <v>200539B0000</v>
      </c>
      <c r="B1014" t="str">
        <f>"200539B00003"</f>
        <v>200539B00003</v>
      </c>
      <c r="C1014" t="str">
        <f t="shared" si="62"/>
        <v>20</v>
      </c>
      <c r="D1014" t="s">
        <v>81</v>
      </c>
      <c r="E1014" t="str">
        <f t="shared" si="61"/>
        <v>066</v>
      </c>
      <c r="F1014" t="s">
        <v>951</v>
      </c>
      <c r="G1014" t="str">
        <f>"0539"</f>
        <v>0539</v>
      </c>
      <c r="H1014" t="str">
        <f>"0000"</f>
        <v>0000</v>
      </c>
      <c r="I1014" t="s">
        <v>83</v>
      </c>
      <c r="J1014">
        <v>0</v>
      </c>
      <c r="K1014">
        <v>1</v>
      </c>
      <c r="L1014">
        <v>3</v>
      </c>
      <c r="M1014">
        <v>236</v>
      </c>
      <c r="N1014">
        <v>238</v>
      </c>
      <c r="O1014">
        <v>7</v>
      </c>
      <c r="P1014">
        <v>231</v>
      </c>
      <c r="Q1014">
        <v>19</v>
      </c>
      <c r="R1014">
        <v>45</v>
      </c>
      <c r="S1014">
        <v>1</v>
      </c>
      <c r="T1014">
        <v>1</v>
      </c>
      <c r="U1014">
        <v>8</v>
      </c>
      <c r="V1014">
        <v>1</v>
      </c>
      <c r="W1014">
        <v>1</v>
      </c>
      <c r="X1014">
        <v>126</v>
      </c>
      <c r="Y1014">
        <v>4</v>
      </c>
      <c r="Z1014">
        <v>5</v>
      </c>
      <c r="AA1014">
        <v>5</v>
      </c>
      <c r="AB1014">
        <v>9</v>
      </c>
      <c r="AK1014">
        <v>0</v>
      </c>
      <c r="AO1014">
        <v>0</v>
      </c>
      <c r="AP1014">
        <v>0</v>
      </c>
      <c r="AR1014">
        <v>0</v>
      </c>
      <c r="AU1014">
        <v>0</v>
      </c>
      <c r="AW1014" t="s">
        <v>95</v>
      </c>
      <c r="AX1014">
        <v>6</v>
      </c>
      <c r="AY1014">
        <v>231</v>
      </c>
      <c r="AZ1014">
        <v>231</v>
      </c>
      <c r="BA1014">
        <v>422</v>
      </c>
      <c r="BB1014">
        <v>44</v>
      </c>
      <c r="BC1014" t="s">
        <v>96</v>
      </c>
      <c r="BD1014">
        <v>1</v>
      </c>
      <c r="BF1014" t="s">
        <v>1138</v>
      </c>
      <c r="BG1014" s="1">
        <v>44354.013888888891</v>
      </c>
      <c r="BH1014" s="1">
        <v>44354.04074074074</v>
      </c>
      <c r="BI1014" s="1">
        <v>44354.04142361111</v>
      </c>
      <c r="BJ1014" t="s">
        <v>85</v>
      </c>
      <c r="BK1014" t="s">
        <v>86</v>
      </c>
      <c r="BL1014" t="s">
        <v>87</v>
      </c>
    </row>
    <row r="1015" spans="1:64" x14ac:dyDescent="0.3">
      <c r="A1015" t="str">
        <f>"200539C0100"</f>
        <v>200539C0100</v>
      </c>
      <c r="B1015" t="str">
        <f>"200539C01003"</f>
        <v>200539C01003</v>
      </c>
      <c r="C1015" t="str">
        <f t="shared" si="62"/>
        <v>20</v>
      </c>
      <c r="D1015" t="s">
        <v>81</v>
      </c>
      <c r="E1015" t="str">
        <f t="shared" si="61"/>
        <v>066</v>
      </c>
      <c r="F1015" t="s">
        <v>951</v>
      </c>
      <c r="G1015" t="str">
        <f>"0539"</f>
        <v>0539</v>
      </c>
      <c r="H1015" t="str">
        <f>"0001"</f>
        <v>0001</v>
      </c>
      <c r="I1015" t="s">
        <v>89</v>
      </c>
      <c r="J1015">
        <v>0</v>
      </c>
      <c r="K1015">
        <v>1</v>
      </c>
      <c r="L1015">
        <v>3</v>
      </c>
      <c r="M1015">
        <v>210</v>
      </c>
      <c r="N1015">
        <v>254</v>
      </c>
      <c r="O1015">
        <v>8</v>
      </c>
      <c r="P1015">
        <v>254</v>
      </c>
      <c r="Q1015">
        <v>16</v>
      </c>
      <c r="R1015">
        <v>60</v>
      </c>
      <c r="S1015">
        <v>1</v>
      </c>
      <c r="T1015">
        <v>3</v>
      </c>
      <c r="U1015">
        <v>3</v>
      </c>
      <c r="V1015">
        <v>6</v>
      </c>
      <c r="W1015">
        <v>1</v>
      </c>
      <c r="X1015">
        <v>130</v>
      </c>
      <c r="Y1015">
        <v>10</v>
      </c>
      <c r="Z1015">
        <v>6</v>
      </c>
      <c r="AA1015">
        <v>0</v>
      </c>
      <c r="AB1015">
        <v>6</v>
      </c>
      <c r="AK1015">
        <v>0</v>
      </c>
      <c r="AO1015">
        <v>0</v>
      </c>
      <c r="AP1015">
        <v>0</v>
      </c>
      <c r="AR1015">
        <v>0</v>
      </c>
      <c r="AU1015">
        <v>0</v>
      </c>
      <c r="AW1015">
        <v>1</v>
      </c>
      <c r="AX1015">
        <v>11</v>
      </c>
      <c r="AY1015">
        <v>254</v>
      </c>
      <c r="AZ1015">
        <v>254</v>
      </c>
      <c r="BA1015">
        <v>421</v>
      </c>
      <c r="BB1015">
        <v>44</v>
      </c>
      <c r="BD1015">
        <v>1</v>
      </c>
      <c r="BF1015" t="s">
        <v>1139</v>
      </c>
      <c r="BG1015" s="1">
        <v>44354.015972222223</v>
      </c>
      <c r="BH1015" s="1">
        <v>44354.02449074074</v>
      </c>
      <c r="BI1015" s="1">
        <v>44354.02548611111</v>
      </c>
      <c r="BJ1015" t="s">
        <v>85</v>
      </c>
      <c r="BK1015" t="s">
        <v>86</v>
      </c>
      <c r="BL1015" t="s">
        <v>87</v>
      </c>
    </row>
    <row r="1016" spans="1:64" x14ac:dyDescent="0.3">
      <c r="A1016" t="str">
        <f>"200540B0000"</f>
        <v>200540B0000</v>
      </c>
      <c r="B1016" t="str">
        <f>"200540B00003"</f>
        <v>200540B00003</v>
      </c>
      <c r="C1016" t="str">
        <f t="shared" si="62"/>
        <v>20</v>
      </c>
      <c r="D1016" t="s">
        <v>81</v>
      </c>
      <c r="E1016" t="str">
        <f t="shared" si="61"/>
        <v>066</v>
      </c>
      <c r="F1016" t="s">
        <v>951</v>
      </c>
      <c r="G1016" t="str">
        <f>"0540"</f>
        <v>0540</v>
      </c>
      <c r="H1016" t="str">
        <f>"0000"</f>
        <v>0000</v>
      </c>
      <c r="I1016" t="s">
        <v>83</v>
      </c>
      <c r="J1016">
        <v>0</v>
      </c>
      <c r="K1016">
        <v>1</v>
      </c>
      <c r="L1016">
        <v>3</v>
      </c>
      <c r="M1016">
        <v>488</v>
      </c>
      <c r="N1016">
        <v>272</v>
      </c>
      <c r="O1016">
        <v>6</v>
      </c>
      <c r="P1016">
        <v>272</v>
      </c>
      <c r="Q1016">
        <v>5</v>
      </c>
      <c r="R1016">
        <v>62</v>
      </c>
      <c r="S1016">
        <v>5</v>
      </c>
      <c r="T1016">
        <v>2</v>
      </c>
      <c r="U1016">
        <v>11</v>
      </c>
      <c r="V1016">
        <v>1</v>
      </c>
      <c r="W1016">
        <v>3</v>
      </c>
      <c r="X1016">
        <v>154</v>
      </c>
      <c r="Y1016">
        <v>2</v>
      </c>
      <c r="Z1016">
        <v>10</v>
      </c>
      <c r="AA1016">
        <v>0</v>
      </c>
      <c r="AB1016">
        <v>3</v>
      </c>
      <c r="AK1016">
        <v>1</v>
      </c>
      <c r="AO1016">
        <v>0</v>
      </c>
      <c r="AP1016">
        <v>0</v>
      </c>
      <c r="AR1016">
        <v>0</v>
      </c>
      <c r="AU1016">
        <v>0</v>
      </c>
      <c r="AW1016">
        <v>0</v>
      </c>
      <c r="AX1016">
        <v>13</v>
      </c>
      <c r="AY1016">
        <v>272</v>
      </c>
      <c r="AZ1016">
        <v>272</v>
      </c>
      <c r="BA1016">
        <v>716</v>
      </c>
      <c r="BB1016">
        <v>44</v>
      </c>
      <c r="BD1016">
        <v>1</v>
      </c>
      <c r="BF1016" t="s">
        <v>1140</v>
      </c>
      <c r="BG1016" s="1">
        <v>44354.088194444441</v>
      </c>
      <c r="BH1016" s="1">
        <v>44354.099652777775</v>
      </c>
      <c r="BI1016" s="1">
        <v>44354.100011574075</v>
      </c>
      <c r="BJ1016" t="s">
        <v>85</v>
      </c>
      <c r="BK1016" t="s">
        <v>86</v>
      </c>
      <c r="BL1016" t="s">
        <v>87</v>
      </c>
    </row>
    <row r="1017" spans="1:64" x14ac:dyDescent="0.3">
      <c r="A1017" t="str">
        <f>"200540C0100"</f>
        <v>200540C0100</v>
      </c>
      <c r="B1017" t="str">
        <f>"200540C01003"</f>
        <v>200540C01003</v>
      </c>
      <c r="C1017" t="str">
        <f t="shared" si="62"/>
        <v>20</v>
      </c>
      <c r="D1017" t="s">
        <v>81</v>
      </c>
      <c r="E1017" t="str">
        <f t="shared" si="61"/>
        <v>066</v>
      </c>
      <c r="F1017" t="s">
        <v>951</v>
      </c>
      <c r="G1017" t="str">
        <f>"0540"</f>
        <v>0540</v>
      </c>
      <c r="H1017" t="str">
        <f>"0001"</f>
        <v>0001</v>
      </c>
      <c r="I1017" t="s">
        <v>89</v>
      </c>
      <c r="J1017">
        <v>0</v>
      </c>
      <c r="K1017">
        <v>1</v>
      </c>
      <c r="L1017">
        <v>3</v>
      </c>
      <c r="M1017">
        <v>492</v>
      </c>
      <c r="N1017">
        <v>268</v>
      </c>
      <c r="O1017">
        <v>5</v>
      </c>
      <c r="P1017">
        <v>269</v>
      </c>
      <c r="Q1017">
        <v>8</v>
      </c>
      <c r="R1017">
        <v>77</v>
      </c>
      <c r="S1017">
        <v>0</v>
      </c>
      <c r="T1017">
        <v>6</v>
      </c>
      <c r="U1017">
        <v>14</v>
      </c>
      <c r="V1017">
        <v>1</v>
      </c>
      <c r="W1017">
        <v>1</v>
      </c>
      <c r="X1017">
        <v>141</v>
      </c>
      <c r="Y1017">
        <v>7</v>
      </c>
      <c r="Z1017">
        <v>3</v>
      </c>
      <c r="AA1017">
        <v>1</v>
      </c>
      <c r="AB1017">
        <v>3</v>
      </c>
      <c r="AK1017">
        <v>1</v>
      </c>
      <c r="AO1017">
        <v>1</v>
      </c>
      <c r="AP1017">
        <v>0</v>
      </c>
      <c r="AR1017">
        <v>0</v>
      </c>
      <c r="AU1017">
        <v>0</v>
      </c>
      <c r="AW1017">
        <v>0</v>
      </c>
      <c r="AX1017">
        <v>5</v>
      </c>
      <c r="AY1017">
        <v>269</v>
      </c>
      <c r="AZ1017">
        <v>269</v>
      </c>
      <c r="BA1017">
        <v>716</v>
      </c>
      <c r="BB1017">
        <v>44</v>
      </c>
      <c r="BD1017">
        <v>1</v>
      </c>
      <c r="BF1017" t="s">
        <v>1141</v>
      </c>
      <c r="BG1017" s="1">
        <v>44354.084722222222</v>
      </c>
      <c r="BH1017" s="1">
        <v>44354.096377314818</v>
      </c>
      <c r="BI1017" s="1">
        <v>44354.096967592595</v>
      </c>
      <c r="BJ1017" t="s">
        <v>85</v>
      </c>
      <c r="BK1017" t="s">
        <v>86</v>
      </c>
      <c r="BL1017" t="s">
        <v>87</v>
      </c>
    </row>
    <row r="1018" spans="1:64" x14ac:dyDescent="0.3">
      <c r="A1018" t="str">
        <f>"200540C0200"</f>
        <v>200540C0200</v>
      </c>
      <c r="B1018" t="str">
        <f>"200540C02003"</f>
        <v>200540C02003</v>
      </c>
      <c r="C1018" t="str">
        <f t="shared" si="62"/>
        <v>20</v>
      </c>
      <c r="D1018" t="s">
        <v>81</v>
      </c>
      <c r="E1018" t="str">
        <f t="shared" si="61"/>
        <v>066</v>
      </c>
      <c r="F1018" t="s">
        <v>951</v>
      </c>
      <c r="G1018" t="str">
        <f>"0540"</f>
        <v>0540</v>
      </c>
      <c r="H1018" t="str">
        <f>"0002"</f>
        <v>0002</v>
      </c>
      <c r="I1018" t="s">
        <v>89</v>
      </c>
      <c r="J1018">
        <v>0</v>
      </c>
      <c r="K1018">
        <v>1</v>
      </c>
      <c r="L1018">
        <v>3</v>
      </c>
      <c r="M1018">
        <v>400</v>
      </c>
      <c r="N1018">
        <v>259</v>
      </c>
      <c r="O1018">
        <v>5</v>
      </c>
      <c r="P1018">
        <v>269</v>
      </c>
      <c r="Q1018">
        <v>5</v>
      </c>
      <c r="R1018">
        <v>67</v>
      </c>
      <c r="S1018">
        <v>0</v>
      </c>
      <c r="T1018">
        <v>4</v>
      </c>
      <c r="U1018">
        <v>4</v>
      </c>
      <c r="V1018">
        <v>1</v>
      </c>
      <c r="W1018">
        <v>5</v>
      </c>
      <c r="X1018">
        <v>155</v>
      </c>
      <c r="Y1018">
        <v>2</v>
      </c>
      <c r="Z1018">
        <v>5</v>
      </c>
      <c r="AA1018">
        <v>0</v>
      </c>
      <c r="AB1018">
        <v>1</v>
      </c>
      <c r="AK1018">
        <v>1</v>
      </c>
      <c r="AO1018" t="s">
        <v>95</v>
      </c>
      <c r="AP1018" t="s">
        <v>95</v>
      </c>
      <c r="AR1018" t="s">
        <v>95</v>
      </c>
      <c r="AU1018" t="s">
        <v>95</v>
      </c>
      <c r="AW1018">
        <v>1</v>
      </c>
      <c r="AX1018">
        <v>9</v>
      </c>
      <c r="AY1018">
        <v>259</v>
      </c>
      <c r="AZ1018">
        <v>260</v>
      </c>
      <c r="BA1018">
        <v>715</v>
      </c>
      <c r="BB1018">
        <v>44</v>
      </c>
      <c r="BC1018" t="s">
        <v>96</v>
      </c>
      <c r="BD1018">
        <v>1</v>
      </c>
      <c r="BF1018" t="s">
        <v>1142</v>
      </c>
      <c r="BG1018" s="1">
        <v>44354.084722222222</v>
      </c>
      <c r="BH1018" s="1">
        <v>44354.09642361111</v>
      </c>
      <c r="BI1018" s="1">
        <v>44354.096782407411</v>
      </c>
      <c r="BJ1018" t="s">
        <v>85</v>
      </c>
      <c r="BK1018" t="s">
        <v>86</v>
      </c>
      <c r="BL1018" t="s">
        <v>87</v>
      </c>
    </row>
    <row r="1019" spans="1:64" x14ac:dyDescent="0.3">
      <c r="A1019" t="str">
        <f>"200541B0000"</f>
        <v>200541B0000</v>
      </c>
      <c r="B1019" t="str">
        <f>"200541B00003"</f>
        <v>200541B00003</v>
      </c>
      <c r="C1019" t="str">
        <f t="shared" si="62"/>
        <v>20</v>
      </c>
      <c r="D1019" t="s">
        <v>81</v>
      </c>
      <c r="E1019" t="str">
        <f t="shared" si="61"/>
        <v>066</v>
      </c>
      <c r="F1019" t="s">
        <v>951</v>
      </c>
      <c r="G1019" t="str">
        <f>"0541"</f>
        <v>0541</v>
      </c>
      <c r="H1019" t="str">
        <f>"0000"</f>
        <v>0000</v>
      </c>
      <c r="I1019" t="s">
        <v>83</v>
      </c>
      <c r="J1019">
        <v>0</v>
      </c>
      <c r="K1019">
        <v>1</v>
      </c>
      <c r="L1019">
        <v>3</v>
      </c>
      <c r="M1019" t="s">
        <v>92</v>
      </c>
      <c r="N1019" t="s">
        <v>92</v>
      </c>
      <c r="O1019" t="s">
        <v>92</v>
      </c>
      <c r="P1019" t="s">
        <v>92</v>
      </c>
      <c r="Q1019">
        <v>9</v>
      </c>
      <c r="R1019">
        <v>71</v>
      </c>
      <c r="S1019">
        <v>3</v>
      </c>
      <c r="T1019">
        <v>2</v>
      </c>
      <c r="U1019">
        <v>18</v>
      </c>
      <c r="V1019">
        <v>6</v>
      </c>
      <c r="W1019">
        <v>1</v>
      </c>
      <c r="X1019">
        <v>178</v>
      </c>
      <c r="Y1019">
        <v>3</v>
      </c>
      <c r="Z1019">
        <v>1</v>
      </c>
      <c r="AA1019">
        <v>1</v>
      </c>
      <c r="AB1019">
        <v>7</v>
      </c>
      <c r="AK1019">
        <v>1</v>
      </c>
      <c r="AO1019">
        <v>1</v>
      </c>
      <c r="AP1019">
        <v>0</v>
      </c>
      <c r="AR1019">
        <v>0</v>
      </c>
      <c r="AU1019">
        <v>0</v>
      </c>
      <c r="AW1019">
        <v>0</v>
      </c>
      <c r="AX1019">
        <v>8</v>
      </c>
      <c r="AY1019">
        <v>310</v>
      </c>
      <c r="AZ1019">
        <v>310</v>
      </c>
      <c r="BA1019">
        <v>621</v>
      </c>
      <c r="BB1019">
        <v>44</v>
      </c>
      <c r="BD1019">
        <v>1</v>
      </c>
      <c r="BF1019" s="2" t="s">
        <v>1143</v>
      </c>
      <c r="BG1019" s="1">
        <v>44354.061805555553</v>
      </c>
      <c r="BH1019" s="1">
        <v>44354.475312499999</v>
      </c>
      <c r="BI1019" s="1">
        <v>44354.475995370369</v>
      </c>
      <c r="BJ1019" t="s">
        <v>85</v>
      </c>
      <c r="BK1019" t="s">
        <v>86</v>
      </c>
      <c r="BL1019" t="s">
        <v>87</v>
      </c>
    </row>
    <row r="1020" spans="1:64" x14ac:dyDescent="0.3">
      <c r="A1020" t="str">
        <f>"200541C0100"</f>
        <v>200541C0100</v>
      </c>
      <c r="B1020" t="str">
        <f>"200541C01003"</f>
        <v>200541C01003</v>
      </c>
      <c r="C1020" t="str">
        <f t="shared" si="62"/>
        <v>20</v>
      </c>
      <c r="D1020" t="s">
        <v>81</v>
      </c>
      <c r="E1020" t="str">
        <f t="shared" ref="E1020:E1083" si="63">"066"</f>
        <v>066</v>
      </c>
      <c r="F1020" t="s">
        <v>951</v>
      </c>
      <c r="G1020" t="str">
        <f>"0541"</f>
        <v>0541</v>
      </c>
      <c r="H1020" t="str">
        <f>"0001"</f>
        <v>0001</v>
      </c>
      <c r="I1020" t="s">
        <v>89</v>
      </c>
      <c r="J1020">
        <v>0</v>
      </c>
      <c r="K1020">
        <v>1</v>
      </c>
      <c r="L1020">
        <v>3</v>
      </c>
      <c r="M1020">
        <v>385</v>
      </c>
      <c r="N1020">
        <v>280</v>
      </c>
      <c r="O1020">
        <v>8</v>
      </c>
      <c r="P1020">
        <v>282</v>
      </c>
      <c r="Q1020">
        <v>6</v>
      </c>
      <c r="R1020">
        <v>45</v>
      </c>
      <c r="S1020">
        <v>1</v>
      </c>
      <c r="T1020">
        <v>4</v>
      </c>
      <c r="U1020">
        <v>10</v>
      </c>
      <c r="V1020">
        <v>4</v>
      </c>
      <c r="W1020">
        <v>0</v>
      </c>
      <c r="X1020">
        <v>194</v>
      </c>
      <c r="Y1020">
        <v>1</v>
      </c>
      <c r="Z1020">
        <v>2</v>
      </c>
      <c r="AA1020">
        <v>0</v>
      </c>
      <c r="AB1020">
        <v>6</v>
      </c>
      <c r="AK1020">
        <v>1</v>
      </c>
      <c r="AO1020">
        <v>2</v>
      </c>
      <c r="AP1020">
        <v>0</v>
      </c>
      <c r="AR1020">
        <v>0</v>
      </c>
      <c r="AU1020">
        <v>0</v>
      </c>
      <c r="AW1020">
        <v>0</v>
      </c>
      <c r="AX1020">
        <v>6</v>
      </c>
      <c r="AY1020">
        <v>282</v>
      </c>
      <c r="AZ1020">
        <v>282</v>
      </c>
      <c r="BA1020">
        <v>621</v>
      </c>
      <c r="BB1020">
        <v>44</v>
      </c>
      <c r="BD1020">
        <v>1</v>
      </c>
      <c r="BF1020" t="s">
        <v>1144</v>
      </c>
      <c r="BG1020" s="1">
        <v>44354.056250000001</v>
      </c>
      <c r="BH1020" s="1">
        <v>44354.066863425927</v>
      </c>
      <c r="BI1020" s="1">
        <v>44354.067291666666</v>
      </c>
      <c r="BJ1020" t="s">
        <v>85</v>
      </c>
      <c r="BK1020" t="s">
        <v>86</v>
      </c>
      <c r="BL1020" t="s">
        <v>87</v>
      </c>
    </row>
    <row r="1021" spans="1:64" x14ac:dyDescent="0.3">
      <c r="A1021" t="str">
        <f>"200541C0200"</f>
        <v>200541C0200</v>
      </c>
      <c r="B1021" t="str">
        <f>"200541C02003"</f>
        <v>200541C02003</v>
      </c>
      <c r="C1021" t="str">
        <f t="shared" si="62"/>
        <v>20</v>
      </c>
      <c r="D1021" t="s">
        <v>81</v>
      </c>
      <c r="E1021" t="str">
        <f t="shared" si="63"/>
        <v>066</v>
      </c>
      <c r="F1021" t="s">
        <v>951</v>
      </c>
      <c r="G1021" t="str">
        <f>"0541"</f>
        <v>0541</v>
      </c>
      <c r="H1021" t="str">
        <f>"0002"</f>
        <v>0002</v>
      </c>
      <c r="I1021" t="s">
        <v>89</v>
      </c>
      <c r="J1021">
        <v>0</v>
      </c>
      <c r="K1021">
        <v>1</v>
      </c>
      <c r="L1021">
        <v>3</v>
      </c>
      <c r="M1021">
        <v>411</v>
      </c>
      <c r="N1021">
        <v>253</v>
      </c>
      <c r="O1021">
        <v>2</v>
      </c>
      <c r="P1021">
        <v>252</v>
      </c>
      <c r="Q1021">
        <v>1</v>
      </c>
      <c r="R1021">
        <v>65</v>
      </c>
      <c r="S1021">
        <v>1</v>
      </c>
      <c r="T1021">
        <v>2</v>
      </c>
      <c r="U1021">
        <v>11</v>
      </c>
      <c r="V1021">
        <v>1</v>
      </c>
      <c r="W1021">
        <v>1</v>
      </c>
      <c r="X1021">
        <v>149</v>
      </c>
      <c r="Y1021">
        <v>0</v>
      </c>
      <c r="Z1021">
        <v>5</v>
      </c>
      <c r="AA1021">
        <v>2</v>
      </c>
      <c r="AB1021">
        <v>7</v>
      </c>
      <c r="AK1021">
        <v>1</v>
      </c>
      <c r="AO1021">
        <v>1</v>
      </c>
      <c r="AP1021">
        <v>0</v>
      </c>
      <c r="AR1021">
        <v>0</v>
      </c>
      <c r="AU1021">
        <v>0</v>
      </c>
      <c r="AW1021">
        <v>0</v>
      </c>
      <c r="AX1021">
        <v>5</v>
      </c>
      <c r="AY1021">
        <v>252</v>
      </c>
      <c r="AZ1021">
        <v>252</v>
      </c>
      <c r="BA1021">
        <v>620</v>
      </c>
      <c r="BB1021">
        <v>44</v>
      </c>
      <c r="BD1021">
        <v>1</v>
      </c>
      <c r="BF1021" t="s">
        <v>1145</v>
      </c>
      <c r="BG1021" s="1">
        <v>44354.056944444441</v>
      </c>
      <c r="BH1021" s="1">
        <v>44354.063206018516</v>
      </c>
      <c r="BI1021" s="1">
        <v>44354.063888888886</v>
      </c>
      <c r="BJ1021" t="s">
        <v>85</v>
      </c>
      <c r="BK1021" t="s">
        <v>86</v>
      </c>
      <c r="BL1021" t="s">
        <v>87</v>
      </c>
    </row>
    <row r="1022" spans="1:64" x14ac:dyDescent="0.3">
      <c r="A1022" t="str">
        <f>"200541C0300"</f>
        <v>200541C0300</v>
      </c>
      <c r="B1022" t="str">
        <f>"200541C03003"</f>
        <v>200541C03003</v>
      </c>
      <c r="C1022" t="str">
        <f t="shared" si="62"/>
        <v>20</v>
      </c>
      <c r="D1022" t="s">
        <v>81</v>
      </c>
      <c r="E1022" t="str">
        <f t="shared" si="63"/>
        <v>066</v>
      </c>
      <c r="F1022" t="s">
        <v>951</v>
      </c>
      <c r="G1022" t="str">
        <f>"0541"</f>
        <v>0541</v>
      </c>
      <c r="H1022" t="str">
        <f>"0003"</f>
        <v>0003</v>
      </c>
      <c r="I1022" t="s">
        <v>89</v>
      </c>
      <c r="J1022">
        <v>0</v>
      </c>
      <c r="K1022">
        <v>1</v>
      </c>
      <c r="L1022">
        <v>3</v>
      </c>
      <c r="M1022">
        <v>375</v>
      </c>
      <c r="N1022">
        <v>5</v>
      </c>
      <c r="O1022">
        <v>5</v>
      </c>
      <c r="P1022">
        <v>376</v>
      </c>
      <c r="Q1022">
        <v>15</v>
      </c>
      <c r="R1022">
        <v>51</v>
      </c>
      <c r="S1022">
        <v>0</v>
      </c>
      <c r="T1022">
        <v>2</v>
      </c>
      <c r="U1022">
        <v>9</v>
      </c>
      <c r="V1022">
        <v>4</v>
      </c>
      <c r="W1022">
        <v>2</v>
      </c>
      <c r="X1022">
        <v>180</v>
      </c>
      <c r="Y1022">
        <v>4</v>
      </c>
      <c r="Z1022">
        <v>1</v>
      </c>
      <c r="AA1022">
        <v>2</v>
      </c>
      <c r="AB1022">
        <v>10</v>
      </c>
      <c r="AK1022">
        <v>1</v>
      </c>
      <c r="AO1022">
        <v>0</v>
      </c>
      <c r="AP1022">
        <v>0</v>
      </c>
      <c r="AR1022">
        <v>0</v>
      </c>
      <c r="AU1022">
        <v>0</v>
      </c>
      <c r="AW1022" t="s">
        <v>95</v>
      </c>
      <c r="AX1022">
        <v>5</v>
      </c>
      <c r="AY1022">
        <v>376</v>
      </c>
      <c r="AZ1022">
        <v>286</v>
      </c>
      <c r="BA1022">
        <v>620</v>
      </c>
      <c r="BB1022">
        <v>44</v>
      </c>
      <c r="BC1022" t="s">
        <v>96</v>
      </c>
      <c r="BD1022">
        <v>1</v>
      </c>
      <c r="BF1022" t="s">
        <v>1146</v>
      </c>
      <c r="BG1022" s="1">
        <v>44354.061111111114</v>
      </c>
      <c r="BH1022" s="1">
        <v>44354.071319444447</v>
      </c>
      <c r="BI1022" s="1">
        <v>44354.071932870371</v>
      </c>
      <c r="BJ1022" t="s">
        <v>85</v>
      </c>
      <c r="BK1022" t="s">
        <v>86</v>
      </c>
      <c r="BL1022" t="s">
        <v>87</v>
      </c>
    </row>
    <row r="1023" spans="1:64" x14ac:dyDescent="0.3">
      <c r="A1023" t="str">
        <f>"200542B0000"</f>
        <v>200542B0000</v>
      </c>
      <c r="B1023" t="str">
        <f>"200542B00003"</f>
        <v>200542B00003</v>
      </c>
      <c r="C1023" t="str">
        <f t="shared" si="62"/>
        <v>20</v>
      </c>
      <c r="D1023" t="s">
        <v>81</v>
      </c>
      <c r="E1023" t="str">
        <f t="shared" si="63"/>
        <v>066</v>
      </c>
      <c r="F1023" t="s">
        <v>951</v>
      </c>
      <c r="G1023" t="str">
        <f>"0542"</f>
        <v>0542</v>
      </c>
      <c r="H1023" t="str">
        <f>"0000"</f>
        <v>0000</v>
      </c>
      <c r="I1023" t="s">
        <v>83</v>
      </c>
      <c r="J1023">
        <v>0</v>
      </c>
      <c r="K1023">
        <v>1</v>
      </c>
      <c r="L1023">
        <v>3</v>
      </c>
      <c r="M1023">
        <v>372</v>
      </c>
      <c r="N1023">
        <v>309</v>
      </c>
      <c r="O1023">
        <v>9</v>
      </c>
      <c r="P1023">
        <v>309</v>
      </c>
      <c r="Q1023">
        <v>7</v>
      </c>
      <c r="R1023">
        <v>62</v>
      </c>
      <c r="S1023">
        <v>0</v>
      </c>
      <c r="T1023">
        <v>9</v>
      </c>
      <c r="U1023">
        <v>8</v>
      </c>
      <c r="V1023">
        <v>19</v>
      </c>
      <c r="W1023">
        <v>4</v>
      </c>
      <c r="X1023">
        <v>164</v>
      </c>
      <c r="Y1023">
        <v>5</v>
      </c>
      <c r="Z1023">
        <v>6</v>
      </c>
      <c r="AA1023">
        <v>2</v>
      </c>
      <c r="AB1023">
        <v>11</v>
      </c>
      <c r="AK1023">
        <v>0</v>
      </c>
      <c r="AO1023">
        <v>1</v>
      </c>
      <c r="AP1023">
        <v>1</v>
      </c>
      <c r="AR1023">
        <v>1</v>
      </c>
      <c r="AU1023">
        <v>0</v>
      </c>
      <c r="AW1023">
        <v>0</v>
      </c>
      <c r="AX1023">
        <v>9</v>
      </c>
      <c r="AY1023">
        <v>309</v>
      </c>
      <c r="AZ1023">
        <v>309</v>
      </c>
      <c r="BA1023">
        <v>637</v>
      </c>
      <c r="BB1023">
        <v>44</v>
      </c>
      <c r="BD1023">
        <v>1</v>
      </c>
      <c r="BF1023" t="s">
        <v>1147</v>
      </c>
      <c r="BG1023" s="1">
        <v>44354.088888888888</v>
      </c>
      <c r="BH1023" s="1">
        <v>44354.100057870368</v>
      </c>
      <c r="BI1023" s="1">
        <v>44354.100532407407</v>
      </c>
      <c r="BJ1023" t="s">
        <v>85</v>
      </c>
      <c r="BK1023" t="s">
        <v>86</v>
      </c>
      <c r="BL1023" t="s">
        <v>87</v>
      </c>
    </row>
    <row r="1024" spans="1:64" x14ac:dyDescent="0.3">
      <c r="A1024" t="str">
        <f>"200542C0100"</f>
        <v>200542C0100</v>
      </c>
      <c r="B1024" t="str">
        <f>"200542C01003"</f>
        <v>200542C01003</v>
      </c>
      <c r="C1024" t="str">
        <f t="shared" si="62"/>
        <v>20</v>
      </c>
      <c r="D1024" t="s">
        <v>81</v>
      </c>
      <c r="E1024" t="str">
        <f t="shared" si="63"/>
        <v>066</v>
      </c>
      <c r="F1024" t="s">
        <v>951</v>
      </c>
      <c r="G1024" t="str">
        <f>"0542"</f>
        <v>0542</v>
      </c>
      <c r="H1024" t="str">
        <f>"0001"</f>
        <v>0001</v>
      </c>
      <c r="I1024" t="s">
        <v>89</v>
      </c>
      <c r="J1024">
        <v>0</v>
      </c>
      <c r="K1024">
        <v>1</v>
      </c>
      <c r="L1024">
        <v>3</v>
      </c>
      <c r="M1024">
        <v>367</v>
      </c>
      <c r="N1024">
        <v>314</v>
      </c>
      <c r="O1024">
        <v>8</v>
      </c>
      <c r="P1024">
        <v>314</v>
      </c>
      <c r="Q1024">
        <v>7</v>
      </c>
      <c r="R1024">
        <v>53</v>
      </c>
      <c r="S1024">
        <v>4</v>
      </c>
      <c r="T1024">
        <v>1</v>
      </c>
      <c r="U1024">
        <v>7</v>
      </c>
      <c r="V1024">
        <v>14</v>
      </c>
      <c r="W1024">
        <v>1</v>
      </c>
      <c r="X1024">
        <v>200</v>
      </c>
      <c r="Y1024">
        <v>0</v>
      </c>
      <c r="Z1024">
        <v>4</v>
      </c>
      <c r="AA1024">
        <v>3</v>
      </c>
      <c r="AB1024">
        <v>14</v>
      </c>
      <c r="AK1024">
        <v>0</v>
      </c>
      <c r="AO1024">
        <v>0</v>
      </c>
      <c r="AP1024">
        <v>0</v>
      </c>
      <c r="AR1024">
        <v>0</v>
      </c>
      <c r="AU1024">
        <v>0</v>
      </c>
      <c r="AW1024">
        <v>1</v>
      </c>
      <c r="AX1024">
        <v>5</v>
      </c>
      <c r="AY1024">
        <v>314</v>
      </c>
      <c r="AZ1024">
        <v>314</v>
      </c>
      <c r="BA1024">
        <v>637</v>
      </c>
      <c r="BB1024">
        <v>44</v>
      </c>
      <c r="BD1024">
        <v>1</v>
      </c>
      <c r="BF1024" t="s">
        <v>1148</v>
      </c>
      <c r="BG1024" s="1">
        <v>44354.085416666669</v>
      </c>
      <c r="BH1024" s="1">
        <v>44354.101655092592</v>
      </c>
      <c r="BI1024" s="1">
        <v>44354.102094907408</v>
      </c>
      <c r="BJ1024" t="s">
        <v>85</v>
      </c>
      <c r="BK1024" t="s">
        <v>86</v>
      </c>
      <c r="BL1024" t="s">
        <v>87</v>
      </c>
    </row>
    <row r="1025" spans="1:64" x14ac:dyDescent="0.3">
      <c r="A1025" t="str">
        <f>"200544B0000"</f>
        <v>200544B0000</v>
      </c>
      <c r="B1025" t="str">
        <f>"200544B00003"</f>
        <v>200544B00003</v>
      </c>
      <c r="C1025" t="str">
        <f t="shared" si="62"/>
        <v>20</v>
      </c>
      <c r="D1025" t="s">
        <v>81</v>
      </c>
      <c r="E1025" t="str">
        <f t="shared" si="63"/>
        <v>066</v>
      </c>
      <c r="F1025" t="s">
        <v>951</v>
      </c>
      <c r="G1025" t="str">
        <f>"0544"</f>
        <v>0544</v>
      </c>
      <c r="H1025" t="str">
        <f>"0000"</f>
        <v>0000</v>
      </c>
      <c r="I1025" t="s">
        <v>83</v>
      </c>
      <c r="J1025">
        <v>0</v>
      </c>
      <c r="K1025">
        <v>1</v>
      </c>
      <c r="L1025">
        <v>3</v>
      </c>
      <c r="M1025">
        <v>333</v>
      </c>
      <c r="N1025">
        <v>288</v>
      </c>
      <c r="O1025">
        <v>2</v>
      </c>
      <c r="P1025">
        <v>288</v>
      </c>
      <c r="Q1025">
        <v>10</v>
      </c>
      <c r="R1025" t="s">
        <v>131</v>
      </c>
      <c r="S1025">
        <v>1</v>
      </c>
      <c r="T1025">
        <v>4</v>
      </c>
      <c r="U1025">
        <v>4</v>
      </c>
      <c r="V1025">
        <v>10</v>
      </c>
      <c r="W1025">
        <v>6</v>
      </c>
      <c r="X1025" t="s">
        <v>131</v>
      </c>
      <c r="Y1025" t="s">
        <v>131</v>
      </c>
      <c r="Z1025" t="s">
        <v>131</v>
      </c>
      <c r="AA1025" t="s">
        <v>131</v>
      </c>
      <c r="AB1025">
        <v>8</v>
      </c>
      <c r="AK1025">
        <v>1</v>
      </c>
      <c r="AO1025">
        <v>0</v>
      </c>
      <c r="AP1025">
        <v>0</v>
      </c>
      <c r="AR1025">
        <v>0</v>
      </c>
      <c r="AU1025">
        <v>0</v>
      </c>
      <c r="AW1025">
        <v>0</v>
      </c>
      <c r="AX1025">
        <v>8</v>
      </c>
      <c r="AY1025">
        <v>288</v>
      </c>
      <c r="AZ1025">
        <v>52</v>
      </c>
      <c r="BA1025">
        <v>577</v>
      </c>
      <c r="BB1025">
        <v>44</v>
      </c>
      <c r="BC1025" t="s">
        <v>96</v>
      </c>
      <c r="BD1025">
        <v>1</v>
      </c>
      <c r="BF1025" t="s">
        <v>1149</v>
      </c>
      <c r="BG1025" s="1">
        <v>44354.306250000001</v>
      </c>
      <c r="BH1025" s="1">
        <v>44354.322881944441</v>
      </c>
      <c r="BI1025" s="1">
        <v>44354.337546296294</v>
      </c>
      <c r="BJ1025" t="s">
        <v>85</v>
      </c>
      <c r="BK1025" t="s">
        <v>86</v>
      </c>
      <c r="BL1025" t="s">
        <v>87</v>
      </c>
    </row>
    <row r="1026" spans="1:64" x14ac:dyDescent="0.3">
      <c r="A1026" t="str">
        <f>"200544C0100"</f>
        <v>200544C0100</v>
      </c>
      <c r="B1026" t="str">
        <f>"200544C01003"</f>
        <v>200544C01003</v>
      </c>
      <c r="C1026" t="str">
        <f t="shared" si="62"/>
        <v>20</v>
      </c>
      <c r="D1026" t="s">
        <v>81</v>
      </c>
      <c r="E1026" t="str">
        <f t="shared" si="63"/>
        <v>066</v>
      </c>
      <c r="F1026" t="s">
        <v>951</v>
      </c>
      <c r="G1026" t="str">
        <f>"0544"</f>
        <v>0544</v>
      </c>
      <c r="H1026" t="str">
        <f>"0001"</f>
        <v>0001</v>
      </c>
      <c r="I1026" t="s">
        <v>89</v>
      </c>
      <c r="J1026">
        <v>0</v>
      </c>
      <c r="K1026">
        <v>1</v>
      </c>
      <c r="L1026">
        <v>3</v>
      </c>
      <c r="BA1026">
        <v>577</v>
      </c>
      <c r="BB1026">
        <v>44</v>
      </c>
      <c r="BC1026" t="s">
        <v>381</v>
      </c>
      <c r="BD1026">
        <v>0</v>
      </c>
      <c r="BF1026" t="s">
        <v>1150</v>
      </c>
      <c r="BG1026" s="1">
        <v>44354.427083333336</v>
      </c>
      <c r="BH1026" s="1">
        <v>44354.443101851852</v>
      </c>
      <c r="BI1026" s="1">
        <v>44354.443101851852</v>
      </c>
      <c r="BJ1026" t="s">
        <v>85</v>
      </c>
      <c r="BK1026" t="s">
        <v>86</v>
      </c>
      <c r="BL1026" t="s">
        <v>87</v>
      </c>
    </row>
    <row r="1027" spans="1:64" x14ac:dyDescent="0.3">
      <c r="A1027" t="str">
        <f>"200545B0000"</f>
        <v>200545B0000</v>
      </c>
      <c r="B1027" t="str">
        <f>"200545B00003"</f>
        <v>200545B00003</v>
      </c>
      <c r="C1027" t="str">
        <f t="shared" si="62"/>
        <v>20</v>
      </c>
      <c r="D1027" t="s">
        <v>81</v>
      </c>
      <c r="E1027" t="str">
        <f t="shared" si="63"/>
        <v>066</v>
      </c>
      <c r="F1027" t="s">
        <v>951</v>
      </c>
      <c r="G1027" t="str">
        <f>"0545"</f>
        <v>0545</v>
      </c>
      <c r="H1027" t="str">
        <f>"0000"</f>
        <v>0000</v>
      </c>
      <c r="I1027" t="s">
        <v>83</v>
      </c>
      <c r="J1027">
        <v>0</v>
      </c>
      <c r="K1027">
        <v>1</v>
      </c>
      <c r="L1027">
        <v>3</v>
      </c>
      <c r="M1027">
        <v>195</v>
      </c>
      <c r="N1027">
        <v>241</v>
      </c>
      <c r="O1027">
        <v>10</v>
      </c>
      <c r="P1027">
        <v>241</v>
      </c>
      <c r="Q1027">
        <v>24</v>
      </c>
      <c r="R1027">
        <v>69</v>
      </c>
      <c r="S1027">
        <v>2</v>
      </c>
      <c r="T1027">
        <v>5</v>
      </c>
      <c r="U1027">
        <v>3</v>
      </c>
      <c r="V1027">
        <v>12</v>
      </c>
      <c r="W1027">
        <v>1</v>
      </c>
      <c r="X1027">
        <v>92</v>
      </c>
      <c r="Y1027">
        <v>8</v>
      </c>
      <c r="Z1027">
        <v>6</v>
      </c>
      <c r="AA1027">
        <v>3</v>
      </c>
      <c r="AB1027">
        <v>10</v>
      </c>
      <c r="AK1027">
        <v>0</v>
      </c>
      <c r="AO1027">
        <v>1</v>
      </c>
      <c r="AP1027">
        <v>0</v>
      </c>
      <c r="AR1027">
        <v>0</v>
      </c>
      <c r="AU1027">
        <v>0</v>
      </c>
      <c r="AW1027">
        <v>1</v>
      </c>
      <c r="AX1027">
        <v>4</v>
      </c>
      <c r="AY1027">
        <v>241</v>
      </c>
      <c r="AZ1027">
        <v>241</v>
      </c>
      <c r="BA1027">
        <v>393</v>
      </c>
      <c r="BB1027">
        <v>44</v>
      </c>
      <c r="BD1027">
        <v>1</v>
      </c>
      <c r="BF1027" t="s">
        <v>1151</v>
      </c>
      <c r="BG1027" s="1">
        <v>44353.945833333331</v>
      </c>
      <c r="BH1027" s="1">
        <v>44353.949965277781</v>
      </c>
      <c r="BI1027" s="1">
        <v>44353.950995370367</v>
      </c>
      <c r="BJ1027" t="s">
        <v>85</v>
      </c>
      <c r="BK1027" t="s">
        <v>86</v>
      </c>
      <c r="BL1027" t="s">
        <v>87</v>
      </c>
    </row>
    <row r="1028" spans="1:64" x14ac:dyDescent="0.3">
      <c r="A1028" t="str">
        <f>"200545C0100"</f>
        <v>200545C0100</v>
      </c>
      <c r="B1028" t="str">
        <f>"200545C01003"</f>
        <v>200545C01003</v>
      </c>
      <c r="C1028" t="str">
        <f t="shared" si="62"/>
        <v>20</v>
      </c>
      <c r="D1028" t="s">
        <v>81</v>
      </c>
      <c r="E1028" t="str">
        <f t="shared" si="63"/>
        <v>066</v>
      </c>
      <c r="F1028" t="s">
        <v>951</v>
      </c>
      <c r="G1028" t="str">
        <f>"0545"</f>
        <v>0545</v>
      </c>
      <c r="H1028" t="str">
        <f>"0001"</f>
        <v>0001</v>
      </c>
      <c r="I1028" t="s">
        <v>89</v>
      </c>
      <c r="J1028">
        <v>0</v>
      </c>
      <c r="K1028">
        <v>1</v>
      </c>
      <c r="L1028">
        <v>3</v>
      </c>
      <c r="M1028">
        <v>205</v>
      </c>
      <c r="N1028">
        <v>232</v>
      </c>
      <c r="O1028">
        <v>11</v>
      </c>
      <c r="P1028" t="s">
        <v>92</v>
      </c>
      <c r="Q1028">
        <v>20</v>
      </c>
      <c r="R1028">
        <v>64</v>
      </c>
      <c r="S1028">
        <v>3</v>
      </c>
      <c r="T1028">
        <v>7</v>
      </c>
      <c r="U1028">
        <v>3</v>
      </c>
      <c r="V1028">
        <v>12</v>
      </c>
      <c r="W1028">
        <v>1</v>
      </c>
      <c r="X1028">
        <v>95</v>
      </c>
      <c r="Y1028">
        <v>8</v>
      </c>
      <c r="Z1028">
        <v>2</v>
      </c>
      <c r="AA1028">
        <v>3</v>
      </c>
      <c r="AB1028">
        <v>6</v>
      </c>
      <c r="AK1028">
        <v>1</v>
      </c>
      <c r="AO1028">
        <v>1</v>
      </c>
      <c r="AP1028" t="s">
        <v>95</v>
      </c>
      <c r="AR1028" t="s">
        <v>95</v>
      </c>
      <c r="AU1028" t="s">
        <v>95</v>
      </c>
      <c r="AW1028">
        <v>1</v>
      </c>
      <c r="AX1028">
        <v>5</v>
      </c>
      <c r="AY1028">
        <v>232</v>
      </c>
      <c r="AZ1028">
        <v>232</v>
      </c>
      <c r="BA1028">
        <v>393</v>
      </c>
      <c r="BB1028">
        <v>44</v>
      </c>
      <c r="BC1028" t="s">
        <v>96</v>
      </c>
      <c r="BD1028">
        <v>1</v>
      </c>
      <c r="BF1028" t="s">
        <v>1152</v>
      </c>
      <c r="BG1028" s="1">
        <v>44353.95208333333</v>
      </c>
      <c r="BH1028" s="1">
        <v>44353.954942129632</v>
      </c>
      <c r="BI1028" s="1">
        <v>44353.955590277779</v>
      </c>
      <c r="BJ1028" t="s">
        <v>85</v>
      </c>
      <c r="BK1028" t="s">
        <v>86</v>
      </c>
      <c r="BL1028" t="s">
        <v>87</v>
      </c>
    </row>
    <row r="1029" spans="1:64" x14ac:dyDescent="0.3">
      <c r="A1029" t="str">
        <f>"200545S0100"</f>
        <v>200545S0100</v>
      </c>
      <c r="B1029" t="str">
        <f>"200545S01003E"</f>
        <v>200545S01003E</v>
      </c>
      <c r="C1029" t="str">
        <f t="shared" si="62"/>
        <v>20</v>
      </c>
      <c r="D1029" t="s">
        <v>81</v>
      </c>
      <c r="E1029" t="str">
        <f t="shared" si="63"/>
        <v>066</v>
      </c>
      <c r="F1029" t="s">
        <v>951</v>
      </c>
      <c r="G1029" t="str">
        <f>"0545"</f>
        <v>0545</v>
      </c>
      <c r="H1029" t="str">
        <f>"0001"</f>
        <v>0001</v>
      </c>
      <c r="I1029" t="s">
        <v>99</v>
      </c>
      <c r="J1029">
        <v>0</v>
      </c>
      <c r="K1029">
        <v>1</v>
      </c>
      <c r="L1029" t="s">
        <v>100</v>
      </c>
      <c r="M1029">
        <v>934</v>
      </c>
      <c r="N1029">
        <v>66</v>
      </c>
      <c r="O1029">
        <v>0</v>
      </c>
      <c r="P1029">
        <v>66</v>
      </c>
      <c r="Q1029">
        <v>1</v>
      </c>
      <c r="R1029">
        <v>25</v>
      </c>
      <c r="S1029">
        <v>1</v>
      </c>
      <c r="T1029">
        <v>1</v>
      </c>
      <c r="U1029">
        <v>2</v>
      </c>
      <c r="V1029">
        <v>2</v>
      </c>
      <c r="W1029">
        <v>0</v>
      </c>
      <c r="X1029">
        <v>31</v>
      </c>
      <c r="Y1029">
        <v>0</v>
      </c>
      <c r="Z1029">
        <v>1</v>
      </c>
      <c r="AA1029">
        <v>1</v>
      </c>
      <c r="AB1029">
        <v>1</v>
      </c>
      <c r="AK1029">
        <v>0</v>
      </c>
      <c r="AO1029">
        <v>0</v>
      </c>
      <c r="AP1029">
        <v>0</v>
      </c>
      <c r="AR1029">
        <v>0</v>
      </c>
      <c r="AU1029">
        <v>0</v>
      </c>
      <c r="AW1029">
        <v>0</v>
      </c>
      <c r="AX1029">
        <v>0</v>
      </c>
      <c r="AY1029">
        <v>66</v>
      </c>
      <c r="AZ1029">
        <v>66</v>
      </c>
      <c r="BA1029">
        <v>0</v>
      </c>
      <c r="BB1029">
        <v>44</v>
      </c>
      <c r="BD1029">
        <v>1</v>
      </c>
      <c r="BF1029" t="s">
        <v>1153</v>
      </c>
      <c r="BG1029" s="1">
        <v>44354.081944444442</v>
      </c>
      <c r="BH1029" s="1">
        <v>44354.09516203704</v>
      </c>
      <c r="BI1029" s="1">
        <v>44354.095810185187</v>
      </c>
      <c r="BJ1029" t="s">
        <v>85</v>
      </c>
      <c r="BK1029" t="s">
        <v>86</v>
      </c>
      <c r="BL1029" t="s">
        <v>87</v>
      </c>
    </row>
    <row r="1030" spans="1:64" x14ac:dyDescent="0.3">
      <c r="A1030" t="str">
        <f>"200546B0000"</f>
        <v>200546B0000</v>
      </c>
      <c r="B1030" t="str">
        <f>"200546B00003"</f>
        <v>200546B00003</v>
      </c>
      <c r="C1030" t="str">
        <f t="shared" si="62"/>
        <v>20</v>
      </c>
      <c r="D1030" t="s">
        <v>81</v>
      </c>
      <c r="E1030" t="str">
        <f t="shared" si="63"/>
        <v>066</v>
      </c>
      <c r="F1030" t="s">
        <v>951</v>
      </c>
      <c r="G1030" t="str">
        <f>"0546"</f>
        <v>0546</v>
      </c>
      <c r="H1030" t="str">
        <f>"0000"</f>
        <v>0000</v>
      </c>
      <c r="I1030" t="s">
        <v>83</v>
      </c>
      <c r="J1030">
        <v>0</v>
      </c>
      <c r="K1030">
        <v>1</v>
      </c>
      <c r="L1030">
        <v>3</v>
      </c>
      <c r="M1030">
        <v>349</v>
      </c>
      <c r="N1030">
        <v>353</v>
      </c>
      <c r="O1030">
        <v>3</v>
      </c>
      <c r="P1030">
        <v>353</v>
      </c>
      <c r="Q1030">
        <v>36</v>
      </c>
      <c r="R1030">
        <v>89</v>
      </c>
      <c r="S1030">
        <v>1</v>
      </c>
      <c r="T1030">
        <v>3</v>
      </c>
      <c r="U1030">
        <v>10</v>
      </c>
      <c r="V1030">
        <v>4</v>
      </c>
      <c r="W1030">
        <v>2</v>
      </c>
      <c r="X1030">
        <v>180</v>
      </c>
      <c r="Y1030">
        <v>0</v>
      </c>
      <c r="Z1030">
        <v>7</v>
      </c>
      <c r="AA1030">
        <v>8</v>
      </c>
      <c r="AB1030">
        <v>2</v>
      </c>
      <c r="AK1030">
        <v>3</v>
      </c>
      <c r="AO1030">
        <v>1</v>
      </c>
      <c r="AP1030">
        <v>0</v>
      </c>
      <c r="AR1030">
        <v>0</v>
      </c>
      <c r="AU1030">
        <v>0</v>
      </c>
      <c r="AW1030">
        <v>1</v>
      </c>
      <c r="AX1030">
        <v>6</v>
      </c>
      <c r="AY1030">
        <v>353</v>
      </c>
      <c r="AZ1030">
        <v>353</v>
      </c>
      <c r="BA1030">
        <v>658</v>
      </c>
      <c r="BB1030">
        <v>44</v>
      </c>
      <c r="BD1030">
        <v>1</v>
      </c>
      <c r="BF1030" t="s">
        <v>1154</v>
      </c>
      <c r="BG1030" s="1">
        <v>44354.06527777778</v>
      </c>
      <c r="BH1030" s="1">
        <v>44354.074629629627</v>
      </c>
      <c r="BI1030" s="1">
        <v>44354.075532407405</v>
      </c>
      <c r="BJ1030" t="s">
        <v>85</v>
      </c>
      <c r="BK1030" t="s">
        <v>86</v>
      </c>
      <c r="BL1030" t="s">
        <v>87</v>
      </c>
    </row>
    <row r="1031" spans="1:64" x14ac:dyDescent="0.3">
      <c r="A1031" t="str">
        <f>"200547B0000"</f>
        <v>200547B0000</v>
      </c>
      <c r="B1031" t="str">
        <f>"200547B00003"</f>
        <v>200547B00003</v>
      </c>
      <c r="C1031" t="str">
        <f t="shared" ref="C1031:C1094" si="64">"20"</f>
        <v>20</v>
      </c>
      <c r="D1031" t="s">
        <v>81</v>
      </c>
      <c r="E1031" t="str">
        <f t="shared" si="63"/>
        <v>066</v>
      </c>
      <c r="F1031" t="s">
        <v>951</v>
      </c>
      <c r="G1031" t="str">
        <f>"0547"</f>
        <v>0547</v>
      </c>
      <c r="H1031" t="str">
        <f>"0000"</f>
        <v>0000</v>
      </c>
      <c r="I1031" t="s">
        <v>83</v>
      </c>
      <c r="J1031">
        <v>0</v>
      </c>
      <c r="K1031">
        <v>1</v>
      </c>
      <c r="L1031">
        <v>3</v>
      </c>
      <c r="M1031">
        <v>317</v>
      </c>
      <c r="N1031">
        <v>363</v>
      </c>
      <c r="O1031">
        <v>9</v>
      </c>
      <c r="P1031">
        <v>361</v>
      </c>
      <c r="Q1031">
        <v>27</v>
      </c>
      <c r="R1031">
        <v>86</v>
      </c>
      <c r="S1031">
        <v>1</v>
      </c>
      <c r="T1031">
        <v>4</v>
      </c>
      <c r="U1031">
        <v>5</v>
      </c>
      <c r="V1031">
        <v>5</v>
      </c>
      <c r="W1031">
        <v>2</v>
      </c>
      <c r="X1031">
        <v>185</v>
      </c>
      <c r="Y1031">
        <v>3</v>
      </c>
      <c r="Z1031">
        <v>3</v>
      </c>
      <c r="AA1031">
        <v>7</v>
      </c>
      <c r="AB1031">
        <v>16</v>
      </c>
      <c r="AK1031">
        <v>5</v>
      </c>
      <c r="AO1031">
        <v>0</v>
      </c>
      <c r="AP1031">
        <v>0</v>
      </c>
      <c r="AR1031">
        <v>0</v>
      </c>
      <c r="AU1031">
        <v>0</v>
      </c>
      <c r="AW1031">
        <v>1</v>
      </c>
      <c r="AX1031">
        <v>11</v>
      </c>
      <c r="AY1031">
        <v>361</v>
      </c>
      <c r="AZ1031">
        <v>361</v>
      </c>
      <c r="BA1031">
        <v>634</v>
      </c>
      <c r="BB1031">
        <v>44</v>
      </c>
      <c r="BD1031">
        <v>1</v>
      </c>
      <c r="BF1031" t="s">
        <v>1155</v>
      </c>
      <c r="BG1031" s="1">
        <v>44353.945833333331</v>
      </c>
      <c r="BH1031" s="1">
        <v>44353.950057870374</v>
      </c>
      <c r="BI1031" s="1">
        <v>44353.951562499999</v>
      </c>
      <c r="BJ1031" t="s">
        <v>85</v>
      </c>
      <c r="BK1031" t="s">
        <v>86</v>
      </c>
      <c r="BL1031" t="s">
        <v>87</v>
      </c>
    </row>
    <row r="1032" spans="1:64" x14ac:dyDescent="0.3">
      <c r="A1032" t="str">
        <f>"200547C0100"</f>
        <v>200547C0100</v>
      </c>
      <c r="B1032" t="str">
        <f>"200547C01003"</f>
        <v>200547C01003</v>
      </c>
      <c r="C1032" t="str">
        <f t="shared" si="64"/>
        <v>20</v>
      </c>
      <c r="D1032" t="s">
        <v>81</v>
      </c>
      <c r="E1032" t="str">
        <f t="shared" si="63"/>
        <v>066</v>
      </c>
      <c r="F1032" t="s">
        <v>951</v>
      </c>
      <c r="G1032" t="str">
        <f>"0547"</f>
        <v>0547</v>
      </c>
      <c r="H1032" t="str">
        <f>"0001"</f>
        <v>0001</v>
      </c>
      <c r="I1032" t="s">
        <v>89</v>
      </c>
      <c r="J1032">
        <v>0</v>
      </c>
      <c r="K1032">
        <v>1</v>
      </c>
      <c r="L1032">
        <v>3</v>
      </c>
      <c r="M1032">
        <v>326</v>
      </c>
      <c r="N1032">
        <v>351</v>
      </c>
      <c r="O1032">
        <v>3</v>
      </c>
      <c r="P1032">
        <v>351</v>
      </c>
      <c r="Q1032">
        <v>36</v>
      </c>
      <c r="R1032">
        <v>83</v>
      </c>
      <c r="S1032">
        <v>2</v>
      </c>
      <c r="T1032">
        <v>4</v>
      </c>
      <c r="U1032">
        <v>15</v>
      </c>
      <c r="V1032">
        <v>6</v>
      </c>
      <c r="W1032">
        <v>2</v>
      </c>
      <c r="X1032">
        <v>169</v>
      </c>
      <c r="Y1032">
        <v>3</v>
      </c>
      <c r="Z1032">
        <v>5</v>
      </c>
      <c r="AA1032">
        <v>7</v>
      </c>
      <c r="AB1032">
        <v>11</v>
      </c>
      <c r="AK1032">
        <v>2</v>
      </c>
      <c r="AO1032">
        <v>1</v>
      </c>
      <c r="AP1032">
        <v>0</v>
      </c>
      <c r="AR1032">
        <v>0</v>
      </c>
      <c r="AU1032">
        <v>1</v>
      </c>
      <c r="AW1032">
        <v>0</v>
      </c>
      <c r="AX1032">
        <v>4</v>
      </c>
      <c r="AY1032">
        <v>351</v>
      </c>
      <c r="AZ1032">
        <v>351</v>
      </c>
      <c r="BA1032">
        <v>634</v>
      </c>
      <c r="BB1032">
        <v>44</v>
      </c>
      <c r="BD1032">
        <v>1</v>
      </c>
      <c r="BF1032" t="s">
        <v>1156</v>
      </c>
      <c r="BG1032" s="1">
        <v>44353.943055555559</v>
      </c>
      <c r="BH1032" s="1">
        <v>44353.947337962964</v>
      </c>
      <c r="BI1032" s="1">
        <v>44353.94872685185</v>
      </c>
      <c r="BJ1032" t="s">
        <v>85</v>
      </c>
      <c r="BK1032" t="s">
        <v>86</v>
      </c>
      <c r="BL1032" t="s">
        <v>87</v>
      </c>
    </row>
    <row r="1033" spans="1:64" x14ac:dyDescent="0.3">
      <c r="A1033" t="str">
        <f>"200548B0000"</f>
        <v>200548B0000</v>
      </c>
      <c r="B1033" t="str">
        <f>"200548B00003"</f>
        <v>200548B00003</v>
      </c>
      <c r="C1033" t="str">
        <f t="shared" si="64"/>
        <v>20</v>
      </c>
      <c r="D1033" t="s">
        <v>81</v>
      </c>
      <c r="E1033" t="str">
        <f t="shared" si="63"/>
        <v>066</v>
      </c>
      <c r="F1033" t="s">
        <v>951</v>
      </c>
      <c r="G1033" t="str">
        <f>"0548"</f>
        <v>0548</v>
      </c>
      <c r="H1033" t="str">
        <f>"0000"</f>
        <v>0000</v>
      </c>
      <c r="I1033" t="s">
        <v>83</v>
      </c>
      <c r="J1033">
        <v>0</v>
      </c>
      <c r="K1033">
        <v>1</v>
      </c>
      <c r="L1033">
        <v>3</v>
      </c>
      <c r="M1033">
        <v>177</v>
      </c>
      <c r="N1033">
        <v>245</v>
      </c>
      <c r="O1033">
        <v>5</v>
      </c>
      <c r="P1033">
        <v>245</v>
      </c>
      <c r="Q1033">
        <v>40</v>
      </c>
      <c r="R1033">
        <v>76</v>
      </c>
      <c r="S1033">
        <v>2</v>
      </c>
      <c r="T1033">
        <v>4</v>
      </c>
      <c r="U1033">
        <v>1</v>
      </c>
      <c r="V1033">
        <v>4</v>
      </c>
      <c r="W1033">
        <v>1</v>
      </c>
      <c r="X1033">
        <v>97</v>
      </c>
      <c r="Y1033">
        <v>2</v>
      </c>
      <c r="Z1033">
        <v>1</v>
      </c>
      <c r="AA1033">
        <v>2</v>
      </c>
      <c r="AB1033">
        <v>7</v>
      </c>
      <c r="AK1033">
        <v>1</v>
      </c>
      <c r="AO1033">
        <v>0</v>
      </c>
      <c r="AP1033">
        <v>0</v>
      </c>
      <c r="AR1033">
        <v>0</v>
      </c>
      <c r="AU1033">
        <v>0</v>
      </c>
      <c r="AW1033">
        <v>0</v>
      </c>
      <c r="AX1033">
        <v>7</v>
      </c>
      <c r="AY1033">
        <v>245</v>
      </c>
      <c r="AZ1033">
        <v>245</v>
      </c>
      <c r="BA1033">
        <v>378</v>
      </c>
      <c r="BB1033">
        <v>44</v>
      </c>
      <c r="BD1033">
        <v>1</v>
      </c>
      <c r="BF1033" t="s">
        <v>1157</v>
      </c>
      <c r="BG1033" s="1">
        <v>44353.87777777778</v>
      </c>
      <c r="BH1033" s="1">
        <v>44353.885358796295</v>
      </c>
      <c r="BI1033" s="1">
        <v>44353.886516203704</v>
      </c>
      <c r="BJ1033" t="s">
        <v>85</v>
      </c>
      <c r="BK1033" t="s">
        <v>86</v>
      </c>
      <c r="BL1033" t="s">
        <v>87</v>
      </c>
    </row>
    <row r="1034" spans="1:64" x14ac:dyDescent="0.3">
      <c r="A1034" t="str">
        <f>"200548C0100"</f>
        <v>200548C0100</v>
      </c>
      <c r="B1034" t="str">
        <f>"200548C01003"</f>
        <v>200548C01003</v>
      </c>
      <c r="C1034" t="str">
        <f t="shared" si="64"/>
        <v>20</v>
      </c>
      <c r="D1034" t="s">
        <v>81</v>
      </c>
      <c r="E1034" t="str">
        <f t="shared" si="63"/>
        <v>066</v>
      </c>
      <c r="F1034" t="s">
        <v>951</v>
      </c>
      <c r="G1034" t="str">
        <f>"0548"</f>
        <v>0548</v>
      </c>
      <c r="H1034" t="str">
        <f>"0001"</f>
        <v>0001</v>
      </c>
      <c r="I1034" t="s">
        <v>89</v>
      </c>
      <c r="J1034">
        <v>0</v>
      </c>
      <c r="K1034">
        <v>1</v>
      </c>
      <c r="L1034">
        <v>3</v>
      </c>
      <c r="M1034">
        <v>167</v>
      </c>
      <c r="N1034">
        <v>254</v>
      </c>
      <c r="O1034">
        <v>5</v>
      </c>
      <c r="P1034" t="s">
        <v>92</v>
      </c>
      <c r="Q1034">
        <v>35</v>
      </c>
      <c r="R1034">
        <v>87</v>
      </c>
      <c r="S1034">
        <v>2</v>
      </c>
      <c r="T1034">
        <v>6</v>
      </c>
      <c r="U1034">
        <v>5</v>
      </c>
      <c r="V1034">
        <v>8</v>
      </c>
      <c r="W1034">
        <v>0</v>
      </c>
      <c r="X1034">
        <v>91</v>
      </c>
      <c r="Y1034">
        <v>2</v>
      </c>
      <c r="Z1034">
        <v>2</v>
      </c>
      <c r="AA1034">
        <v>0</v>
      </c>
      <c r="AB1034">
        <v>7</v>
      </c>
      <c r="AK1034">
        <v>3</v>
      </c>
      <c r="AO1034">
        <v>0</v>
      </c>
      <c r="AP1034">
        <v>0</v>
      </c>
      <c r="AR1034">
        <v>0</v>
      </c>
      <c r="AU1034">
        <v>0</v>
      </c>
      <c r="AW1034">
        <v>0</v>
      </c>
      <c r="AX1034">
        <v>6</v>
      </c>
      <c r="AY1034">
        <v>254</v>
      </c>
      <c r="AZ1034">
        <v>254</v>
      </c>
      <c r="BA1034">
        <v>377</v>
      </c>
      <c r="BB1034">
        <v>44</v>
      </c>
      <c r="BD1034">
        <v>1</v>
      </c>
      <c r="BF1034" t="s">
        <v>1158</v>
      </c>
      <c r="BG1034" s="1">
        <v>44353.87777777778</v>
      </c>
      <c r="BH1034" s="1">
        <v>44353.88453703704</v>
      </c>
      <c r="BI1034" s="1">
        <v>44353.885023148148</v>
      </c>
      <c r="BJ1034" t="s">
        <v>85</v>
      </c>
      <c r="BK1034" t="s">
        <v>86</v>
      </c>
      <c r="BL1034" t="s">
        <v>87</v>
      </c>
    </row>
    <row r="1035" spans="1:64" x14ac:dyDescent="0.3">
      <c r="A1035" t="str">
        <f>"200549B0000"</f>
        <v>200549B0000</v>
      </c>
      <c r="B1035" t="str">
        <f>"200549B00003"</f>
        <v>200549B00003</v>
      </c>
      <c r="C1035" t="str">
        <f t="shared" si="64"/>
        <v>20</v>
      </c>
      <c r="D1035" t="s">
        <v>81</v>
      </c>
      <c r="E1035" t="str">
        <f t="shared" si="63"/>
        <v>066</v>
      </c>
      <c r="F1035" t="s">
        <v>951</v>
      </c>
      <c r="G1035" t="str">
        <f>"0549"</f>
        <v>0549</v>
      </c>
      <c r="H1035" t="str">
        <f>"0000"</f>
        <v>0000</v>
      </c>
      <c r="I1035" t="s">
        <v>83</v>
      </c>
      <c r="J1035">
        <v>0</v>
      </c>
      <c r="K1035">
        <v>1</v>
      </c>
      <c r="L1035">
        <v>3</v>
      </c>
      <c r="M1035">
        <v>210</v>
      </c>
      <c r="N1035">
        <v>289</v>
      </c>
      <c r="O1035">
        <v>6</v>
      </c>
      <c r="P1035">
        <v>289</v>
      </c>
      <c r="Q1035">
        <v>46</v>
      </c>
      <c r="R1035">
        <v>78</v>
      </c>
      <c r="S1035">
        <v>1</v>
      </c>
      <c r="T1035">
        <v>5</v>
      </c>
      <c r="U1035">
        <v>1</v>
      </c>
      <c r="V1035">
        <v>4</v>
      </c>
      <c r="W1035">
        <v>1</v>
      </c>
      <c r="X1035">
        <v>124</v>
      </c>
      <c r="Y1035">
        <v>2</v>
      </c>
      <c r="Z1035">
        <v>3</v>
      </c>
      <c r="AA1035">
        <v>2</v>
      </c>
      <c r="AB1035">
        <v>14</v>
      </c>
      <c r="AK1035">
        <v>2</v>
      </c>
      <c r="AO1035">
        <v>1</v>
      </c>
      <c r="AP1035">
        <v>0</v>
      </c>
      <c r="AR1035">
        <v>0</v>
      </c>
      <c r="AU1035">
        <v>0</v>
      </c>
      <c r="AW1035">
        <v>0</v>
      </c>
      <c r="AX1035">
        <v>5</v>
      </c>
      <c r="AY1035">
        <v>289</v>
      </c>
      <c r="AZ1035">
        <v>289</v>
      </c>
      <c r="BA1035">
        <v>455</v>
      </c>
      <c r="BB1035">
        <v>44</v>
      </c>
      <c r="BD1035">
        <v>1</v>
      </c>
      <c r="BF1035" t="s">
        <v>1159</v>
      </c>
      <c r="BG1035" s="1">
        <v>44353.945833333331</v>
      </c>
      <c r="BH1035" s="1">
        <v>44353.949293981481</v>
      </c>
      <c r="BI1035" s="1">
        <v>44353.950266203705</v>
      </c>
      <c r="BJ1035" t="s">
        <v>85</v>
      </c>
      <c r="BK1035" t="s">
        <v>86</v>
      </c>
      <c r="BL1035" t="s">
        <v>87</v>
      </c>
    </row>
    <row r="1036" spans="1:64" x14ac:dyDescent="0.3">
      <c r="A1036" t="str">
        <f>"200550B0000"</f>
        <v>200550B0000</v>
      </c>
      <c r="B1036" t="str">
        <f>"200550B00003"</f>
        <v>200550B00003</v>
      </c>
      <c r="C1036" t="str">
        <f t="shared" si="64"/>
        <v>20</v>
      </c>
      <c r="D1036" t="s">
        <v>81</v>
      </c>
      <c r="E1036" t="str">
        <f t="shared" si="63"/>
        <v>066</v>
      </c>
      <c r="F1036" t="s">
        <v>951</v>
      </c>
      <c r="G1036" t="str">
        <f>"0550"</f>
        <v>0550</v>
      </c>
      <c r="H1036" t="str">
        <f>"0000"</f>
        <v>0000</v>
      </c>
      <c r="I1036" t="s">
        <v>83</v>
      </c>
      <c r="J1036">
        <v>0</v>
      </c>
      <c r="K1036">
        <v>1</v>
      </c>
      <c r="L1036">
        <v>3</v>
      </c>
      <c r="M1036">
        <v>247</v>
      </c>
      <c r="N1036">
        <v>315</v>
      </c>
      <c r="O1036">
        <v>9</v>
      </c>
      <c r="P1036">
        <v>315</v>
      </c>
      <c r="Q1036">
        <v>39</v>
      </c>
      <c r="R1036">
        <v>92</v>
      </c>
      <c r="S1036">
        <v>5</v>
      </c>
      <c r="T1036">
        <v>5</v>
      </c>
      <c r="U1036">
        <v>4</v>
      </c>
      <c r="V1036">
        <v>6</v>
      </c>
      <c r="W1036">
        <v>0</v>
      </c>
      <c r="X1036">
        <v>131</v>
      </c>
      <c r="Y1036">
        <v>2</v>
      </c>
      <c r="Z1036">
        <v>9</v>
      </c>
      <c r="AA1036">
        <v>1</v>
      </c>
      <c r="AB1036">
        <v>12</v>
      </c>
      <c r="AK1036">
        <v>4</v>
      </c>
      <c r="AO1036">
        <v>2</v>
      </c>
      <c r="AP1036">
        <v>0</v>
      </c>
      <c r="AR1036">
        <v>1</v>
      </c>
      <c r="AU1036">
        <v>0</v>
      </c>
      <c r="AW1036">
        <v>0</v>
      </c>
      <c r="AX1036">
        <v>2</v>
      </c>
      <c r="AY1036">
        <v>315</v>
      </c>
      <c r="AZ1036">
        <v>315</v>
      </c>
      <c r="BA1036">
        <v>518</v>
      </c>
      <c r="BB1036">
        <v>44</v>
      </c>
      <c r="BD1036">
        <v>1</v>
      </c>
      <c r="BF1036" t="s">
        <v>1160</v>
      </c>
      <c r="BG1036" s="1">
        <v>44354.048611111109</v>
      </c>
      <c r="BH1036" s="1">
        <v>44354.055763888886</v>
      </c>
      <c r="BI1036" s="1">
        <v>44354.056469907409</v>
      </c>
      <c r="BJ1036" t="s">
        <v>85</v>
      </c>
      <c r="BK1036" t="s">
        <v>86</v>
      </c>
      <c r="BL1036" t="s">
        <v>87</v>
      </c>
    </row>
    <row r="1037" spans="1:64" x14ac:dyDescent="0.3">
      <c r="A1037" t="str">
        <f>"200551B0000"</f>
        <v>200551B0000</v>
      </c>
      <c r="B1037" t="str">
        <f>"200551B00003"</f>
        <v>200551B00003</v>
      </c>
      <c r="C1037" t="str">
        <f t="shared" si="64"/>
        <v>20</v>
      </c>
      <c r="D1037" t="s">
        <v>81</v>
      </c>
      <c r="E1037" t="str">
        <f t="shared" si="63"/>
        <v>066</v>
      </c>
      <c r="F1037" t="s">
        <v>951</v>
      </c>
      <c r="G1037" t="str">
        <f>"0551"</f>
        <v>0551</v>
      </c>
      <c r="H1037" t="str">
        <f>"0000"</f>
        <v>0000</v>
      </c>
      <c r="I1037" t="s">
        <v>83</v>
      </c>
      <c r="J1037">
        <v>0</v>
      </c>
      <c r="K1037">
        <v>1</v>
      </c>
      <c r="L1037">
        <v>3</v>
      </c>
      <c r="M1037">
        <v>215</v>
      </c>
      <c r="N1037">
        <v>505</v>
      </c>
      <c r="O1037">
        <v>5</v>
      </c>
      <c r="P1037">
        <v>290</v>
      </c>
      <c r="Q1037">
        <v>34</v>
      </c>
      <c r="R1037">
        <v>104</v>
      </c>
      <c r="S1037">
        <v>3</v>
      </c>
      <c r="T1037">
        <v>2</v>
      </c>
      <c r="U1037">
        <v>4</v>
      </c>
      <c r="V1037">
        <v>5</v>
      </c>
      <c r="W1037">
        <v>0</v>
      </c>
      <c r="X1037">
        <v>118</v>
      </c>
      <c r="Y1037">
        <v>2</v>
      </c>
      <c r="Z1037">
        <v>4</v>
      </c>
      <c r="AA1037">
        <v>0</v>
      </c>
      <c r="AB1037">
        <v>5</v>
      </c>
      <c r="AK1037">
        <v>1</v>
      </c>
      <c r="AO1037">
        <v>3</v>
      </c>
      <c r="AP1037">
        <v>0</v>
      </c>
      <c r="AR1037">
        <v>0</v>
      </c>
      <c r="AU1037">
        <v>0</v>
      </c>
      <c r="AW1037">
        <v>0</v>
      </c>
      <c r="AX1037">
        <v>5</v>
      </c>
      <c r="AY1037">
        <v>290</v>
      </c>
      <c r="AZ1037">
        <v>290</v>
      </c>
      <c r="BA1037">
        <v>461</v>
      </c>
      <c r="BB1037">
        <v>44</v>
      </c>
      <c r="BD1037">
        <v>1</v>
      </c>
      <c r="BF1037" t="s">
        <v>1161</v>
      </c>
      <c r="BG1037" s="1">
        <v>44354.036805555559</v>
      </c>
      <c r="BH1037" s="1">
        <v>44354.048333333332</v>
      </c>
      <c r="BI1037" s="1">
        <v>44354.048750000002</v>
      </c>
      <c r="BJ1037" t="s">
        <v>85</v>
      </c>
      <c r="BK1037" t="s">
        <v>86</v>
      </c>
      <c r="BL1037" t="s">
        <v>87</v>
      </c>
    </row>
    <row r="1038" spans="1:64" x14ac:dyDescent="0.3">
      <c r="A1038" t="str">
        <f>"200551C0100"</f>
        <v>200551C0100</v>
      </c>
      <c r="B1038" t="str">
        <f>"200551C01003"</f>
        <v>200551C01003</v>
      </c>
      <c r="C1038" t="str">
        <f t="shared" si="64"/>
        <v>20</v>
      </c>
      <c r="D1038" t="s">
        <v>81</v>
      </c>
      <c r="E1038" t="str">
        <f t="shared" si="63"/>
        <v>066</v>
      </c>
      <c r="F1038" t="s">
        <v>951</v>
      </c>
      <c r="G1038" t="str">
        <f>"0551"</f>
        <v>0551</v>
      </c>
      <c r="H1038" t="str">
        <f>"0001"</f>
        <v>0001</v>
      </c>
      <c r="I1038" t="s">
        <v>89</v>
      </c>
      <c r="J1038">
        <v>0</v>
      </c>
      <c r="K1038">
        <v>1</v>
      </c>
      <c r="L1038">
        <v>3</v>
      </c>
      <c r="M1038">
        <v>243</v>
      </c>
      <c r="N1038">
        <v>262</v>
      </c>
      <c r="O1038">
        <v>5</v>
      </c>
      <c r="P1038">
        <v>262</v>
      </c>
      <c r="Q1038">
        <v>30</v>
      </c>
      <c r="R1038">
        <v>82</v>
      </c>
      <c r="S1038">
        <v>3</v>
      </c>
      <c r="T1038">
        <v>4</v>
      </c>
      <c r="U1038">
        <v>2</v>
      </c>
      <c r="V1038">
        <v>9</v>
      </c>
      <c r="W1038">
        <v>0</v>
      </c>
      <c r="X1038">
        <v>106</v>
      </c>
      <c r="Y1038">
        <v>5</v>
      </c>
      <c r="Z1038">
        <v>2</v>
      </c>
      <c r="AA1038">
        <v>2</v>
      </c>
      <c r="AB1038">
        <v>5</v>
      </c>
      <c r="AK1038">
        <v>4</v>
      </c>
      <c r="AO1038">
        <v>1</v>
      </c>
      <c r="AP1038">
        <v>0</v>
      </c>
      <c r="AR1038">
        <v>0</v>
      </c>
      <c r="AU1038">
        <v>0</v>
      </c>
      <c r="AW1038">
        <v>0</v>
      </c>
      <c r="AX1038">
        <v>7</v>
      </c>
      <c r="AY1038">
        <v>262</v>
      </c>
      <c r="AZ1038">
        <v>262</v>
      </c>
      <c r="BA1038">
        <v>461</v>
      </c>
      <c r="BB1038">
        <v>44</v>
      </c>
      <c r="BD1038">
        <v>1</v>
      </c>
      <c r="BF1038" t="s">
        <v>1162</v>
      </c>
      <c r="BG1038" s="1">
        <v>44354.040972222225</v>
      </c>
      <c r="BH1038" s="1">
        <v>44354.055</v>
      </c>
      <c r="BI1038" s="1">
        <v>44354.055462962962</v>
      </c>
      <c r="BJ1038" t="s">
        <v>85</v>
      </c>
      <c r="BK1038" t="s">
        <v>86</v>
      </c>
      <c r="BL1038" t="s">
        <v>87</v>
      </c>
    </row>
    <row r="1039" spans="1:64" x14ac:dyDescent="0.3">
      <c r="A1039" t="str">
        <f>"200552B0000"</f>
        <v>200552B0000</v>
      </c>
      <c r="B1039" t="str">
        <f>"200552B00003"</f>
        <v>200552B00003</v>
      </c>
      <c r="C1039" t="str">
        <f t="shared" si="64"/>
        <v>20</v>
      </c>
      <c r="D1039" t="s">
        <v>81</v>
      </c>
      <c r="E1039" t="str">
        <f t="shared" si="63"/>
        <v>066</v>
      </c>
      <c r="F1039" t="s">
        <v>951</v>
      </c>
      <c r="G1039" t="str">
        <f>"0552"</f>
        <v>0552</v>
      </c>
      <c r="H1039" t="str">
        <f>"0000"</f>
        <v>0000</v>
      </c>
      <c r="I1039" t="s">
        <v>83</v>
      </c>
      <c r="J1039">
        <v>0</v>
      </c>
      <c r="K1039">
        <v>1</v>
      </c>
      <c r="L1039">
        <v>3</v>
      </c>
      <c r="M1039">
        <v>332</v>
      </c>
      <c r="N1039">
        <v>359</v>
      </c>
      <c r="O1039">
        <v>5</v>
      </c>
      <c r="P1039">
        <v>359</v>
      </c>
      <c r="Q1039">
        <v>33</v>
      </c>
      <c r="R1039">
        <v>90</v>
      </c>
      <c r="S1039">
        <v>3</v>
      </c>
      <c r="T1039">
        <v>5</v>
      </c>
      <c r="U1039">
        <v>17</v>
      </c>
      <c r="V1039">
        <v>7</v>
      </c>
      <c r="W1039">
        <v>4</v>
      </c>
      <c r="X1039">
        <v>160</v>
      </c>
      <c r="Y1039">
        <v>13</v>
      </c>
      <c r="Z1039">
        <v>2</v>
      </c>
      <c r="AA1039">
        <v>5</v>
      </c>
      <c r="AB1039">
        <v>6</v>
      </c>
      <c r="AK1039">
        <v>2</v>
      </c>
      <c r="AO1039">
        <v>2</v>
      </c>
      <c r="AP1039">
        <v>0</v>
      </c>
      <c r="AR1039">
        <v>0</v>
      </c>
      <c r="AU1039">
        <v>1</v>
      </c>
      <c r="AW1039">
        <v>0</v>
      </c>
      <c r="AX1039">
        <v>9</v>
      </c>
      <c r="AY1039">
        <v>359</v>
      </c>
      <c r="AZ1039">
        <v>359</v>
      </c>
      <c r="BA1039">
        <v>647</v>
      </c>
      <c r="BB1039">
        <v>44</v>
      </c>
      <c r="BD1039">
        <v>1</v>
      </c>
      <c r="BF1039" t="s">
        <v>1163</v>
      </c>
      <c r="BG1039" s="1">
        <v>44354.012499999997</v>
      </c>
      <c r="BH1039" s="1">
        <v>44354.025509259256</v>
      </c>
      <c r="BI1039" s="1">
        <v>44354.026076388887</v>
      </c>
      <c r="BJ1039" t="s">
        <v>85</v>
      </c>
      <c r="BK1039" t="s">
        <v>86</v>
      </c>
      <c r="BL1039" t="s">
        <v>87</v>
      </c>
    </row>
    <row r="1040" spans="1:64" x14ac:dyDescent="0.3">
      <c r="A1040" t="str">
        <f>"200552C0100"</f>
        <v>200552C0100</v>
      </c>
      <c r="B1040" t="str">
        <f>"200552C01003"</f>
        <v>200552C01003</v>
      </c>
      <c r="C1040" t="str">
        <f t="shared" si="64"/>
        <v>20</v>
      </c>
      <c r="D1040" t="s">
        <v>81</v>
      </c>
      <c r="E1040" t="str">
        <f t="shared" si="63"/>
        <v>066</v>
      </c>
      <c r="F1040" t="s">
        <v>951</v>
      </c>
      <c r="G1040" t="str">
        <f>"0552"</f>
        <v>0552</v>
      </c>
      <c r="H1040" t="str">
        <f>"0001"</f>
        <v>0001</v>
      </c>
      <c r="I1040" t="s">
        <v>89</v>
      </c>
      <c r="J1040">
        <v>0</v>
      </c>
      <c r="K1040">
        <v>1</v>
      </c>
      <c r="L1040">
        <v>3</v>
      </c>
      <c r="M1040">
        <v>198</v>
      </c>
      <c r="N1040">
        <v>392</v>
      </c>
      <c r="O1040">
        <v>5</v>
      </c>
      <c r="P1040">
        <v>393</v>
      </c>
      <c r="Q1040">
        <v>31</v>
      </c>
      <c r="R1040">
        <v>115</v>
      </c>
      <c r="S1040">
        <v>4</v>
      </c>
      <c r="T1040">
        <v>3</v>
      </c>
      <c r="U1040">
        <v>8</v>
      </c>
      <c r="V1040">
        <v>8</v>
      </c>
      <c r="W1040">
        <v>3</v>
      </c>
      <c r="X1040">
        <v>175</v>
      </c>
      <c r="Y1040">
        <v>18</v>
      </c>
      <c r="Z1040">
        <v>7</v>
      </c>
      <c r="AA1040">
        <v>2</v>
      </c>
      <c r="AB1040">
        <v>9</v>
      </c>
      <c r="AK1040">
        <v>1</v>
      </c>
      <c r="AO1040">
        <v>2</v>
      </c>
      <c r="AP1040">
        <v>0</v>
      </c>
      <c r="AR1040">
        <v>0</v>
      </c>
      <c r="AU1040">
        <v>0</v>
      </c>
      <c r="AW1040">
        <v>0</v>
      </c>
      <c r="AX1040">
        <v>7</v>
      </c>
      <c r="AY1040">
        <v>393</v>
      </c>
      <c r="AZ1040">
        <v>393</v>
      </c>
      <c r="BA1040">
        <v>647</v>
      </c>
      <c r="BB1040">
        <v>44</v>
      </c>
      <c r="BD1040">
        <v>1</v>
      </c>
      <c r="BF1040" t="s">
        <v>1164</v>
      </c>
      <c r="BG1040" s="1">
        <v>44354.039583333331</v>
      </c>
      <c r="BH1040" s="1">
        <v>44354.050127314818</v>
      </c>
      <c r="BI1040" s="1">
        <v>44354.050706018519</v>
      </c>
      <c r="BJ1040" t="s">
        <v>85</v>
      </c>
      <c r="BK1040" t="s">
        <v>86</v>
      </c>
      <c r="BL1040" t="s">
        <v>87</v>
      </c>
    </row>
    <row r="1041" spans="1:64" x14ac:dyDescent="0.3">
      <c r="A1041" t="str">
        <f>"200553B0000"</f>
        <v>200553B0000</v>
      </c>
      <c r="B1041" t="str">
        <f>"200553B00003"</f>
        <v>200553B00003</v>
      </c>
      <c r="C1041" t="str">
        <f t="shared" si="64"/>
        <v>20</v>
      </c>
      <c r="D1041" t="s">
        <v>81</v>
      </c>
      <c r="E1041" t="str">
        <f t="shared" si="63"/>
        <v>066</v>
      </c>
      <c r="F1041" t="s">
        <v>951</v>
      </c>
      <c r="G1041" t="str">
        <f>"0553"</f>
        <v>0553</v>
      </c>
      <c r="H1041" t="str">
        <f>"0000"</f>
        <v>0000</v>
      </c>
      <c r="I1041" t="s">
        <v>83</v>
      </c>
      <c r="J1041">
        <v>0</v>
      </c>
      <c r="K1041">
        <v>1</v>
      </c>
      <c r="L1041">
        <v>3</v>
      </c>
      <c r="M1041">
        <v>287</v>
      </c>
      <c r="N1041">
        <v>278</v>
      </c>
      <c r="O1041">
        <v>4</v>
      </c>
      <c r="P1041">
        <v>278</v>
      </c>
      <c r="Q1041">
        <v>15</v>
      </c>
      <c r="R1041">
        <v>72</v>
      </c>
      <c r="S1041">
        <v>2</v>
      </c>
      <c r="T1041">
        <v>4</v>
      </c>
      <c r="U1041">
        <v>5</v>
      </c>
      <c r="V1041">
        <v>3</v>
      </c>
      <c r="W1041">
        <v>8</v>
      </c>
      <c r="X1041">
        <v>153</v>
      </c>
      <c r="Y1041">
        <v>4</v>
      </c>
      <c r="Z1041">
        <v>5</v>
      </c>
      <c r="AA1041">
        <v>3</v>
      </c>
      <c r="AB1041">
        <v>5</v>
      </c>
      <c r="AK1041">
        <v>1</v>
      </c>
      <c r="AO1041">
        <v>0</v>
      </c>
      <c r="AP1041">
        <v>0</v>
      </c>
      <c r="AR1041">
        <v>0</v>
      </c>
      <c r="AU1041">
        <v>0</v>
      </c>
      <c r="AW1041">
        <v>0</v>
      </c>
      <c r="AX1041">
        <v>6</v>
      </c>
      <c r="AY1041">
        <v>278</v>
      </c>
      <c r="AZ1041">
        <v>286</v>
      </c>
      <c r="BA1041">
        <v>521</v>
      </c>
      <c r="BB1041">
        <v>44</v>
      </c>
      <c r="BD1041">
        <v>1</v>
      </c>
      <c r="BF1041" t="s">
        <v>1165</v>
      </c>
      <c r="BG1041" s="1">
        <v>44354.064583333333</v>
      </c>
      <c r="BH1041" s="1">
        <v>44354.074421296296</v>
      </c>
      <c r="BI1041" s="1">
        <v>44354.075416666667</v>
      </c>
      <c r="BJ1041" t="s">
        <v>85</v>
      </c>
      <c r="BK1041" t="s">
        <v>86</v>
      </c>
      <c r="BL1041" t="s">
        <v>87</v>
      </c>
    </row>
    <row r="1042" spans="1:64" x14ac:dyDescent="0.3">
      <c r="A1042" t="str">
        <f>"200553C0100"</f>
        <v>200553C0100</v>
      </c>
      <c r="B1042" t="str">
        <f>"200553C01003"</f>
        <v>200553C01003</v>
      </c>
      <c r="C1042" t="str">
        <f t="shared" si="64"/>
        <v>20</v>
      </c>
      <c r="D1042" t="s">
        <v>81</v>
      </c>
      <c r="E1042" t="str">
        <f t="shared" si="63"/>
        <v>066</v>
      </c>
      <c r="F1042" t="s">
        <v>951</v>
      </c>
      <c r="G1042" t="str">
        <f>"0553"</f>
        <v>0553</v>
      </c>
      <c r="H1042" t="str">
        <f>"0001"</f>
        <v>0001</v>
      </c>
      <c r="I1042" t="s">
        <v>89</v>
      </c>
      <c r="J1042">
        <v>0</v>
      </c>
      <c r="K1042">
        <v>1</v>
      </c>
      <c r="L1042">
        <v>3</v>
      </c>
      <c r="M1042">
        <v>297</v>
      </c>
      <c r="N1042">
        <v>267</v>
      </c>
      <c r="O1042">
        <v>4</v>
      </c>
      <c r="P1042">
        <v>267</v>
      </c>
      <c r="Q1042">
        <v>12</v>
      </c>
      <c r="R1042">
        <v>61</v>
      </c>
      <c r="S1042">
        <v>0</v>
      </c>
      <c r="T1042">
        <v>2</v>
      </c>
      <c r="U1042">
        <v>3</v>
      </c>
      <c r="V1042">
        <v>2</v>
      </c>
      <c r="W1042">
        <v>1</v>
      </c>
      <c r="X1042">
        <v>156</v>
      </c>
      <c r="Y1042">
        <v>8</v>
      </c>
      <c r="Z1042">
        <v>9</v>
      </c>
      <c r="AA1042">
        <v>0</v>
      </c>
      <c r="AB1042">
        <v>5</v>
      </c>
      <c r="AK1042">
        <v>3</v>
      </c>
      <c r="AO1042">
        <v>1</v>
      </c>
      <c r="AP1042">
        <v>0</v>
      </c>
      <c r="AR1042">
        <v>0</v>
      </c>
      <c r="AU1042">
        <v>0</v>
      </c>
      <c r="AW1042">
        <v>0</v>
      </c>
      <c r="AX1042">
        <v>4</v>
      </c>
      <c r="AY1042">
        <v>267</v>
      </c>
      <c r="AZ1042">
        <v>267</v>
      </c>
      <c r="BA1042">
        <v>520</v>
      </c>
      <c r="BB1042">
        <v>44</v>
      </c>
      <c r="BD1042">
        <v>1</v>
      </c>
      <c r="BF1042" t="s">
        <v>1166</v>
      </c>
      <c r="BG1042" s="1">
        <v>44354.067361111112</v>
      </c>
      <c r="BH1042" s="1">
        <v>44354.098958333336</v>
      </c>
      <c r="BI1042" s="1">
        <v>44354.102210648147</v>
      </c>
      <c r="BJ1042" t="s">
        <v>85</v>
      </c>
      <c r="BK1042" t="s">
        <v>86</v>
      </c>
      <c r="BL1042" t="s">
        <v>87</v>
      </c>
    </row>
    <row r="1043" spans="1:64" x14ac:dyDescent="0.3">
      <c r="A1043" t="str">
        <f>"200553C0200"</f>
        <v>200553C0200</v>
      </c>
      <c r="B1043" t="str">
        <f>"200553C02003"</f>
        <v>200553C02003</v>
      </c>
      <c r="C1043" t="str">
        <f t="shared" si="64"/>
        <v>20</v>
      </c>
      <c r="D1043" t="s">
        <v>81</v>
      </c>
      <c r="E1043" t="str">
        <f t="shared" si="63"/>
        <v>066</v>
      </c>
      <c r="F1043" t="s">
        <v>951</v>
      </c>
      <c r="G1043" t="str">
        <f>"0553"</f>
        <v>0553</v>
      </c>
      <c r="H1043" t="str">
        <f>"0002"</f>
        <v>0002</v>
      </c>
      <c r="I1043" t="s">
        <v>89</v>
      </c>
      <c r="J1043">
        <v>0</v>
      </c>
      <c r="K1043">
        <v>1</v>
      </c>
      <c r="L1043">
        <v>3</v>
      </c>
      <c r="M1043">
        <v>297</v>
      </c>
      <c r="N1043">
        <v>267</v>
      </c>
      <c r="O1043">
        <v>1</v>
      </c>
      <c r="P1043">
        <v>267</v>
      </c>
      <c r="Q1043">
        <v>13</v>
      </c>
      <c r="R1043">
        <v>70</v>
      </c>
      <c r="S1043">
        <v>1</v>
      </c>
      <c r="T1043">
        <v>7</v>
      </c>
      <c r="U1043">
        <v>9</v>
      </c>
      <c r="V1043">
        <v>4</v>
      </c>
      <c r="W1043">
        <v>3</v>
      </c>
      <c r="X1043">
        <v>126</v>
      </c>
      <c r="Y1043">
        <v>7</v>
      </c>
      <c r="Z1043">
        <v>3</v>
      </c>
      <c r="AA1043">
        <v>2</v>
      </c>
      <c r="AB1043">
        <v>11</v>
      </c>
      <c r="AK1043">
        <v>2</v>
      </c>
      <c r="AO1043">
        <v>1</v>
      </c>
      <c r="AP1043">
        <v>0</v>
      </c>
      <c r="AR1043">
        <v>0</v>
      </c>
      <c r="AU1043">
        <v>0</v>
      </c>
      <c r="AW1043">
        <v>1</v>
      </c>
      <c r="AX1043">
        <v>7</v>
      </c>
      <c r="AY1043">
        <v>267</v>
      </c>
      <c r="AZ1043">
        <v>267</v>
      </c>
      <c r="BA1043">
        <v>520</v>
      </c>
      <c r="BB1043">
        <v>44</v>
      </c>
      <c r="BD1043">
        <v>1</v>
      </c>
      <c r="BF1043" t="s">
        <v>1167</v>
      </c>
      <c r="BG1043" s="1">
        <v>44354.076388888891</v>
      </c>
      <c r="BH1043" s="1">
        <v>44354.088148148148</v>
      </c>
      <c r="BI1043" s="1">
        <v>44354.088784722226</v>
      </c>
      <c r="BJ1043" t="s">
        <v>85</v>
      </c>
      <c r="BK1043" t="s">
        <v>86</v>
      </c>
      <c r="BL1043" t="s">
        <v>87</v>
      </c>
    </row>
    <row r="1044" spans="1:64" x14ac:dyDescent="0.3">
      <c r="A1044" t="str">
        <f>"200553S0100"</f>
        <v>200553S0100</v>
      </c>
      <c r="B1044" t="str">
        <f>"200553S01003E"</f>
        <v>200553S01003E</v>
      </c>
      <c r="C1044" t="str">
        <f t="shared" si="64"/>
        <v>20</v>
      </c>
      <c r="D1044" t="s">
        <v>81</v>
      </c>
      <c r="E1044" t="str">
        <f t="shared" si="63"/>
        <v>066</v>
      </c>
      <c r="F1044" t="s">
        <v>951</v>
      </c>
      <c r="G1044" t="str">
        <f>"0553"</f>
        <v>0553</v>
      </c>
      <c r="H1044" t="str">
        <f>"0001"</f>
        <v>0001</v>
      </c>
      <c r="I1044" t="s">
        <v>99</v>
      </c>
      <c r="J1044">
        <v>0</v>
      </c>
      <c r="K1044">
        <v>1</v>
      </c>
      <c r="L1044" t="s">
        <v>100</v>
      </c>
      <c r="M1044">
        <v>962</v>
      </c>
      <c r="N1044">
        <v>38</v>
      </c>
      <c r="O1044">
        <v>0</v>
      </c>
      <c r="P1044">
        <v>38</v>
      </c>
      <c r="Q1044">
        <v>3</v>
      </c>
      <c r="R1044">
        <v>13</v>
      </c>
      <c r="S1044">
        <v>1</v>
      </c>
      <c r="T1044">
        <v>1</v>
      </c>
      <c r="U1044">
        <v>1</v>
      </c>
      <c r="V1044">
        <v>0</v>
      </c>
      <c r="W1044">
        <v>1</v>
      </c>
      <c r="X1044">
        <v>18</v>
      </c>
      <c r="Y1044">
        <v>0</v>
      </c>
      <c r="Z1044">
        <v>0</v>
      </c>
      <c r="AA1044">
        <v>0</v>
      </c>
      <c r="AB1044">
        <v>0</v>
      </c>
      <c r="AK1044">
        <v>0</v>
      </c>
      <c r="AO1044">
        <v>0</v>
      </c>
      <c r="AP1044">
        <v>0</v>
      </c>
      <c r="AR1044">
        <v>0</v>
      </c>
      <c r="AU1044">
        <v>0</v>
      </c>
      <c r="AW1044">
        <v>0</v>
      </c>
      <c r="AX1044">
        <v>0</v>
      </c>
      <c r="AY1044">
        <v>38</v>
      </c>
      <c r="AZ1044">
        <v>38</v>
      </c>
      <c r="BA1044">
        <v>0</v>
      </c>
      <c r="BB1044">
        <v>44</v>
      </c>
      <c r="BD1044">
        <v>1</v>
      </c>
      <c r="BF1044" t="s">
        <v>1168</v>
      </c>
      <c r="BG1044" s="1">
        <v>44354.054166666669</v>
      </c>
      <c r="BH1044" s="1">
        <v>44354.065949074073</v>
      </c>
      <c r="BI1044" s="1">
        <v>44354.066250000003</v>
      </c>
      <c r="BJ1044" t="s">
        <v>85</v>
      </c>
      <c r="BK1044" t="s">
        <v>86</v>
      </c>
      <c r="BL1044" t="s">
        <v>87</v>
      </c>
    </row>
    <row r="1045" spans="1:64" x14ac:dyDescent="0.3">
      <c r="A1045" t="str">
        <f>"200554B0000"</f>
        <v>200554B0000</v>
      </c>
      <c r="B1045" t="str">
        <f>"200554B00003"</f>
        <v>200554B00003</v>
      </c>
      <c r="C1045" t="str">
        <f t="shared" si="64"/>
        <v>20</v>
      </c>
      <c r="D1045" t="s">
        <v>81</v>
      </c>
      <c r="E1045" t="str">
        <f t="shared" si="63"/>
        <v>066</v>
      </c>
      <c r="F1045" t="s">
        <v>951</v>
      </c>
      <c r="G1045" t="str">
        <f>"0554"</f>
        <v>0554</v>
      </c>
      <c r="H1045" t="str">
        <f>"0000"</f>
        <v>0000</v>
      </c>
      <c r="I1045" t="s">
        <v>83</v>
      </c>
      <c r="J1045">
        <v>0</v>
      </c>
      <c r="K1045">
        <v>1</v>
      </c>
      <c r="L1045">
        <v>3</v>
      </c>
      <c r="M1045">
        <v>214</v>
      </c>
      <c r="N1045">
        <v>298</v>
      </c>
      <c r="O1045">
        <v>6</v>
      </c>
      <c r="P1045">
        <v>298</v>
      </c>
      <c r="Q1045">
        <v>25</v>
      </c>
      <c r="R1045">
        <v>93</v>
      </c>
      <c r="S1045">
        <v>3</v>
      </c>
      <c r="T1045">
        <v>2</v>
      </c>
      <c r="U1045">
        <v>6</v>
      </c>
      <c r="V1045">
        <v>2</v>
      </c>
      <c r="W1045">
        <v>1</v>
      </c>
      <c r="X1045">
        <v>145</v>
      </c>
      <c r="Y1045">
        <v>3</v>
      </c>
      <c r="Z1045">
        <v>6</v>
      </c>
      <c r="AA1045">
        <v>0</v>
      </c>
      <c r="AB1045">
        <v>4</v>
      </c>
      <c r="AK1045">
        <v>2</v>
      </c>
      <c r="AO1045">
        <v>0</v>
      </c>
      <c r="AP1045">
        <v>0</v>
      </c>
      <c r="AR1045">
        <v>0</v>
      </c>
      <c r="AU1045">
        <v>0</v>
      </c>
      <c r="AW1045">
        <v>1</v>
      </c>
      <c r="AX1045">
        <v>5</v>
      </c>
      <c r="AY1045">
        <v>298</v>
      </c>
      <c r="AZ1045">
        <v>298</v>
      </c>
      <c r="BA1045">
        <v>468</v>
      </c>
      <c r="BB1045">
        <v>44</v>
      </c>
      <c r="BD1045">
        <v>1</v>
      </c>
      <c r="BF1045" t="s">
        <v>1169</v>
      </c>
      <c r="BG1045" s="1">
        <v>44353.952777777777</v>
      </c>
      <c r="BH1045" s="1">
        <v>44353.956655092596</v>
      </c>
      <c r="BI1045" s="1">
        <v>44353.957384259258</v>
      </c>
      <c r="BJ1045" t="s">
        <v>85</v>
      </c>
      <c r="BK1045" t="s">
        <v>86</v>
      </c>
      <c r="BL1045" t="s">
        <v>87</v>
      </c>
    </row>
    <row r="1046" spans="1:64" x14ac:dyDescent="0.3">
      <c r="A1046" t="str">
        <f>"200554C0100"</f>
        <v>200554C0100</v>
      </c>
      <c r="B1046" t="str">
        <f>"200554C01003"</f>
        <v>200554C01003</v>
      </c>
      <c r="C1046" t="str">
        <f t="shared" si="64"/>
        <v>20</v>
      </c>
      <c r="D1046" t="s">
        <v>81</v>
      </c>
      <c r="E1046" t="str">
        <f t="shared" si="63"/>
        <v>066</v>
      </c>
      <c r="F1046" t="s">
        <v>951</v>
      </c>
      <c r="G1046" t="str">
        <f>"0554"</f>
        <v>0554</v>
      </c>
      <c r="H1046" t="str">
        <f>"0001"</f>
        <v>0001</v>
      </c>
      <c r="I1046" t="s">
        <v>89</v>
      </c>
      <c r="J1046">
        <v>0</v>
      </c>
      <c r="K1046">
        <v>1</v>
      </c>
      <c r="L1046">
        <v>3</v>
      </c>
      <c r="M1046">
        <v>223</v>
      </c>
      <c r="N1046">
        <v>288</v>
      </c>
      <c r="O1046">
        <v>7</v>
      </c>
      <c r="P1046">
        <v>283</v>
      </c>
      <c r="Q1046">
        <v>14</v>
      </c>
      <c r="R1046">
        <v>93</v>
      </c>
      <c r="S1046">
        <v>1</v>
      </c>
      <c r="T1046">
        <v>3</v>
      </c>
      <c r="U1046">
        <v>5</v>
      </c>
      <c r="V1046">
        <v>6</v>
      </c>
      <c r="W1046">
        <v>0</v>
      </c>
      <c r="X1046">
        <v>146</v>
      </c>
      <c r="Y1046">
        <v>2</v>
      </c>
      <c r="Z1046">
        <v>2</v>
      </c>
      <c r="AA1046">
        <v>1</v>
      </c>
      <c r="AB1046">
        <v>8</v>
      </c>
      <c r="AK1046">
        <v>2</v>
      </c>
      <c r="AO1046">
        <v>0</v>
      </c>
      <c r="AP1046">
        <v>0</v>
      </c>
      <c r="AR1046">
        <v>0</v>
      </c>
      <c r="AU1046">
        <v>0</v>
      </c>
      <c r="AW1046">
        <v>0</v>
      </c>
      <c r="AX1046">
        <v>5</v>
      </c>
      <c r="AY1046">
        <v>288</v>
      </c>
      <c r="AZ1046">
        <v>288</v>
      </c>
      <c r="BA1046">
        <v>467</v>
      </c>
      <c r="BB1046">
        <v>44</v>
      </c>
      <c r="BD1046">
        <v>1</v>
      </c>
      <c r="BF1046" t="s">
        <v>1170</v>
      </c>
      <c r="BG1046" s="1">
        <v>44354.075694444444</v>
      </c>
      <c r="BH1046" s="1">
        <v>44354.089386574073</v>
      </c>
      <c r="BI1046" s="1">
        <v>44354.089837962965</v>
      </c>
      <c r="BJ1046" t="s">
        <v>85</v>
      </c>
      <c r="BK1046" t="s">
        <v>86</v>
      </c>
      <c r="BL1046" t="s">
        <v>87</v>
      </c>
    </row>
    <row r="1047" spans="1:64" x14ac:dyDescent="0.3">
      <c r="A1047" t="str">
        <f>"200555B0000"</f>
        <v>200555B0000</v>
      </c>
      <c r="B1047" t="str">
        <f>"200555B00003"</f>
        <v>200555B00003</v>
      </c>
      <c r="C1047" t="str">
        <f t="shared" si="64"/>
        <v>20</v>
      </c>
      <c r="D1047" t="s">
        <v>81</v>
      </c>
      <c r="E1047" t="str">
        <f t="shared" si="63"/>
        <v>066</v>
      </c>
      <c r="F1047" t="s">
        <v>951</v>
      </c>
      <c r="G1047" t="str">
        <f>"0555"</f>
        <v>0555</v>
      </c>
      <c r="H1047" t="str">
        <f>"0000"</f>
        <v>0000</v>
      </c>
      <c r="I1047" t="s">
        <v>83</v>
      </c>
      <c r="J1047">
        <v>0</v>
      </c>
      <c r="K1047">
        <v>1</v>
      </c>
      <c r="L1047">
        <v>3</v>
      </c>
      <c r="M1047">
        <v>190</v>
      </c>
      <c r="N1047">
        <v>310</v>
      </c>
      <c r="O1047">
        <v>3</v>
      </c>
      <c r="P1047">
        <v>310</v>
      </c>
      <c r="Q1047">
        <v>65</v>
      </c>
      <c r="R1047">
        <v>101</v>
      </c>
      <c r="S1047">
        <v>2</v>
      </c>
      <c r="T1047">
        <v>3</v>
      </c>
      <c r="U1047">
        <v>4</v>
      </c>
      <c r="V1047">
        <v>8</v>
      </c>
      <c r="W1047">
        <v>2</v>
      </c>
      <c r="X1047">
        <v>92</v>
      </c>
      <c r="Y1047">
        <v>2</v>
      </c>
      <c r="Z1047">
        <v>4</v>
      </c>
      <c r="AA1047">
        <v>4</v>
      </c>
      <c r="AB1047">
        <v>12</v>
      </c>
      <c r="AK1047">
        <v>5</v>
      </c>
      <c r="AO1047">
        <v>2</v>
      </c>
      <c r="AP1047">
        <v>0</v>
      </c>
      <c r="AR1047">
        <v>0</v>
      </c>
      <c r="AU1047">
        <v>0</v>
      </c>
      <c r="AW1047">
        <v>0</v>
      </c>
      <c r="AX1047">
        <v>4</v>
      </c>
      <c r="AY1047">
        <v>310</v>
      </c>
      <c r="AZ1047">
        <v>310</v>
      </c>
      <c r="BA1047">
        <v>456</v>
      </c>
      <c r="BB1047">
        <v>44</v>
      </c>
      <c r="BD1047">
        <v>1</v>
      </c>
      <c r="BF1047" t="s">
        <v>1171</v>
      </c>
      <c r="BG1047" s="1">
        <v>44354.080555555556</v>
      </c>
      <c r="BH1047" s="1">
        <v>44354.093657407408</v>
      </c>
      <c r="BI1047" s="1">
        <v>44354.094085648147</v>
      </c>
      <c r="BJ1047" t="s">
        <v>85</v>
      </c>
      <c r="BK1047" t="s">
        <v>86</v>
      </c>
      <c r="BL1047" t="s">
        <v>87</v>
      </c>
    </row>
    <row r="1048" spans="1:64" x14ac:dyDescent="0.3">
      <c r="A1048" t="str">
        <f>"200555C0100"</f>
        <v>200555C0100</v>
      </c>
      <c r="B1048" t="str">
        <f>"200555C01003"</f>
        <v>200555C01003</v>
      </c>
      <c r="C1048" t="str">
        <f t="shared" si="64"/>
        <v>20</v>
      </c>
      <c r="D1048" t="s">
        <v>81</v>
      </c>
      <c r="E1048" t="str">
        <f t="shared" si="63"/>
        <v>066</v>
      </c>
      <c r="F1048" t="s">
        <v>951</v>
      </c>
      <c r="G1048" t="str">
        <f>"0555"</f>
        <v>0555</v>
      </c>
      <c r="H1048" t="str">
        <f>"0001"</f>
        <v>0001</v>
      </c>
      <c r="I1048" t="s">
        <v>89</v>
      </c>
      <c r="J1048">
        <v>0</v>
      </c>
      <c r="K1048">
        <v>1</v>
      </c>
      <c r="L1048">
        <v>3</v>
      </c>
      <c r="M1048">
        <v>207</v>
      </c>
      <c r="N1048">
        <v>293</v>
      </c>
      <c r="O1048">
        <v>7</v>
      </c>
      <c r="P1048">
        <v>293</v>
      </c>
      <c r="Q1048">
        <v>53</v>
      </c>
      <c r="R1048">
        <v>101</v>
      </c>
      <c r="S1048">
        <v>2</v>
      </c>
      <c r="T1048">
        <v>5</v>
      </c>
      <c r="U1048">
        <v>3</v>
      </c>
      <c r="V1048">
        <v>2</v>
      </c>
      <c r="W1048">
        <v>1</v>
      </c>
      <c r="X1048">
        <v>107</v>
      </c>
      <c r="Y1048">
        <v>0</v>
      </c>
      <c r="Z1048">
        <v>3</v>
      </c>
      <c r="AA1048">
        <v>0</v>
      </c>
      <c r="AB1048">
        <v>7</v>
      </c>
      <c r="AK1048">
        <v>2</v>
      </c>
      <c r="AO1048">
        <v>1</v>
      </c>
      <c r="AP1048">
        <v>0</v>
      </c>
      <c r="AR1048">
        <v>0</v>
      </c>
      <c r="AU1048">
        <v>0</v>
      </c>
      <c r="AW1048">
        <v>0</v>
      </c>
      <c r="AX1048">
        <v>6</v>
      </c>
      <c r="AY1048">
        <v>293</v>
      </c>
      <c r="AZ1048">
        <v>293</v>
      </c>
      <c r="BA1048">
        <v>456</v>
      </c>
      <c r="BB1048">
        <v>44</v>
      </c>
      <c r="BD1048">
        <v>1</v>
      </c>
      <c r="BF1048" t="s">
        <v>1172</v>
      </c>
      <c r="BG1048" s="1">
        <v>44354.081250000003</v>
      </c>
      <c r="BH1048" s="1">
        <v>44354.09275462963</v>
      </c>
      <c r="BI1048" s="1">
        <v>44354.093321759261</v>
      </c>
      <c r="BJ1048" t="s">
        <v>85</v>
      </c>
      <c r="BK1048" t="s">
        <v>86</v>
      </c>
      <c r="BL1048" t="s">
        <v>87</v>
      </c>
    </row>
    <row r="1049" spans="1:64" x14ac:dyDescent="0.3">
      <c r="A1049" t="str">
        <f>"200556B0000"</f>
        <v>200556B0000</v>
      </c>
      <c r="B1049" t="str">
        <f>"200556B00003"</f>
        <v>200556B00003</v>
      </c>
      <c r="C1049" t="str">
        <f t="shared" si="64"/>
        <v>20</v>
      </c>
      <c r="D1049" t="s">
        <v>81</v>
      </c>
      <c r="E1049" t="str">
        <f t="shared" si="63"/>
        <v>066</v>
      </c>
      <c r="F1049" t="s">
        <v>951</v>
      </c>
      <c r="G1049" t="str">
        <f>"0556"</f>
        <v>0556</v>
      </c>
      <c r="H1049" t="str">
        <f>"0000"</f>
        <v>0000</v>
      </c>
      <c r="I1049" t="s">
        <v>83</v>
      </c>
      <c r="J1049">
        <v>0</v>
      </c>
      <c r="K1049">
        <v>1</v>
      </c>
      <c r="L1049">
        <v>3</v>
      </c>
      <c r="M1049">
        <v>351</v>
      </c>
      <c r="N1049">
        <v>417</v>
      </c>
      <c r="O1049">
        <v>7</v>
      </c>
      <c r="P1049">
        <v>417</v>
      </c>
      <c r="Q1049">
        <v>58</v>
      </c>
      <c r="R1049">
        <v>136</v>
      </c>
      <c r="S1049">
        <v>2</v>
      </c>
      <c r="T1049">
        <v>5</v>
      </c>
      <c r="U1049">
        <v>6</v>
      </c>
      <c r="V1049">
        <v>12</v>
      </c>
      <c r="W1049">
        <v>1</v>
      </c>
      <c r="X1049">
        <v>157</v>
      </c>
      <c r="Y1049">
        <v>8</v>
      </c>
      <c r="Z1049">
        <v>4</v>
      </c>
      <c r="AA1049">
        <v>5</v>
      </c>
      <c r="AB1049">
        <v>7</v>
      </c>
      <c r="AK1049">
        <v>2</v>
      </c>
      <c r="AO1049">
        <v>0</v>
      </c>
      <c r="AP1049">
        <v>0</v>
      </c>
      <c r="AR1049">
        <v>0</v>
      </c>
      <c r="AU1049">
        <v>0</v>
      </c>
      <c r="AW1049">
        <v>1</v>
      </c>
      <c r="AX1049">
        <v>13</v>
      </c>
      <c r="AY1049">
        <v>417</v>
      </c>
      <c r="AZ1049">
        <v>417</v>
      </c>
      <c r="BA1049">
        <v>724</v>
      </c>
      <c r="BB1049">
        <v>44</v>
      </c>
      <c r="BD1049">
        <v>1</v>
      </c>
      <c r="BF1049" t="s">
        <v>1173</v>
      </c>
      <c r="BG1049" s="1">
        <v>44353.95416666667</v>
      </c>
      <c r="BH1049" s="1">
        <v>44353.959837962961</v>
      </c>
      <c r="BI1049" s="1">
        <v>44353.960706018515</v>
      </c>
      <c r="BJ1049" t="s">
        <v>85</v>
      </c>
      <c r="BK1049" t="s">
        <v>86</v>
      </c>
      <c r="BL1049" t="s">
        <v>87</v>
      </c>
    </row>
    <row r="1050" spans="1:64" x14ac:dyDescent="0.3">
      <c r="A1050" t="str">
        <f>"200557B0000"</f>
        <v>200557B0000</v>
      </c>
      <c r="B1050" t="str">
        <f>"200557B00003"</f>
        <v>200557B00003</v>
      </c>
      <c r="C1050" t="str">
        <f t="shared" si="64"/>
        <v>20</v>
      </c>
      <c r="D1050" t="s">
        <v>81</v>
      </c>
      <c r="E1050" t="str">
        <f t="shared" si="63"/>
        <v>066</v>
      </c>
      <c r="F1050" t="s">
        <v>951</v>
      </c>
      <c r="G1050" t="str">
        <f>"0557"</f>
        <v>0557</v>
      </c>
      <c r="H1050" t="str">
        <f>"0000"</f>
        <v>0000</v>
      </c>
      <c r="I1050" t="s">
        <v>83</v>
      </c>
      <c r="J1050">
        <v>0</v>
      </c>
      <c r="K1050">
        <v>1</v>
      </c>
      <c r="L1050">
        <v>3</v>
      </c>
      <c r="M1050">
        <v>287</v>
      </c>
      <c r="N1050">
        <v>213</v>
      </c>
      <c r="O1050">
        <v>1</v>
      </c>
      <c r="P1050">
        <v>213</v>
      </c>
      <c r="Q1050">
        <v>10</v>
      </c>
      <c r="R1050">
        <v>49</v>
      </c>
      <c r="S1050">
        <v>1</v>
      </c>
      <c r="T1050">
        <v>1</v>
      </c>
      <c r="U1050">
        <v>7</v>
      </c>
      <c r="V1050">
        <v>5</v>
      </c>
      <c r="W1050">
        <v>2</v>
      </c>
      <c r="X1050">
        <v>123</v>
      </c>
      <c r="Y1050">
        <v>1</v>
      </c>
      <c r="Z1050">
        <v>0</v>
      </c>
      <c r="AA1050">
        <v>0</v>
      </c>
      <c r="AB1050">
        <v>0</v>
      </c>
      <c r="AK1050">
        <v>2</v>
      </c>
      <c r="AO1050">
        <v>0</v>
      </c>
      <c r="AP1050">
        <v>0</v>
      </c>
      <c r="AR1050">
        <v>0</v>
      </c>
      <c r="AU1050">
        <v>0</v>
      </c>
      <c r="AW1050">
        <v>0</v>
      </c>
      <c r="AX1050">
        <v>7</v>
      </c>
      <c r="AY1050">
        <v>213</v>
      </c>
      <c r="AZ1050">
        <v>208</v>
      </c>
      <c r="BA1050">
        <v>456</v>
      </c>
      <c r="BB1050">
        <v>44</v>
      </c>
      <c r="BD1050">
        <v>1</v>
      </c>
      <c r="BF1050" t="s">
        <v>1174</v>
      </c>
      <c r="BG1050" s="1">
        <v>44353.974305555559</v>
      </c>
      <c r="BH1050" s="1">
        <v>44353.976678240739</v>
      </c>
      <c r="BI1050" s="1">
        <v>44353.977199074077</v>
      </c>
      <c r="BJ1050" t="s">
        <v>85</v>
      </c>
      <c r="BK1050" t="s">
        <v>86</v>
      </c>
      <c r="BL1050" t="s">
        <v>87</v>
      </c>
    </row>
    <row r="1051" spans="1:64" x14ac:dyDescent="0.3">
      <c r="A1051" t="str">
        <f>"200557C0100"</f>
        <v>200557C0100</v>
      </c>
      <c r="B1051" t="str">
        <f>"200557C01003"</f>
        <v>200557C01003</v>
      </c>
      <c r="C1051" t="str">
        <f t="shared" si="64"/>
        <v>20</v>
      </c>
      <c r="D1051" t="s">
        <v>81</v>
      </c>
      <c r="E1051" t="str">
        <f t="shared" si="63"/>
        <v>066</v>
      </c>
      <c r="F1051" t="s">
        <v>951</v>
      </c>
      <c r="G1051" t="str">
        <f>"0557"</f>
        <v>0557</v>
      </c>
      <c r="H1051" t="str">
        <f>"0001"</f>
        <v>0001</v>
      </c>
      <c r="I1051" t="s">
        <v>89</v>
      </c>
      <c r="J1051">
        <v>0</v>
      </c>
      <c r="K1051">
        <v>1</v>
      </c>
      <c r="L1051">
        <v>3</v>
      </c>
      <c r="M1051">
        <v>271</v>
      </c>
      <c r="N1051">
        <v>228</v>
      </c>
      <c r="O1051">
        <v>1</v>
      </c>
      <c r="P1051">
        <v>228</v>
      </c>
      <c r="Q1051">
        <v>11</v>
      </c>
      <c r="R1051">
        <v>61</v>
      </c>
      <c r="S1051">
        <v>3</v>
      </c>
      <c r="T1051">
        <v>1</v>
      </c>
      <c r="U1051">
        <v>4</v>
      </c>
      <c r="V1051">
        <v>5</v>
      </c>
      <c r="W1051">
        <v>2</v>
      </c>
      <c r="X1051">
        <v>124</v>
      </c>
      <c r="Y1051">
        <v>3</v>
      </c>
      <c r="Z1051">
        <v>1</v>
      </c>
      <c r="AA1051">
        <v>2</v>
      </c>
      <c r="AB1051">
        <v>3</v>
      </c>
      <c r="AK1051">
        <v>2</v>
      </c>
      <c r="AO1051">
        <v>0</v>
      </c>
      <c r="AP1051">
        <v>0</v>
      </c>
      <c r="AR1051">
        <v>0</v>
      </c>
      <c r="AU1051">
        <v>0</v>
      </c>
      <c r="AW1051">
        <v>0</v>
      </c>
      <c r="AX1051">
        <v>6</v>
      </c>
      <c r="AY1051">
        <v>228</v>
      </c>
      <c r="AZ1051">
        <v>228</v>
      </c>
      <c r="BA1051">
        <v>455</v>
      </c>
      <c r="BB1051">
        <v>44</v>
      </c>
      <c r="BD1051">
        <v>1</v>
      </c>
      <c r="BF1051" t="s">
        <v>1175</v>
      </c>
      <c r="BG1051" s="1">
        <v>44353.924305555556</v>
      </c>
      <c r="BH1051" s="1">
        <v>44353.933078703703</v>
      </c>
      <c r="BI1051" s="1">
        <v>44353.934224537035</v>
      </c>
      <c r="BJ1051" t="s">
        <v>85</v>
      </c>
      <c r="BK1051" t="s">
        <v>86</v>
      </c>
      <c r="BL1051" t="s">
        <v>87</v>
      </c>
    </row>
    <row r="1052" spans="1:64" x14ac:dyDescent="0.3">
      <c r="A1052" t="str">
        <f>"200558B0000"</f>
        <v>200558B0000</v>
      </c>
      <c r="B1052" t="str">
        <f>"200558B00003"</f>
        <v>200558B00003</v>
      </c>
      <c r="C1052" t="str">
        <f t="shared" si="64"/>
        <v>20</v>
      </c>
      <c r="D1052" t="s">
        <v>81</v>
      </c>
      <c r="E1052" t="str">
        <f t="shared" si="63"/>
        <v>066</v>
      </c>
      <c r="F1052" t="s">
        <v>951</v>
      </c>
      <c r="G1052" t="str">
        <f>"0558"</f>
        <v>0558</v>
      </c>
      <c r="H1052" t="str">
        <f>"0000"</f>
        <v>0000</v>
      </c>
      <c r="I1052" t="s">
        <v>83</v>
      </c>
      <c r="J1052">
        <v>0</v>
      </c>
      <c r="K1052">
        <v>1</v>
      </c>
      <c r="L1052">
        <v>3</v>
      </c>
      <c r="M1052">
        <v>200</v>
      </c>
      <c r="N1052">
        <v>200</v>
      </c>
      <c r="O1052">
        <v>2</v>
      </c>
      <c r="P1052">
        <v>201</v>
      </c>
      <c r="Q1052">
        <v>8</v>
      </c>
      <c r="R1052">
        <v>63</v>
      </c>
      <c r="S1052">
        <v>1</v>
      </c>
      <c r="T1052">
        <v>2</v>
      </c>
      <c r="U1052">
        <v>5</v>
      </c>
      <c r="V1052">
        <v>4</v>
      </c>
      <c r="W1052">
        <v>5</v>
      </c>
      <c r="X1052">
        <v>98</v>
      </c>
      <c r="Y1052">
        <v>2</v>
      </c>
      <c r="Z1052">
        <v>3</v>
      </c>
      <c r="AA1052">
        <v>2</v>
      </c>
      <c r="AB1052">
        <v>5</v>
      </c>
      <c r="AK1052" t="s">
        <v>95</v>
      </c>
      <c r="AO1052" t="s">
        <v>95</v>
      </c>
      <c r="AP1052" t="s">
        <v>95</v>
      </c>
      <c r="AR1052" t="s">
        <v>95</v>
      </c>
      <c r="AU1052" t="s">
        <v>95</v>
      </c>
      <c r="AW1052" t="s">
        <v>95</v>
      </c>
      <c r="AX1052" t="s">
        <v>95</v>
      </c>
      <c r="AY1052" t="s">
        <v>95</v>
      </c>
      <c r="AZ1052">
        <v>198</v>
      </c>
      <c r="BA1052">
        <v>460</v>
      </c>
      <c r="BB1052">
        <v>44</v>
      </c>
      <c r="BC1052" t="s">
        <v>96</v>
      </c>
      <c r="BD1052">
        <v>1</v>
      </c>
      <c r="BF1052" t="s">
        <v>1176</v>
      </c>
      <c r="BG1052" s="1">
        <v>44354.095833333333</v>
      </c>
      <c r="BH1052" s="1">
        <v>44354.11383101852</v>
      </c>
      <c r="BI1052" s="1">
        <v>44354.114317129628</v>
      </c>
      <c r="BJ1052" t="s">
        <v>85</v>
      </c>
      <c r="BK1052" t="s">
        <v>86</v>
      </c>
      <c r="BL1052" t="s">
        <v>87</v>
      </c>
    </row>
    <row r="1053" spans="1:64" x14ac:dyDescent="0.3">
      <c r="A1053" t="str">
        <f>"200558C0100"</f>
        <v>200558C0100</v>
      </c>
      <c r="B1053" t="str">
        <f>"200558C01003"</f>
        <v>200558C01003</v>
      </c>
      <c r="C1053" t="str">
        <f t="shared" si="64"/>
        <v>20</v>
      </c>
      <c r="D1053" t="s">
        <v>81</v>
      </c>
      <c r="E1053" t="str">
        <f t="shared" si="63"/>
        <v>066</v>
      </c>
      <c r="F1053" t="s">
        <v>951</v>
      </c>
      <c r="G1053" t="str">
        <f>"0558"</f>
        <v>0558</v>
      </c>
      <c r="H1053" t="str">
        <f>"0001"</f>
        <v>0001</v>
      </c>
      <c r="I1053" t="s">
        <v>89</v>
      </c>
      <c r="J1053">
        <v>0</v>
      </c>
      <c r="K1053">
        <v>1</v>
      </c>
      <c r="L1053">
        <v>3</v>
      </c>
      <c r="M1053">
        <v>262</v>
      </c>
      <c r="N1053">
        <v>241</v>
      </c>
      <c r="O1053">
        <v>2</v>
      </c>
      <c r="P1053">
        <v>241</v>
      </c>
      <c r="Q1053">
        <v>12</v>
      </c>
      <c r="R1053">
        <v>73</v>
      </c>
      <c r="S1053">
        <v>4</v>
      </c>
      <c r="T1053">
        <v>2</v>
      </c>
      <c r="U1053">
        <v>5</v>
      </c>
      <c r="V1053">
        <v>5</v>
      </c>
      <c r="W1053">
        <v>2</v>
      </c>
      <c r="X1053">
        <v>108</v>
      </c>
      <c r="Y1053">
        <v>4</v>
      </c>
      <c r="Z1053">
        <v>3</v>
      </c>
      <c r="AA1053">
        <v>3</v>
      </c>
      <c r="AB1053">
        <v>14</v>
      </c>
      <c r="AK1053" t="s">
        <v>95</v>
      </c>
      <c r="AO1053" t="s">
        <v>95</v>
      </c>
      <c r="AP1053" t="s">
        <v>95</v>
      </c>
      <c r="AR1053" t="s">
        <v>95</v>
      </c>
      <c r="AU1053" t="s">
        <v>95</v>
      </c>
      <c r="AW1053" t="s">
        <v>95</v>
      </c>
      <c r="AX1053">
        <v>6</v>
      </c>
      <c r="AY1053">
        <v>241</v>
      </c>
      <c r="AZ1053">
        <v>241</v>
      </c>
      <c r="BA1053">
        <v>460</v>
      </c>
      <c r="BB1053">
        <v>44</v>
      </c>
      <c r="BC1053" t="s">
        <v>96</v>
      </c>
      <c r="BD1053">
        <v>1</v>
      </c>
      <c r="BF1053" t="s">
        <v>1177</v>
      </c>
      <c r="BG1053" s="1">
        <v>44354.095833333333</v>
      </c>
      <c r="BH1053" s="1">
        <v>44354.113796296297</v>
      </c>
      <c r="BI1053" s="1">
        <v>44354.114374999997</v>
      </c>
      <c r="BJ1053" t="s">
        <v>85</v>
      </c>
      <c r="BK1053" t="s">
        <v>86</v>
      </c>
      <c r="BL1053" t="s">
        <v>87</v>
      </c>
    </row>
    <row r="1054" spans="1:64" x14ac:dyDescent="0.3">
      <c r="A1054" t="str">
        <f>"200559B0000"</f>
        <v>200559B0000</v>
      </c>
      <c r="B1054" t="str">
        <f>"200559B00003"</f>
        <v>200559B00003</v>
      </c>
      <c r="C1054" t="str">
        <f t="shared" si="64"/>
        <v>20</v>
      </c>
      <c r="D1054" t="s">
        <v>81</v>
      </c>
      <c r="E1054" t="str">
        <f t="shared" si="63"/>
        <v>066</v>
      </c>
      <c r="F1054" t="s">
        <v>951</v>
      </c>
      <c r="G1054" t="str">
        <f>"0559"</f>
        <v>0559</v>
      </c>
      <c r="H1054" t="str">
        <f>"0000"</f>
        <v>0000</v>
      </c>
      <c r="I1054" t="s">
        <v>83</v>
      </c>
      <c r="J1054">
        <v>0</v>
      </c>
      <c r="K1054">
        <v>1</v>
      </c>
      <c r="L1054">
        <v>3</v>
      </c>
      <c r="M1054">
        <v>319</v>
      </c>
      <c r="N1054">
        <v>322</v>
      </c>
      <c r="O1054">
        <v>2</v>
      </c>
      <c r="P1054">
        <v>329</v>
      </c>
      <c r="Q1054">
        <v>14</v>
      </c>
      <c r="R1054">
        <v>69</v>
      </c>
      <c r="S1054">
        <v>0</v>
      </c>
      <c r="T1054">
        <v>1</v>
      </c>
      <c r="U1054">
        <v>9</v>
      </c>
      <c r="V1054">
        <v>6</v>
      </c>
      <c r="W1054">
        <v>1</v>
      </c>
      <c r="X1054">
        <v>206</v>
      </c>
      <c r="Y1054">
        <v>2</v>
      </c>
      <c r="Z1054">
        <v>2</v>
      </c>
      <c r="AA1054">
        <v>1</v>
      </c>
      <c r="AB1054">
        <v>7</v>
      </c>
      <c r="AK1054">
        <v>2</v>
      </c>
      <c r="AO1054">
        <v>0</v>
      </c>
      <c r="AP1054">
        <v>0</v>
      </c>
      <c r="AR1054">
        <v>0</v>
      </c>
      <c r="AU1054">
        <v>0</v>
      </c>
      <c r="AW1054">
        <v>0</v>
      </c>
      <c r="AX1054">
        <v>9</v>
      </c>
      <c r="AY1054">
        <v>329</v>
      </c>
      <c r="AZ1054">
        <v>329</v>
      </c>
      <c r="BA1054">
        <v>597</v>
      </c>
      <c r="BB1054">
        <v>44</v>
      </c>
      <c r="BD1054">
        <v>1</v>
      </c>
      <c r="BF1054" t="s">
        <v>1178</v>
      </c>
      <c r="BG1054" s="1">
        <v>44354.072222222225</v>
      </c>
      <c r="BH1054" s="1">
        <v>44354.082060185188</v>
      </c>
      <c r="BI1054" s="1">
        <v>44354.082569444443</v>
      </c>
      <c r="BJ1054" t="s">
        <v>85</v>
      </c>
      <c r="BK1054" t="s">
        <v>86</v>
      </c>
      <c r="BL1054" t="s">
        <v>87</v>
      </c>
    </row>
    <row r="1055" spans="1:64" x14ac:dyDescent="0.3">
      <c r="A1055" t="str">
        <f>"200559C0100"</f>
        <v>200559C0100</v>
      </c>
      <c r="B1055" t="str">
        <f>"200559C01003"</f>
        <v>200559C01003</v>
      </c>
      <c r="C1055" t="str">
        <f t="shared" si="64"/>
        <v>20</v>
      </c>
      <c r="D1055" t="s">
        <v>81</v>
      </c>
      <c r="E1055" t="str">
        <f t="shared" si="63"/>
        <v>066</v>
      </c>
      <c r="F1055" t="s">
        <v>951</v>
      </c>
      <c r="G1055" t="str">
        <f>"0559"</f>
        <v>0559</v>
      </c>
      <c r="H1055" t="str">
        <f>"0001"</f>
        <v>0001</v>
      </c>
      <c r="I1055" t="s">
        <v>89</v>
      </c>
      <c r="J1055">
        <v>0</v>
      </c>
      <c r="K1055">
        <v>1</v>
      </c>
      <c r="L1055">
        <v>3</v>
      </c>
      <c r="M1055">
        <v>355</v>
      </c>
      <c r="N1055">
        <v>286</v>
      </c>
      <c r="O1055">
        <v>9</v>
      </c>
      <c r="P1055">
        <v>282</v>
      </c>
      <c r="Q1055">
        <v>9</v>
      </c>
      <c r="R1055">
        <v>68</v>
      </c>
      <c r="S1055">
        <v>2</v>
      </c>
      <c r="T1055">
        <v>3</v>
      </c>
      <c r="U1055">
        <v>8</v>
      </c>
      <c r="V1055">
        <v>6</v>
      </c>
      <c r="W1055">
        <v>4</v>
      </c>
      <c r="X1055">
        <v>161</v>
      </c>
      <c r="Y1055">
        <v>4</v>
      </c>
      <c r="Z1055">
        <v>1</v>
      </c>
      <c r="AA1055">
        <v>3</v>
      </c>
      <c r="AB1055">
        <v>6</v>
      </c>
      <c r="AK1055">
        <v>3</v>
      </c>
      <c r="AO1055">
        <v>0</v>
      </c>
      <c r="AP1055">
        <v>0</v>
      </c>
      <c r="AR1055">
        <v>0</v>
      </c>
      <c r="AU1055">
        <v>0</v>
      </c>
      <c r="AW1055">
        <v>0</v>
      </c>
      <c r="AX1055">
        <v>4</v>
      </c>
      <c r="AY1055">
        <v>282</v>
      </c>
      <c r="AZ1055">
        <v>282</v>
      </c>
      <c r="BA1055">
        <v>597</v>
      </c>
      <c r="BB1055">
        <v>44</v>
      </c>
      <c r="BD1055">
        <v>1</v>
      </c>
      <c r="BF1055" t="s">
        <v>1179</v>
      </c>
      <c r="BG1055" s="1">
        <v>44354.06527777778</v>
      </c>
      <c r="BH1055" s="1">
        <v>44354.073923611111</v>
      </c>
      <c r="BI1055" s="1">
        <v>44354.07540509259</v>
      </c>
      <c r="BJ1055" t="s">
        <v>85</v>
      </c>
      <c r="BK1055" t="s">
        <v>86</v>
      </c>
      <c r="BL1055" t="s">
        <v>87</v>
      </c>
    </row>
    <row r="1056" spans="1:64" x14ac:dyDescent="0.3">
      <c r="A1056" t="str">
        <f>"200559C0200"</f>
        <v>200559C0200</v>
      </c>
      <c r="B1056" t="str">
        <f>"200559C02003"</f>
        <v>200559C02003</v>
      </c>
      <c r="C1056" t="str">
        <f t="shared" si="64"/>
        <v>20</v>
      </c>
      <c r="D1056" t="s">
        <v>81</v>
      </c>
      <c r="E1056" t="str">
        <f t="shared" si="63"/>
        <v>066</v>
      </c>
      <c r="F1056" t="s">
        <v>951</v>
      </c>
      <c r="G1056" t="str">
        <f>"0559"</f>
        <v>0559</v>
      </c>
      <c r="H1056" t="str">
        <f>"0002"</f>
        <v>0002</v>
      </c>
      <c r="I1056" t="s">
        <v>89</v>
      </c>
      <c r="J1056">
        <v>0</v>
      </c>
      <c r="K1056">
        <v>1</v>
      </c>
      <c r="L1056">
        <v>3</v>
      </c>
      <c r="M1056">
        <v>321</v>
      </c>
      <c r="N1056">
        <v>320</v>
      </c>
      <c r="O1056">
        <v>7</v>
      </c>
      <c r="P1056">
        <v>318</v>
      </c>
      <c r="Q1056">
        <v>10</v>
      </c>
      <c r="R1056">
        <v>59</v>
      </c>
      <c r="S1056">
        <v>3</v>
      </c>
      <c r="T1056">
        <v>3</v>
      </c>
      <c r="U1056">
        <v>19</v>
      </c>
      <c r="V1056">
        <v>8</v>
      </c>
      <c r="W1056">
        <v>0</v>
      </c>
      <c r="X1056">
        <v>190</v>
      </c>
      <c r="Y1056">
        <v>3</v>
      </c>
      <c r="Z1056">
        <v>4</v>
      </c>
      <c r="AA1056">
        <v>1</v>
      </c>
      <c r="AB1056">
        <v>12</v>
      </c>
      <c r="AK1056">
        <v>1</v>
      </c>
      <c r="AO1056">
        <v>1</v>
      </c>
      <c r="AP1056">
        <v>0</v>
      </c>
      <c r="AR1056">
        <v>0</v>
      </c>
      <c r="AU1056">
        <v>0</v>
      </c>
      <c r="AW1056">
        <v>0</v>
      </c>
      <c r="AX1056">
        <v>4</v>
      </c>
      <c r="AY1056">
        <v>318</v>
      </c>
      <c r="AZ1056">
        <v>318</v>
      </c>
      <c r="BA1056">
        <v>596</v>
      </c>
      <c r="BB1056">
        <v>44</v>
      </c>
      <c r="BD1056">
        <v>1</v>
      </c>
      <c r="BF1056" s="2" t="s">
        <v>1180</v>
      </c>
      <c r="BG1056" s="1">
        <v>44354.0625</v>
      </c>
      <c r="BH1056" s="1">
        <v>44354.073784722219</v>
      </c>
      <c r="BI1056" s="1">
        <v>44354.07440972222</v>
      </c>
      <c r="BJ1056" t="s">
        <v>85</v>
      </c>
      <c r="BK1056" t="s">
        <v>86</v>
      </c>
      <c r="BL1056" t="s">
        <v>87</v>
      </c>
    </row>
    <row r="1057" spans="1:64" x14ac:dyDescent="0.3">
      <c r="A1057" t="str">
        <f>"200560B0000"</f>
        <v>200560B0000</v>
      </c>
      <c r="B1057" t="str">
        <f>"200560B00003"</f>
        <v>200560B00003</v>
      </c>
      <c r="C1057" t="str">
        <f t="shared" si="64"/>
        <v>20</v>
      </c>
      <c r="D1057" t="s">
        <v>81</v>
      </c>
      <c r="E1057" t="str">
        <f t="shared" si="63"/>
        <v>066</v>
      </c>
      <c r="F1057" t="s">
        <v>951</v>
      </c>
      <c r="G1057" t="str">
        <f>"0560"</f>
        <v>0560</v>
      </c>
      <c r="H1057" t="str">
        <f>"0000"</f>
        <v>0000</v>
      </c>
      <c r="I1057" t="s">
        <v>83</v>
      </c>
      <c r="J1057">
        <v>0</v>
      </c>
      <c r="K1057">
        <v>1</v>
      </c>
      <c r="L1057">
        <v>3</v>
      </c>
      <c r="M1057">
        <v>430</v>
      </c>
      <c r="N1057">
        <v>282</v>
      </c>
      <c r="O1057">
        <v>0</v>
      </c>
      <c r="P1057">
        <v>282</v>
      </c>
      <c r="Q1057">
        <v>13</v>
      </c>
      <c r="R1057">
        <v>48</v>
      </c>
      <c r="S1057">
        <v>3</v>
      </c>
      <c r="T1057">
        <v>4</v>
      </c>
      <c r="U1057">
        <v>14</v>
      </c>
      <c r="V1057">
        <v>11</v>
      </c>
      <c r="W1057">
        <v>1</v>
      </c>
      <c r="X1057">
        <v>165</v>
      </c>
      <c r="Y1057">
        <v>0</v>
      </c>
      <c r="Z1057">
        <v>6</v>
      </c>
      <c r="AA1057">
        <v>2</v>
      </c>
      <c r="AB1057">
        <v>6</v>
      </c>
      <c r="AK1057">
        <v>0</v>
      </c>
      <c r="AO1057">
        <v>0</v>
      </c>
      <c r="AP1057">
        <v>0</v>
      </c>
      <c r="AR1057">
        <v>0</v>
      </c>
      <c r="AU1057">
        <v>0</v>
      </c>
      <c r="AW1057" t="s">
        <v>95</v>
      </c>
      <c r="AX1057">
        <v>9</v>
      </c>
      <c r="AY1057" t="s">
        <v>95</v>
      </c>
      <c r="AZ1057">
        <v>282</v>
      </c>
      <c r="BA1057">
        <v>668</v>
      </c>
      <c r="BB1057">
        <v>44</v>
      </c>
      <c r="BC1057" t="s">
        <v>96</v>
      </c>
      <c r="BD1057">
        <v>1</v>
      </c>
      <c r="BF1057" t="s">
        <v>1181</v>
      </c>
      <c r="BG1057" s="1">
        <v>44354.137499999997</v>
      </c>
      <c r="BH1057" s="1">
        <v>44354.143310185187</v>
      </c>
      <c r="BI1057" s="1">
        <v>44354.144328703704</v>
      </c>
      <c r="BJ1057" t="s">
        <v>85</v>
      </c>
      <c r="BK1057" t="s">
        <v>86</v>
      </c>
      <c r="BL1057" t="s">
        <v>87</v>
      </c>
    </row>
    <row r="1058" spans="1:64" x14ac:dyDescent="0.3">
      <c r="A1058" t="str">
        <f>"200560C0100"</f>
        <v>200560C0100</v>
      </c>
      <c r="B1058" t="str">
        <f>"200560C01003"</f>
        <v>200560C01003</v>
      </c>
      <c r="C1058" t="str">
        <f t="shared" si="64"/>
        <v>20</v>
      </c>
      <c r="D1058" t="s">
        <v>81</v>
      </c>
      <c r="E1058" t="str">
        <f t="shared" si="63"/>
        <v>066</v>
      </c>
      <c r="F1058" t="s">
        <v>951</v>
      </c>
      <c r="G1058" t="str">
        <f>"0560"</f>
        <v>0560</v>
      </c>
      <c r="H1058" t="str">
        <f>"0001"</f>
        <v>0001</v>
      </c>
      <c r="I1058" t="s">
        <v>89</v>
      </c>
      <c r="J1058">
        <v>0</v>
      </c>
      <c r="K1058">
        <v>1</v>
      </c>
      <c r="L1058">
        <v>3</v>
      </c>
      <c r="M1058">
        <v>381</v>
      </c>
      <c r="N1058">
        <v>331</v>
      </c>
      <c r="O1058">
        <v>4</v>
      </c>
      <c r="P1058">
        <v>329</v>
      </c>
      <c r="Q1058">
        <v>11</v>
      </c>
      <c r="R1058">
        <v>88</v>
      </c>
      <c r="S1058">
        <v>3</v>
      </c>
      <c r="T1058">
        <v>1</v>
      </c>
      <c r="U1058">
        <v>9</v>
      </c>
      <c r="V1058">
        <v>6</v>
      </c>
      <c r="W1058">
        <v>3</v>
      </c>
      <c r="X1058">
        <v>168</v>
      </c>
      <c r="Y1058">
        <v>2</v>
      </c>
      <c r="Z1058">
        <v>12</v>
      </c>
      <c r="AA1058">
        <v>4</v>
      </c>
      <c r="AB1058">
        <v>7</v>
      </c>
      <c r="AK1058">
        <v>4</v>
      </c>
      <c r="AO1058">
        <v>0</v>
      </c>
      <c r="AP1058">
        <v>0</v>
      </c>
      <c r="AR1058">
        <v>0</v>
      </c>
      <c r="AU1058">
        <v>0</v>
      </c>
      <c r="AW1058">
        <v>1</v>
      </c>
      <c r="AX1058">
        <v>10</v>
      </c>
      <c r="AY1058">
        <v>329</v>
      </c>
      <c r="AZ1058">
        <v>329</v>
      </c>
      <c r="BA1058">
        <v>668</v>
      </c>
      <c r="BB1058">
        <v>44</v>
      </c>
      <c r="BD1058">
        <v>1</v>
      </c>
      <c r="BF1058" t="s">
        <v>1182</v>
      </c>
      <c r="BG1058" s="1">
        <v>44354.138194444444</v>
      </c>
      <c r="BH1058" s="1">
        <v>44354.142638888887</v>
      </c>
      <c r="BI1058" s="1">
        <v>44354.143125000002</v>
      </c>
      <c r="BJ1058" t="s">
        <v>85</v>
      </c>
      <c r="BK1058" t="s">
        <v>86</v>
      </c>
      <c r="BL1058" t="s">
        <v>87</v>
      </c>
    </row>
    <row r="1059" spans="1:64" x14ac:dyDescent="0.3">
      <c r="A1059" t="str">
        <f>"200560C0200"</f>
        <v>200560C0200</v>
      </c>
      <c r="B1059" t="str">
        <f>"200560C02003"</f>
        <v>200560C02003</v>
      </c>
      <c r="C1059" t="str">
        <f t="shared" si="64"/>
        <v>20</v>
      </c>
      <c r="D1059" t="s">
        <v>81</v>
      </c>
      <c r="E1059" t="str">
        <f t="shared" si="63"/>
        <v>066</v>
      </c>
      <c r="F1059" t="s">
        <v>951</v>
      </c>
      <c r="G1059" t="str">
        <f>"0560"</f>
        <v>0560</v>
      </c>
      <c r="H1059" t="str">
        <f>"0002"</f>
        <v>0002</v>
      </c>
      <c r="I1059" t="s">
        <v>89</v>
      </c>
      <c r="J1059">
        <v>0</v>
      </c>
      <c r="K1059">
        <v>1</v>
      </c>
      <c r="L1059">
        <v>3</v>
      </c>
      <c r="M1059">
        <v>412</v>
      </c>
      <c r="N1059">
        <v>300</v>
      </c>
      <c r="O1059">
        <v>9</v>
      </c>
      <c r="P1059" t="s">
        <v>92</v>
      </c>
      <c r="Q1059">
        <v>6</v>
      </c>
      <c r="R1059">
        <v>91</v>
      </c>
      <c r="S1059">
        <v>1</v>
      </c>
      <c r="T1059">
        <v>6</v>
      </c>
      <c r="U1059">
        <v>7</v>
      </c>
      <c r="V1059">
        <v>12</v>
      </c>
      <c r="W1059">
        <v>1</v>
      </c>
      <c r="X1059">
        <v>143</v>
      </c>
      <c r="Y1059">
        <v>2</v>
      </c>
      <c r="Z1059">
        <v>9</v>
      </c>
      <c r="AA1059">
        <v>1</v>
      </c>
      <c r="AB1059">
        <v>9</v>
      </c>
      <c r="AK1059">
        <v>3</v>
      </c>
      <c r="AO1059">
        <v>1</v>
      </c>
      <c r="AP1059">
        <v>0</v>
      </c>
      <c r="AR1059">
        <v>0</v>
      </c>
      <c r="AU1059">
        <v>0</v>
      </c>
      <c r="AW1059">
        <v>0</v>
      </c>
      <c r="AX1059">
        <v>8</v>
      </c>
      <c r="AY1059">
        <v>300</v>
      </c>
      <c r="AZ1059">
        <v>300</v>
      </c>
      <c r="BA1059">
        <v>668</v>
      </c>
      <c r="BB1059">
        <v>44</v>
      </c>
      <c r="BD1059">
        <v>1</v>
      </c>
      <c r="BF1059" t="s">
        <v>1183</v>
      </c>
      <c r="BG1059" s="1">
        <v>44354.138888888891</v>
      </c>
      <c r="BH1059" s="1">
        <v>44354.141909722224</v>
      </c>
      <c r="BI1059" s="1">
        <v>44354.142696759256</v>
      </c>
      <c r="BJ1059" t="s">
        <v>85</v>
      </c>
      <c r="BK1059" t="s">
        <v>86</v>
      </c>
      <c r="BL1059" t="s">
        <v>87</v>
      </c>
    </row>
    <row r="1060" spans="1:64" x14ac:dyDescent="0.3">
      <c r="A1060" t="str">
        <f>"200560C0300"</f>
        <v>200560C0300</v>
      </c>
      <c r="B1060" t="str">
        <f>"200560C03003"</f>
        <v>200560C03003</v>
      </c>
      <c r="C1060" t="str">
        <f t="shared" si="64"/>
        <v>20</v>
      </c>
      <c r="D1060" t="s">
        <v>81</v>
      </c>
      <c r="E1060" t="str">
        <f t="shared" si="63"/>
        <v>066</v>
      </c>
      <c r="F1060" t="s">
        <v>951</v>
      </c>
      <c r="G1060" t="str">
        <f>"0560"</f>
        <v>0560</v>
      </c>
      <c r="H1060" t="str">
        <f>"0003"</f>
        <v>0003</v>
      </c>
      <c r="I1060" t="s">
        <v>89</v>
      </c>
      <c r="J1060">
        <v>0</v>
      </c>
      <c r="K1060">
        <v>1</v>
      </c>
      <c r="L1060">
        <v>3</v>
      </c>
      <c r="M1060">
        <v>419</v>
      </c>
      <c r="N1060">
        <v>293</v>
      </c>
      <c r="O1060">
        <v>2</v>
      </c>
      <c r="P1060">
        <v>293</v>
      </c>
      <c r="Q1060">
        <v>9</v>
      </c>
      <c r="R1060">
        <v>81</v>
      </c>
      <c r="S1060">
        <v>1</v>
      </c>
      <c r="T1060">
        <v>2</v>
      </c>
      <c r="U1060">
        <v>8</v>
      </c>
      <c r="V1060">
        <v>10</v>
      </c>
      <c r="W1060">
        <v>5</v>
      </c>
      <c r="X1060">
        <v>139</v>
      </c>
      <c r="Y1060">
        <v>1</v>
      </c>
      <c r="Z1060">
        <v>5</v>
      </c>
      <c r="AA1060">
        <v>4</v>
      </c>
      <c r="AB1060">
        <v>10</v>
      </c>
      <c r="AK1060">
        <v>3</v>
      </c>
      <c r="AO1060">
        <v>2</v>
      </c>
      <c r="AP1060">
        <v>0</v>
      </c>
      <c r="AR1060">
        <v>0</v>
      </c>
      <c r="AU1060">
        <v>0</v>
      </c>
      <c r="AW1060">
        <v>0</v>
      </c>
      <c r="AX1060">
        <v>13</v>
      </c>
      <c r="AY1060">
        <v>280</v>
      </c>
      <c r="AZ1060">
        <v>293</v>
      </c>
      <c r="BA1060">
        <v>668</v>
      </c>
      <c r="BB1060">
        <v>44</v>
      </c>
      <c r="BD1060">
        <v>1</v>
      </c>
      <c r="BF1060" t="s">
        <v>1184</v>
      </c>
      <c r="BG1060" s="1">
        <v>44354.095138888886</v>
      </c>
      <c r="BH1060" s="1">
        <v>44354.146273148152</v>
      </c>
      <c r="BI1060" s="1">
        <v>44354.147199074076</v>
      </c>
      <c r="BJ1060" t="s">
        <v>85</v>
      </c>
      <c r="BK1060" t="s">
        <v>86</v>
      </c>
      <c r="BL1060" t="s">
        <v>87</v>
      </c>
    </row>
    <row r="1061" spans="1:64" x14ac:dyDescent="0.3">
      <c r="A1061" t="str">
        <f>"200561B0000"</f>
        <v>200561B0000</v>
      </c>
      <c r="B1061" t="str">
        <f>"200561B00003"</f>
        <v>200561B00003</v>
      </c>
      <c r="C1061" t="str">
        <f t="shared" si="64"/>
        <v>20</v>
      </c>
      <c r="D1061" t="s">
        <v>81</v>
      </c>
      <c r="E1061" t="str">
        <f t="shared" si="63"/>
        <v>066</v>
      </c>
      <c r="F1061" t="s">
        <v>951</v>
      </c>
      <c r="G1061" t="str">
        <f>"0561"</f>
        <v>0561</v>
      </c>
      <c r="H1061" t="str">
        <f>"0000"</f>
        <v>0000</v>
      </c>
      <c r="I1061" t="s">
        <v>83</v>
      </c>
      <c r="J1061">
        <v>0</v>
      </c>
      <c r="K1061">
        <v>1</v>
      </c>
      <c r="L1061">
        <v>3</v>
      </c>
      <c r="M1061">
        <v>340</v>
      </c>
      <c r="N1061">
        <v>301</v>
      </c>
      <c r="O1061">
        <v>6</v>
      </c>
      <c r="P1061">
        <v>301</v>
      </c>
      <c r="Q1061">
        <v>9</v>
      </c>
      <c r="R1061">
        <v>63</v>
      </c>
      <c r="S1061">
        <v>3</v>
      </c>
      <c r="T1061">
        <v>5</v>
      </c>
      <c r="U1061">
        <v>6</v>
      </c>
      <c r="V1061">
        <v>8</v>
      </c>
      <c r="W1061">
        <v>1</v>
      </c>
      <c r="X1061">
        <v>185</v>
      </c>
      <c r="Y1061">
        <v>4</v>
      </c>
      <c r="Z1061">
        <v>4</v>
      </c>
      <c r="AA1061">
        <v>2</v>
      </c>
      <c r="AB1061">
        <v>2</v>
      </c>
      <c r="AK1061">
        <v>1</v>
      </c>
      <c r="AO1061">
        <v>0</v>
      </c>
      <c r="AP1061">
        <v>0</v>
      </c>
      <c r="AR1061">
        <v>0</v>
      </c>
      <c r="AU1061">
        <v>0</v>
      </c>
      <c r="AW1061">
        <v>0</v>
      </c>
      <c r="AX1061">
        <v>8</v>
      </c>
      <c r="AY1061">
        <v>301</v>
      </c>
      <c r="AZ1061">
        <v>301</v>
      </c>
      <c r="BA1061">
        <v>597</v>
      </c>
      <c r="BB1061">
        <v>44</v>
      </c>
      <c r="BD1061">
        <v>1</v>
      </c>
      <c r="BF1061" t="s">
        <v>1185</v>
      </c>
      <c r="BG1061" s="1">
        <v>44354.022222222222</v>
      </c>
      <c r="BH1061" s="1">
        <v>44354.038703703707</v>
      </c>
      <c r="BI1061" s="1">
        <v>44354.039375</v>
      </c>
      <c r="BJ1061" t="s">
        <v>85</v>
      </c>
      <c r="BK1061" t="s">
        <v>86</v>
      </c>
      <c r="BL1061" t="s">
        <v>87</v>
      </c>
    </row>
    <row r="1062" spans="1:64" x14ac:dyDescent="0.3">
      <c r="A1062" t="str">
        <f>"200561C0100"</f>
        <v>200561C0100</v>
      </c>
      <c r="B1062" t="str">
        <f>"200561C01003"</f>
        <v>200561C01003</v>
      </c>
      <c r="C1062" t="str">
        <f t="shared" si="64"/>
        <v>20</v>
      </c>
      <c r="D1062" t="s">
        <v>81</v>
      </c>
      <c r="E1062" t="str">
        <f t="shared" si="63"/>
        <v>066</v>
      </c>
      <c r="F1062" t="s">
        <v>951</v>
      </c>
      <c r="G1062" t="str">
        <f>"0561"</f>
        <v>0561</v>
      </c>
      <c r="H1062" t="str">
        <f>"0001"</f>
        <v>0001</v>
      </c>
      <c r="I1062" t="s">
        <v>89</v>
      </c>
      <c r="J1062">
        <v>0</v>
      </c>
      <c r="K1062">
        <v>1</v>
      </c>
      <c r="L1062">
        <v>3</v>
      </c>
      <c r="M1062">
        <v>352</v>
      </c>
      <c r="N1062">
        <v>289</v>
      </c>
      <c r="O1062">
        <v>8</v>
      </c>
      <c r="P1062">
        <v>289</v>
      </c>
      <c r="Q1062">
        <v>9</v>
      </c>
      <c r="R1062">
        <v>60</v>
      </c>
      <c r="S1062">
        <v>1</v>
      </c>
      <c r="T1062">
        <v>1</v>
      </c>
      <c r="U1062">
        <v>6</v>
      </c>
      <c r="V1062">
        <v>10</v>
      </c>
      <c r="W1062">
        <v>2</v>
      </c>
      <c r="X1062">
        <v>183</v>
      </c>
      <c r="Y1062">
        <v>2</v>
      </c>
      <c r="Z1062">
        <v>4</v>
      </c>
      <c r="AA1062">
        <v>2</v>
      </c>
      <c r="AB1062">
        <v>5</v>
      </c>
      <c r="AK1062">
        <v>0</v>
      </c>
      <c r="AO1062">
        <v>0</v>
      </c>
      <c r="AP1062">
        <v>0</v>
      </c>
      <c r="AR1062">
        <v>0</v>
      </c>
      <c r="AU1062">
        <v>0</v>
      </c>
      <c r="AW1062">
        <v>0</v>
      </c>
      <c r="AX1062">
        <v>4</v>
      </c>
      <c r="AY1062">
        <v>289</v>
      </c>
      <c r="AZ1062">
        <v>289</v>
      </c>
      <c r="BA1062">
        <v>597</v>
      </c>
      <c r="BB1062">
        <v>44</v>
      </c>
      <c r="BD1062">
        <v>1</v>
      </c>
      <c r="BF1062" t="s">
        <v>1186</v>
      </c>
      <c r="BG1062" s="1">
        <v>44354.022222222222</v>
      </c>
      <c r="BH1062" s="1">
        <v>44354.030509259261</v>
      </c>
      <c r="BI1062" s="1">
        <v>44354.031041666669</v>
      </c>
      <c r="BJ1062" t="s">
        <v>85</v>
      </c>
      <c r="BK1062" t="s">
        <v>86</v>
      </c>
      <c r="BL1062" t="s">
        <v>87</v>
      </c>
    </row>
    <row r="1063" spans="1:64" x14ac:dyDescent="0.3">
      <c r="A1063" t="str">
        <f>"200562B0000"</f>
        <v>200562B0000</v>
      </c>
      <c r="B1063" t="str">
        <f>"200562B00003"</f>
        <v>200562B00003</v>
      </c>
      <c r="C1063" t="str">
        <f t="shared" si="64"/>
        <v>20</v>
      </c>
      <c r="D1063" t="s">
        <v>81</v>
      </c>
      <c r="E1063" t="str">
        <f t="shared" si="63"/>
        <v>066</v>
      </c>
      <c r="F1063" t="s">
        <v>951</v>
      </c>
      <c r="G1063" t="str">
        <f>"0562"</f>
        <v>0562</v>
      </c>
      <c r="H1063" t="str">
        <f>"0000"</f>
        <v>0000</v>
      </c>
      <c r="I1063" t="s">
        <v>83</v>
      </c>
      <c r="J1063">
        <v>0</v>
      </c>
      <c r="K1063">
        <v>1</v>
      </c>
      <c r="L1063">
        <v>3</v>
      </c>
      <c r="M1063">
        <v>309</v>
      </c>
      <c r="N1063">
        <v>271</v>
      </c>
      <c r="O1063">
        <v>10</v>
      </c>
      <c r="P1063">
        <v>271</v>
      </c>
      <c r="Q1063">
        <v>6</v>
      </c>
      <c r="R1063">
        <v>62</v>
      </c>
      <c r="S1063">
        <v>1</v>
      </c>
      <c r="T1063">
        <v>0</v>
      </c>
      <c r="U1063">
        <v>7</v>
      </c>
      <c r="V1063">
        <v>5</v>
      </c>
      <c r="W1063">
        <v>1</v>
      </c>
      <c r="X1063">
        <v>163</v>
      </c>
      <c r="Y1063">
        <v>5</v>
      </c>
      <c r="Z1063">
        <v>6</v>
      </c>
      <c r="AA1063">
        <v>1</v>
      </c>
      <c r="AB1063">
        <v>6</v>
      </c>
      <c r="AK1063">
        <v>1</v>
      </c>
      <c r="AO1063" t="s">
        <v>95</v>
      </c>
      <c r="AP1063" t="s">
        <v>95</v>
      </c>
      <c r="AR1063" t="s">
        <v>95</v>
      </c>
      <c r="AU1063" t="s">
        <v>95</v>
      </c>
      <c r="AW1063">
        <v>1</v>
      </c>
      <c r="AX1063">
        <v>6</v>
      </c>
      <c r="AY1063">
        <v>271</v>
      </c>
      <c r="AZ1063">
        <v>271</v>
      </c>
      <c r="BA1063">
        <v>536</v>
      </c>
      <c r="BB1063">
        <v>44</v>
      </c>
      <c r="BC1063" t="s">
        <v>96</v>
      </c>
      <c r="BD1063">
        <v>1</v>
      </c>
      <c r="BF1063" t="s">
        <v>1187</v>
      </c>
      <c r="BG1063" s="1">
        <v>44354.027777777781</v>
      </c>
      <c r="BH1063" s="1">
        <v>44354.044930555552</v>
      </c>
      <c r="BI1063" s="1">
        <v>44354.045601851853</v>
      </c>
      <c r="BJ1063" t="s">
        <v>85</v>
      </c>
      <c r="BK1063" t="s">
        <v>86</v>
      </c>
      <c r="BL1063" t="s">
        <v>87</v>
      </c>
    </row>
    <row r="1064" spans="1:64" x14ac:dyDescent="0.3">
      <c r="A1064" t="str">
        <f>"200562C0100"</f>
        <v>200562C0100</v>
      </c>
      <c r="B1064" t="str">
        <f>"200562C01003"</f>
        <v>200562C01003</v>
      </c>
      <c r="C1064" t="str">
        <f t="shared" si="64"/>
        <v>20</v>
      </c>
      <c r="D1064" t="s">
        <v>81</v>
      </c>
      <c r="E1064" t="str">
        <f t="shared" si="63"/>
        <v>066</v>
      </c>
      <c r="F1064" t="s">
        <v>951</v>
      </c>
      <c r="G1064" t="str">
        <f>"0562"</f>
        <v>0562</v>
      </c>
      <c r="H1064" t="str">
        <f>"0001"</f>
        <v>0001</v>
      </c>
      <c r="I1064" t="s">
        <v>89</v>
      </c>
      <c r="J1064">
        <v>0</v>
      </c>
      <c r="K1064">
        <v>1</v>
      </c>
      <c r="L1064">
        <v>3</v>
      </c>
      <c r="M1064">
        <v>311</v>
      </c>
      <c r="N1064">
        <v>268</v>
      </c>
      <c r="O1064">
        <v>9</v>
      </c>
      <c r="P1064">
        <v>268</v>
      </c>
      <c r="Q1064">
        <v>6</v>
      </c>
      <c r="R1064">
        <v>49</v>
      </c>
      <c r="S1064">
        <v>2</v>
      </c>
      <c r="T1064">
        <v>0</v>
      </c>
      <c r="U1064">
        <v>7</v>
      </c>
      <c r="V1064">
        <v>8</v>
      </c>
      <c r="W1064">
        <v>5</v>
      </c>
      <c r="X1064">
        <v>173</v>
      </c>
      <c r="Y1064">
        <v>5</v>
      </c>
      <c r="Z1064">
        <v>3</v>
      </c>
      <c r="AA1064">
        <v>1</v>
      </c>
      <c r="AB1064">
        <v>2</v>
      </c>
      <c r="AK1064">
        <v>1</v>
      </c>
      <c r="AO1064">
        <v>0</v>
      </c>
      <c r="AP1064">
        <v>0</v>
      </c>
      <c r="AR1064">
        <v>0</v>
      </c>
      <c r="AU1064">
        <v>0</v>
      </c>
      <c r="AW1064">
        <v>0</v>
      </c>
      <c r="AX1064">
        <v>6</v>
      </c>
      <c r="AY1064">
        <v>268</v>
      </c>
      <c r="AZ1064">
        <v>268</v>
      </c>
      <c r="BA1064">
        <v>535</v>
      </c>
      <c r="BB1064">
        <v>44</v>
      </c>
      <c r="BD1064">
        <v>1</v>
      </c>
      <c r="BF1064" t="s">
        <v>1188</v>
      </c>
      <c r="BG1064" s="1">
        <v>44354.019444444442</v>
      </c>
      <c r="BH1064" s="1">
        <v>44354.027719907404</v>
      </c>
      <c r="BI1064" s="1">
        <v>44354.02815972222</v>
      </c>
      <c r="BJ1064" t="s">
        <v>85</v>
      </c>
      <c r="BK1064" t="s">
        <v>86</v>
      </c>
      <c r="BL1064" t="s">
        <v>87</v>
      </c>
    </row>
    <row r="1065" spans="1:64" x14ac:dyDescent="0.3">
      <c r="A1065" t="str">
        <f>"200563B0000"</f>
        <v>200563B0000</v>
      </c>
      <c r="B1065" t="str">
        <f>"200563B00003"</f>
        <v>200563B00003</v>
      </c>
      <c r="C1065" t="str">
        <f t="shared" si="64"/>
        <v>20</v>
      </c>
      <c r="D1065" t="s">
        <v>81</v>
      </c>
      <c r="E1065" t="str">
        <f t="shared" si="63"/>
        <v>066</v>
      </c>
      <c r="F1065" t="s">
        <v>951</v>
      </c>
      <c r="G1065" t="str">
        <f>"0563"</f>
        <v>0563</v>
      </c>
      <c r="H1065" t="str">
        <f>"0000"</f>
        <v>0000</v>
      </c>
      <c r="I1065" t="s">
        <v>83</v>
      </c>
      <c r="J1065">
        <v>0</v>
      </c>
      <c r="K1065">
        <v>1</v>
      </c>
      <c r="L1065">
        <v>3</v>
      </c>
      <c r="M1065">
        <v>289</v>
      </c>
      <c r="N1065">
        <v>242</v>
      </c>
      <c r="O1065">
        <v>5</v>
      </c>
      <c r="P1065">
        <v>242</v>
      </c>
      <c r="Q1065">
        <v>6</v>
      </c>
      <c r="R1065">
        <v>52</v>
      </c>
      <c r="S1065">
        <v>4</v>
      </c>
      <c r="T1065">
        <v>2</v>
      </c>
      <c r="U1065">
        <v>8</v>
      </c>
      <c r="V1065">
        <v>8</v>
      </c>
      <c r="W1065">
        <v>1</v>
      </c>
      <c r="X1065">
        <v>145</v>
      </c>
      <c r="Y1065">
        <v>1</v>
      </c>
      <c r="Z1065">
        <v>3</v>
      </c>
      <c r="AA1065">
        <v>2</v>
      </c>
      <c r="AB1065">
        <v>3</v>
      </c>
      <c r="AK1065">
        <v>2</v>
      </c>
      <c r="AO1065">
        <v>1</v>
      </c>
      <c r="AP1065">
        <v>0</v>
      </c>
      <c r="AR1065">
        <v>0</v>
      </c>
      <c r="AU1065">
        <v>0</v>
      </c>
      <c r="AW1065">
        <v>0</v>
      </c>
      <c r="AX1065">
        <v>4</v>
      </c>
      <c r="AY1065">
        <v>242</v>
      </c>
      <c r="AZ1065">
        <v>242</v>
      </c>
      <c r="BA1065">
        <v>487</v>
      </c>
      <c r="BB1065">
        <v>44</v>
      </c>
      <c r="BD1065">
        <v>1</v>
      </c>
      <c r="BF1065" t="s">
        <v>1189</v>
      </c>
      <c r="BG1065" s="1">
        <v>44354.074305555558</v>
      </c>
      <c r="BH1065" s="1">
        <v>44354.083275462966</v>
      </c>
      <c r="BI1065" s="1">
        <v>44354.083819444444</v>
      </c>
      <c r="BJ1065" t="s">
        <v>85</v>
      </c>
      <c r="BK1065" t="s">
        <v>86</v>
      </c>
      <c r="BL1065" t="s">
        <v>87</v>
      </c>
    </row>
    <row r="1066" spans="1:64" x14ac:dyDescent="0.3">
      <c r="A1066" t="str">
        <f>"200563C0100"</f>
        <v>200563C0100</v>
      </c>
      <c r="B1066" t="str">
        <f>"200563C01003"</f>
        <v>200563C01003</v>
      </c>
      <c r="C1066" t="str">
        <f t="shared" si="64"/>
        <v>20</v>
      </c>
      <c r="D1066" t="s">
        <v>81</v>
      </c>
      <c r="E1066" t="str">
        <f t="shared" si="63"/>
        <v>066</v>
      </c>
      <c r="F1066" t="s">
        <v>951</v>
      </c>
      <c r="G1066" t="str">
        <f>"0563"</f>
        <v>0563</v>
      </c>
      <c r="H1066" t="str">
        <f>"0001"</f>
        <v>0001</v>
      </c>
      <c r="I1066" t="s">
        <v>89</v>
      </c>
      <c r="J1066">
        <v>0</v>
      </c>
      <c r="K1066">
        <v>1</v>
      </c>
      <c r="L1066">
        <v>3</v>
      </c>
      <c r="M1066">
        <v>287</v>
      </c>
      <c r="N1066">
        <v>244</v>
      </c>
      <c r="O1066">
        <v>6</v>
      </c>
      <c r="P1066">
        <v>244</v>
      </c>
      <c r="Q1066">
        <v>6</v>
      </c>
      <c r="R1066">
        <v>36</v>
      </c>
      <c r="S1066">
        <v>0</v>
      </c>
      <c r="T1066">
        <v>3</v>
      </c>
      <c r="U1066">
        <v>5</v>
      </c>
      <c r="V1066">
        <v>6</v>
      </c>
      <c r="W1066">
        <v>4</v>
      </c>
      <c r="X1066">
        <v>152</v>
      </c>
      <c r="Y1066">
        <v>3</v>
      </c>
      <c r="Z1066">
        <v>13</v>
      </c>
      <c r="AA1066">
        <v>2</v>
      </c>
      <c r="AB1066">
        <v>3</v>
      </c>
      <c r="AK1066">
        <v>1</v>
      </c>
      <c r="AO1066">
        <v>0</v>
      </c>
      <c r="AP1066">
        <v>0</v>
      </c>
      <c r="AR1066">
        <v>0</v>
      </c>
      <c r="AU1066">
        <v>0</v>
      </c>
      <c r="AW1066">
        <v>0</v>
      </c>
      <c r="AX1066">
        <v>10</v>
      </c>
      <c r="AY1066">
        <v>244</v>
      </c>
      <c r="AZ1066">
        <v>244</v>
      </c>
      <c r="BA1066">
        <v>487</v>
      </c>
      <c r="BB1066">
        <v>44</v>
      </c>
      <c r="BD1066">
        <v>1</v>
      </c>
      <c r="BF1066" t="s">
        <v>1190</v>
      </c>
      <c r="BG1066" s="1">
        <v>44354.083333333336</v>
      </c>
      <c r="BH1066" s="1">
        <v>44354.101400462961</v>
      </c>
      <c r="BI1066" s="1">
        <v>44354.101770833331</v>
      </c>
      <c r="BJ1066" t="s">
        <v>85</v>
      </c>
      <c r="BK1066" t="s">
        <v>86</v>
      </c>
      <c r="BL1066" t="s">
        <v>87</v>
      </c>
    </row>
    <row r="1067" spans="1:64" x14ac:dyDescent="0.3">
      <c r="A1067" t="str">
        <f>"200564B0000"</f>
        <v>200564B0000</v>
      </c>
      <c r="B1067" t="str">
        <f>"200564B00003"</f>
        <v>200564B00003</v>
      </c>
      <c r="C1067" t="str">
        <f t="shared" si="64"/>
        <v>20</v>
      </c>
      <c r="D1067" t="s">
        <v>81</v>
      </c>
      <c r="E1067" t="str">
        <f t="shared" si="63"/>
        <v>066</v>
      </c>
      <c r="F1067" t="s">
        <v>951</v>
      </c>
      <c r="G1067" t="str">
        <f>"0564"</f>
        <v>0564</v>
      </c>
      <c r="H1067" t="str">
        <f>"0000"</f>
        <v>0000</v>
      </c>
      <c r="I1067" t="s">
        <v>83</v>
      </c>
      <c r="J1067">
        <v>0</v>
      </c>
      <c r="K1067">
        <v>1</v>
      </c>
      <c r="L1067">
        <v>3</v>
      </c>
      <c r="M1067" t="s">
        <v>131</v>
      </c>
      <c r="N1067" t="s">
        <v>131</v>
      </c>
      <c r="O1067" t="s">
        <v>131</v>
      </c>
      <c r="P1067" t="s">
        <v>131</v>
      </c>
      <c r="Q1067" t="s">
        <v>131</v>
      </c>
      <c r="R1067">
        <v>74</v>
      </c>
      <c r="S1067">
        <v>1</v>
      </c>
      <c r="T1067">
        <v>7</v>
      </c>
      <c r="U1067">
        <v>6</v>
      </c>
      <c r="V1067">
        <v>2</v>
      </c>
      <c r="W1067">
        <v>0</v>
      </c>
      <c r="X1067">
        <v>139</v>
      </c>
      <c r="Y1067">
        <v>8</v>
      </c>
      <c r="Z1067">
        <v>2</v>
      </c>
      <c r="AA1067">
        <v>1</v>
      </c>
      <c r="AB1067">
        <v>2</v>
      </c>
      <c r="AK1067">
        <v>2</v>
      </c>
      <c r="AO1067">
        <v>0</v>
      </c>
      <c r="AP1067">
        <v>0</v>
      </c>
      <c r="AR1067">
        <v>0</v>
      </c>
      <c r="AU1067">
        <v>0</v>
      </c>
      <c r="AW1067">
        <v>1</v>
      </c>
      <c r="AX1067">
        <v>10</v>
      </c>
      <c r="AY1067">
        <v>106</v>
      </c>
      <c r="AZ1067">
        <v>255</v>
      </c>
      <c r="BA1067">
        <v>649</v>
      </c>
      <c r="BB1067">
        <v>44</v>
      </c>
      <c r="BC1067" t="s">
        <v>96</v>
      </c>
      <c r="BD1067">
        <v>1</v>
      </c>
      <c r="BF1067" t="s">
        <v>1191</v>
      </c>
      <c r="BG1067" s="1">
        <v>44354.304861111108</v>
      </c>
      <c r="BH1067" s="1">
        <v>44354.323518518519</v>
      </c>
      <c r="BI1067" s="1">
        <v>44354.339456018519</v>
      </c>
      <c r="BJ1067" t="s">
        <v>85</v>
      </c>
      <c r="BK1067" t="s">
        <v>86</v>
      </c>
      <c r="BL1067" t="s">
        <v>87</v>
      </c>
    </row>
    <row r="1068" spans="1:64" x14ac:dyDescent="0.3">
      <c r="A1068" t="str">
        <f>"200564C0100"</f>
        <v>200564C0100</v>
      </c>
      <c r="B1068" t="str">
        <f>"200564C01003"</f>
        <v>200564C01003</v>
      </c>
      <c r="C1068" t="str">
        <f t="shared" si="64"/>
        <v>20</v>
      </c>
      <c r="D1068" t="s">
        <v>81</v>
      </c>
      <c r="E1068" t="str">
        <f t="shared" si="63"/>
        <v>066</v>
      </c>
      <c r="F1068" t="s">
        <v>951</v>
      </c>
      <c r="G1068" t="str">
        <f>"0564"</f>
        <v>0564</v>
      </c>
      <c r="H1068" t="str">
        <f>"0001"</f>
        <v>0001</v>
      </c>
      <c r="I1068" t="s">
        <v>89</v>
      </c>
      <c r="J1068">
        <v>0</v>
      </c>
      <c r="K1068">
        <v>1</v>
      </c>
      <c r="L1068">
        <v>3</v>
      </c>
      <c r="M1068">
        <v>393</v>
      </c>
      <c r="N1068">
        <v>7</v>
      </c>
      <c r="O1068">
        <v>7</v>
      </c>
      <c r="P1068">
        <v>293</v>
      </c>
      <c r="Q1068">
        <v>9</v>
      </c>
      <c r="R1068">
        <v>78</v>
      </c>
      <c r="S1068">
        <v>2</v>
      </c>
      <c r="T1068">
        <v>4</v>
      </c>
      <c r="U1068">
        <v>16</v>
      </c>
      <c r="V1068">
        <v>17</v>
      </c>
      <c r="W1068">
        <v>1</v>
      </c>
      <c r="X1068">
        <v>150</v>
      </c>
      <c r="Y1068">
        <v>0</v>
      </c>
      <c r="Z1068">
        <v>4</v>
      </c>
      <c r="AA1068">
        <v>2</v>
      </c>
      <c r="AB1068">
        <v>5</v>
      </c>
      <c r="AK1068" t="s">
        <v>95</v>
      </c>
      <c r="AO1068" t="s">
        <v>95</v>
      </c>
      <c r="AP1068" t="s">
        <v>95</v>
      </c>
      <c r="AR1068" t="s">
        <v>95</v>
      </c>
      <c r="AU1068" t="s">
        <v>95</v>
      </c>
      <c r="AW1068" t="s">
        <v>95</v>
      </c>
      <c r="AX1068" t="s">
        <v>95</v>
      </c>
      <c r="AY1068" t="s">
        <v>95</v>
      </c>
      <c r="AZ1068">
        <v>288</v>
      </c>
      <c r="BA1068">
        <v>649</v>
      </c>
      <c r="BB1068">
        <v>44</v>
      </c>
      <c r="BC1068" t="s">
        <v>96</v>
      </c>
      <c r="BD1068">
        <v>1</v>
      </c>
      <c r="BF1068" t="s">
        <v>1192</v>
      </c>
      <c r="BG1068" s="1">
        <v>44354.070833333331</v>
      </c>
      <c r="BH1068" s="1">
        <v>44354.081597222219</v>
      </c>
      <c r="BI1068" s="1">
        <v>44354.082094907404</v>
      </c>
      <c r="BJ1068" t="s">
        <v>85</v>
      </c>
      <c r="BK1068" t="s">
        <v>86</v>
      </c>
      <c r="BL1068" t="s">
        <v>87</v>
      </c>
    </row>
    <row r="1069" spans="1:64" x14ac:dyDescent="0.3">
      <c r="A1069" t="str">
        <f>"200565B0000"</f>
        <v>200565B0000</v>
      </c>
      <c r="B1069" t="str">
        <f>"200565B00003"</f>
        <v>200565B00003</v>
      </c>
      <c r="C1069" t="str">
        <f t="shared" si="64"/>
        <v>20</v>
      </c>
      <c r="D1069" t="s">
        <v>81</v>
      </c>
      <c r="E1069" t="str">
        <f t="shared" si="63"/>
        <v>066</v>
      </c>
      <c r="F1069" t="s">
        <v>951</v>
      </c>
      <c r="G1069" t="str">
        <f>"0565"</f>
        <v>0565</v>
      </c>
      <c r="H1069" t="str">
        <f>"0000"</f>
        <v>0000</v>
      </c>
      <c r="I1069" t="s">
        <v>83</v>
      </c>
      <c r="J1069">
        <v>0</v>
      </c>
      <c r="K1069">
        <v>1</v>
      </c>
      <c r="L1069">
        <v>3</v>
      </c>
      <c r="BA1069">
        <v>439</v>
      </c>
      <c r="BB1069">
        <v>44</v>
      </c>
      <c r="BC1069" t="s">
        <v>381</v>
      </c>
      <c r="BD1069">
        <v>0</v>
      </c>
      <c r="BF1069" t="s">
        <v>1193</v>
      </c>
      <c r="BG1069" s="1">
        <v>44354.427083333336</v>
      </c>
      <c r="BH1069" s="1">
        <v>44354.444178240738</v>
      </c>
      <c r="BI1069" s="1">
        <v>44354.444178240738</v>
      </c>
      <c r="BJ1069" t="s">
        <v>85</v>
      </c>
      <c r="BK1069" t="s">
        <v>86</v>
      </c>
      <c r="BL1069" t="s">
        <v>87</v>
      </c>
    </row>
    <row r="1070" spans="1:64" x14ac:dyDescent="0.3">
      <c r="A1070" t="str">
        <f>"200565C0100"</f>
        <v>200565C0100</v>
      </c>
      <c r="B1070" t="str">
        <f>"200565C01003"</f>
        <v>200565C01003</v>
      </c>
      <c r="C1070" t="str">
        <f t="shared" si="64"/>
        <v>20</v>
      </c>
      <c r="D1070" t="s">
        <v>81</v>
      </c>
      <c r="E1070" t="str">
        <f t="shared" si="63"/>
        <v>066</v>
      </c>
      <c r="F1070" t="s">
        <v>951</v>
      </c>
      <c r="G1070" t="str">
        <f>"0565"</f>
        <v>0565</v>
      </c>
      <c r="H1070" t="str">
        <f>"0001"</f>
        <v>0001</v>
      </c>
      <c r="I1070" t="s">
        <v>89</v>
      </c>
      <c r="J1070">
        <v>0</v>
      </c>
      <c r="K1070">
        <v>1</v>
      </c>
      <c r="L1070">
        <v>3</v>
      </c>
      <c r="M1070">
        <v>270</v>
      </c>
      <c r="N1070">
        <v>213</v>
      </c>
      <c r="O1070">
        <v>9</v>
      </c>
      <c r="P1070">
        <v>213</v>
      </c>
      <c r="Q1070">
        <v>5</v>
      </c>
      <c r="R1070">
        <v>56</v>
      </c>
      <c r="S1070">
        <v>4</v>
      </c>
      <c r="T1070">
        <v>1</v>
      </c>
      <c r="U1070">
        <v>4</v>
      </c>
      <c r="V1070">
        <v>5</v>
      </c>
      <c r="W1070">
        <v>3</v>
      </c>
      <c r="X1070">
        <v>115</v>
      </c>
      <c r="Y1070">
        <v>3</v>
      </c>
      <c r="Z1070">
        <v>3</v>
      </c>
      <c r="AA1070">
        <v>2</v>
      </c>
      <c r="AB1070">
        <v>4</v>
      </c>
      <c r="AK1070">
        <v>2</v>
      </c>
      <c r="AO1070">
        <v>0</v>
      </c>
      <c r="AP1070">
        <v>0</v>
      </c>
      <c r="AR1070">
        <v>0</v>
      </c>
      <c r="AU1070">
        <v>0</v>
      </c>
      <c r="AW1070">
        <v>0</v>
      </c>
      <c r="AX1070">
        <v>6</v>
      </c>
      <c r="AY1070">
        <v>213</v>
      </c>
      <c r="AZ1070">
        <v>213</v>
      </c>
      <c r="BA1070">
        <v>439</v>
      </c>
      <c r="BB1070">
        <v>44</v>
      </c>
      <c r="BD1070">
        <v>1</v>
      </c>
      <c r="BF1070" t="s">
        <v>1194</v>
      </c>
      <c r="BG1070" s="1">
        <v>44354.082638888889</v>
      </c>
      <c r="BH1070" s="1">
        <v>44354.095613425925</v>
      </c>
      <c r="BI1070" s="1">
        <v>44354.095995370371</v>
      </c>
      <c r="BJ1070" t="s">
        <v>85</v>
      </c>
      <c r="BK1070" t="s">
        <v>86</v>
      </c>
      <c r="BL1070" t="s">
        <v>87</v>
      </c>
    </row>
    <row r="1071" spans="1:64" x14ac:dyDescent="0.3">
      <c r="A1071" t="str">
        <f>"200566B0000"</f>
        <v>200566B0000</v>
      </c>
      <c r="B1071" t="str">
        <f>"200566B00003"</f>
        <v>200566B00003</v>
      </c>
      <c r="C1071" t="str">
        <f t="shared" si="64"/>
        <v>20</v>
      </c>
      <c r="D1071" t="s">
        <v>81</v>
      </c>
      <c r="E1071" t="str">
        <f t="shared" si="63"/>
        <v>066</v>
      </c>
      <c r="F1071" t="s">
        <v>951</v>
      </c>
      <c r="G1071" t="str">
        <f>"0566"</f>
        <v>0566</v>
      </c>
      <c r="H1071" t="str">
        <f>"0000"</f>
        <v>0000</v>
      </c>
      <c r="I1071" t="s">
        <v>83</v>
      </c>
      <c r="J1071">
        <v>0</v>
      </c>
      <c r="K1071">
        <v>1</v>
      </c>
      <c r="L1071">
        <v>3</v>
      </c>
      <c r="M1071">
        <v>328</v>
      </c>
      <c r="N1071">
        <v>295</v>
      </c>
      <c r="O1071">
        <v>3</v>
      </c>
      <c r="P1071">
        <v>296</v>
      </c>
      <c r="Q1071">
        <v>27</v>
      </c>
      <c r="R1071">
        <v>78</v>
      </c>
      <c r="S1071">
        <v>0</v>
      </c>
      <c r="T1071">
        <v>5</v>
      </c>
      <c r="U1071">
        <v>0</v>
      </c>
      <c r="V1071">
        <v>4</v>
      </c>
      <c r="W1071">
        <v>3</v>
      </c>
      <c r="X1071">
        <v>155</v>
      </c>
      <c r="Y1071">
        <v>4</v>
      </c>
      <c r="Z1071">
        <v>5</v>
      </c>
      <c r="AA1071">
        <v>4</v>
      </c>
      <c r="AB1071">
        <v>5</v>
      </c>
      <c r="AK1071">
        <v>2</v>
      </c>
      <c r="AO1071">
        <v>0</v>
      </c>
      <c r="AP1071">
        <v>0</v>
      </c>
      <c r="AR1071">
        <v>0</v>
      </c>
      <c r="AU1071">
        <v>0</v>
      </c>
      <c r="AW1071">
        <v>0</v>
      </c>
      <c r="AX1071">
        <v>3</v>
      </c>
      <c r="AY1071">
        <v>295</v>
      </c>
      <c r="AZ1071">
        <v>295</v>
      </c>
      <c r="BA1071">
        <v>579</v>
      </c>
      <c r="BB1071">
        <v>44</v>
      </c>
      <c r="BD1071">
        <v>1</v>
      </c>
      <c r="BF1071" t="s">
        <v>1195</v>
      </c>
      <c r="BG1071" s="1">
        <v>44354.046527777777</v>
      </c>
      <c r="BH1071" s="1">
        <v>44354.056585648148</v>
      </c>
      <c r="BI1071" s="1">
        <v>44354.057199074072</v>
      </c>
      <c r="BJ1071" t="s">
        <v>85</v>
      </c>
      <c r="BK1071" t="s">
        <v>86</v>
      </c>
      <c r="BL1071" t="s">
        <v>87</v>
      </c>
    </row>
    <row r="1072" spans="1:64" x14ac:dyDescent="0.3">
      <c r="A1072" t="str">
        <f>"200566C0100"</f>
        <v>200566C0100</v>
      </c>
      <c r="B1072" t="str">
        <f>"200566C01003"</f>
        <v>200566C01003</v>
      </c>
      <c r="C1072" t="str">
        <f t="shared" si="64"/>
        <v>20</v>
      </c>
      <c r="D1072" t="s">
        <v>81</v>
      </c>
      <c r="E1072" t="str">
        <f t="shared" si="63"/>
        <v>066</v>
      </c>
      <c r="F1072" t="s">
        <v>951</v>
      </c>
      <c r="G1072" t="str">
        <f>"0566"</f>
        <v>0566</v>
      </c>
      <c r="H1072" t="str">
        <f>"0001"</f>
        <v>0001</v>
      </c>
      <c r="I1072" t="s">
        <v>89</v>
      </c>
      <c r="J1072">
        <v>0</v>
      </c>
      <c r="K1072">
        <v>1</v>
      </c>
      <c r="L1072">
        <v>3</v>
      </c>
      <c r="M1072">
        <v>685</v>
      </c>
      <c r="N1072">
        <v>279</v>
      </c>
      <c r="O1072">
        <v>3</v>
      </c>
      <c r="P1072">
        <v>281</v>
      </c>
      <c r="Q1072">
        <v>18</v>
      </c>
      <c r="R1072">
        <v>75</v>
      </c>
      <c r="S1072">
        <v>0</v>
      </c>
      <c r="T1072">
        <v>3</v>
      </c>
      <c r="U1072">
        <v>3</v>
      </c>
      <c r="V1072">
        <v>9</v>
      </c>
      <c r="W1072">
        <v>4</v>
      </c>
      <c r="X1072">
        <v>126</v>
      </c>
      <c r="Y1072">
        <v>11</v>
      </c>
      <c r="Z1072">
        <v>3</v>
      </c>
      <c r="AA1072">
        <v>1</v>
      </c>
      <c r="AB1072">
        <v>9</v>
      </c>
      <c r="AK1072">
        <v>5</v>
      </c>
      <c r="AO1072">
        <v>2</v>
      </c>
      <c r="AP1072">
        <v>0</v>
      </c>
      <c r="AR1072">
        <v>0</v>
      </c>
      <c r="AU1072">
        <v>0</v>
      </c>
      <c r="AW1072">
        <v>0</v>
      </c>
      <c r="AX1072">
        <v>12</v>
      </c>
      <c r="AY1072">
        <v>281</v>
      </c>
      <c r="AZ1072">
        <v>281</v>
      </c>
      <c r="BA1072">
        <v>579</v>
      </c>
      <c r="BB1072">
        <v>44</v>
      </c>
      <c r="BD1072">
        <v>1</v>
      </c>
      <c r="BF1072" t="s">
        <v>1196</v>
      </c>
      <c r="BG1072" s="1">
        <v>44354.047222222223</v>
      </c>
      <c r="BH1072" s="1">
        <v>44354.056875000002</v>
      </c>
      <c r="BI1072" s="1">
        <v>44354.057592592595</v>
      </c>
      <c r="BJ1072" t="s">
        <v>85</v>
      </c>
      <c r="BK1072" t="s">
        <v>86</v>
      </c>
      <c r="BL1072" t="s">
        <v>87</v>
      </c>
    </row>
    <row r="1073" spans="1:64" x14ac:dyDescent="0.3">
      <c r="A1073" t="str">
        <f>"200567B0000"</f>
        <v>200567B0000</v>
      </c>
      <c r="B1073" t="str">
        <f>"200567B00003"</f>
        <v>200567B00003</v>
      </c>
      <c r="C1073" t="str">
        <f t="shared" si="64"/>
        <v>20</v>
      </c>
      <c r="D1073" t="s">
        <v>81</v>
      </c>
      <c r="E1073" t="str">
        <f t="shared" si="63"/>
        <v>066</v>
      </c>
      <c r="F1073" t="s">
        <v>951</v>
      </c>
      <c r="G1073" t="str">
        <f>"0567"</f>
        <v>0567</v>
      </c>
      <c r="H1073" t="str">
        <f>"0000"</f>
        <v>0000</v>
      </c>
      <c r="I1073" t="s">
        <v>83</v>
      </c>
      <c r="J1073">
        <v>0</v>
      </c>
      <c r="K1073">
        <v>1</v>
      </c>
      <c r="L1073">
        <v>3</v>
      </c>
      <c r="M1073">
        <v>395</v>
      </c>
      <c r="N1073" t="s">
        <v>131</v>
      </c>
      <c r="O1073">
        <v>3</v>
      </c>
      <c r="P1073">
        <v>375</v>
      </c>
      <c r="Q1073">
        <v>25</v>
      </c>
      <c r="R1073">
        <v>110</v>
      </c>
      <c r="S1073">
        <v>3</v>
      </c>
      <c r="T1073">
        <v>4</v>
      </c>
      <c r="U1073">
        <v>8</v>
      </c>
      <c r="V1073">
        <v>5</v>
      </c>
      <c r="W1073">
        <v>10</v>
      </c>
      <c r="X1073">
        <v>171</v>
      </c>
      <c r="Y1073">
        <v>7</v>
      </c>
      <c r="Z1073">
        <v>3</v>
      </c>
      <c r="AA1073">
        <v>2</v>
      </c>
      <c r="AB1073">
        <v>10</v>
      </c>
      <c r="AK1073">
        <v>5</v>
      </c>
      <c r="AO1073">
        <v>1</v>
      </c>
      <c r="AP1073">
        <v>0</v>
      </c>
      <c r="AR1073">
        <v>0</v>
      </c>
      <c r="AU1073">
        <v>0</v>
      </c>
      <c r="AW1073">
        <v>0</v>
      </c>
      <c r="AX1073">
        <v>11</v>
      </c>
      <c r="AY1073">
        <v>375</v>
      </c>
      <c r="AZ1073">
        <v>375</v>
      </c>
      <c r="BA1073">
        <v>726</v>
      </c>
      <c r="BB1073">
        <v>44</v>
      </c>
      <c r="BD1073">
        <v>1</v>
      </c>
      <c r="BF1073" t="s">
        <v>1197</v>
      </c>
      <c r="BG1073" s="1">
        <v>44354.041666666664</v>
      </c>
      <c r="BH1073" s="1">
        <v>44354.054699074077</v>
      </c>
      <c r="BI1073" s="1">
        <v>44354.05541666667</v>
      </c>
      <c r="BJ1073" t="s">
        <v>85</v>
      </c>
      <c r="BK1073" t="s">
        <v>86</v>
      </c>
      <c r="BL1073" t="s">
        <v>87</v>
      </c>
    </row>
    <row r="1074" spans="1:64" x14ac:dyDescent="0.3">
      <c r="A1074" t="str">
        <f>"200568B0000"</f>
        <v>200568B0000</v>
      </c>
      <c r="B1074" t="str">
        <f>"200568B00003"</f>
        <v>200568B00003</v>
      </c>
      <c r="C1074" t="str">
        <f t="shared" si="64"/>
        <v>20</v>
      </c>
      <c r="D1074" t="s">
        <v>81</v>
      </c>
      <c r="E1074" t="str">
        <f t="shared" si="63"/>
        <v>066</v>
      </c>
      <c r="F1074" t="s">
        <v>951</v>
      </c>
      <c r="G1074" t="str">
        <f>"0568"</f>
        <v>0568</v>
      </c>
      <c r="H1074" t="str">
        <f>"0000"</f>
        <v>0000</v>
      </c>
      <c r="I1074" t="s">
        <v>83</v>
      </c>
      <c r="J1074">
        <v>0</v>
      </c>
      <c r="K1074">
        <v>1</v>
      </c>
      <c r="L1074">
        <v>3</v>
      </c>
      <c r="M1074">
        <v>284</v>
      </c>
      <c r="N1074">
        <v>361</v>
      </c>
      <c r="O1074">
        <v>11</v>
      </c>
      <c r="P1074">
        <v>361</v>
      </c>
      <c r="Q1074">
        <v>47</v>
      </c>
      <c r="R1074">
        <v>100</v>
      </c>
      <c r="S1074">
        <v>3</v>
      </c>
      <c r="T1074">
        <v>4</v>
      </c>
      <c r="U1074">
        <v>10</v>
      </c>
      <c r="V1074">
        <v>5</v>
      </c>
      <c r="W1074">
        <v>1</v>
      </c>
      <c r="X1074" t="s">
        <v>131</v>
      </c>
      <c r="Y1074">
        <v>5</v>
      </c>
      <c r="Z1074">
        <v>2</v>
      </c>
      <c r="AA1074">
        <v>5</v>
      </c>
      <c r="AB1074">
        <v>113</v>
      </c>
      <c r="AK1074">
        <v>3</v>
      </c>
      <c r="AO1074">
        <v>1</v>
      </c>
      <c r="AP1074">
        <v>0</v>
      </c>
      <c r="AR1074">
        <v>0</v>
      </c>
      <c r="AU1074">
        <v>0</v>
      </c>
      <c r="AW1074">
        <v>1</v>
      </c>
      <c r="AX1074">
        <v>7</v>
      </c>
      <c r="AY1074">
        <v>361</v>
      </c>
      <c r="AZ1074">
        <v>307</v>
      </c>
      <c r="BA1074">
        <v>601</v>
      </c>
      <c r="BB1074">
        <v>44</v>
      </c>
      <c r="BC1074" t="s">
        <v>96</v>
      </c>
      <c r="BD1074">
        <v>1</v>
      </c>
      <c r="BF1074" t="s">
        <v>1198</v>
      </c>
      <c r="BG1074" s="1">
        <v>44354.027777777781</v>
      </c>
      <c r="BH1074" s="1">
        <v>44354.036747685182</v>
      </c>
      <c r="BI1074" s="1">
        <v>44354.037488425929</v>
      </c>
      <c r="BJ1074" t="s">
        <v>85</v>
      </c>
      <c r="BK1074" t="s">
        <v>86</v>
      </c>
      <c r="BL1074" t="s">
        <v>87</v>
      </c>
    </row>
    <row r="1075" spans="1:64" x14ac:dyDescent="0.3">
      <c r="A1075" t="str">
        <f>"200568C0100"</f>
        <v>200568C0100</v>
      </c>
      <c r="B1075" t="str">
        <f>"200568C01003"</f>
        <v>200568C01003</v>
      </c>
      <c r="C1075" t="str">
        <f t="shared" si="64"/>
        <v>20</v>
      </c>
      <c r="D1075" t="s">
        <v>81</v>
      </c>
      <c r="E1075" t="str">
        <f t="shared" si="63"/>
        <v>066</v>
      </c>
      <c r="F1075" t="s">
        <v>951</v>
      </c>
      <c r="G1075" t="str">
        <f>"0568"</f>
        <v>0568</v>
      </c>
      <c r="H1075" t="str">
        <f>"0001"</f>
        <v>0001</v>
      </c>
      <c r="I1075" t="s">
        <v>89</v>
      </c>
      <c r="J1075">
        <v>0</v>
      </c>
      <c r="K1075">
        <v>1</v>
      </c>
      <c r="L1075">
        <v>3</v>
      </c>
      <c r="BA1075">
        <v>601</v>
      </c>
      <c r="BB1075">
        <v>44</v>
      </c>
      <c r="BC1075" t="s">
        <v>381</v>
      </c>
      <c r="BD1075">
        <v>0</v>
      </c>
      <c r="BF1075" s="2" t="s">
        <v>1199</v>
      </c>
      <c r="BG1075" s="1">
        <v>44354.427083333336</v>
      </c>
      <c r="BH1075" s="1">
        <v>44354.442685185182</v>
      </c>
      <c r="BI1075" s="1">
        <v>44354.442685185182</v>
      </c>
      <c r="BJ1075" t="s">
        <v>85</v>
      </c>
      <c r="BK1075" t="s">
        <v>86</v>
      </c>
      <c r="BL1075" t="s">
        <v>87</v>
      </c>
    </row>
    <row r="1076" spans="1:64" x14ac:dyDescent="0.3">
      <c r="A1076" t="str">
        <f>"200569B0000"</f>
        <v>200569B0000</v>
      </c>
      <c r="B1076" t="str">
        <f>"200569B00003"</f>
        <v>200569B00003</v>
      </c>
      <c r="C1076" t="str">
        <f t="shared" si="64"/>
        <v>20</v>
      </c>
      <c r="D1076" t="s">
        <v>81</v>
      </c>
      <c r="E1076" t="str">
        <f t="shared" si="63"/>
        <v>066</v>
      </c>
      <c r="F1076" t="s">
        <v>951</v>
      </c>
      <c r="G1076" t="str">
        <f>"0569"</f>
        <v>0569</v>
      </c>
      <c r="H1076" t="str">
        <f>"0000"</f>
        <v>0000</v>
      </c>
      <c r="I1076" t="s">
        <v>83</v>
      </c>
      <c r="J1076">
        <v>0</v>
      </c>
      <c r="K1076">
        <v>1</v>
      </c>
      <c r="L1076">
        <v>3</v>
      </c>
      <c r="M1076">
        <v>260</v>
      </c>
      <c r="N1076">
        <v>281</v>
      </c>
      <c r="O1076">
        <v>3</v>
      </c>
      <c r="P1076">
        <v>281</v>
      </c>
      <c r="Q1076">
        <v>25</v>
      </c>
      <c r="R1076">
        <v>80</v>
      </c>
      <c r="S1076">
        <v>1</v>
      </c>
      <c r="T1076">
        <v>2</v>
      </c>
      <c r="U1076">
        <v>4</v>
      </c>
      <c r="V1076">
        <v>3</v>
      </c>
      <c r="W1076">
        <v>2</v>
      </c>
      <c r="X1076">
        <v>142</v>
      </c>
      <c r="Y1076">
        <v>1</v>
      </c>
      <c r="Z1076">
        <v>4</v>
      </c>
      <c r="AA1076">
        <v>1</v>
      </c>
      <c r="AB1076">
        <v>8</v>
      </c>
      <c r="AK1076">
        <v>1</v>
      </c>
      <c r="AO1076">
        <v>1</v>
      </c>
      <c r="AP1076">
        <v>0</v>
      </c>
      <c r="AR1076">
        <v>0</v>
      </c>
      <c r="AU1076">
        <v>0</v>
      </c>
      <c r="AW1076">
        <v>0</v>
      </c>
      <c r="AX1076">
        <v>6</v>
      </c>
      <c r="AY1076">
        <v>281</v>
      </c>
      <c r="AZ1076">
        <v>281</v>
      </c>
      <c r="BA1076">
        <v>497</v>
      </c>
      <c r="BB1076">
        <v>44</v>
      </c>
      <c r="BD1076">
        <v>1</v>
      </c>
      <c r="BF1076" t="s">
        <v>1200</v>
      </c>
      <c r="BG1076" s="1">
        <v>44354.056250000001</v>
      </c>
      <c r="BH1076" s="1">
        <v>44354.066759259258</v>
      </c>
      <c r="BI1076" s="1">
        <v>44354.067430555559</v>
      </c>
      <c r="BJ1076" t="s">
        <v>85</v>
      </c>
      <c r="BK1076" t="s">
        <v>86</v>
      </c>
      <c r="BL1076" t="s">
        <v>87</v>
      </c>
    </row>
    <row r="1077" spans="1:64" x14ac:dyDescent="0.3">
      <c r="A1077" t="str">
        <f>"200569C0100"</f>
        <v>200569C0100</v>
      </c>
      <c r="B1077" t="str">
        <f>"200569C01003"</f>
        <v>200569C01003</v>
      </c>
      <c r="C1077" t="str">
        <f t="shared" si="64"/>
        <v>20</v>
      </c>
      <c r="D1077" t="s">
        <v>81</v>
      </c>
      <c r="E1077" t="str">
        <f t="shared" si="63"/>
        <v>066</v>
      </c>
      <c r="F1077" t="s">
        <v>951</v>
      </c>
      <c r="G1077" t="str">
        <f>"0569"</f>
        <v>0569</v>
      </c>
      <c r="H1077" t="str">
        <f>"0001"</f>
        <v>0001</v>
      </c>
      <c r="I1077" t="s">
        <v>89</v>
      </c>
      <c r="J1077">
        <v>0</v>
      </c>
      <c r="K1077">
        <v>1</v>
      </c>
      <c r="L1077">
        <v>3</v>
      </c>
      <c r="M1077">
        <v>245</v>
      </c>
      <c r="N1077">
        <v>296</v>
      </c>
      <c r="O1077">
        <v>3</v>
      </c>
      <c r="P1077">
        <v>296</v>
      </c>
      <c r="Q1077">
        <v>25</v>
      </c>
      <c r="R1077">
        <v>76</v>
      </c>
      <c r="S1077">
        <v>1</v>
      </c>
      <c r="T1077">
        <v>1</v>
      </c>
      <c r="U1077">
        <v>5</v>
      </c>
      <c r="V1077">
        <v>5</v>
      </c>
      <c r="W1077">
        <v>3</v>
      </c>
      <c r="X1077">
        <v>152</v>
      </c>
      <c r="Y1077">
        <v>2</v>
      </c>
      <c r="Z1077">
        <v>4</v>
      </c>
      <c r="AA1077">
        <v>2</v>
      </c>
      <c r="AB1077">
        <v>7</v>
      </c>
      <c r="AK1077">
        <v>3</v>
      </c>
      <c r="AO1077">
        <v>1</v>
      </c>
      <c r="AP1077">
        <v>0</v>
      </c>
      <c r="AR1077">
        <v>1</v>
      </c>
      <c r="AU1077">
        <v>0</v>
      </c>
      <c r="AW1077">
        <v>0</v>
      </c>
      <c r="AX1077">
        <v>8</v>
      </c>
      <c r="AY1077">
        <v>296</v>
      </c>
      <c r="AZ1077">
        <v>296</v>
      </c>
      <c r="BA1077">
        <v>497</v>
      </c>
      <c r="BB1077">
        <v>44</v>
      </c>
      <c r="BD1077">
        <v>1</v>
      </c>
      <c r="BF1077" t="s">
        <v>1201</v>
      </c>
      <c r="BG1077" s="1">
        <v>44354.056944444441</v>
      </c>
      <c r="BH1077" s="1">
        <v>44354.06391203704</v>
      </c>
      <c r="BI1077" s="1">
        <v>44354.064375000002</v>
      </c>
      <c r="BJ1077" t="s">
        <v>85</v>
      </c>
      <c r="BK1077" t="s">
        <v>86</v>
      </c>
      <c r="BL1077" t="s">
        <v>87</v>
      </c>
    </row>
    <row r="1078" spans="1:64" x14ac:dyDescent="0.3">
      <c r="A1078" t="str">
        <f>"200570B0000"</f>
        <v>200570B0000</v>
      </c>
      <c r="B1078" t="str">
        <f>"200570B00003"</f>
        <v>200570B00003</v>
      </c>
      <c r="C1078" t="str">
        <f t="shared" si="64"/>
        <v>20</v>
      </c>
      <c r="D1078" t="s">
        <v>81</v>
      </c>
      <c r="E1078" t="str">
        <f t="shared" si="63"/>
        <v>066</v>
      </c>
      <c r="F1078" t="s">
        <v>951</v>
      </c>
      <c r="G1078" t="str">
        <f>"0570"</f>
        <v>0570</v>
      </c>
      <c r="H1078" t="str">
        <f>"0000"</f>
        <v>0000</v>
      </c>
      <c r="I1078" t="s">
        <v>83</v>
      </c>
      <c r="J1078">
        <v>0</v>
      </c>
      <c r="K1078">
        <v>1</v>
      </c>
      <c r="L1078">
        <v>3</v>
      </c>
      <c r="M1078">
        <v>247</v>
      </c>
      <c r="N1078">
        <v>246</v>
      </c>
      <c r="O1078">
        <v>6</v>
      </c>
      <c r="P1078">
        <v>246</v>
      </c>
      <c r="Q1078">
        <v>12</v>
      </c>
      <c r="R1078">
        <v>62</v>
      </c>
      <c r="S1078">
        <v>5</v>
      </c>
      <c r="T1078">
        <v>1</v>
      </c>
      <c r="U1078">
        <v>5</v>
      </c>
      <c r="V1078">
        <v>4</v>
      </c>
      <c r="W1078">
        <v>5</v>
      </c>
      <c r="X1078">
        <v>121</v>
      </c>
      <c r="Y1078">
        <v>2</v>
      </c>
      <c r="Z1078">
        <v>6</v>
      </c>
      <c r="AA1078">
        <v>3</v>
      </c>
      <c r="AB1078">
        <v>7</v>
      </c>
      <c r="AK1078">
        <v>5</v>
      </c>
      <c r="AO1078">
        <v>0</v>
      </c>
      <c r="AP1078">
        <v>0</v>
      </c>
      <c r="AR1078">
        <v>0</v>
      </c>
      <c r="AU1078">
        <v>0</v>
      </c>
      <c r="AW1078">
        <v>0</v>
      </c>
      <c r="AX1078">
        <v>8</v>
      </c>
      <c r="AY1078">
        <v>246</v>
      </c>
      <c r="AZ1078">
        <v>246</v>
      </c>
      <c r="BA1078">
        <v>449</v>
      </c>
      <c r="BB1078">
        <v>44</v>
      </c>
      <c r="BD1078">
        <v>1</v>
      </c>
      <c r="BF1078" t="s">
        <v>1202</v>
      </c>
      <c r="BG1078" s="1">
        <v>44354.079861111109</v>
      </c>
      <c r="BH1078" s="1">
        <v>44354.089560185188</v>
      </c>
      <c r="BI1078" s="1">
        <v>44354.090196759258</v>
      </c>
      <c r="BJ1078" t="s">
        <v>85</v>
      </c>
      <c r="BK1078" t="s">
        <v>86</v>
      </c>
      <c r="BL1078" t="s">
        <v>87</v>
      </c>
    </row>
    <row r="1079" spans="1:64" x14ac:dyDescent="0.3">
      <c r="A1079" t="str">
        <f>"200570C0100"</f>
        <v>200570C0100</v>
      </c>
      <c r="B1079" t="str">
        <f>"200570C01003"</f>
        <v>200570C01003</v>
      </c>
      <c r="C1079" t="str">
        <f t="shared" si="64"/>
        <v>20</v>
      </c>
      <c r="D1079" t="s">
        <v>81</v>
      </c>
      <c r="E1079" t="str">
        <f t="shared" si="63"/>
        <v>066</v>
      </c>
      <c r="F1079" t="s">
        <v>951</v>
      </c>
      <c r="G1079" t="str">
        <f>"0570"</f>
        <v>0570</v>
      </c>
      <c r="H1079" t="str">
        <f>"0001"</f>
        <v>0001</v>
      </c>
      <c r="I1079" t="s">
        <v>89</v>
      </c>
      <c r="J1079">
        <v>0</v>
      </c>
      <c r="K1079">
        <v>1</v>
      </c>
      <c r="L1079">
        <v>3</v>
      </c>
      <c r="M1079">
        <v>239</v>
      </c>
      <c r="N1079">
        <v>254</v>
      </c>
      <c r="O1079">
        <v>4</v>
      </c>
      <c r="P1079">
        <v>254</v>
      </c>
      <c r="Q1079">
        <v>23</v>
      </c>
      <c r="R1079">
        <v>89</v>
      </c>
      <c r="S1079">
        <v>4</v>
      </c>
      <c r="T1079">
        <v>3</v>
      </c>
      <c r="U1079">
        <v>5</v>
      </c>
      <c r="V1079">
        <v>8</v>
      </c>
      <c r="W1079">
        <v>2</v>
      </c>
      <c r="X1079">
        <v>99</v>
      </c>
      <c r="Y1079">
        <v>3</v>
      </c>
      <c r="Z1079">
        <v>5</v>
      </c>
      <c r="AA1079">
        <v>1</v>
      </c>
      <c r="AB1079">
        <v>6</v>
      </c>
      <c r="AK1079">
        <v>0</v>
      </c>
      <c r="AO1079">
        <v>0</v>
      </c>
      <c r="AP1079">
        <v>0</v>
      </c>
      <c r="AR1079">
        <v>0</v>
      </c>
      <c r="AU1079">
        <v>0</v>
      </c>
      <c r="AW1079">
        <v>0</v>
      </c>
      <c r="AX1079">
        <v>4</v>
      </c>
      <c r="AY1079">
        <v>252</v>
      </c>
      <c r="AZ1079">
        <v>252</v>
      </c>
      <c r="BA1079">
        <v>449</v>
      </c>
      <c r="BB1079">
        <v>44</v>
      </c>
      <c r="BD1079">
        <v>1</v>
      </c>
      <c r="BF1079" t="s">
        <v>1203</v>
      </c>
      <c r="BG1079" s="1">
        <v>44354.075694444444</v>
      </c>
      <c r="BH1079" s="1">
        <v>44354.08935185185</v>
      </c>
      <c r="BI1079" s="1">
        <v>44354.09002314815</v>
      </c>
      <c r="BJ1079" t="s">
        <v>85</v>
      </c>
      <c r="BK1079" t="s">
        <v>86</v>
      </c>
      <c r="BL1079" t="s">
        <v>87</v>
      </c>
    </row>
    <row r="1080" spans="1:64" x14ac:dyDescent="0.3">
      <c r="A1080" t="str">
        <f>"200571B0000"</f>
        <v>200571B0000</v>
      </c>
      <c r="B1080" t="str">
        <f>"200571B00003"</f>
        <v>200571B00003</v>
      </c>
      <c r="C1080" t="str">
        <f t="shared" si="64"/>
        <v>20</v>
      </c>
      <c r="D1080" t="s">
        <v>81</v>
      </c>
      <c r="E1080" t="str">
        <f t="shared" si="63"/>
        <v>066</v>
      </c>
      <c r="F1080" t="s">
        <v>951</v>
      </c>
      <c r="G1080" t="str">
        <f>"0571"</f>
        <v>0571</v>
      </c>
      <c r="H1080" t="str">
        <f>"0000"</f>
        <v>0000</v>
      </c>
      <c r="I1080" t="s">
        <v>83</v>
      </c>
      <c r="J1080">
        <v>0</v>
      </c>
      <c r="K1080">
        <v>1</v>
      </c>
      <c r="L1080">
        <v>3</v>
      </c>
      <c r="M1080">
        <v>282</v>
      </c>
      <c r="N1080">
        <v>374</v>
      </c>
      <c r="O1080">
        <v>3</v>
      </c>
      <c r="P1080">
        <v>374</v>
      </c>
      <c r="Q1080">
        <v>65</v>
      </c>
      <c r="R1080">
        <v>128</v>
      </c>
      <c r="S1080">
        <v>7</v>
      </c>
      <c r="T1080">
        <v>2</v>
      </c>
      <c r="U1080">
        <v>4</v>
      </c>
      <c r="V1080">
        <v>7</v>
      </c>
      <c r="W1080">
        <v>1</v>
      </c>
      <c r="X1080">
        <v>124</v>
      </c>
      <c r="Y1080">
        <v>1</v>
      </c>
      <c r="Z1080">
        <v>8</v>
      </c>
      <c r="AA1080">
        <v>2</v>
      </c>
      <c r="AB1080">
        <v>15</v>
      </c>
      <c r="AK1080">
        <v>5</v>
      </c>
      <c r="AO1080">
        <v>1</v>
      </c>
      <c r="AP1080">
        <v>0</v>
      </c>
      <c r="AR1080">
        <v>0</v>
      </c>
      <c r="AU1080">
        <v>0</v>
      </c>
      <c r="AW1080">
        <v>0</v>
      </c>
      <c r="AX1080">
        <v>4</v>
      </c>
      <c r="AY1080">
        <v>374</v>
      </c>
      <c r="AZ1080">
        <v>374</v>
      </c>
      <c r="BA1080">
        <v>612</v>
      </c>
      <c r="BB1080">
        <v>44</v>
      </c>
      <c r="BD1080">
        <v>1</v>
      </c>
      <c r="BF1080" t="s">
        <v>1204</v>
      </c>
      <c r="BG1080" s="1">
        <v>44354.029861111114</v>
      </c>
      <c r="BH1080" s="1">
        <v>44354.040844907409</v>
      </c>
      <c r="BI1080" s="1">
        <v>44354.041828703703</v>
      </c>
      <c r="BJ1080" t="s">
        <v>85</v>
      </c>
      <c r="BK1080" t="s">
        <v>86</v>
      </c>
      <c r="BL1080" t="s">
        <v>87</v>
      </c>
    </row>
    <row r="1081" spans="1:64" x14ac:dyDescent="0.3">
      <c r="A1081" t="str">
        <f>"200572B0000"</f>
        <v>200572B0000</v>
      </c>
      <c r="B1081" t="str">
        <f>"200572B00003"</f>
        <v>200572B00003</v>
      </c>
      <c r="C1081" t="str">
        <f t="shared" si="64"/>
        <v>20</v>
      </c>
      <c r="D1081" t="s">
        <v>81</v>
      </c>
      <c r="E1081" t="str">
        <f t="shared" si="63"/>
        <v>066</v>
      </c>
      <c r="F1081" t="s">
        <v>951</v>
      </c>
      <c r="G1081" t="str">
        <f>"0572"</f>
        <v>0572</v>
      </c>
      <c r="H1081" t="str">
        <f>"0000"</f>
        <v>0000</v>
      </c>
      <c r="I1081" t="s">
        <v>83</v>
      </c>
      <c r="J1081">
        <v>0</v>
      </c>
      <c r="K1081">
        <v>1</v>
      </c>
      <c r="L1081">
        <v>3</v>
      </c>
      <c r="M1081">
        <v>232</v>
      </c>
      <c r="N1081">
        <v>228</v>
      </c>
      <c r="O1081">
        <v>9</v>
      </c>
      <c r="P1081">
        <v>228</v>
      </c>
      <c r="Q1081">
        <v>42</v>
      </c>
      <c r="R1081">
        <v>55</v>
      </c>
      <c r="S1081">
        <v>1</v>
      </c>
      <c r="T1081">
        <v>2</v>
      </c>
      <c r="U1081">
        <v>3</v>
      </c>
      <c r="V1081">
        <v>6</v>
      </c>
      <c r="W1081">
        <v>2</v>
      </c>
      <c r="X1081">
        <v>89</v>
      </c>
      <c r="Y1081">
        <v>3</v>
      </c>
      <c r="Z1081">
        <v>3</v>
      </c>
      <c r="AA1081">
        <v>5</v>
      </c>
      <c r="AB1081">
        <v>4</v>
      </c>
      <c r="AK1081">
        <v>7</v>
      </c>
      <c r="AO1081">
        <v>0</v>
      </c>
      <c r="AP1081">
        <v>0</v>
      </c>
      <c r="AR1081">
        <v>0</v>
      </c>
      <c r="AU1081">
        <v>0</v>
      </c>
      <c r="AW1081">
        <v>1</v>
      </c>
      <c r="AX1081">
        <v>5</v>
      </c>
      <c r="AY1081">
        <v>228</v>
      </c>
      <c r="AZ1081">
        <v>228</v>
      </c>
      <c r="BA1081">
        <v>416</v>
      </c>
      <c r="BB1081">
        <v>44</v>
      </c>
      <c r="BD1081">
        <v>1</v>
      </c>
      <c r="BF1081" t="s">
        <v>1205</v>
      </c>
      <c r="BG1081" s="1">
        <v>44354.030555555553</v>
      </c>
      <c r="BH1081" s="1">
        <v>44354.039293981485</v>
      </c>
      <c r="BI1081" s="1">
        <v>44354.040451388886</v>
      </c>
      <c r="BJ1081" t="s">
        <v>85</v>
      </c>
      <c r="BK1081" t="s">
        <v>86</v>
      </c>
      <c r="BL1081" t="s">
        <v>87</v>
      </c>
    </row>
    <row r="1082" spans="1:64" x14ac:dyDescent="0.3">
      <c r="A1082" t="str">
        <f>"200572C0100"</f>
        <v>200572C0100</v>
      </c>
      <c r="B1082" t="str">
        <f>"200572C01003"</f>
        <v>200572C01003</v>
      </c>
      <c r="C1082" t="str">
        <f t="shared" si="64"/>
        <v>20</v>
      </c>
      <c r="D1082" t="s">
        <v>81</v>
      </c>
      <c r="E1082" t="str">
        <f t="shared" si="63"/>
        <v>066</v>
      </c>
      <c r="F1082" t="s">
        <v>951</v>
      </c>
      <c r="G1082" t="str">
        <f>"0572"</f>
        <v>0572</v>
      </c>
      <c r="H1082" t="str">
        <f>"0001"</f>
        <v>0001</v>
      </c>
      <c r="I1082" t="s">
        <v>89</v>
      </c>
      <c r="J1082">
        <v>0</v>
      </c>
      <c r="K1082">
        <v>1</v>
      </c>
      <c r="L1082">
        <v>3</v>
      </c>
      <c r="M1082">
        <v>203</v>
      </c>
      <c r="N1082">
        <v>255</v>
      </c>
      <c r="O1082">
        <v>3</v>
      </c>
      <c r="P1082">
        <v>255</v>
      </c>
      <c r="Q1082">
        <v>44</v>
      </c>
      <c r="R1082">
        <v>76</v>
      </c>
      <c r="S1082">
        <v>2</v>
      </c>
      <c r="T1082">
        <v>1</v>
      </c>
      <c r="U1082">
        <v>2</v>
      </c>
      <c r="V1082">
        <v>8</v>
      </c>
      <c r="W1082">
        <v>1</v>
      </c>
      <c r="X1082">
        <v>89</v>
      </c>
      <c r="Y1082">
        <v>7</v>
      </c>
      <c r="Z1082">
        <v>2</v>
      </c>
      <c r="AA1082">
        <v>1</v>
      </c>
      <c r="AB1082">
        <v>16</v>
      </c>
      <c r="AK1082">
        <v>2</v>
      </c>
      <c r="AO1082">
        <v>1</v>
      </c>
      <c r="AP1082">
        <v>0</v>
      </c>
      <c r="AR1082">
        <v>0</v>
      </c>
      <c r="AU1082">
        <v>0</v>
      </c>
      <c r="AW1082">
        <v>0</v>
      </c>
      <c r="AX1082">
        <v>3</v>
      </c>
      <c r="AY1082">
        <v>255</v>
      </c>
      <c r="AZ1082">
        <v>255</v>
      </c>
      <c r="BA1082">
        <v>415</v>
      </c>
      <c r="BB1082">
        <v>44</v>
      </c>
      <c r="BD1082">
        <v>1</v>
      </c>
      <c r="BF1082" t="s">
        <v>1206</v>
      </c>
      <c r="BG1082" s="1">
        <v>44353.989583333336</v>
      </c>
      <c r="BH1082" s="1">
        <v>44353.994976851849</v>
      </c>
      <c r="BI1082" s="1">
        <v>44353.996180555558</v>
      </c>
      <c r="BJ1082" t="s">
        <v>85</v>
      </c>
      <c r="BK1082" t="s">
        <v>86</v>
      </c>
      <c r="BL1082" t="s">
        <v>87</v>
      </c>
    </row>
    <row r="1083" spans="1:64" x14ac:dyDescent="0.3">
      <c r="A1083" t="str">
        <f>"200573B0000"</f>
        <v>200573B0000</v>
      </c>
      <c r="B1083" t="str">
        <f>"200573B00003"</f>
        <v>200573B00003</v>
      </c>
      <c r="C1083" t="str">
        <f t="shared" si="64"/>
        <v>20</v>
      </c>
      <c r="D1083" t="s">
        <v>81</v>
      </c>
      <c r="E1083" t="str">
        <f t="shared" si="63"/>
        <v>066</v>
      </c>
      <c r="F1083" t="s">
        <v>951</v>
      </c>
      <c r="G1083" t="str">
        <f>"0573"</f>
        <v>0573</v>
      </c>
      <c r="H1083" t="str">
        <f>"0000"</f>
        <v>0000</v>
      </c>
      <c r="I1083" t="s">
        <v>83</v>
      </c>
      <c r="J1083">
        <v>0</v>
      </c>
      <c r="K1083">
        <v>1</v>
      </c>
      <c r="L1083">
        <v>3</v>
      </c>
      <c r="M1083">
        <v>219</v>
      </c>
      <c r="N1083">
        <v>235</v>
      </c>
      <c r="O1083">
        <v>9</v>
      </c>
      <c r="P1083">
        <v>235</v>
      </c>
      <c r="Q1083">
        <v>40</v>
      </c>
      <c r="R1083">
        <v>76</v>
      </c>
      <c r="S1083">
        <v>0</v>
      </c>
      <c r="T1083">
        <v>1</v>
      </c>
      <c r="U1083">
        <v>3</v>
      </c>
      <c r="V1083">
        <v>2</v>
      </c>
      <c r="W1083">
        <v>2</v>
      </c>
      <c r="X1083">
        <v>93</v>
      </c>
      <c r="Y1083">
        <v>0</v>
      </c>
      <c r="Z1083">
        <v>1</v>
      </c>
      <c r="AA1083">
        <v>5</v>
      </c>
      <c r="AB1083">
        <v>4</v>
      </c>
      <c r="AK1083">
        <v>4</v>
      </c>
      <c r="AO1083">
        <v>1</v>
      </c>
      <c r="AP1083">
        <v>0</v>
      </c>
      <c r="AR1083">
        <v>0</v>
      </c>
      <c r="AU1083">
        <v>0</v>
      </c>
      <c r="AW1083">
        <v>0</v>
      </c>
      <c r="AX1083">
        <v>3</v>
      </c>
      <c r="AY1083">
        <v>235</v>
      </c>
      <c r="AZ1083">
        <v>235</v>
      </c>
      <c r="BA1083">
        <v>404</v>
      </c>
      <c r="BB1083">
        <v>44</v>
      </c>
      <c r="BD1083">
        <v>1</v>
      </c>
      <c r="BF1083" t="s">
        <v>1207</v>
      </c>
      <c r="BG1083" s="1">
        <v>44354.038888888892</v>
      </c>
      <c r="BH1083" s="1">
        <v>44354.048171296294</v>
      </c>
      <c r="BI1083" s="1">
        <v>44354.048680555556</v>
      </c>
      <c r="BJ1083" t="s">
        <v>85</v>
      </c>
      <c r="BK1083" t="s">
        <v>86</v>
      </c>
      <c r="BL1083" t="s">
        <v>87</v>
      </c>
    </row>
    <row r="1084" spans="1:64" x14ac:dyDescent="0.3">
      <c r="A1084" t="str">
        <f>"200573C0100"</f>
        <v>200573C0100</v>
      </c>
      <c r="B1084" t="str">
        <f>"200573C01003"</f>
        <v>200573C01003</v>
      </c>
      <c r="C1084" t="str">
        <f t="shared" si="64"/>
        <v>20</v>
      </c>
      <c r="D1084" t="s">
        <v>81</v>
      </c>
      <c r="E1084" t="str">
        <f t="shared" ref="E1084:E1147" si="65">"066"</f>
        <v>066</v>
      </c>
      <c r="F1084" t="s">
        <v>951</v>
      </c>
      <c r="G1084" t="str">
        <f>"0573"</f>
        <v>0573</v>
      </c>
      <c r="H1084" t="str">
        <f>"0001"</f>
        <v>0001</v>
      </c>
      <c r="I1084" t="s">
        <v>89</v>
      </c>
      <c r="J1084">
        <v>0</v>
      </c>
      <c r="K1084">
        <v>1</v>
      </c>
      <c r="L1084">
        <v>3</v>
      </c>
      <c r="BA1084">
        <v>404</v>
      </c>
      <c r="BB1084">
        <v>44</v>
      </c>
      <c r="BC1084" t="s">
        <v>381</v>
      </c>
      <c r="BD1084">
        <v>0</v>
      </c>
      <c r="BF1084" t="s">
        <v>1208</v>
      </c>
      <c r="BG1084" s="1">
        <v>44354.427083333336</v>
      </c>
      <c r="BH1084" s="1">
        <v>44354.442858796298</v>
      </c>
      <c r="BI1084" s="1">
        <v>44354.442858796298</v>
      </c>
      <c r="BJ1084" t="s">
        <v>85</v>
      </c>
      <c r="BK1084" t="s">
        <v>86</v>
      </c>
      <c r="BL1084" t="s">
        <v>87</v>
      </c>
    </row>
    <row r="1085" spans="1:64" x14ac:dyDescent="0.3">
      <c r="A1085" t="str">
        <f>"200574B0000"</f>
        <v>200574B0000</v>
      </c>
      <c r="B1085" t="str">
        <f>"200574B00003"</f>
        <v>200574B00003</v>
      </c>
      <c r="C1085" t="str">
        <f t="shared" si="64"/>
        <v>20</v>
      </c>
      <c r="D1085" t="s">
        <v>81</v>
      </c>
      <c r="E1085" t="str">
        <f t="shared" si="65"/>
        <v>066</v>
      </c>
      <c r="F1085" t="s">
        <v>951</v>
      </c>
      <c r="G1085" t="str">
        <f>"0574"</f>
        <v>0574</v>
      </c>
      <c r="H1085" t="str">
        <f>"0000"</f>
        <v>0000</v>
      </c>
      <c r="I1085" t="s">
        <v>83</v>
      </c>
      <c r="J1085">
        <v>0</v>
      </c>
      <c r="K1085">
        <v>1</v>
      </c>
      <c r="L1085">
        <v>3</v>
      </c>
      <c r="M1085">
        <v>374</v>
      </c>
      <c r="N1085">
        <v>321</v>
      </c>
      <c r="O1085">
        <v>2</v>
      </c>
      <c r="P1085">
        <v>321</v>
      </c>
      <c r="Q1085">
        <v>34</v>
      </c>
      <c r="R1085">
        <v>81</v>
      </c>
      <c r="S1085">
        <v>3</v>
      </c>
      <c r="T1085">
        <v>3</v>
      </c>
      <c r="U1085">
        <v>7</v>
      </c>
      <c r="V1085">
        <v>7</v>
      </c>
      <c r="W1085">
        <v>3</v>
      </c>
      <c r="X1085">
        <v>160</v>
      </c>
      <c r="Y1085">
        <v>4</v>
      </c>
      <c r="Z1085">
        <v>3</v>
      </c>
      <c r="AA1085">
        <v>0</v>
      </c>
      <c r="AB1085">
        <v>6</v>
      </c>
      <c r="AK1085">
        <v>0</v>
      </c>
      <c r="AO1085">
        <v>1</v>
      </c>
      <c r="AP1085">
        <v>0</v>
      </c>
      <c r="AR1085">
        <v>0</v>
      </c>
      <c r="AU1085">
        <v>0</v>
      </c>
      <c r="AW1085">
        <v>2</v>
      </c>
      <c r="AX1085">
        <v>7</v>
      </c>
      <c r="AY1085">
        <v>321</v>
      </c>
      <c r="AZ1085">
        <v>321</v>
      </c>
      <c r="BA1085">
        <v>651</v>
      </c>
      <c r="BB1085">
        <v>44</v>
      </c>
      <c r="BD1085">
        <v>1</v>
      </c>
      <c r="BF1085" t="s">
        <v>1209</v>
      </c>
      <c r="BG1085" s="1">
        <v>44354.055555555555</v>
      </c>
      <c r="BH1085" s="1">
        <v>44354.0628125</v>
      </c>
      <c r="BI1085" s="1">
        <v>44354.063078703701</v>
      </c>
      <c r="BJ1085" t="s">
        <v>85</v>
      </c>
      <c r="BK1085" t="s">
        <v>86</v>
      </c>
      <c r="BL1085" t="s">
        <v>87</v>
      </c>
    </row>
    <row r="1086" spans="1:64" x14ac:dyDescent="0.3">
      <c r="A1086" t="str">
        <f>"200574C0100"</f>
        <v>200574C0100</v>
      </c>
      <c r="B1086" t="str">
        <f>"200574C01003"</f>
        <v>200574C01003</v>
      </c>
      <c r="C1086" t="str">
        <f t="shared" si="64"/>
        <v>20</v>
      </c>
      <c r="D1086" t="s">
        <v>81</v>
      </c>
      <c r="E1086" t="str">
        <f t="shared" si="65"/>
        <v>066</v>
      </c>
      <c r="F1086" t="s">
        <v>951</v>
      </c>
      <c r="G1086" t="str">
        <f>"0574"</f>
        <v>0574</v>
      </c>
      <c r="H1086" t="str">
        <f>"0001"</f>
        <v>0001</v>
      </c>
      <c r="I1086" t="s">
        <v>89</v>
      </c>
      <c r="J1086">
        <v>0</v>
      </c>
      <c r="K1086">
        <v>1</v>
      </c>
      <c r="L1086">
        <v>3</v>
      </c>
      <c r="M1086">
        <v>380</v>
      </c>
      <c r="N1086">
        <v>315</v>
      </c>
      <c r="O1086">
        <v>4</v>
      </c>
      <c r="P1086">
        <v>315</v>
      </c>
      <c r="Q1086">
        <v>28</v>
      </c>
      <c r="R1086">
        <v>67</v>
      </c>
      <c r="S1086">
        <v>1</v>
      </c>
      <c r="T1086">
        <v>3</v>
      </c>
      <c r="U1086">
        <v>4</v>
      </c>
      <c r="V1086">
        <v>10</v>
      </c>
      <c r="W1086">
        <v>3</v>
      </c>
      <c r="X1086">
        <v>157</v>
      </c>
      <c r="Y1086">
        <v>3</v>
      </c>
      <c r="Z1086">
        <v>5</v>
      </c>
      <c r="AA1086">
        <v>3</v>
      </c>
      <c r="AB1086">
        <v>9</v>
      </c>
      <c r="AK1086">
        <v>4</v>
      </c>
      <c r="AO1086">
        <v>1</v>
      </c>
      <c r="AP1086">
        <v>0</v>
      </c>
      <c r="AR1086">
        <v>0</v>
      </c>
      <c r="AU1086">
        <v>0</v>
      </c>
      <c r="AW1086">
        <v>0</v>
      </c>
      <c r="AX1086">
        <v>17</v>
      </c>
      <c r="AY1086">
        <v>315</v>
      </c>
      <c r="AZ1086">
        <v>315</v>
      </c>
      <c r="BA1086">
        <v>651</v>
      </c>
      <c r="BB1086">
        <v>44</v>
      </c>
      <c r="BD1086">
        <v>1</v>
      </c>
      <c r="BF1086" t="s">
        <v>1210</v>
      </c>
      <c r="BG1086" s="1">
        <v>44354.038194444445</v>
      </c>
      <c r="BH1086" s="1">
        <v>44354.050162037034</v>
      </c>
      <c r="BI1086" s="1">
        <v>44354.050520833334</v>
      </c>
      <c r="BJ1086" t="s">
        <v>85</v>
      </c>
      <c r="BK1086" t="s">
        <v>86</v>
      </c>
      <c r="BL1086" t="s">
        <v>87</v>
      </c>
    </row>
    <row r="1087" spans="1:64" x14ac:dyDescent="0.3">
      <c r="A1087" t="str">
        <f>"200575B0000"</f>
        <v>200575B0000</v>
      </c>
      <c r="B1087" t="str">
        <f>"200575B00003"</f>
        <v>200575B00003</v>
      </c>
      <c r="C1087" t="str">
        <f t="shared" si="64"/>
        <v>20</v>
      </c>
      <c r="D1087" t="s">
        <v>81</v>
      </c>
      <c r="E1087" t="str">
        <f t="shared" si="65"/>
        <v>066</v>
      </c>
      <c r="F1087" t="s">
        <v>951</v>
      </c>
      <c r="G1087" t="str">
        <f>"0575"</f>
        <v>0575</v>
      </c>
      <c r="H1087" t="str">
        <f>"0000"</f>
        <v>0000</v>
      </c>
      <c r="I1087" t="s">
        <v>83</v>
      </c>
      <c r="J1087">
        <v>0</v>
      </c>
      <c r="K1087">
        <v>1</v>
      </c>
      <c r="L1087">
        <v>3</v>
      </c>
      <c r="M1087">
        <v>432</v>
      </c>
      <c r="N1087">
        <v>310</v>
      </c>
      <c r="O1087">
        <v>9</v>
      </c>
      <c r="P1087">
        <v>310</v>
      </c>
      <c r="Q1087">
        <v>19</v>
      </c>
      <c r="R1087">
        <v>74</v>
      </c>
      <c r="S1087">
        <v>2</v>
      </c>
      <c r="T1087">
        <v>5</v>
      </c>
      <c r="U1087">
        <v>7</v>
      </c>
      <c r="V1087">
        <v>3</v>
      </c>
      <c r="W1087">
        <v>1</v>
      </c>
      <c r="X1087">
        <v>177</v>
      </c>
      <c r="Y1087">
        <v>4</v>
      </c>
      <c r="Z1087">
        <v>3</v>
      </c>
      <c r="AA1087">
        <v>3</v>
      </c>
      <c r="AB1087">
        <v>2</v>
      </c>
      <c r="AK1087">
        <v>3</v>
      </c>
      <c r="AO1087">
        <v>0</v>
      </c>
      <c r="AP1087">
        <v>0</v>
      </c>
      <c r="AR1087">
        <v>0</v>
      </c>
      <c r="AU1087">
        <v>0</v>
      </c>
      <c r="AW1087">
        <v>0</v>
      </c>
      <c r="AX1087">
        <v>7</v>
      </c>
      <c r="AY1087">
        <v>310</v>
      </c>
      <c r="AZ1087">
        <v>310</v>
      </c>
      <c r="BA1087">
        <v>698</v>
      </c>
      <c r="BB1087">
        <v>44</v>
      </c>
      <c r="BD1087">
        <v>1</v>
      </c>
      <c r="BF1087" t="s">
        <v>1211</v>
      </c>
      <c r="BG1087" s="1">
        <v>44354.081944444442</v>
      </c>
      <c r="BH1087" s="1">
        <v>44354.092870370368</v>
      </c>
      <c r="BI1087" s="1">
        <v>44354.093564814815</v>
      </c>
      <c r="BJ1087" t="s">
        <v>85</v>
      </c>
      <c r="BK1087" t="s">
        <v>86</v>
      </c>
      <c r="BL1087" t="s">
        <v>87</v>
      </c>
    </row>
    <row r="1088" spans="1:64" x14ac:dyDescent="0.3">
      <c r="A1088" t="str">
        <f>"200575C0100"</f>
        <v>200575C0100</v>
      </c>
      <c r="B1088" t="str">
        <f>"200575C01003"</f>
        <v>200575C01003</v>
      </c>
      <c r="C1088" t="str">
        <f t="shared" si="64"/>
        <v>20</v>
      </c>
      <c r="D1088" t="s">
        <v>81</v>
      </c>
      <c r="E1088" t="str">
        <f t="shared" si="65"/>
        <v>066</v>
      </c>
      <c r="F1088" t="s">
        <v>951</v>
      </c>
      <c r="G1088" t="str">
        <f>"0575"</f>
        <v>0575</v>
      </c>
      <c r="H1088" t="str">
        <f>"0001"</f>
        <v>0001</v>
      </c>
      <c r="I1088" t="s">
        <v>89</v>
      </c>
      <c r="J1088">
        <v>0</v>
      </c>
      <c r="K1088">
        <v>1</v>
      </c>
      <c r="L1088">
        <v>3</v>
      </c>
      <c r="M1088" t="s">
        <v>92</v>
      </c>
      <c r="N1088" t="s">
        <v>92</v>
      </c>
      <c r="O1088" t="s">
        <v>92</v>
      </c>
      <c r="P1088" t="s">
        <v>92</v>
      </c>
      <c r="Q1088">
        <v>11</v>
      </c>
      <c r="R1088">
        <v>63</v>
      </c>
      <c r="S1088">
        <v>5</v>
      </c>
      <c r="T1088">
        <v>4</v>
      </c>
      <c r="U1088">
        <v>8</v>
      </c>
      <c r="V1088">
        <v>7</v>
      </c>
      <c r="W1088">
        <v>3</v>
      </c>
      <c r="X1088">
        <v>161</v>
      </c>
      <c r="Y1088">
        <v>5</v>
      </c>
      <c r="Z1088">
        <v>7</v>
      </c>
      <c r="AA1088">
        <v>4</v>
      </c>
      <c r="AB1088">
        <v>2</v>
      </c>
      <c r="AK1088">
        <v>1</v>
      </c>
      <c r="AO1088">
        <v>1</v>
      </c>
      <c r="AP1088">
        <v>0</v>
      </c>
      <c r="AR1088">
        <v>0</v>
      </c>
      <c r="AU1088">
        <v>1</v>
      </c>
      <c r="AW1088">
        <v>1</v>
      </c>
      <c r="AX1088">
        <v>6</v>
      </c>
      <c r="AY1088">
        <v>290</v>
      </c>
      <c r="AZ1088">
        <v>290</v>
      </c>
      <c r="BA1088">
        <v>697</v>
      </c>
      <c r="BB1088">
        <v>44</v>
      </c>
      <c r="BD1088">
        <v>1</v>
      </c>
      <c r="BF1088" t="s">
        <v>1212</v>
      </c>
      <c r="BG1088" s="1">
        <v>44354.306250000001</v>
      </c>
      <c r="BH1088" s="1">
        <v>44354.312754629631</v>
      </c>
      <c r="BI1088" s="1">
        <v>44354.313125000001</v>
      </c>
      <c r="BJ1088" t="s">
        <v>85</v>
      </c>
      <c r="BK1088" t="s">
        <v>86</v>
      </c>
      <c r="BL1088" t="s">
        <v>87</v>
      </c>
    </row>
    <row r="1089" spans="1:64" x14ac:dyDescent="0.3">
      <c r="A1089" t="str">
        <f>"200576B0000"</f>
        <v>200576B0000</v>
      </c>
      <c r="B1089" t="str">
        <f>"200576B00003"</f>
        <v>200576B00003</v>
      </c>
      <c r="C1089" t="str">
        <f t="shared" si="64"/>
        <v>20</v>
      </c>
      <c r="D1089" t="s">
        <v>81</v>
      </c>
      <c r="E1089" t="str">
        <f t="shared" si="65"/>
        <v>066</v>
      </c>
      <c r="F1089" t="s">
        <v>951</v>
      </c>
      <c r="G1089" t="str">
        <f>"0576"</f>
        <v>0576</v>
      </c>
      <c r="H1089" t="str">
        <f>"0000"</f>
        <v>0000</v>
      </c>
      <c r="I1089" t="s">
        <v>83</v>
      </c>
      <c r="J1089">
        <v>0</v>
      </c>
      <c r="K1089">
        <v>1</v>
      </c>
      <c r="L1089">
        <v>3</v>
      </c>
      <c r="M1089">
        <v>355</v>
      </c>
      <c r="N1089">
        <v>282</v>
      </c>
      <c r="O1089">
        <v>5</v>
      </c>
      <c r="P1089">
        <v>282</v>
      </c>
      <c r="Q1089">
        <v>19</v>
      </c>
      <c r="R1089">
        <v>72</v>
      </c>
      <c r="S1089">
        <v>0</v>
      </c>
      <c r="T1089">
        <v>2</v>
      </c>
      <c r="U1089">
        <v>7</v>
      </c>
      <c r="V1089">
        <v>2</v>
      </c>
      <c r="W1089">
        <v>0</v>
      </c>
      <c r="X1089">
        <v>158</v>
      </c>
      <c r="Y1089">
        <v>1</v>
      </c>
      <c r="Z1089">
        <v>1</v>
      </c>
      <c r="AA1089">
        <v>3</v>
      </c>
      <c r="AB1089">
        <v>6</v>
      </c>
      <c r="AK1089">
        <v>4</v>
      </c>
      <c r="AO1089" t="s">
        <v>131</v>
      </c>
      <c r="AP1089">
        <v>0</v>
      </c>
      <c r="AR1089">
        <v>0</v>
      </c>
      <c r="AU1089">
        <v>0</v>
      </c>
      <c r="AW1089">
        <v>0</v>
      </c>
      <c r="AX1089">
        <v>6</v>
      </c>
      <c r="AY1089">
        <v>282</v>
      </c>
      <c r="AZ1089">
        <v>281</v>
      </c>
      <c r="BA1089">
        <v>593</v>
      </c>
      <c r="BB1089">
        <v>44</v>
      </c>
      <c r="BC1089" t="s">
        <v>96</v>
      </c>
      <c r="BD1089">
        <v>1</v>
      </c>
      <c r="BF1089" t="s">
        <v>1213</v>
      </c>
      <c r="BG1089" s="1">
        <v>44354.306250000001</v>
      </c>
      <c r="BH1089" s="1">
        <v>44354.311307870368</v>
      </c>
      <c r="BI1089" s="1">
        <v>44354.31212962963</v>
      </c>
      <c r="BJ1089" t="s">
        <v>85</v>
      </c>
      <c r="BK1089" t="s">
        <v>86</v>
      </c>
      <c r="BL1089" t="s">
        <v>87</v>
      </c>
    </row>
    <row r="1090" spans="1:64" x14ac:dyDescent="0.3">
      <c r="A1090" t="str">
        <f>"200576C0100"</f>
        <v>200576C0100</v>
      </c>
      <c r="B1090" t="str">
        <f>"200576C01003"</f>
        <v>200576C01003</v>
      </c>
      <c r="C1090" t="str">
        <f t="shared" si="64"/>
        <v>20</v>
      </c>
      <c r="D1090" t="s">
        <v>81</v>
      </c>
      <c r="E1090" t="str">
        <f t="shared" si="65"/>
        <v>066</v>
      </c>
      <c r="F1090" t="s">
        <v>951</v>
      </c>
      <c r="G1090" t="str">
        <f>"0576"</f>
        <v>0576</v>
      </c>
      <c r="H1090" t="str">
        <f>"0001"</f>
        <v>0001</v>
      </c>
      <c r="I1090" t="s">
        <v>89</v>
      </c>
      <c r="J1090">
        <v>0</v>
      </c>
      <c r="K1090">
        <v>1</v>
      </c>
      <c r="L1090">
        <v>3</v>
      </c>
      <c r="M1090">
        <v>353</v>
      </c>
      <c r="N1090">
        <v>284</v>
      </c>
      <c r="O1090">
        <v>10</v>
      </c>
      <c r="P1090" t="s">
        <v>92</v>
      </c>
      <c r="Q1090">
        <v>10</v>
      </c>
      <c r="R1090">
        <v>70</v>
      </c>
      <c r="S1090">
        <v>6</v>
      </c>
      <c r="T1090">
        <v>3</v>
      </c>
      <c r="U1090">
        <v>7</v>
      </c>
      <c r="V1090">
        <v>3</v>
      </c>
      <c r="W1090">
        <v>1</v>
      </c>
      <c r="X1090">
        <v>168</v>
      </c>
      <c r="Y1090">
        <v>1</v>
      </c>
      <c r="Z1090">
        <v>2</v>
      </c>
      <c r="AA1090">
        <v>3</v>
      </c>
      <c r="AB1090">
        <v>2</v>
      </c>
      <c r="AK1090">
        <v>0</v>
      </c>
      <c r="AO1090">
        <v>1</v>
      </c>
      <c r="AP1090">
        <v>0</v>
      </c>
      <c r="AR1090">
        <v>0</v>
      </c>
      <c r="AU1090">
        <v>0</v>
      </c>
      <c r="AW1090">
        <v>0</v>
      </c>
      <c r="AX1090">
        <v>7</v>
      </c>
      <c r="AY1090">
        <v>284</v>
      </c>
      <c r="AZ1090">
        <v>284</v>
      </c>
      <c r="BA1090">
        <v>593</v>
      </c>
      <c r="BB1090">
        <v>44</v>
      </c>
      <c r="BD1090">
        <v>1</v>
      </c>
      <c r="BF1090" t="s">
        <v>1214</v>
      </c>
      <c r="BG1090" s="1">
        <v>44354.080555555556</v>
      </c>
      <c r="BH1090" s="1">
        <v>44354.093449074076</v>
      </c>
      <c r="BI1090" s="1">
        <v>44354.094027777777</v>
      </c>
      <c r="BJ1090" t="s">
        <v>85</v>
      </c>
      <c r="BK1090" t="s">
        <v>86</v>
      </c>
      <c r="BL1090" t="s">
        <v>87</v>
      </c>
    </row>
    <row r="1091" spans="1:64" x14ac:dyDescent="0.3">
      <c r="A1091" t="str">
        <f>"200576C0200"</f>
        <v>200576C0200</v>
      </c>
      <c r="B1091" t="str">
        <f>"200576C02003"</f>
        <v>200576C02003</v>
      </c>
      <c r="C1091" t="str">
        <f t="shared" si="64"/>
        <v>20</v>
      </c>
      <c r="D1091" t="s">
        <v>81</v>
      </c>
      <c r="E1091" t="str">
        <f t="shared" si="65"/>
        <v>066</v>
      </c>
      <c r="F1091" t="s">
        <v>951</v>
      </c>
      <c r="G1091" t="str">
        <f>"0576"</f>
        <v>0576</v>
      </c>
      <c r="H1091" t="str">
        <f>"0002"</f>
        <v>0002</v>
      </c>
      <c r="I1091" t="s">
        <v>89</v>
      </c>
      <c r="J1091">
        <v>0</v>
      </c>
      <c r="K1091">
        <v>1</v>
      </c>
      <c r="L1091">
        <v>3</v>
      </c>
      <c r="M1091">
        <v>337</v>
      </c>
      <c r="N1091">
        <v>299</v>
      </c>
      <c r="O1091">
        <v>7</v>
      </c>
      <c r="P1091">
        <v>299</v>
      </c>
      <c r="Q1091">
        <v>16</v>
      </c>
      <c r="R1091">
        <v>66</v>
      </c>
      <c r="S1091">
        <v>1</v>
      </c>
      <c r="T1091">
        <v>3</v>
      </c>
      <c r="U1091">
        <v>7</v>
      </c>
      <c r="V1091">
        <v>16</v>
      </c>
      <c r="W1091">
        <v>2</v>
      </c>
      <c r="X1091">
        <v>164</v>
      </c>
      <c r="Y1091">
        <v>4</v>
      </c>
      <c r="Z1091">
        <v>5</v>
      </c>
      <c r="AA1091">
        <v>0</v>
      </c>
      <c r="AB1091">
        <v>6</v>
      </c>
      <c r="AK1091">
        <v>2</v>
      </c>
      <c r="AO1091">
        <v>0</v>
      </c>
      <c r="AP1091">
        <v>0</v>
      </c>
      <c r="AR1091">
        <v>0</v>
      </c>
      <c r="AU1091">
        <v>0</v>
      </c>
      <c r="AW1091">
        <v>0</v>
      </c>
      <c r="AX1091">
        <v>7</v>
      </c>
      <c r="AY1091">
        <v>299</v>
      </c>
      <c r="AZ1091">
        <v>299</v>
      </c>
      <c r="BA1091">
        <v>592</v>
      </c>
      <c r="BB1091">
        <v>44</v>
      </c>
      <c r="BD1091">
        <v>1</v>
      </c>
      <c r="BF1091" t="s">
        <v>1215</v>
      </c>
      <c r="BG1091" s="1">
        <v>44354.079861111109</v>
      </c>
      <c r="BH1091" s="1">
        <v>44354.089189814818</v>
      </c>
      <c r="BI1091" s="1">
        <v>44354.089907407404</v>
      </c>
      <c r="BJ1091" t="s">
        <v>85</v>
      </c>
      <c r="BK1091" t="s">
        <v>86</v>
      </c>
      <c r="BL1091" t="s">
        <v>87</v>
      </c>
    </row>
    <row r="1092" spans="1:64" x14ac:dyDescent="0.3">
      <c r="A1092" t="str">
        <f>"200577B0000"</f>
        <v>200577B0000</v>
      </c>
      <c r="B1092" t="str">
        <f>"200577B00003"</f>
        <v>200577B00003</v>
      </c>
      <c r="C1092" t="str">
        <f t="shared" si="64"/>
        <v>20</v>
      </c>
      <c r="D1092" t="s">
        <v>81</v>
      </c>
      <c r="E1092" t="str">
        <f t="shared" si="65"/>
        <v>066</v>
      </c>
      <c r="F1092" t="s">
        <v>951</v>
      </c>
      <c r="G1092" t="str">
        <f>"0577"</f>
        <v>0577</v>
      </c>
      <c r="H1092" t="str">
        <f>"0000"</f>
        <v>0000</v>
      </c>
      <c r="I1092" t="s">
        <v>83</v>
      </c>
      <c r="J1092">
        <v>0</v>
      </c>
      <c r="K1092">
        <v>1</v>
      </c>
      <c r="L1092">
        <v>3</v>
      </c>
      <c r="M1092">
        <v>429</v>
      </c>
      <c r="N1092">
        <v>362</v>
      </c>
      <c r="O1092">
        <v>5</v>
      </c>
      <c r="P1092">
        <v>362</v>
      </c>
      <c r="Q1092">
        <v>11</v>
      </c>
      <c r="R1092">
        <v>93</v>
      </c>
      <c r="S1092">
        <v>1</v>
      </c>
      <c r="T1092">
        <v>1</v>
      </c>
      <c r="U1092">
        <v>12</v>
      </c>
      <c r="V1092">
        <v>9</v>
      </c>
      <c r="W1092">
        <v>1</v>
      </c>
      <c r="X1092">
        <v>192</v>
      </c>
      <c r="Y1092">
        <v>6</v>
      </c>
      <c r="Z1092">
        <v>6</v>
      </c>
      <c r="AA1092">
        <v>6</v>
      </c>
      <c r="AB1092">
        <v>6</v>
      </c>
      <c r="AK1092">
        <v>4</v>
      </c>
      <c r="AO1092">
        <v>0</v>
      </c>
      <c r="AP1092">
        <v>0</v>
      </c>
      <c r="AR1092">
        <v>0</v>
      </c>
      <c r="AU1092">
        <v>0</v>
      </c>
      <c r="AW1092">
        <v>1</v>
      </c>
      <c r="AX1092">
        <v>13</v>
      </c>
      <c r="AY1092">
        <v>362</v>
      </c>
      <c r="AZ1092">
        <v>362</v>
      </c>
      <c r="BA1092">
        <v>747</v>
      </c>
      <c r="BB1092">
        <v>44</v>
      </c>
      <c r="BD1092">
        <v>1</v>
      </c>
      <c r="BF1092" t="s">
        <v>1216</v>
      </c>
      <c r="BG1092" s="1">
        <v>44354.081944444442</v>
      </c>
      <c r="BH1092" s="1">
        <v>44354.096446759257</v>
      </c>
      <c r="BI1092" s="1">
        <v>44354.096990740742</v>
      </c>
      <c r="BJ1092" t="s">
        <v>85</v>
      </c>
      <c r="BK1092" t="s">
        <v>86</v>
      </c>
      <c r="BL1092" t="s">
        <v>87</v>
      </c>
    </row>
    <row r="1093" spans="1:64" x14ac:dyDescent="0.3">
      <c r="A1093" t="str">
        <f>"200577C0100"</f>
        <v>200577C0100</v>
      </c>
      <c r="B1093" t="str">
        <f>"200577C01003"</f>
        <v>200577C01003</v>
      </c>
      <c r="C1093" t="str">
        <f t="shared" si="64"/>
        <v>20</v>
      </c>
      <c r="D1093" t="s">
        <v>81</v>
      </c>
      <c r="E1093" t="str">
        <f t="shared" si="65"/>
        <v>066</v>
      </c>
      <c r="F1093" t="s">
        <v>951</v>
      </c>
      <c r="G1093" t="str">
        <f>"0577"</f>
        <v>0577</v>
      </c>
      <c r="H1093" t="str">
        <f>"0001"</f>
        <v>0001</v>
      </c>
      <c r="I1093" t="s">
        <v>89</v>
      </c>
      <c r="J1093">
        <v>0</v>
      </c>
      <c r="K1093">
        <v>1</v>
      </c>
      <c r="L1093">
        <v>3</v>
      </c>
      <c r="M1093">
        <v>439</v>
      </c>
      <c r="N1093">
        <v>351</v>
      </c>
      <c r="O1093">
        <v>8</v>
      </c>
      <c r="P1093" t="s">
        <v>92</v>
      </c>
      <c r="Q1093">
        <v>8</v>
      </c>
      <c r="R1093">
        <v>80</v>
      </c>
      <c r="S1093">
        <v>2</v>
      </c>
      <c r="T1093">
        <v>0</v>
      </c>
      <c r="U1093">
        <v>11</v>
      </c>
      <c r="V1093">
        <v>11</v>
      </c>
      <c r="W1093">
        <v>3</v>
      </c>
      <c r="X1093">
        <v>206</v>
      </c>
      <c r="Y1093">
        <v>6</v>
      </c>
      <c r="Z1093">
        <v>4</v>
      </c>
      <c r="AA1093">
        <v>2</v>
      </c>
      <c r="AB1093">
        <v>13</v>
      </c>
      <c r="AK1093">
        <v>0</v>
      </c>
      <c r="AO1093">
        <v>0</v>
      </c>
      <c r="AP1093">
        <v>0</v>
      </c>
      <c r="AR1093">
        <v>0</v>
      </c>
      <c r="AU1093">
        <v>0</v>
      </c>
      <c r="AW1093">
        <v>0</v>
      </c>
      <c r="AX1093">
        <v>5</v>
      </c>
      <c r="AY1093">
        <v>351</v>
      </c>
      <c r="AZ1093">
        <v>351</v>
      </c>
      <c r="BA1093">
        <v>746</v>
      </c>
      <c r="BB1093">
        <v>44</v>
      </c>
      <c r="BD1093">
        <v>1</v>
      </c>
      <c r="BF1093" t="s">
        <v>1217</v>
      </c>
      <c r="BG1093" s="1">
        <v>44354.081944444442</v>
      </c>
      <c r="BH1093" s="1">
        <v>44354.091354166667</v>
      </c>
      <c r="BI1093" s="1">
        <v>44354.092141203706</v>
      </c>
      <c r="BJ1093" t="s">
        <v>85</v>
      </c>
      <c r="BK1093" t="s">
        <v>86</v>
      </c>
      <c r="BL1093" t="s">
        <v>87</v>
      </c>
    </row>
    <row r="1094" spans="1:64" x14ac:dyDescent="0.3">
      <c r="A1094" t="str">
        <f>"200578B0000"</f>
        <v>200578B0000</v>
      </c>
      <c r="B1094" t="str">
        <f>"200578B00003"</f>
        <v>200578B00003</v>
      </c>
      <c r="C1094" t="str">
        <f t="shared" si="64"/>
        <v>20</v>
      </c>
      <c r="D1094" t="s">
        <v>81</v>
      </c>
      <c r="E1094" t="str">
        <f t="shared" si="65"/>
        <v>066</v>
      </c>
      <c r="F1094" t="s">
        <v>951</v>
      </c>
      <c r="G1094" t="str">
        <f>"0578"</f>
        <v>0578</v>
      </c>
      <c r="H1094" t="str">
        <f>"0000"</f>
        <v>0000</v>
      </c>
      <c r="I1094" t="s">
        <v>83</v>
      </c>
      <c r="J1094">
        <v>0</v>
      </c>
      <c r="K1094">
        <v>1</v>
      </c>
      <c r="L1094">
        <v>3</v>
      </c>
      <c r="M1094">
        <v>459</v>
      </c>
      <c r="N1094">
        <v>303</v>
      </c>
      <c r="O1094">
        <v>7</v>
      </c>
      <c r="P1094">
        <v>309</v>
      </c>
      <c r="Q1094">
        <v>15</v>
      </c>
      <c r="R1094">
        <v>84</v>
      </c>
      <c r="S1094">
        <v>1</v>
      </c>
      <c r="T1094">
        <v>3</v>
      </c>
      <c r="U1094">
        <v>9</v>
      </c>
      <c r="V1094">
        <v>5</v>
      </c>
      <c r="W1094">
        <v>5</v>
      </c>
      <c r="X1094">
        <v>150</v>
      </c>
      <c r="Y1094">
        <v>3</v>
      </c>
      <c r="Z1094">
        <v>9</v>
      </c>
      <c r="AA1094">
        <v>3</v>
      </c>
      <c r="AB1094">
        <v>7</v>
      </c>
      <c r="AK1094">
        <v>1</v>
      </c>
      <c r="AO1094">
        <v>1</v>
      </c>
      <c r="AP1094">
        <v>0</v>
      </c>
      <c r="AR1094">
        <v>0</v>
      </c>
      <c r="AU1094">
        <v>0</v>
      </c>
      <c r="AW1094">
        <v>0</v>
      </c>
      <c r="AX1094">
        <v>8</v>
      </c>
      <c r="AY1094">
        <v>304</v>
      </c>
      <c r="AZ1094">
        <v>304</v>
      </c>
      <c r="BA1094">
        <v>718</v>
      </c>
      <c r="BB1094">
        <v>44</v>
      </c>
      <c r="BD1094">
        <v>1</v>
      </c>
      <c r="BF1094" t="s">
        <v>1218</v>
      </c>
      <c r="BG1094" s="1">
        <v>44354.086111111108</v>
      </c>
      <c r="BH1094" s="1">
        <v>44354.096979166665</v>
      </c>
      <c r="BI1094" s="1">
        <v>44354.097361111111</v>
      </c>
      <c r="BJ1094" t="s">
        <v>85</v>
      </c>
      <c r="BK1094" t="s">
        <v>86</v>
      </c>
      <c r="BL1094" t="s">
        <v>87</v>
      </c>
    </row>
    <row r="1095" spans="1:64" x14ac:dyDescent="0.3">
      <c r="A1095" t="str">
        <f>"200578C0100"</f>
        <v>200578C0100</v>
      </c>
      <c r="B1095" t="str">
        <f>"200578C01003"</f>
        <v>200578C01003</v>
      </c>
      <c r="C1095" t="str">
        <f t="shared" ref="C1095:C1158" si="66">"20"</f>
        <v>20</v>
      </c>
      <c r="D1095" t="s">
        <v>81</v>
      </c>
      <c r="E1095" t="str">
        <f t="shared" si="65"/>
        <v>066</v>
      </c>
      <c r="F1095" t="s">
        <v>951</v>
      </c>
      <c r="G1095" t="str">
        <f>"0578"</f>
        <v>0578</v>
      </c>
      <c r="H1095" t="str">
        <f>"0001"</f>
        <v>0001</v>
      </c>
      <c r="I1095" t="s">
        <v>89</v>
      </c>
      <c r="J1095">
        <v>0</v>
      </c>
      <c r="K1095">
        <v>1</v>
      </c>
      <c r="L1095">
        <v>3</v>
      </c>
      <c r="M1095">
        <v>485</v>
      </c>
      <c r="N1095">
        <v>277</v>
      </c>
      <c r="O1095">
        <v>8</v>
      </c>
      <c r="P1095">
        <v>276</v>
      </c>
      <c r="Q1095">
        <v>15</v>
      </c>
      <c r="R1095">
        <v>98</v>
      </c>
      <c r="S1095">
        <v>2</v>
      </c>
      <c r="T1095">
        <v>2</v>
      </c>
      <c r="U1095">
        <v>8</v>
      </c>
      <c r="V1095">
        <v>5</v>
      </c>
      <c r="W1095">
        <v>1</v>
      </c>
      <c r="X1095">
        <v>118</v>
      </c>
      <c r="Y1095">
        <v>2</v>
      </c>
      <c r="Z1095">
        <v>6</v>
      </c>
      <c r="AA1095">
        <v>3</v>
      </c>
      <c r="AB1095">
        <v>6</v>
      </c>
      <c r="AK1095">
        <v>1</v>
      </c>
      <c r="AO1095">
        <v>0</v>
      </c>
      <c r="AP1095">
        <v>0</v>
      </c>
      <c r="AR1095">
        <v>0</v>
      </c>
      <c r="AU1095">
        <v>0</v>
      </c>
      <c r="AW1095">
        <v>0</v>
      </c>
      <c r="AX1095">
        <v>7</v>
      </c>
      <c r="AY1095">
        <v>276</v>
      </c>
      <c r="AZ1095">
        <v>274</v>
      </c>
      <c r="BA1095">
        <v>718</v>
      </c>
      <c r="BB1095">
        <v>44</v>
      </c>
      <c r="BD1095">
        <v>1</v>
      </c>
      <c r="BF1095" t="s">
        <v>1219</v>
      </c>
      <c r="BG1095" s="1">
        <v>44354.086805555555</v>
      </c>
      <c r="BH1095" s="1">
        <v>44354.09815972222</v>
      </c>
      <c r="BI1095" s="1">
        <v>44354.099409722221</v>
      </c>
      <c r="BJ1095" t="s">
        <v>85</v>
      </c>
      <c r="BK1095" t="s">
        <v>86</v>
      </c>
      <c r="BL1095" t="s">
        <v>87</v>
      </c>
    </row>
    <row r="1096" spans="1:64" x14ac:dyDescent="0.3">
      <c r="A1096" t="str">
        <f>"200578C0200"</f>
        <v>200578C0200</v>
      </c>
      <c r="B1096" t="str">
        <f>"200578C02003"</f>
        <v>200578C02003</v>
      </c>
      <c r="C1096" t="str">
        <f t="shared" si="66"/>
        <v>20</v>
      </c>
      <c r="D1096" t="s">
        <v>81</v>
      </c>
      <c r="E1096" t="str">
        <f t="shared" si="65"/>
        <v>066</v>
      </c>
      <c r="F1096" t="s">
        <v>951</v>
      </c>
      <c r="G1096" t="str">
        <f>"0578"</f>
        <v>0578</v>
      </c>
      <c r="H1096" t="str">
        <f>"0002"</f>
        <v>0002</v>
      </c>
      <c r="I1096" t="s">
        <v>89</v>
      </c>
      <c r="J1096">
        <v>0</v>
      </c>
      <c r="K1096">
        <v>1</v>
      </c>
      <c r="L1096">
        <v>3</v>
      </c>
      <c r="M1096">
        <v>441</v>
      </c>
      <c r="N1096">
        <v>321</v>
      </c>
      <c r="O1096">
        <v>7</v>
      </c>
      <c r="P1096">
        <v>321</v>
      </c>
      <c r="Q1096">
        <v>18</v>
      </c>
      <c r="R1096">
        <v>76</v>
      </c>
      <c r="S1096">
        <v>3</v>
      </c>
      <c r="T1096">
        <v>5</v>
      </c>
      <c r="U1096">
        <v>16</v>
      </c>
      <c r="V1096">
        <v>11</v>
      </c>
      <c r="W1096">
        <v>2</v>
      </c>
      <c r="X1096">
        <v>148</v>
      </c>
      <c r="Y1096">
        <v>2</v>
      </c>
      <c r="Z1096">
        <v>8</v>
      </c>
      <c r="AA1096">
        <v>8</v>
      </c>
      <c r="AB1096">
        <v>9</v>
      </c>
      <c r="AK1096">
        <v>0</v>
      </c>
      <c r="AO1096">
        <v>0</v>
      </c>
      <c r="AP1096">
        <v>0</v>
      </c>
      <c r="AR1096">
        <v>0</v>
      </c>
      <c r="AU1096">
        <v>0</v>
      </c>
      <c r="AW1096">
        <v>0</v>
      </c>
      <c r="AX1096">
        <v>15</v>
      </c>
      <c r="AY1096">
        <v>321</v>
      </c>
      <c r="AZ1096">
        <v>321</v>
      </c>
      <c r="BA1096">
        <v>718</v>
      </c>
      <c r="BB1096">
        <v>44</v>
      </c>
      <c r="BD1096">
        <v>1</v>
      </c>
      <c r="BF1096" t="s">
        <v>1220</v>
      </c>
      <c r="BG1096" s="1">
        <v>44354.081250000003</v>
      </c>
      <c r="BH1096" s="1">
        <v>44354.093182870369</v>
      </c>
      <c r="BI1096" s="1">
        <v>44354.094131944446</v>
      </c>
      <c r="BJ1096" t="s">
        <v>85</v>
      </c>
      <c r="BK1096" t="s">
        <v>86</v>
      </c>
      <c r="BL1096" t="s">
        <v>87</v>
      </c>
    </row>
    <row r="1097" spans="1:64" x14ac:dyDescent="0.3">
      <c r="A1097" t="str">
        <f>"200579B0000"</f>
        <v>200579B0000</v>
      </c>
      <c r="B1097" t="str">
        <f>"200579B00003"</f>
        <v>200579B00003</v>
      </c>
      <c r="C1097" t="str">
        <f t="shared" si="66"/>
        <v>20</v>
      </c>
      <c r="D1097" t="s">
        <v>81</v>
      </c>
      <c r="E1097" t="str">
        <f t="shared" si="65"/>
        <v>066</v>
      </c>
      <c r="F1097" t="s">
        <v>951</v>
      </c>
      <c r="G1097" t="str">
        <f>"0579"</f>
        <v>0579</v>
      </c>
      <c r="H1097" t="str">
        <f>"0000"</f>
        <v>0000</v>
      </c>
      <c r="I1097" t="s">
        <v>83</v>
      </c>
      <c r="J1097">
        <v>0</v>
      </c>
      <c r="K1097">
        <v>1</v>
      </c>
      <c r="L1097">
        <v>3</v>
      </c>
      <c r="M1097">
        <v>306</v>
      </c>
      <c r="N1097">
        <v>289</v>
      </c>
      <c r="O1097">
        <v>4</v>
      </c>
      <c r="P1097">
        <v>289</v>
      </c>
      <c r="Q1097">
        <v>13</v>
      </c>
      <c r="R1097">
        <v>53</v>
      </c>
      <c r="S1097">
        <v>0</v>
      </c>
      <c r="T1097">
        <v>2</v>
      </c>
      <c r="U1097">
        <v>10</v>
      </c>
      <c r="V1097">
        <v>5</v>
      </c>
      <c r="W1097">
        <v>1</v>
      </c>
      <c r="X1097">
        <v>145</v>
      </c>
      <c r="Y1097">
        <v>5</v>
      </c>
      <c r="Z1097">
        <v>3</v>
      </c>
      <c r="AA1097">
        <v>4</v>
      </c>
      <c r="AB1097">
        <v>37</v>
      </c>
      <c r="AK1097">
        <v>1</v>
      </c>
      <c r="AO1097" t="s">
        <v>95</v>
      </c>
      <c r="AP1097" t="s">
        <v>95</v>
      </c>
      <c r="AR1097" t="s">
        <v>95</v>
      </c>
      <c r="AU1097">
        <v>1</v>
      </c>
      <c r="AW1097" t="s">
        <v>95</v>
      </c>
      <c r="AX1097">
        <v>9</v>
      </c>
      <c r="AY1097" t="s">
        <v>95</v>
      </c>
      <c r="AZ1097">
        <v>289</v>
      </c>
      <c r="BA1097">
        <v>552</v>
      </c>
      <c r="BB1097">
        <v>44</v>
      </c>
      <c r="BC1097" t="s">
        <v>96</v>
      </c>
      <c r="BD1097">
        <v>1</v>
      </c>
      <c r="BF1097" t="s">
        <v>1221</v>
      </c>
      <c r="BG1097" s="1">
        <v>44354.02847222222</v>
      </c>
      <c r="BH1097" s="1">
        <v>44354.036886574075</v>
      </c>
      <c r="BI1097" s="1">
        <v>44354.037557870368</v>
      </c>
      <c r="BJ1097" t="s">
        <v>85</v>
      </c>
      <c r="BK1097" t="s">
        <v>86</v>
      </c>
      <c r="BL1097" t="s">
        <v>87</v>
      </c>
    </row>
    <row r="1098" spans="1:64" x14ac:dyDescent="0.3">
      <c r="A1098" t="str">
        <f>"200579C0100"</f>
        <v>200579C0100</v>
      </c>
      <c r="B1098" t="str">
        <f>"200579C01003"</f>
        <v>200579C01003</v>
      </c>
      <c r="C1098" t="str">
        <f t="shared" si="66"/>
        <v>20</v>
      </c>
      <c r="D1098" t="s">
        <v>81</v>
      </c>
      <c r="E1098" t="str">
        <f t="shared" si="65"/>
        <v>066</v>
      </c>
      <c r="F1098" t="s">
        <v>951</v>
      </c>
      <c r="G1098" t="str">
        <f>"0579"</f>
        <v>0579</v>
      </c>
      <c r="H1098" t="str">
        <f>"0001"</f>
        <v>0001</v>
      </c>
      <c r="I1098" t="s">
        <v>89</v>
      </c>
      <c r="J1098">
        <v>0</v>
      </c>
      <c r="K1098">
        <v>1</v>
      </c>
      <c r="L1098">
        <v>3</v>
      </c>
      <c r="M1098">
        <v>322</v>
      </c>
      <c r="N1098">
        <v>274</v>
      </c>
      <c r="O1098">
        <v>7</v>
      </c>
      <c r="P1098">
        <v>274</v>
      </c>
      <c r="Q1098">
        <v>6</v>
      </c>
      <c r="R1098">
        <v>69</v>
      </c>
      <c r="S1098">
        <v>1</v>
      </c>
      <c r="T1098">
        <v>1</v>
      </c>
      <c r="U1098">
        <v>8</v>
      </c>
      <c r="V1098">
        <v>4</v>
      </c>
      <c r="W1098">
        <v>1</v>
      </c>
      <c r="X1098">
        <v>132</v>
      </c>
      <c r="Y1098">
        <v>3</v>
      </c>
      <c r="Z1098">
        <v>2</v>
      </c>
      <c r="AA1098">
        <v>1</v>
      </c>
      <c r="AB1098">
        <v>38</v>
      </c>
      <c r="AK1098">
        <v>0</v>
      </c>
      <c r="AO1098">
        <v>0</v>
      </c>
      <c r="AP1098">
        <v>0</v>
      </c>
      <c r="AR1098">
        <v>0</v>
      </c>
      <c r="AU1098">
        <v>0</v>
      </c>
      <c r="AW1098">
        <v>0</v>
      </c>
      <c r="AX1098">
        <v>8</v>
      </c>
      <c r="AY1098">
        <v>274</v>
      </c>
      <c r="AZ1098">
        <v>274</v>
      </c>
      <c r="BA1098">
        <v>552</v>
      </c>
      <c r="BB1098">
        <v>44</v>
      </c>
      <c r="BD1098">
        <v>1</v>
      </c>
      <c r="BF1098" t="s">
        <v>1222</v>
      </c>
      <c r="BG1098" s="1">
        <v>44354.012499999997</v>
      </c>
      <c r="BH1098" s="1">
        <v>44354.019837962966</v>
      </c>
      <c r="BI1098" s="1">
        <v>44354.020474537036</v>
      </c>
      <c r="BJ1098" t="s">
        <v>85</v>
      </c>
      <c r="BK1098" t="s">
        <v>86</v>
      </c>
      <c r="BL1098" t="s">
        <v>87</v>
      </c>
    </row>
    <row r="1099" spans="1:64" x14ac:dyDescent="0.3">
      <c r="A1099" t="str">
        <f>"200579C0200"</f>
        <v>200579C0200</v>
      </c>
      <c r="B1099" t="str">
        <f>"200579C02003"</f>
        <v>200579C02003</v>
      </c>
      <c r="C1099" t="str">
        <f t="shared" si="66"/>
        <v>20</v>
      </c>
      <c r="D1099" t="s">
        <v>81</v>
      </c>
      <c r="E1099" t="str">
        <f t="shared" si="65"/>
        <v>066</v>
      </c>
      <c r="F1099" t="s">
        <v>951</v>
      </c>
      <c r="G1099" t="str">
        <f>"0579"</f>
        <v>0579</v>
      </c>
      <c r="H1099" t="str">
        <f>"0002"</f>
        <v>0002</v>
      </c>
      <c r="I1099" t="s">
        <v>89</v>
      </c>
      <c r="J1099">
        <v>0</v>
      </c>
      <c r="K1099">
        <v>1</v>
      </c>
      <c r="L1099">
        <v>3</v>
      </c>
      <c r="M1099">
        <v>318</v>
      </c>
      <c r="N1099">
        <v>277</v>
      </c>
      <c r="O1099">
        <v>3</v>
      </c>
      <c r="P1099">
        <v>277</v>
      </c>
      <c r="Q1099">
        <v>9</v>
      </c>
      <c r="R1099">
        <v>75</v>
      </c>
      <c r="S1099">
        <v>1</v>
      </c>
      <c r="T1099">
        <v>1</v>
      </c>
      <c r="U1099">
        <v>8</v>
      </c>
      <c r="V1099">
        <v>2</v>
      </c>
      <c r="W1099">
        <v>2</v>
      </c>
      <c r="X1099">
        <v>133</v>
      </c>
      <c r="Y1099">
        <v>1</v>
      </c>
      <c r="Z1099">
        <v>4</v>
      </c>
      <c r="AA1099">
        <v>2</v>
      </c>
      <c r="AB1099">
        <v>29</v>
      </c>
      <c r="AK1099">
        <v>1</v>
      </c>
      <c r="AO1099">
        <v>0</v>
      </c>
      <c r="AP1099">
        <v>0</v>
      </c>
      <c r="AR1099">
        <v>0</v>
      </c>
      <c r="AU1099">
        <v>0</v>
      </c>
      <c r="AW1099">
        <v>0</v>
      </c>
      <c r="AX1099">
        <v>9</v>
      </c>
      <c r="AY1099">
        <v>77</v>
      </c>
      <c r="AZ1099">
        <v>277</v>
      </c>
      <c r="BA1099">
        <v>551</v>
      </c>
      <c r="BB1099">
        <v>44</v>
      </c>
      <c r="BD1099">
        <v>1</v>
      </c>
      <c r="BF1099" t="s">
        <v>1223</v>
      </c>
      <c r="BG1099" s="1">
        <v>44354.025000000001</v>
      </c>
      <c r="BH1099" s="1">
        <v>44354.039803240739</v>
      </c>
      <c r="BI1099" s="1">
        <v>44354.05363425926</v>
      </c>
      <c r="BJ1099" t="s">
        <v>85</v>
      </c>
      <c r="BK1099" t="s">
        <v>86</v>
      </c>
      <c r="BL1099" t="s">
        <v>87</v>
      </c>
    </row>
    <row r="1100" spans="1:64" x14ac:dyDescent="0.3">
      <c r="A1100" t="str">
        <f>"200580B0000"</f>
        <v>200580B0000</v>
      </c>
      <c r="B1100" t="str">
        <f>"200580B00003"</f>
        <v>200580B00003</v>
      </c>
      <c r="C1100" t="str">
        <f t="shared" si="66"/>
        <v>20</v>
      </c>
      <c r="D1100" t="s">
        <v>81</v>
      </c>
      <c r="E1100" t="str">
        <f t="shared" si="65"/>
        <v>066</v>
      </c>
      <c r="F1100" t="s">
        <v>951</v>
      </c>
      <c r="G1100" t="str">
        <f>"0580"</f>
        <v>0580</v>
      </c>
      <c r="H1100" t="str">
        <f>"0000"</f>
        <v>0000</v>
      </c>
      <c r="I1100" t="s">
        <v>83</v>
      </c>
      <c r="J1100">
        <v>0</v>
      </c>
      <c r="K1100">
        <v>1</v>
      </c>
      <c r="L1100">
        <v>3</v>
      </c>
      <c r="M1100">
        <v>320</v>
      </c>
      <c r="N1100">
        <v>305</v>
      </c>
      <c r="O1100">
        <v>5</v>
      </c>
      <c r="P1100">
        <v>305</v>
      </c>
      <c r="Q1100">
        <v>21</v>
      </c>
      <c r="R1100">
        <v>75</v>
      </c>
      <c r="S1100">
        <v>1</v>
      </c>
      <c r="T1100">
        <v>1</v>
      </c>
      <c r="U1100">
        <v>7</v>
      </c>
      <c r="V1100">
        <v>11</v>
      </c>
      <c r="W1100">
        <v>2</v>
      </c>
      <c r="X1100">
        <v>157</v>
      </c>
      <c r="Y1100">
        <v>4</v>
      </c>
      <c r="Z1100">
        <v>4</v>
      </c>
      <c r="AA1100">
        <v>1</v>
      </c>
      <c r="AB1100">
        <v>9</v>
      </c>
      <c r="AK1100">
        <v>2</v>
      </c>
      <c r="AO1100">
        <v>0</v>
      </c>
      <c r="AP1100">
        <v>0</v>
      </c>
      <c r="AR1100">
        <v>0</v>
      </c>
      <c r="AU1100">
        <v>0</v>
      </c>
      <c r="AW1100">
        <v>0</v>
      </c>
      <c r="AX1100">
        <v>10</v>
      </c>
      <c r="AY1100">
        <v>305</v>
      </c>
      <c r="AZ1100">
        <v>305</v>
      </c>
      <c r="BA1100">
        <v>581</v>
      </c>
      <c r="BB1100">
        <v>44</v>
      </c>
      <c r="BD1100">
        <v>1</v>
      </c>
      <c r="BF1100" t="s">
        <v>1224</v>
      </c>
      <c r="BG1100" s="1">
        <v>44354.02847222222</v>
      </c>
      <c r="BH1100" s="1">
        <v>44354.038495370369</v>
      </c>
      <c r="BI1100" s="1">
        <v>44354.038923611108</v>
      </c>
      <c r="BJ1100" t="s">
        <v>85</v>
      </c>
      <c r="BK1100" t="s">
        <v>86</v>
      </c>
      <c r="BL1100" t="s">
        <v>87</v>
      </c>
    </row>
    <row r="1101" spans="1:64" x14ac:dyDescent="0.3">
      <c r="A1101" t="str">
        <f>"200580C0100"</f>
        <v>200580C0100</v>
      </c>
      <c r="B1101" t="str">
        <f>"200580C01003"</f>
        <v>200580C01003</v>
      </c>
      <c r="C1101" t="str">
        <f t="shared" si="66"/>
        <v>20</v>
      </c>
      <c r="D1101" t="s">
        <v>81</v>
      </c>
      <c r="E1101" t="str">
        <f t="shared" si="65"/>
        <v>066</v>
      </c>
      <c r="F1101" t="s">
        <v>951</v>
      </c>
      <c r="G1101" t="str">
        <f>"0580"</f>
        <v>0580</v>
      </c>
      <c r="H1101" t="str">
        <f>"0001"</f>
        <v>0001</v>
      </c>
      <c r="I1101" t="s">
        <v>89</v>
      </c>
      <c r="J1101">
        <v>0</v>
      </c>
      <c r="K1101">
        <v>1</v>
      </c>
      <c r="L1101">
        <v>3</v>
      </c>
      <c r="M1101">
        <v>328</v>
      </c>
      <c r="N1101">
        <v>297</v>
      </c>
      <c r="O1101">
        <v>8</v>
      </c>
      <c r="P1101">
        <v>297</v>
      </c>
      <c r="Q1101">
        <v>8</v>
      </c>
      <c r="R1101">
        <v>80</v>
      </c>
      <c r="S1101">
        <v>2</v>
      </c>
      <c r="T1101">
        <v>4</v>
      </c>
      <c r="U1101">
        <v>4</v>
      </c>
      <c r="V1101">
        <v>5</v>
      </c>
      <c r="W1101">
        <v>2</v>
      </c>
      <c r="X1101">
        <v>164</v>
      </c>
      <c r="Y1101">
        <v>4</v>
      </c>
      <c r="Z1101">
        <v>7</v>
      </c>
      <c r="AA1101">
        <v>2</v>
      </c>
      <c r="AB1101">
        <v>5</v>
      </c>
      <c r="AK1101">
        <v>1</v>
      </c>
      <c r="AO1101">
        <v>0</v>
      </c>
      <c r="AP1101">
        <v>0</v>
      </c>
      <c r="AR1101">
        <v>0</v>
      </c>
      <c r="AU1101">
        <v>0</v>
      </c>
      <c r="AW1101">
        <v>0</v>
      </c>
      <c r="AX1101">
        <v>9</v>
      </c>
      <c r="AY1101">
        <v>297</v>
      </c>
      <c r="AZ1101">
        <v>297</v>
      </c>
      <c r="BA1101">
        <v>581</v>
      </c>
      <c r="BB1101">
        <v>44</v>
      </c>
      <c r="BD1101">
        <v>1</v>
      </c>
      <c r="BF1101" t="s">
        <v>1225</v>
      </c>
      <c r="BG1101" s="1">
        <v>44354.013194444444</v>
      </c>
      <c r="BH1101" s="1">
        <v>44354.022731481484</v>
      </c>
      <c r="BI1101" s="1">
        <v>44354.023668981485</v>
      </c>
      <c r="BJ1101" t="s">
        <v>85</v>
      </c>
      <c r="BK1101" t="s">
        <v>86</v>
      </c>
      <c r="BL1101" t="s">
        <v>87</v>
      </c>
    </row>
    <row r="1102" spans="1:64" x14ac:dyDescent="0.3">
      <c r="A1102" t="str">
        <f>"200581B0000"</f>
        <v>200581B0000</v>
      </c>
      <c r="B1102" t="str">
        <f>"200581B00003"</f>
        <v>200581B00003</v>
      </c>
      <c r="C1102" t="str">
        <f t="shared" si="66"/>
        <v>20</v>
      </c>
      <c r="D1102" t="s">
        <v>81</v>
      </c>
      <c r="E1102" t="str">
        <f t="shared" si="65"/>
        <v>066</v>
      </c>
      <c r="F1102" t="s">
        <v>951</v>
      </c>
      <c r="G1102" t="str">
        <f>"0581"</f>
        <v>0581</v>
      </c>
      <c r="H1102" t="str">
        <f>"0000"</f>
        <v>0000</v>
      </c>
      <c r="I1102" t="s">
        <v>83</v>
      </c>
      <c r="J1102">
        <v>0</v>
      </c>
      <c r="K1102">
        <v>1</v>
      </c>
      <c r="L1102">
        <v>3</v>
      </c>
      <c r="M1102">
        <v>373</v>
      </c>
      <c r="N1102">
        <v>271</v>
      </c>
      <c r="O1102">
        <v>5</v>
      </c>
      <c r="P1102">
        <v>271</v>
      </c>
      <c r="Q1102">
        <v>16</v>
      </c>
      <c r="R1102">
        <v>42</v>
      </c>
      <c r="S1102">
        <v>1</v>
      </c>
      <c r="T1102">
        <v>2</v>
      </c>
      <c r="U1102">
        <v>8</v>
      </c>
      <c r="V1102">
        <v>15</v>
      </c>
      <c r="W1102">
        <v>2</v>
      </c>
      <c r="X1102">
        <v>155</v>
      </c>
      <c r="Y1102">
        <v>4</v>
      </c>
      <c r="Z1102">
        <v>5</v>
      </c>
      <c r="AA1102">
        <v>3</v>
      </c>
      <c r="AB1102">
        <v>3</v>
      </c>
      <c r="AK1102">
        <v>4</v>
      </c>
      <c r="AO1102">
        <v>0</v>
      </c>
      <c r="AP1102">
        <v>0</v>
      </c>
      <c r="AR1102">
        <v>0</v>
      </c>
      <c r="AU1102">
        <v>0</v>
      </c>
      <c r="AW1102">
        <v>0</v>
      </c>
      <c r="AX1102">
        <v>11</v>
      </c>
      <c r="AY1102">
        <v>271</v>
      </c>
      <c r="AZ1102">
        <v>271</v>
      </c>
      <c r="BA1102">
        <v>600</v>
      </c>
      <c r="BB1102">
        <v>44</v>
      </c>
      <c r="BD1102">
        <v>1</v>
      </c>
      <c r="BF1102" t="s">
        <v>1226</v>
      </c>
      <c r="BG1102" s="1">
        <v>44354.087500000001</v>
      </c>
      <c r="BH1102" s="1">
        <v>44354.098495370374</v>
      </c>
      <c r="BI1102" s="1">
        <v>44354.099548611113</v>
      </c>
      <c r="BJ1102" t="s">
        <v>85</v>
      </c>
      <c r="BK1102" t="s">
        <v>86</v>
      </c>
      <c r="BL1102" t="s">
        <v>87</v>
      </c>
    </row>
    <row r="1103" spans="1:64" x14ac:dyDescent="0.3">
      <c r="A1103" t="str">
        <f>"200581C0100"</f>
        <v>200581C0100</v>
      </c>
      <c r="B1103" t="str">
        <f>"200581C01003"</f>
        <v>200581C01003</v>
      </c>
      <c r="C1103" t="str">
        <f t="shared" si="66"/>
        <v>20</v>
      </c>
      <c r="D1103" t="s">
        <v>81</v>
      </c>
      <c r="E1103" t="str">
        <f t="shared" si="65"/>
        <v>066</v>
      </c>
      <c r="F1103" t="s">
        <v>951</v>
      </c>
      <c r="G1103" t="str">
        <f>"0581"</f>
        <v>0581</v>
      </c>
      <c r="H1103" t="str">
        <f>"0001"</f>
        <v>0001</v>
      </c>
      <c r="I1103" t="s">
        <v>89</v>
      </c>
      <c r="J1103">
        <v>0</v>
      </c>
      <c r="K1103">
        <v>1</v>
      </c>
      <c r="L1103">
        <v>3</v>
      </c>
      <c r="M1103">
        <v>403</v>
      </c>
      <c r="N1103">
        <v>240</v>
      </c>
      <c r="O1103">
        <v>5</v>
      </c>
      <c r="P1103">
        <v>240</v>
      </c>
      <c r="Q1103">
        <v>26</v>
      </c>
      <c r="R1103">
        <v>49</v>
      </c>
      <c r="S1103">
        <v>1</v>
      </c>
      <c r="T1103">
        <v>1</v>
      </c>
      <c r="U1103">
        <v>3</v>
      </c>
      <c r="V1103">
        <v>8</v>
      </c>
      <c r="W1103">
        <v>1</v>
      </c>
      <c r="X1103">
        <v>131</v>
      </c>
      <c r="Y1103">
        <v>1</v>
      </c>
      <c r="Z1103">
        <v>5</v>
      </c>
      <c r="AA1103">
        <v>1</v>
      </c>
      <c r="AB1103">
        <v>5</v>
      </c>
      <c r="AK1103">
        <v>2</v>
      </c>
      <c r="AO1103">
        <v>0</v>
      </c>
      <c r="AP1103">
        <v>0</v>
      </c>
      <c r="AR1103">
        <v>0</v>
      </c>
      <c r="AU1103">
        <v>0</v>
      </c>
      <c r="AW1103">
        <v>0</v>
      </c>
      <c r="AX1103">
        <v>6</v>
      </c>
      <c r="AY1103">
        <v>240</v>
      </c>
      <c r="AZ1103">
        <v>240</v>
      </c>
      <c r="BA1103">
        <v>599</v>
      </c>
      <c r="BB1103">
        <v>44</v>
      </c>
      <c r="BD1103">
        <v>1</v>
      </c>
      <c r="BF1103" t="s">
        <v>1227</v>
      </c>
      <c r="BG1103" s="1">
        <v>44354.087500000001</v>
      </c>
      <c r="BH1103" s="1">
        <v>44354.099479166667</v>
      </c>
      <c r="BI1103" s="1">
        <v>44354.099791666667</v>
      </c>
      <c r="BJ1103" t="s">
        <v>85</v>
      </c>
      <c r="BK1103" t="s">
        <v>86</v>
      </c>
      <c r="BL1103" t="s">
        <v>87</v>
      </c>
    </row>
    <row r="1104" spans="1:64" x14ac:dyDescent="0.3">
      <c r="A1104" t="str">
        <f>"200581S0100"</f>
        <v>200581S0100</v>
      </c>
      <c r="B1104" t="str">
        <f>"200581S01003E"</f>
        <v>200581S01003E</v>
      </c>
      <c r="C1104" t="str">
        <f t="shared" si="66"/>
        <v>20</v>
      </c>
      <c r="D1104" t="s">
        <v>81</v>
      </c>
      <c r="E1104" t="str">
        <f t="shared" si="65"/>
        <v>066</v>
      </c>
      <c r="F1104" t="s">
        <v>951</v>
      </c>
      <c r="G1104" t="str">
        <f>"0581"</f>
        <v>0581</v>
      </c>
      <c r="H1104" t="str">
        <f>"0001"</f>
        <v>0001</v>
      </c>
      <c r="I1104" t="s">
        <v>99</v>
      </c>
      <c r="J1104">
        <v>0</v>
      </c>
      <c r="K1104">
        <v>1</v>
      </c>
      <c r="L1104" t="s">
        <v>100</v>
      </c>
      <c r="M1104">
        <v>916</v>
      </c>
      <c r="N1104">
        <v>84</v>
      </c>
      <c r="O1104">
        <v>0</v>
      </c>
      <c r="P1104">
        <v>84</v>
      </c>
      <c r="Q1104">
        <v>1</v>
      </c>
      <c r="R1104">
        <v>20</v>
      </c>
      <c r="S1104">
        <v>0</v>
      </c>
      <c r="T1104">
        <v>0</v>
      </c>
      <c r="U1104">
        <v>1</v>
      </c>
      <c r="V1104">
        <v>1</v>
      </c>
      <c r="W1104">
        <v>0</v>
      </c>
      <c r="X1104">
        <v>51</v>
      </c>
      <c r="Y1104">
        <v>0</v>
      </c>
      <c r="Z1104">
        <v>4</v>
      </c>
      <c r="AA1104">
        <v>3</v>
      </c>
      <c r="AB1104">
        <v>2</v>
      </c>
      <c r="AK1104">
        <v>0</v>
      </c>
      <c r="AO1104">
        <v>0</v>
      </c>
      <c r="AP1104">
        <v>0</v>
      </c>
      <c r="AR1104">
        <v>0</v>
      </c>
      <c r="AU1104">
        <v>0</v>
      </c>
      <c r="AW1104">
        <v>0</v>
      </c>
      <c r="AX1104">
        <v>1</v>
      </c>
      <c r="AY1104">
        <v>84</v>
      </c>
      <c r="AZ1104">
        <v>84</v>
      </c>
      <c r="BA1104">
        <v>0</v>
      </c>
      <c r="BB1104">
        <v>44</v>
      </c>
      <c r="BD1104">
        <v>1</v>
      </c>
      <c r="BF1104" t="s">
        <v>1228</v>
      </c>
      <c r="BG1104" s="1">
        <v>44354.087500000001</v>
      </c>
      <c r="BH1104" s="1">
        <v>44354.098009259258</v>
      </c>
      <c r="BI1104" s="1">
        <v>44354.099363425928</v>
      </c>
      <c r="BJ1104" t="s">
        <v>85</v>
      </c>
      <c r="BK1104" t="s">
        <v>86</v>
      </c>
      <c r="BL1104" t="s">
        <v>87</v>
      </c>
    </row>
    <row r="1105" spans="1:64" x14ac:dyDescent="0.3">
      <c r="A1105" t="str">
        <f>"200582B0000"</f>
        <v>200582B0000</v>
      </c>
      <c r="B1105" t="str">
        <f>"200582B00003"</f>
        <v>200582B00003</v>
      </c>
      <c r="C1105" t="str">
        <f t="shared" si="66"/>
        <v>20</v>
      </c>
      <c r="D1105" t="s">
        <v>81</v>
      </c>
      <c r="E1105" t="str">
        <f t="shared" si="65"/>
        <v>066</v>
      </c>
      <c r="F1105" t="s">
        <v>951</v>
      </c>
      <c r="G1105" t="str">
        <f>"0582"</f>
        <v>0582</v>
      </c>
      <c r="H1105" t="str">
        <f>"0000"</f>
        <v>0000</v>
      </c>
      <c r="I1105" t="s">
        <v>83</v>
      </c>
      <c r="J1105">
        <v>0</v>
      </c>
      <c r="K1105">
        <v>1</v>
      </c>
      <c r="L1105">
        <v>3</v>
      </c>
      <c r="M1105">
        <v>376</v>
      </c>
      <c r="N1105">
        <v>306</v>
      </c>
      <c r="O1105">
        <v>6</v>
      </c>
      <c r="P1105">
        <v>306</v>
      </c>
      <c r="Q1105">
        <v>25</v>
      </c>
      <c r="R1105">
        <v>74</v>
      </c>
      <c r="S1105">
        <v>2</v>
      </c>
      <c r="T1105">
        <v>3</v>
      </c>
      <c r="U1105">
        <v>4</v>
      </c>
      <c r="V1105">
        <v>5</v>
      </c>
      <c r="W1105">
        <v>2</v>
      </c>
      <c r="X1105">
        <v>172</v>
      </c>
      <c r="Y1105">
        <v>4</v>
      </c>
      <c r="Z1105">
        <v>3</v>
      </c>
      <c r="AA1105">
        <v>2</v>
      </c>
      <c r="AB1105">
        <v>4</v>
      </c>
      <c r="AK1105">
        <v>2</v>
      </c>
      <c r="AO1105">
        <v>0</v>
      </c>
      <c r="AP1105">
        <v>0</v>
      </c>
      <c r="AR1105">
        <v>0</v>
      </c>
      <c r="AU1105">
        <v>0</v>
      </c>
      <c r="AW1105">
        <v>0</v>
      </c>
      <c r="AX1105">
        <v>4</v>
      </c>
      <c r="AY1105">
        <v>306</v>
      </c>
      <c r="AZ1105">
        <v>306</v>
      </c>
      <c r="BA1105">
        <v>638</v>
      </c>
      <c r="BB1105">
        <v>44</v>
      </c>
      <c r="BD1105">
        <v>1</v>
      </c>
      <c r="BF1105" t="s">
        <v>1229</v>
      </c>
      <c r="BG1105" s="1">
        <v>44354.037499999999</v>
      </c>
      <c r="BH1105" s="1">
        <v>44354.047199074077</v>
      </c>
      <c r="BI1105" s="1">
        <v>44354.04787037037</v>
      </c>
      <c r="BJ1105" t="s">
        <v>85</v>
      </c>
      <c r="BK1105" t="s">
        <v>86</v>
      </c>
      <c r="BL1105" t="s">
        <v>87</v>
      </c>
    </row>
    <row r="1106" spans="1:64" x14ac:dyDescent="0.3">
      <c r="A1106" t="str">
        <f>"200582C0100"</f>
        <v>200582C0100</v>
      </c>
      <c r="B1106" t="str">
        <f>"200582C01003"</f>
        <v>200582C01003</v>
      </c>
      <c r="C1106" t="str">
        <f t="shared" si="66"/>
        <v>20</v>
      </c>
      <c r="D1106" t="s">
        <v>81</v>
      </c>
      <c r="E1106" t="str">
        <f t="shared" si="65"/>
        <v>066</v>
      </c>
      <c r="F1106" t="s">
        <v>951</v>
      </c>
      <c r="G1106" t="str">
        <f>"0582"</f>
        <v>0582</v>
      </c>
      <c r="H1106" t="str">
        <f>"0001"</f>
        <v>0001</v>
      </c>
      <c r="I1106" t="s">
        <v>89</v>
      </c>
      <c r="J1106">
        <v>0</v>
      </c>
      <c r="K1106">
        <v>1</v>
      </c>
      <c r="L1106">
        <v>3</v>
      </c>
      <c r="M1106">
        <v>364</v>
      </c>
      <c r="N1106" t="s">
        <v>92</v>
      </c>
      <c r="O1106" t="s">
        <v>92</v>
      </c>
      <c r="P1106">
        <v>318</v>
      </c>
      <c r="Q1106">
        <v>17</v>
      </c>
      <c r="R1106">
        <v>75</v>
      </c>
      <c r="S1106">
        <v>1</v>
      </c>
      <c r="T1106">
        <v>1</v>
      </c>
      <c r="U1106">
        <v>6</v>
      </c>
      <c r="V1106">
        <v>4</v>
      </c>
      <c r="W1106">
        <v>1</v>
      </c>
      <c r="X1106">
        <v>169</v>
      </c>
      <c r="Y1106">
        <v>12</v>
      </c>
      <c r="Z1106">
        <v>6</v>
      </c>
      <c r="AA1106">
        <v>2</v>
      </c>
      <c r="AB1106">
        <v>7</v>
      </c>
      <c r="AK1106">
        <v>6</v>
      </c>
      <c r="AO1106">
        <v>0</v>
      </c>
      <c r="AP1106">
        <v>0</v>
      </c>
      <c r="AR1106">
        <v>0</v>
      </c>
      <c r="AU1106">
        <v>0</v>
      </c>
      <c r="AW1106">
        <v>0</v>
      </c>
      <c r="AX1106">
        <v>11</v>
      </c>
      <c r="AY1106">
        <v>318</v>
      </c>
      <c r="AZ1106">
        <v>318</v>
      </c>
      <c r="BA1106">
        <v>638</v>
      </c>
      <c r="BB1106">
        <v>44</v>
      </c>
      <c r="BD1106">
        <v>1</v>
      </c>
      <c r="BF1106" t="s">
        <v>1230</v>
      </c>
      <c r="BG1106" s="1">
        <v>44354.038888888892</v>
      </c>
      <c r="BH1106" s="1">
        <v>44354.469027777777</v>
      </c>
      <c r="BI1106" s="1">
        <v>44354.470046296294</v>
      </c>
      <c r="BJ1106" t="s">
        <v>85</v>
      </c>
      <c r="BK1106" t="s">
        <v>86</v>
      </c>
      <c r="BL1106" t="s">
        <v>87</v>
      </c>
    </row>
    <row r="1107" spans="1:64" x14ac:dyDescent="0.3">
      <c r="A1107" t="str">
        <f>"200583B0000"</f>
        <v>200583B0000</v>
      </c>
      <c r="B1107" t="str">
        <f>"200583B00003"</f>
        <v>200583B00003</v>
      </c>
      <c r="C1107" t="str">
        <f t="shared" si="66"/>
        <v>20</v>
      </c>
      <c r="D1107" t="s">
        <v>81</v>
      </c>
      <c r="E1107" t="str">
        <f t="shared" si="65"/>
        <v>066</v>
      </c>
      <c r="F1107" t="s">
        <v>951</v>
      </c>
      <c r="G1107" t="str">
        <f>"0583"</f>
        <v>0583</v>
      </c>
      <c r="H1107" t="str">
        <f>"0000"</f>
        <v>0000</v>
      </c>
      <c r="I1107" t="s">
        <v>83</v>
      </c>
      <c r="J1107">
        <v>0</v>
      </c>
      <c r="K1107">
        <v>1</v>
      </c>
      <c r="L1107">
        <v>3</v>
      </c>
      <c r="M1107">
        <v>307</v>
      </c>
      <c r="N1107">
        <v>311</v>
      </c>
      <c r="O1107">
        <v>5</v>
      </c>
      <c r="P1107">
        <v>312</v>
      </c>
      <c r="Q1107">
        <v>51</v>
      </c>
      <c r="R1107">
        <v>114</v>
      </c>
      <c r="S1107">
        <v>0</v>
      </c>
      <c r="T1107">
        <v>4</v>
      </c>
      <c r="U1107">
        <v>6</v>
      </c>
      <c r="V1107">
        <v>0</v>
      </c>
      <c r="W1107">
        <v>3</v>
      </c>
      <c r="X1107">
        <v>107</v>
      </c>
      <c r="Y1107">
        <v>6</v>
      </c>
      <c r="Z1107">
        <v>3</v>
      </c>
      <c r="AA1107">
        <v>3</v>
      </c>
      <c r="AB1107">
        <v>3</v>
      </c>
      <c r="AK1107">
        <v>4</v>
      </c>
      <c r="AO1107" t="s">
        <v>95</v>
      </c>
      <c r="AP1107" t="s">
        <v>95</v>
      </c>
      <c r="AR1107" t="s">
        <v>95</v>
      </c>
      <c r="AU1107" t="s">
        <v>95</v>
      </c>
      <c r="AW1107" t="s">
        <v>95</v>
      </c>
      <c r="AX1107">
        <v>1</v>
      </c>
      <c r="AY1107" t="s">
        <v>95</v>
      </c>
      <c r="AZ1107">
        <v>305</v>
      </c>
      <c r="BA1107">
        <v>577</v>
      </c>
      <c r="BB1107">
        <v>44</v>
      </c>
      <c r="BC1107" t="s">
        <v>96</v>
      </c>
      <c r="BD1107">
        <v>1</v>
      </c>
      <c r="BF1107" t="s">
        <v>1231</v>
      </c>
      <c r="BG1107" s="1">
        <v>44354.072222222225</v>
      </c>
      <c r="BH1107" s="1">
        <v>44354.083379629628</v>
      </c>
      <c r="BI1107" s="1">
        <v>44354.083935185183</v>
      </c>
      <c r="BJ1107" t="s">
        <v>85</v>
      </c>
      <c r="BK1107" t="s">
        <v>86</v>
      </c>
      <c r="BL1107" t="s">
        <v>87</v>
      </c>
    </row>
    <row r="1108" spans="1:64" x14ac:dyDescent="0.3">
      <c r="A1108" t="str">
        <f>"200583C0100"</f>
        <v>200583C0100</v>
      </c>
      <c r="B1108" t="str">
        <f>"200583C01003"</f>
        <v>200583C01003</v>
      </c>
      <c r="C1108" t="str">
        <f t="shared" si="66"/>
        <v>20</v>
      </c>
      <c r="D1108" t="s">
        <v>81</v>
      </c>
      <c r="E1108" t="str">
        <f t="shared" si="65"/>
        <v>066</v>
      </c>
      <c r="F1108" t="s">
        <v>951</v>
      </c>
      <c r="G1108" t="str">
        <f>"0583"</f>
        <v>0583</v>
      </c>
      <c r="H1108" t="str">
        <f>"0001"</f>
        <v>0001</v>
      </c>
      <c r="I1108" t="s">
        <v>89</v>
      </c>
      <c r="J1108">
        <v>0</v>
      </c>
      <c r="K1108">
        <v>1</v>
      </c>
      <c r="L1108">
        <v>3</v>
      </c>
      <c r="M1108">
        <v>294</v>
      </c>
      <c r="N1108">
        <v>326</v>
      </c>
      <c r="O1108">
        <v>2</v>
      </c>
      <c r="P1108">
        <v>0</v>
      </c>
      <c r="Q1108">
        <v>40</v>
      </c>
      <c r="R1108">
        <v>97</v>
      </c>
      <c r="S1108">
        <v>2</v>
      </c>
      <c r="T1108">
        <v>4</v>
      </c>
      <c r="U1108">
        <v>3</v>
      </c>
      <c r="V1108">
        <v>8</v>
      </c>
      <c r="W1108">
        <v>4</v>
      </c>
      <c r="X1108">
        <v>141</v>
      </c>
      <c r="Y1108">
        <v>6</v>
      </c>
      <c r="Z1108">
        <v>0</v>
      </c>
      <c r="AA1108">
        <v>1</v>
      </c>
      <c r="AB1108">
        <v>4</v>
      </c>
      <c r="AK1108">
        <v>6</v>
      </c>
      <c r="AO1108">
        <v>4</v>
      </c>
      <c r="AP1108">
        <v>0</v>
      </c>
      <c r="AR1108">
        <v>0</v>
      </c>
      <c r="AU1108">
        <v>1</v>
      </c>
      <c r="AW1108">
        <v>0</v>
      </c>
      <c r="AX1108">
        <v>6</v>
      </c>
      <c r="AY1108">
        <v>327</v>
      </c>
      <c r="AZ1108">
        <v>327</v>
      </c>
      <c r="BA1108">
        <v>577</v>
      </c>
      <c r="BB1108">
        <v>44</v>
      </c>
      <c r="BD1108">
        <v>1</v>
      </c>
      <c r="BF1108" t="s">
        <v>1232</v>
      </c>
      <c r="BG1108" s="1">
        <v>44354.072222222225</v>
      </c>
      <c r="BH1108" s="1">
        <v>44354.083726851852</v>
      </c>
      <c r="BI1108" s="1">
        <v>44354.084849537037</v>
      </c>
      <c r="BJ1108" t="s">
        <v>85</v>
      </c>
      <c r="BK1108" t="s">
        <v>86</v>
      </c>
      <c r="BL1108" t="s">
        <v>87</v>
      </c>
    </row>
    <row r="1109" spans="1:64" x14ac:dyDescent="0.3">
      <c r="A1109" t="str">
        <f>"200584B0000"</f>
        <v>200584B0000</v>
      </c>
      <c r="B1109" t="str">
        <f>"200584B00003"</f>
        <v>200584B00003</v>
      </c>
      <c r="C1109" t="str">
        <f t="shared" si="66"/>
        <v>20</v>
      </c>
      <c r="D1109" t="s">
        <v>81</v>
      </c>
      <c r="E1109" t="str">
        <f t="shared" si="65"/>
        <v>066</v>
      </c>
      <c r="F1109" t="s">
        <v>951</v>
      </c>
      <c r="G1109" t="str">
        <f>"0584"</f>
        <v>0584</v>
      </c>
      <c r="H1109" t="str">
        <f>"0000"</f>
        <v>0000</v>
      </c>
      <c r="I1109" t="s">
        <v>83</v>
      </c>
      <c r="J1109">
        <v>0</v>
      </c>
      <c r="K1109">
        <v>1</v>
      </c>
      <c r="L1109">
        <v>3</v>
      </c>
      <c r="BA1109">
        <v>418</v>
      </c>
      <c r="BB1109">
        <v>44</v>
      </c>
      <c r="BC1109" t="s">
        <v>381</v>
      </c>
      <c r="BD1109">
        <v>0</v>
      </c>
      <c r="BF1109" t="s">
        <v>1233</v>
      </c>
      <c r="BG1109" s="1">
        <v>44354.427083333336</v>
      </c>
      <c r="BH1109" s="1">
        <v>44354.444664351853</v>
      </c>
      <c r="BI1109" s="1">
        <v>44354.444664351853</v>
      </c>
      <c r="BJ1109" t="s">
        <v>85</v>
      </c>
      <c r="BK1109" t="s">
        <v>86</v>
      </c>
      <c r="BL1109" t="s">
        <v>87</v>
      </c>
    </row>
    <row r="1110" spans="1:64" x14ac:dyDescent="0.3">
      <c r="A1110" t="str">
        <f>"200584C0100"</f>
        <v>200584C0100</v>
      </c>
      <c r="B1110" t="str">
        <f>"200584C01003"</f>
        <v>200584C01003</v>
      </c>
      <c r="C1110" t="str">
        <f t="shared" si="66"/>
        <v>20</v>
      </c>
      <c r="D1110" t="s">
        <v>81</v>
      </c>
      <c r="E1110" t="str">
        <f t="shared" si="65"/>
        <v>066</v>
      </c>
      <c r="F1110" t="s">
        <v>951</v>
      </c>
      <c r="G1110" t="str">
        <f>"0584"</f>
        <v>0584</v>
      </c>
      <c r="H1110" t="str">
        <f>"0001"</f>
        <v>0001</v>
      </c>
      <c r="I1110" t="s">
        <v>89</v>
      </c>
      <c r="J1110">
        <v>0</v>
      </c>
      <c r="K1110">
        <v>1</v>
      </c>
      <c r="L1110">
        <v>3</v>
      </c>
      <c r="M1110">
        <v>216</v>
      </c>
      <c r="N1110">
        <v>245</v>
      </c>
      <c r="O1110">
        <v>4</v>
      </c>
      <c r="P1110">
        <v>245</v>
      </c>
      <c r="Q1110">
        <v>25</v>
      </c>
      <c r="R1110">
        <v>86</v>
      </c>
      <c r="S1110">
        <v>1</v>
      </c>
      <c r="T1110">
        <v>3</v>
      </c>
      <c r="U1110">
        <v>4</v>
      </c>
      <c r="V1110">
        <v>3</v>
      </c>
      <c r="W1110">
        <v>0</v>
      </c>
      <c r="X1110">
        <v>101</v>
      </c>
      <c r="Y1110">
        <v>2</v>
      </c>
      <c r="Z1110">
        <v>3</v>
      </c>
      <c r="AA1110">
        <v>1</v>
      </c>
      <c r="AB1110">
        <v>5</v>
      </c>
      <c r="AK1110">
        <v>2</v>
      </c>
      <c r="AO1110">
        <v>1</v>
      </c>
      <c r="AP1110">
        <v>0</v>
      </c>
      <c r="AR1110">
        <v>0</v>
      </c>
      <c r="AU1110">
        <v>0</v>
      </c>
      <c r="AW1110">
        <v>2</v>
      </c>
      <c r="AX1110">
        <v>6</v>
      </c>
      <c r="AY1110">
        <v>245</v>
      </c>
      <c r="AZ1110">
        <v>245</v>
      </c>
      <c r="BA1110">
        <v>417</v>
      </c>
      <c r="BB1110">
        <v>44</v>
      </c>
      <c r="BD1110">
        <v>1</v>
      </c>
      <c r="BF1110" t="s">
        <v>1234</v>
      </c>
      <c r="BG1110" s="1">
        <v>44354.057638888888</v>
      </c>
      <c r="BH1110" s="1">
        <v>44354.064247685186</v>
      </c>
      <c r="BI1110" s="1">
        <v>44354.064768518518</v>
      </c>
      <c r="BJ1110" t="s">
        <v>85</v>
      </c>
      <c r="BK1110" t="s">
        <v>86</v>
      </c>
      <c r="BL1110" t="s">
        <v>87</v>
      </c>
    </row>
    <row r="1111" spans="1:64" x14ac:dyDescent="0.3">
      <c r="A1111" t="str">
        <f>"200585B0000"</f>
        <v>200585B0000</v>
      </c>
      <c r="B1111" t="str">
        <f>"200585B00003"</f>
        <v>200585B00003</v>
      </c>
      <c r="C1111" t="str">
        <f t="shared" si="66"/>
        <v>20</v>
      </c>
      <c r="D1111" t="s">
        <v>81</v>
      </c>
      <c r="E1111" t="str">
        <f t="shared" si="65"/>
        <v>066</v>
      </c>
      <c r="F1111" t="s">
        <v>951</v>
      </c>
      <c r="G1111" t="str">
        <f>"0585"</f>
        <v>0585</v>
      </c>
      <c r="H1111" t="str">
        <f>"0000"</f>
        <v>0000</v>
      </c>
      <c r="I1111" t="s">
        <v>83</v>
      </c>
      <c r="J1111">
        <v>0</v>
      </c>
      <c r="K1111">
        <v>1</v>
      </c>
      <c r="L1111">
        <v>3</v>
      </c>
      <c r="M1111">
        <v>222</v>
      </c>
      <c r="N1111">
        <v>259</v>
      </c>
      <c r="O1111">
        <v>5</v>
      </c>
      <c r="P1111">
        <v>259</v>
      </c>
      <c r="Q1111">
        <v>31</v>
      </c>
      <c r="R1111">
        <v>82</v>
      </c>
      <c r="S1111">
        <v>3</v>
      </c>
      <c r="T1111">
        <v>0</v>
      </c>
      <c r="U1111">
        <v>4</v>
      </c>
      <c r="V1111">
        <v>2</v>
      </c>
      <c r="W1111">
        <v>1</v>
      </c>
      <c r="X1111">
        <v>111</v>
      </c>
      <c r="Y1111">
        <v>3</v>
      </c>
      <c r="Z1111">
        <v>1</v>
      </c>
      <c r="AA1111">
        <v>1</v>
      </c>
      <c r="AB1111">
        <v>7</v>
      </c>
      <c r="AK1111">
        <v>4</v>
      </c>
      <c r="AO1111">
        <v>0</v>
      </c>
      <c r="AP1111">
        <v>0</v>
      </c>
      <c r="AR1111">
        <v>0</v>
      </c>
      <c r="AU1111">
        <v>0</v>
      </c>
      <c r="AW1111">
        <v>0</v>
      </c>
      <c r="AX1111">
        <v>9</v>
      </c>
      <c r="AY1111">
        <v>259</v>
      </c>
      <c r="AZ1111">
        <v>259</v>
      </c>
      <c r="BA1111">
        <v>437</v>
      </c>
      <c r="BB1111">
        <v>44</v>
      </c>
      <c r="BD1111">
        <v>1</v>
      </c>
      <c r="BF1111" t="s">
        <v>1235</v>
      </c>
      <c r="BG1111" s="1">
        <v>44354.076388888891</v>
      </c>
      <c r="BH1111" s="1">
        <v>44354.086493055554</v>
      </c>
      <c r="BI1111" s="1">
        <v>44354.087256944447</v>
      </c>
      <c r="BJ1111" t="s">
        <v>85</v>
      </c>
      <c r="BK1111" t="s">
        <v>86</v>
      </c>
      <c r="BL1111" t="s">
        <v>87</v>
      </c>
    </row>
    <row r="1112" spans="1:64" x14ac:dyDescent="0.3">
      <c r="A1112" t="str">
        <f>"200585C0100"</f>
        <v>200585C0100</v>
      </c>
      <c r="B1112" t="str">
        <f>"200585C01003"</f>
        <v>200585C01003</v>
      </c>
      <c r="C1112" t="str">
        <f t="shared" si="66"/>
        <v>20</v>
      </c>
      <c r="D1112" t="s">
        <v>81</v>
      </c>
      <c r="E1112" t="str">
        <f t="shared" si="65"/>
        <v>066</v>
      </c>
      <c r="F1112" t="s">
        <v>951</v>
      </c>
      <c r="G1112" t="str">
        <f>"0585"</f>
        <v>0585</v>
      </c>
      <c r="H1112" t="str">
        <f>"0001"</f>
        <v>0001</v>
      </c>
      <c r="I1112" t="s">
        <v>89</v>
      </c>
      <c r="J1112">
        <v>0</v>
      </c>
      <c r="K1112">
        <v>1</v>
      </c>
      <c r="L1112">
        <v>3</v>
      </c>
      <c r="M1112">
        <v>238</v>
      </c>
      <c r="N1112">
        <v>243</v>
      </c>
      <c r="O1112">
        <v>3</v>
      </c>
      <c r="P1112">
        <v>243</v>
      </c>
      <c r="Q1112">
        <v>36</v>
      </c>
      <c r="R1112">
        <v>75</v>
      </c>
      <c r="S1112">
        <v>4</v>
      </c>
      <c r="T1112">
        <v>1</v>
      </c>
      <c r="U1112">
        <v>1</v>
      </c>
      <c r="V1112">
        <v>3</v>
      </c>
      <c r="W1112">
        <v>0</v>
      </c>
      <c r="X1112">
        <v>111</v>
      </c>
      <c r="Y1112">
        <v>0</v>
      </c>
      <c r="Z1112">
        <v>4</v>
      </c>
      <c r="AA1112">
        <v>1</v>
      </c>
      <c r="AB1112">
        <v>5</v>
      </c>
      <c r="AK1112">
        <v>0</v>
      </c>
      <c r="AO1112">
        <v>0</v>
      </c>
      <c r="AP1112">
        <v>0</v>
      </c>
      <c r="AR1112">
        <v>0</v>
      </c>
      <c r="AU1112">
        <v>0</v>
      </c>
      <c r="AW1112">
        <v>0</v>
      </c>
      <c r="AX1112">
        <v>2</v>
      </c>
      <c r="AY1112">
        <v>243</v>
      </c>
      <c r="AZ1112">
        <v>243</v>
      </c>
      <c r="BA1112">
        <v>437</v>
      </c>
      <c r="BB1112">
        <v>44</v>
      </c>
      <c r="BD1112">
        <v>1</v>
      </c>
      <c r="BF1112" t="s">
        <v>1236</v>
      </c>
      <c r="BG1112" s="1">
        <v>44354.079861111109</v>
      </c>
      <c r="BH1112" s="1">
        <v>44354.089398148149</v>
      </c>
      <c r="BI1112" s="1">
        <v>44354.090405092589</v>
      </c>
      <c r="BJ1112" t="s">
        <v>85</v>
      </c>
      <c r="BK1112" t="s">
        <v>86</v>
      </c>
      <c r="BL1112" t="s">
        <v>87</v>
      </c>
    </row>
    <row r="1113" spans="1:64" x14ac:dyDescent="0.3">
      <c r="A1113" t="str">
        <f>"200586B0000"</f>
        <v>200586B0000</v>
      </c>
      <c r="B1113" t="str">
        <f>"200586B00003"</f>
        <v>200586B00003</v>
      </c>
      <c r="C1113" t="str">
        <f t="shared" si="66"/>
        <v>20</v>
      </c>
      <c r="D1113" t="s">
        <v>81</v>
      </c>
      <c r="E1113" t="str">
        <f t="shared" si="65"/>
        <v>066</v>
      </c>
      <c r="F1113" t="s">
        <v>951</v>
      </c>
      <c r="G1113" t="str">
        <f>"0586"</f>
        <v>0586</v>
      </c>
      <c r="H1113" t="str">
        <f>"0000"</f>
        <v>0000</v>
      </c>
      <c r="I1113" t="s">
        <v>83</v>
      </c>
      <c r="J1113">
        <v>0</v>
      </c>
      <c r="K1113">
        <v>1</v>
      </c>
      <c r="L1113">
        <v>3</v>
      </c>
      <c r="M1113">
        <v>286</v>
      </c>
      <c r="N1113">
        <v>345</v>
      </c>
      <c r="O1113">
        <v>5</v>
      </c>
      <c r="P1113">
        <v>345</v>
      </c>
      <c r="Q1113">
        <v>22</v>
      </c>
      <c r="R1113">
        <v>83</v>
      </c>
      <c r="S1113">
        <v>0</v>
      </c>
      <c r="T1113">
        <v>4</v>
      </c>
      <c r="U1113">
        <v>2</v>
      </c>
      <c r="V1113">
        <v>2</v>
      </c>
      <c r="W1113">
        <v>3</v>
      </c>
      <c r="X1113">
        <v>203</v>
      </c>
      <c r="Y1113">
        <v>3</v>
      </c>
      <c r="Z1113">
        <v>6</v>
      </c>
      <c r="AA1113">
        <v>2</v>
      </c>
      <c r="AB1113">
        <v>9</v>
      </c>
      <c r="AK1113">
        <v>2</v>
      </c>
      <c r="AO1113">
        <v>0</v>
      </c>
      <c r="AP1113">
        <v>0</v>
      </c>
      <c r="AR1113">
        <v>0</v>
      </c>
      <c r="AU1113">
        <v>0</v>
      </c>
      <c r="AW1113">
        <v>1</v>
      </c>
      <c r="AX1113">
        <v>3</v>
      </c>
      <c r="AY1113">
        <v>345</v>
      </c>
      <c r="AZ1113">
        <v>345</v>
      </c>
      <c r="BA1113">
        <v>587</v>
      </c>
      <c r="BB1113">
        <v>44</v>
      </c>
      <c r="BD1113">
        <v>1</v>
      </c>
      <c r="BF1113" t="s">
        <v>1237</v>
      </c>
      <c r="BG1113" s="1">
        <v>44354.076388888891</v>
      </c>
      <c r="BH1113" s="1">
        <v>44354.085925925923</v>
      </c>
      <c r="BI1113" s="1">
        <v>44354.086967592593</v>
      </c>
      <c r="BJ1113" t="s">
        <v>85</v>
      </c>
      <c r="BK1113" t="s">
        <v>86</v>
      </c>
      <c r="BL1113" t="s">
        <v>87</v>
      </c>
    </row>
    <row r="1114" spans="1:64" x14ac:dyDescent="0.3">
      <c r="A1114" t="str">
        <f>"200586C0100"</f>
        <v>200586C0100</v>
      </c>
      <c r="B1114" t="str">
        <f>"200586C01003"</f>
        <v>200586C01003</v>
      </c>
      <c r="C1114" t="str">
        <f t="shared" si="66"/>
        <v>20</v>
      </c>
      <c r="D1114" t="s">
        <v>81</v>
      </c>
      <c r="E1114" t="str">
        <f t="shared" si="65"/>
        <v>066</v>
      </c>
      <c r="F1114" t="s">
        <v>951</v>
      </c>
      <c r="G1114" t="str">
        <f>"0586"</f>
        <v>0586</v>
      </c>
      <c r="H1114" t="str">
        <f>"0001"</f>
        <v>0001</v>
      </c>
      <c r="I1114" t="s">
        <v>89</v>
      </c>
      <c r="J1114">
        <v>0</v>
      </c>
      <c r="K1114">
        <v>1</v>
      </c>
      <c r="L1114">
        <v>3</v>
      </c>
      <c r="M1114">
        <v>294</v>
      </c>
      <c r="N1114">
        <v>337</v>
      </c>
      <c r="O1114">
        <v>2</v>
      </c>
      <c r="P1114">
        <v>337</v>
      </c>
      <c r="Q1114">
        <v>19</v>
      </c>
      <c r="R1114">
        <v>91</v>
      </c>
      <c r="S1114">
        <v>1</v>
      </c>
      <c r="T1114">
        <v>2</v>
      </c>
      <c r="U1114">
        <v>8</v>
      </c>
      <c r="V1114">
        <v>7</v>
      </c>
      <c r="W1114">
        <v>1</v>
      </c>
      <c r="X1114">
        <v>180</v>
      </c>
      <c r="Y1114">
        <v>4</v>
      </c>
      <c r="Z1114">
        <v>3</v>
      </c>
      <c r="AA1114">
        <v>1</v>
      </c>
      <c r="AB1114">
        <v>15</v>
      </c>
      <c r="AK1114">
        <v>0</v>
      </c>
      <c r="AO1114">
        <v>1</v>
      </c>
      <c r="AP1114">
        <v>0</v>
      </c>
      <c r="AR1114">
        <v>0</v>
      </c>
      <c r="AU1114">
        <v>0</v>
      </c>
      <c r="AW1114">
        <v>0</v>
      </c>
      <c r="AX1114">
        <v>4</v>
      </c>
      <c r="AY1114">
        <v>337</v>
      </c>
      <c r="AZ1114">
        <v>337</v>
      </c>
      <c r="BA1114">
        <v>587</v>
      </c>
      <c r="BB1114">
        <v>44</v>
      </c>
      <c r="BD1114">
        <v>1</v>
      </c>
      <c r="BF1114" t="s">
        <v>1238</v>
      </c>
      <c r="BG1114" s="1">
        <v>44354.079861111109</v>
      </c>
      <c r="BH1114" s="1">
        <v>44354.089525462965</v>
      </c>
      <c r="BI1114" s="1">
        <v>44354.09002314815</v>
      </c>
      <c r="BJ1114" t="s">
        <v>85</v>
      </c>
      <c r="BK1114" t="s">
        <v>86</v>
      </c>
      <c r="BL1114" t="s">
        <v>87</v>
      </c>
    </row>
    <row r="1115" spans="1:64" x14ac:dyDescent="0.3">
      <c r="A1115" t="str">
        <f>"200587B0000"</f>
        <v>200587B0000</v>
      </c>
      <c r="B1115" t="str">
        <f>"200587B00003"</f>
        <v>200587B00003</v>
      </c>
      <c r="C1115" t="str">
        <f t="shared" si="66"/>
        <v>20</v>
      </c>
      <c r="D1115" t="s">
        <v>81</v>
      </c>
      <c r="E1115" t="str">
        <f t="shared" si="65"/>
        <v>066</v>
      </c>
      <c r="F1115" t="s">
        <v>951</v>
      </c>
      <c r="G1115" t="str">
        <f>"0587"</f>
        <v>0587</v>
      </c>
      <c r="H1115" t="str">
        <f>"0000"</f>
        <v>0000</v>
      </c>
      <c r="I1115" t="s">
        <v>83</v>
      </c>
      <c r="J1115">
        <v>0</v>
      </c>
      <c r="K1115">
        <v>1</v>
      </c>
      <c r="L1115">
        <v>3</v>
      </c>
      <c r="M1115">
        <v>342</v>
      </c>
      <c r="N1115">
        <v>369</v>
      </c>
      <c r="O1115">
        <v>2</v>
      </c>
      <c r="P1115">
        <v>372</v>
      </c>
      <c r="Q1115">
        <v>30</v>
      </c>
      <c r="R1115">
        <v>78</v>
      </c>
      <c r="S1115">
        <v>2</v>
      </c>
      <c r="T1115">
        <v>3</v>
      </c>
      <c r="U1115">
        <v>7</v>
      </c>
      <c r="V1115">
        <v>9</v>
      </c>
      <c r="W1115">
        <v>5</v>
      </c>
      <c r="X1115">
        <v>200</v>
      </c>
      <c r="Y1115">
        <v>5</v>
      </c>
      <c r="Z1115">
        <v>7</v>
      </c>
      <c r="AA1115">
        <v>1</v>
      </c>
      <c r="AB1115">
        <v>11</v>
      </c>
      <c r="AK1115">
        <v>1</v>
      </c>
      <c r="AO1115" t="s">
        <v>95</v>
      </c>
      <c r="AP1115" t="s">
        <v>95</v>
      </c>
      <c r="AR1115" t="s">
        <v>95</v>
      </c>
      <c r="AU1115" t="s">
        <v>95</v>
      </c>
      <c r="AW1115" t="s">
        <v>95</v>
      </c>
      <c r="AX1115">
        <v>13</v>
      </c>
      <c r="AY1115">
        <v>372</v>
      </c>
      <c r="AZ1115">
        <v>372</v>
      </c>
      <c r="BA1115">
        <v>670</v>
      </c>
      <c r="BB1115">
        <v>44</v>
      </c>
      <c r="BC1115" t="s">
        <v>96</v>
      </c>
      <c r="BD1115">
        <v>1</v>
      </c>
      <c r="BF1115" t="s">
        <v>1239</v>
      </c>
      <c r="BG1115" s="1">
        <v>44354.291666666664</v>
      </c>
      <c r="BH1115" s="1">
        <v>44354.293043981481</v>
      </c>
      <c r="BI1115" s="1">
        <v>44354.294374999998</v>
      </c>
      <c r="BJ1115" t="s">
        <v>85</v>
      </c>
      <c r="BK1115" t="s">
        <v>86</v>
      </c>
      <c r="BL1115" t="s">
        <v>87</v>
      </c>
    </row>
    <row r="1116" spans="1:64" x14ac:dyDescent="0.3">
      <c r="A1116" t="str">
        <f>"200587C0100"</f>
        <v>200587C0100</v>
      </c>
      <c r="B1116" t="str">
        <f>"200587C01003"</f>
        <v>200587C01003</v>
      </c>
      <c r="C1116" t="str">
        <f t="shared" si="66"/>
        <v>20</v>
      </c>
      <c r="D1116" t="s">
        <v>81</v>
      </c>
      <c r="E1116" t="str">
        <f t="shared" si="65"/>
        <v>066</v>
      </c>
      <c r="F1116" t="s">
        <v>951</v>
      </c>
      <c r="G1116" t="str">
        <f>"0587"</f>
        <v>0587</v>
      </c>
      <c r="H1116" t="str">
        <f>"0001"</f>
        <v>0001</v>
      </c>
      <c r="I1116" t="s">
        <v>89</v>
      </c>
      <c r="J1116">
        <v>0</v>
      </c>
      <c r="K1116">
        <v>1</v>
      </c>
      <c r="L1116">
        <v>3</v>
      </c>
      <c r="M1116">
        <v>382</v>
      </c>
      <c r="N1116">
        <v>332</v>
      </c>
      <c r="O1116">
        <v>2</v>
      </c>
      <c r="P1116">
        <v>331</v>
      </c>
      <c r="Q1116">
        <v>17</v>
      </c>
      <c r="R1116">
        <v>67</v>
      </c>
      <c r="S1116">
        <v>4</v>
      </c>
      <c r="T1116">
        <v>3</v>
      </c>
      <c r="U1116">
        <v>12</v>
      </c>
      <c r="V1116">
        <v>4</v>
      </c>
      <c r="W1116">
        <v>6</v>
      </c>
      <c r="X1116">
        <v>188</v>
      </c>
      <c r="Y1116">
        <v>9</v>
      </c>
      <c r="Z1116">
        <v>2</v>
      </c>
      <c r="AA1116">
        <v>2</v>
      </c>
      <c r="AB1116">
        <v>11</v>
      </c>
      <c r="AK1116">
        <v>1</v>
      </c>
      <c r="AO1116">
        <v>0</v>
      </c>
      <c r="AP1116">
        <v>0</v>
      </c>
      <c r="AR1116">
        <v>0</v>
      </c>
      <c r="AU1116">
        <v>0</v>
      </c>
      <c r="AW1116">
        <v>0</v>
      </c>
      <c r="AX1116">
        <v>5</v>
      </c>
      <c r="AY1116">
        <v>331</v>
      </c>
      <c r="AZ1116">
        <v>331</v>
      </c>
      <c r="BA1116">
        <v>669</v>
      </c>
      <c r="BB1116">
        <v>44</v>
      </c>
      <c r="BD1116">
        <v>1</v>
      </c>
      <c r="BF1116" t="s">
        <v>1240</v>
      </c>
      <c r="BG1116" s="1">
        <v>44354.086805555555</v>
      </c>
      <c r="BH1116" s="1">
        <v>44354.097280092596</v>
      </c>
      <c r="BI1116" s="1">
        <v>44354.098275462966</v>
      </c>
      <c r="BJ1116" t="s">
        <v>85</v>
      </c>
      <c r="BK1116" t="s">
        <v>86</v>
      </c>
      <c r="BL1116" t="s">
        <v>87</v>
      </c>
    </row>
    <row r="1117" spans="1:64" x14ac:dyDescent="0.3">
      <c r="A1117" t="str">
        <f>"200588B0000"</f>
        <v>200588B0000</v>
      </c>
      <c r="B1117" t="str">
        <f>"200588B00003"</f>
        <v>200588B00003</v>
      </c>
      <c r="C1117" t="str">
        <f t="shared" si="66"/>
        <v>20</v>
      </c>
      <c r="D1117" t="s">
        <v>81</v>
      </c>
      <c r="E1117" t="str">
        <f t="shared" si="65"/>
        <v>066</v>
      </c>
      <c r="F1117" t="s">
        <v>951</v>
      </c>
      <c r="G1117" t="str">
        <f>"0588"</f>
        <v>0588</v>
      </c>
      <c r="H1117" t="str">
        <f>"0000"</f>
        <v>0000</v>
      </c>
      <c r="I1117" t="s">
        <v>83</v>
      </c>
      <c r="J1117">
        <v>0</v>
      </c>
      <c r="K1117">
        <v>1</v>
      </c>
      <c r="L1117">
        <v>3</v>
      </c>
      <c r="M1117">
        <v>279</v>
      </c>
      <c r="N1117">
        <v>309</v>
      </c>
      <c r="O1117">
        <v>4</v>
      </c>
      <c r="P1117">
        <v>309</v>
      </c>
      <c r="Q1117">
        <v>10</v>
      </c>
      <c r="R1117">
        <v>86</v>
      </c>
      <c r="S1117">
        <v>6</v>
      </c>
      <c r="T1117">
        <v>2</v>
      </c>
      <c r="U1117">
        <v>9</v>
      </c>
      <c r="V1117">
        <v>6</v>
      </c>
      <c r="W1117">
        <v>2</v>
      </c>
      <c r="X1117">
        <v>156</v>
      </c>
      <c r="Y1117">
        <v>1</v>
      </c>
      <c r="Z1117">
        <v>6</v>
      </c>
      <c r="AA1117">
        <v>1</v>
      </c>
      <c r="AB1117">
        <v>8</v>
      </c>
      <c r="AK1117">
        <v>2</v>
      </c>
      <c r="AO1117">
        <v>0</v>
      </c>
      <c r="AP1117">
        <v>0</v>
      </c>
      <c r="AR1117">
        <v>0</v>
      </c>
      <c r="AU1117">
        <v>0</v>
      </c>
      <c r="AW1117">
        <v>0</v>
      </c>
      <c r="AX1117">
        <v>14</v>
      </c>
      <c r="AY1117">
        <v>309</v>
      </c>
      <c r="AZ1117">
        <v>309</v>
      </c>
      <c r="BA1117">
        <v>544</v>
      </c>
      <c r="BB1117">
        <v>44</v>
      </c>
      <c r="BD1117">
        <v>1</v>
      </c>
      <c r="BF1117" t="s">
        <v>1241</v>
      </c>
      <c r="BG1117" s="1">
        <v>44354.080555555556</v>
      </c>
      <c r="BH1117" s="1">
        <v>44354.094537037039</v>
      </c>
      <c r="BI1117" s="1">
        <v>44354.095092592594</v>
      </c>
      <c r="BJ1117" t="s">
        <v>85</v>
      </c>
      <c r="BK1117" t="s">
        <v>86</v>
      </c>
      <c r="BL1117" t="s">
        <v>87</v>
      </c>
    </row>
    <row r="1118" spans="1:64" x14ac:dyDescent="0.3">
      <c r="A1118" t="str">
        <f>"200588C0100"</f>
        <v>200588C0100</v>
      </c>
      <c r="B1118" t="str">
        <f>"200588C01003"</f>
        <v>200588C01003</v>
      </c>
      <c r="C1118" t="str">
        <f t="shared" si="66"/>
        <v>20</v>
      </c>
      <c r="D1118" t="s">
        <v>81</v>
      </c>
      <c r="E1118" t="str">
        <f t="shared" si="65"/>
        <v>066</v>
      </c>
      <c r="F1118" t="s">
        <v>951</v>
      </c>
      <c r="G1118" t="str">
        <f>"0588"</f>
        <v>0588</v>
      </c>
      <c r="H1118" t="str">
        <f>"0001"</f>
        <v>0001</v>
      </c>
      <c r="I1118" t="s">
        <v>89</v>
      </c>
      <c r="J1118">
        <v>0</v>
      </c>
      <c r="K1118">
        <v>1</v>
      </c>
      <c r="L1118">
        <v>3</v>
      </c>
      <c r="M1118">
        <v>314</v>
      </c>
      <c r="N1118">
        <v>275</v>
      </c>
      <c r="O1118">
        <v>3</v>
      </c>
      <c r="P1118">
        <v>275</v>
      </c>
      <c r="Q1118">
        <v>13</v>
      </c>
      <c r="R1118">
        <v>67</v>
      </c>
      <c r="S1118">
        <v>1</v>
      </c>
      <c r="T1118">
        <v>7</v>
      </c>
      <c r="U1118">
        <v>4</v>
      </c>
      <c r="V1118">
        <v>7</v>
      </c>
      <c r="W1118">
        <v>5</v>
      </c>
      <c r="X1118">
        <v>147</v>
      </c>
      <c r="Y1118">
        <v>5</v>
      </c>
      <c r="Z1118">
        <v>2</v>
      </c>
      <c r="AA1118">
        <v>3</v>
      </c>
      <c r="AB1118">
        <v>4</v>
      </c>
      <c r="AK1118">
        <v>2</v>
      </c>
      <c r="AO1118">
        <v>0</v>
      </c>
      <c r="AP1118">
        <v>0</v>
      </c>
      <c r="AR1118">
        <v>0</v>
      </c>
      <c r="AU1118">
        <v>0</v>
      </c>
      <c r="AW1118">
        <v>1</v>
      </c>
      <c r="AX1118">
        <v>7</v>
      </c>
      <c r="AY1118">
        <v>275</v>
      </c>
      <c r="AZ1118">
        <v>275</v>
      </c>
      <c r="BA1118">
        <v>544</v>
      </c>
      <c r="BB1118">
        <v>44</v>
      </c>
      <c r="BD1118">
        <v>1</v>
      </c>
      <c r="BF1118" t="s">
        <v>1242</v>
      </c>
      <c r="BG1118" s="1">
        <v>44354.086111111108</v>
      </c>
      <c r="BH1118" s="1">
        <v>44354.09710648148</v>
      </c>
      <c r="BI1118" s="1">
        <v>44354.097627314812</v>
      </c>
      <c r="BJ1118" t="s">
        <v>85</v>
      </c>
      <c r="BK1118" t="s">
        <v>86</v>
      </c>
      <c r="BL1118" t="s">
        <v>87</v>
      </c>
    </row>
    <row r="1119" spans="1:64" x14ac:dyDescent="0.3">
      <c r="A1119" t="str">
        <f>"200589B0000"</f>
        <v>200589B0000</v>
      </c>
      <c r="B1119" t="str">
        <f>"200589B00003"</f>
        <v>200589B00003</v>
      </c>
      <c r="C1119" t="str">
        <f t="shared" si="66"/>
        <v>20</v>
      </c>
      <c r="D1119" t="s">
        <v>81</v>
      </c>
      <c r="E1119" t="str">
        <f t="shared" si="65"/>
        <v>066</v>
      </c>
      <c r="F1119" t="s">
        <v>951</v>
      </c>
      <c r="G1119" t="str">
        <f>"0589"</f>
        <v>0589</v>
      </c>
      <c r="H1119" t="str">
        <f>"0000"</f>
        <v>0000</v>
      </c>
      <c r="I1119" t="s">
        <v>83</v>
      </c>
      <c r="J1119">
        <v>0</v>
      </c>
      <c r="K1119">
        <v>1</v>
      </c>
      <c r="L1119">
        <v>3</v>
      </c>
      <c r="M1119">
        <v>346</v>
      </c>
      <c r="N1119">
        <v>328</v>
      </c>
      <c r="O1119">
        <v>8</v>
      </c>
      <c r="P1119">
        <v>328</v>
      </c>
      <c r="Q1119">
        <v>40</v>
      </c>
      <c r="R1119">
        <v>86</v>
      </c>
      <c r="S1119">
        <v>8</v>
      </c>
      <c r="T1119">
        <v>1</v>
      </c>
      <c r="U1119">
        <v>10</v>
      </c>
      <c r="V1119">
        <v>7</v>
      </c>
      <c r="W1119">
        <v>3</v>
      </c>
      <c r="X1119">
        <v>140</v>
      </c>
      <c r="Y1119">
        <v>3</v>
      </c>
      <c r="Z1119">
        <v>6</v>
      </c>
      <c r="AA1119">
        <v>4</v>
      </c>
      <c r="AB1119">
        <v>7</v>
      </c>
      <c r="AK1119">
        <v>4</v>
      </c>
      <c r="AO1119">
        <v>1</v>
      </c>
      <c r="AP1119">
        <v>0</v>
      </c>
      <c r="AR1119">
        <v>0</v>
      </c>
      <c r="AU1119">
        <v>0</v>
      </c>
      <c r="AW1119">
        <v>0</v>
      </c>
      <c r="AX1119">
        <v>8</v>
      </c>
      <c r="AY1119">
        <v>328</v>
      </c>
      <c r="AZ1119">
        <v>328</v>
      </c>
      <c r="BA1119">
        <v>630</v>
      </c>
      <c r="BB1119">
        <v>44</v>
      </c>
      <c r="BD1119">
        <v>1</v>
      </c>
      <c r="BF1119" t="s">
        <v>1243</v>
      </c>
      <c r="BG1119" s="1">
        <v>44354.038194444445</v>
      </c>
      <c r="BH1119" s="1">
        <v>44354.050138888888</v>
      </c>
      <c r="BI1119" s="1">
        <v>44354.050659722219</v>
      </c>
      <c r="BJ1119" t="s">
        <v>85</v>
      </c>
      <c r="BK1119" t="s">
        <v>86</v>
      </c>
      <c r="BL1119" t="s">
        <v>87</v>
      </c>
    </row>
    <row r="1120" spans="1:64" x14ac:dyDescent="0.3">
      <c r="A1120" t="str">
        <f>"200589C0100"</f>
        <v>200589C0100</v>
      </c>
      <c r="B1120" t="str">
        <f>"200589C01003"</f>
        <v>200589C01003</v>
      </c>
      <c r="C1120" t="str">
        <f t="shared" si="66"/>
        <v>20</v>
      </c>
      <c r="D1120" t="s">
        <v>81</v>
      </c>
      <c r="E1120" t="str">
        <f t="shared" si="65"/>
        <v>066</v>
      </c>
      <c r="F1120" t="s">
        <v>951</v>
      </c>
      <c r="G1120" t="str">
        <f>"0589"</f>
        <v>0589</v>
      </c>
      <c r="H1120" t="str">
        <f>"0001"</f>
        <v>0001</v>
      </c>
      <c r="I1120" t="s">
        <v>89</v>
      </c>
      <c r="J1120">
        <v>0</v>
      </c>
      <c r="K1120">
        <v>1</v>
      </c>
      <c r="L1120">
        <v>3</v>
      </c>
      <c r="M1120">
        <v>339</v>
      </c>
      <c r="N1120">
        <v>334</v>
      </c>
      <c r="O1120">
        <v>4</v>
      </c>
      <c r="P1120">
        <v>334</v>
      </c>
      <c r="Q1120">
        <v>40</v>
      </c>
      <c r="R1120">
        <v>82</v>
      </c>
      <c r="S1120">
        <v>5</v>
      </c>
      <c r="T1120">
        <v>4</v>
      </c>
      <c r="U1120">
        <v>7</v>
      </c>
      <c r="V1120">
        <v>9</v>
      </c>
      <c r="W1120">
        <v>3</v>
      </c>
      <c r="X1120">
        <v>160</v>
      </c>
      <c r="Y1120">
        <v>2</v>
      </c>
      <c r="Z1120">
        <v>5</v>
      </c>
      <c r="AA1120">
        <v>1</v>
      </c>
      <c r="AB1120">
        <v>10</v>
      </c>
      <c r="AK1120">
        <v>0</v>
      </c>
      <c r="AO1120">
        <v>2</v>
      </c>
      <c r="AP1120">
        <v>0</v>
      </c>
      <c r="AR1120">
        <v>0</v>
      </c>
      <c r="AU1120">
        <v>0</v>
      </c>
      <c r="AW1120">
        <v>0</v>
      </c>
      <c r="AX1120">
        <v>4</v>
      </c>
      <c r="AY1120">
        <v>334</v>
      </c>
      <c r="AZ1120">
        <v>334</v>
      </c>
      <c r="BA1120">
        <v>629</v>
      </c>
      <c r="BB1120">
        <v>44</v>
      </c>
      <c r="BD1120">
        <v>1</v>
      </c>
      <c r="BF1120" t="s">
        <v>1244</v>
      </c>
      <c r="BG1120" s="1">
        <v>44354.029861111114</v>
      </c>
      <c r="BH1120" s="1">
        <v>44354.478981481479</v>
      </c>
      <c r="BI1120" s="1">
        <v>44354.479791666665</v>
      </c>
      <c r="BJ1120" t="s">
        <v>85</v>
      </c>
      <c r="BK1120" t="s">
        <v>86</v>
      </c>
      <c r="BL1120" t="s">
        <v>87</v>
      </c>
    </row>
    <row r="1121" spans="1:64" x14ac:dyDescent="0.3">
      <c r="A1121" t="str">
        <f>"200590B0000"</f>
        <v>200590B0000</v>
      </c>
      <c r="B1121" t="str">
        <f>"200590B00003"</f>
        <v>200590B00003</v>
      </c>
      <c r="C1121" t="str">
        <f t="shared" si="66"/>
        <v>20</v>
      </c>
      <c r="D1121" t="s">
        <v>81</v>
      </c>
      <c r="E1121" t="str">
        <f t="shared" si="65"/>
        <v>066</v>
      </c>
      <c r="F1121" t="s">
        <v>951</v>
      </c>
      <c r="G1121" t="str">
        <f>"0590"</f>
        <v>0590</v>
      </c>
      <c r="H1121" t="str">
        <f>"0000"</f>
        <v>0000</v>
      </c>
      <c r="I1121" t="s">
        <v>83</v>
      </c>
      <c r="J1121">
        <v>0</v>
      </c>
      <c r="K1121">
        <v>1</v>
      </c>
      <c r="L1121">
        <v>3</v>
      </c>
      <c r="M1121">
        <v>426</v>
      </c>
      <c r="N1121">
        <v>272</v>
      </c>
      <c r="O1121">
        <v>0</v>
      </c>
      <c r="P1121">
        <v>272</v>
      </c>
      <c r="Q1121">
        <v>25</v>
      </c>
      <c r="R1121">
        <v>58</v>
      </c>
      <c r="S1121">
        <v>2</v>
      </c>
      <c r="T1121">
        <v>3</v>
      </c>
      <c r="U1121">
        <v>3</v>
      </c>
      <c r="V1121">
        <v>5</v>
      </c>
      <c r="W1121">
        <v>2</v>
      </c>
      <c r="X1121">
        <v>142</v>
      </c>
      <c r="Y1121">
        <v>3</v>
      </c>
      <c r="Z1121">
        <v>7</v>
      </c>
      <c r="AA1121">
        <v>5</v>
      </c>
      <c r="AB1121">
        <v>9</v>
      </c>
      <c r="AK1121">
        <v>1</v>
      </c>
      <c r="AO1121" t="s">
        <v>95</v>
      </c>
      <c r="AP1121" t="s">
        <v>95</v>
      </c>
      <c r="AR1121" t="s">
        <v>95</v>
      </c>
      <c r="AU1121" t="s">
        <v>95</v>
      </c>
      <c r="AW1121" t="s">
        <v>95</v>
      </c>
      <c r="AX1121">
        <v>7</v>
      </c>
      <c r="AY1121">
        <v>272</v>
      </c>
      <c r="AZ1121">
        <v>272</v>
      </c>
      <c r="BA1121">
        <v>654</v>
      </c>
      <c r="BB1121">
        <v>44</v>
      </c>
      <c r="BC1121" t="s">
        <v>96</v>
      </c>
      <c r="BD1121">
        <v>1</v>
      </c>
      <c r="BF1121" t="s">
        <v>1245</v>
      </c>
      <c r="BG1121" s="1">
        <v>44354.061805555553</v>
      </c>
      <c r="BH1121" s="1">
        <v>44354.072870370372</v>
      </c>
      <c r="BI1121" s="1">
        <v>44354.073495370372</v>
      </c>
      <c r="BJ1121" t="s">
        <v>85</v>
      </c>
      <c r="BK1121" t="s">
        <v>86</v>
      </c>
      <c r="BL1121" t="s">
        <v>87</v>
      </c>
    </row>
    <row r="1122" spans="1:64" x14ac:dyDescent="0.3">
      <c r="A1122" t="str">
        <f>"200590C0100"</f>
        <v>200590C0100</v>
      </c>
      <c r="B1122" t="str">
        <f>"200590C01003"</f>
        <v>200590C01003</v>
      </c>
      <c r="C1122" t="str">
        <f t="shared" si="66"/>
        <v>20</v>
      </c>
      <c r="D1122" t="s">
        <v>81</v>
      </c>
      <c r="E1122" t="str">
        <f t="shared" si="65"/>
        <v>066</v>
      </c>
      <c r="F1122" t="s">
        <v>951</v>
      </c>
      <c r="G1122" t="str">
        <f>"0590"</f>
        <v>0590</v>
      </c>
      <c r="H1122" t="str">
        <f>"0001"</f>
        <v>0001</v>
      </c>
      <c r="I1122" t="s">
        <v>89</v>
      </c>
      <c r="J1122">
        <v>0</v>
      </c>
      <c r="K1122">
        <v>1</v>
      </c>
      <c r="L1122">
        <v>3</v>
      </c>
      <c r="M1122">
        <v>434</v>
      </c>
      <c r="N1122">
        <v>260</v>
      </c>
      <c r="O1122">
        <v>0</v>
      </c>
      <c r="P1122">
        <v>263</v>
      </c>
      <c r="Q1122">
        <v>9</v>
      </c>
      <c r="R1122">
        <v>44</v>
      </c>
      <c r="S1122">
        <v>1</v>
      </c>
      <c r="T1122">
        <v>5</v>
      </c>
      <c r="U1122">
        <v>9</v>
      </c>
      <c r="V1122">
        <v>3</v>
      </c>
      <c r="W1122">
        <v>4</v>
      </c>
      <c r="X1122">
        <v>165</v>
      </c>
      <c r="Y1122">
        <v>3</v>
      </c>
      <c r="Z1122">
        <v>3</v>
      </c>
      <c r="AA1122">
        <v>0</v>
      </c>
      <c r="AB1122">
        <v>7</v>
      </c>
      <c r="AK1122">
        <v>2</v>
      </c>
      <c r="AO1122">
        <v>0</v>
      </c>
      <c r="AP1122">
        <v>0</v>
      </c>
      <c r="AR1122">
        <v>0</v>
      </c>
      <c r="AU1122">
        <v>0</v>
      </c>
      <c r="AW1122">
        <v>0</v>
      </c>
      <c r="AX1122">
        <v>8</v>
      </c>
      <c r="AY1122">
        <v>263</v>
      </c>
      <c r="AZ1122">
        <v>263</v>
      </c>
      <c r="BA1122">
        <v>653</v>
      </c>
      <c r="BB1122">
        <v>44</v>
      </c>
      <c r="BD1122">
        <v>1</v>
      </c>
      <c r="BF1122" t="s">
        <v>1246</v>
      </c>
      <c r="BG1122" s="1">
        <v>44354.061805555553</v>
      </c>
      <c r="BH1122" s="1">
        <v>44354.07236111111</v>
      </c>
      <c r="BI1122" s="1">
        <v>44354.073078703703</v>
      </c>
      <c r="BJ1122" t="s">
        <v>85</v>
      </c>
      <c r="BK1122" t="s">
        <v>86</v>
      </c>
      <c r="BL1122" t="s">
        <v>87</v>
      </c>
    </row>
    <row r="1123" spans="1:64" x14ac:dyDescent="0.3">
      <c r="A1123" t="str">
        <f>"200591B0000"</f>
        <v>200591B0000</v>
      </c>
      <c r="B1123" t="str">
        <f>"200591B00003"</f>
        <v>200591B00003</v>
      </c>
      <c r="C1123" t="str">
        <f t="shared" si="66"/>
        <v>20</v>
      </c>
      <c r="D1123" t="s">
        <v>81</v>
      </c>
      <c r="E1123" t="str">
        <f t="shared" si="65"/>
        <v>066</v>
      </c>
      <c r="F1123" t="s">
        <v>951</v>
      </c>
      <c r="G1123" t="str">
        <f>"0591"</f>
        <v>0591</v>
      </c>
      <c r="H1123" t="str">
        <f>"0000"</f>
        <v>0000</v>
      </c>
      <c r="I1123" t="s">
        <v>83</v>
      </c>
      <c r="J1123">
        <v>0</v>
      </c>
      <c r="K1123">
        <v>1</v>
      </c>
      <c r="L1123">
        <v>3</v>
      </c>
      <c r="M1123">
        <v>364</v>
      </c>
      <c r="N1123">
        <v>281</v>
      </c>
      <c r="O1123">
        <v>5</v>
      </c>
      <c r="P1123">
        <v>281</v>
      </c>
      <c r="Q1123">
        <v>24</v>
      </c>
      <c r="R1123">
        <v>63</v>
      </c>
      <c r="S1123">
        <v>2</v>
      </c>
      <c r="T1123">
        <v>3</v>
      </c>
      <c r="U1123">
        <v>4</v>
      </c>
      <c r="V1123">
        <v>4</v>
      </c>
      <c r="W1123">
        <v>2</v>
      </c>
      <c r="X1123">
        <v>155</v>
      </c>
      <c r="Y1123">
        <v>4</v>
      </c>
      <c r="Z1123">
        <v>4</v>
      </c>
      <c r="AA1123">
        <v>3</v>
      </c>
      <c r="AB1123">
        <v>5</v>
      </c>
      <c r="AK1123" t="s">
        <v>95</v>
      </c>
      <c r="AO1123" t="s">
        <v>95</v>
      </c>
      <c r="AP1123" t="s">
        <v>95</v>
      </c>
      <c r="AR1123" t="s">
        <v>95</v>
      </c>
      <c r="AU1123" t="s">
        <v>95</v>
      </c>
      <c r="AW1123" t="s">
        <v>95</v>
      </c>
      <c r="AX1123">
        <v>8</v>
      </c>
      <c r="AY1123">
        <v>281</v>
      </c>
      <c r="AZ1123">
        <v>281</v>
      </c>
      <c r="BA1123">
        <v>601</v>
      </c>
      <c r="BB1123">
        <v>44</v>
      </c>
      <c r="BC1123" t="s">
        <v>96</v>
      </c>
      <c r="BD1123">
        <v>1</v>
      </c>
      <c r="BF1123" t="s">
        <v>1247</v>
      </c>
      <c r="BG1123" s="1">
        <v>44354.129861111112</v>
      </c>
      <c r="BH1123" s="1">
        <v>44354.133703703701</v>
      </c>
      <c r="BI1123" s="1">
        <v>44354.134247685186</v>
      </c>
      <c r="BJ1123" t="s">
        <v>85</v>
      </c>
      <c r="BK1123" t="s">
        <v>86</v>
      </c>
      <c r="BL1123" t="s">
        <v>87</v>
      </c>
    </row>
    <row r="1124" spans="1:64" x14ac:dyDescent="0.3">
      <c r="A1124" t="str">
        <f>"200591C0100"</f>
        <v>200591C0100</v>
      </c>
      <c r="B1124" t="str">
        <f>"200591C01003"</f>
        <v>200591C01003</v>
      </c>
      <c r="C1124" t="str">
        <f t="shared" si="66"/>
        <v>20</v>
      </c>
      <c r="D1124" t="s">
        <v>81</v>
      </c>
      <c r="E1124" t="str">
        <f t="shared" si="65"/>
        <v>066</v>
      </c>
      <c r="F1124" t="s">
        <v>951</v>
      </c>
      <c r="G1124" t="str">
        <f>"0591"</f>
        <v>0591</v>
      </c>
      <c r="H1124" t="str">
        <f>"0001"</f>
        <v>0001</v>
      </c>
      <c r="I1124" t="s">
        <v>89</v>
      </c>
      <c r="J1124">
        <v>0</v>
      </c>
      <c r="K1124">
        <v>1</v>
      </c>
      <c r="L1124">
        <v>3</v>
      </c>
      <c r="M1124">
        <v>355</v>
      </c>
      <c r="N1124">
        <v>290</v>
      </c>
      <c r="O1124">
        <v>5</v>
      </c>
      <c r="P1124">
        <v>290</v>
      </c>
      <c r="Q1124">
        <v>19</v>
      </c>
      <c r="R1124">
        <v>79</v>
      </c>
      <c r="S1124">
        <v>1</v>
      </c>
      <c r="T1124">
        <v>5</v>
      </c>
      <c r="U1124">
        <v>3</v>
      </c>
      <c r="V1124">
        <v>3</v>
      </c>
      <c r="W1124">
        <v>4</v>
      </c>
      <c r="X1124">
        <v>147</v>
      </c>
      <c r="Y1124">
        <v>8</v>
      </c>
      <c r="Z1124">
        <v>6</v>
      </c>
      <c r="AA1124">
        <v>4</v>
      </c>
      <c r="AB1124">
        <v>8</v>
      </c>
      <c r="AK1124">
        <v>0</v>
      </c>
      <c r="AO1124">
        <v>0</v>
      </c>
      <c r="AP1124">
        <v>0</v>
      </c>
      <c r="AR1124">
        <v>0</v>
      </c>
      <c r="AU1124">
        <v>0</v>
      </c>
      <c r="AW1124">
        <v>0</v>
      </c>
      <c r="AX1124">
        <v>4</v>
      </c>
      <c r="AY1124">
        <v>290</v>
      </c>
      <c r="AZ1124">
        <v>291</v>
      </c>
      <c r="BA1124">
        <v>600</v>
      </c>
      <c r="BB1124">
        <v>44</v>
      </c>
      <c r="BD1124">
        <v>1</v>
      </c>
      <c r="BF1124" t="s">
        <v>1248</v>
      </c>
      <c r="BG1124" s="1">
        <v>44354.129861111112</v>
      </c>
      <c r="BH1124" s="1">
        <v>44354.132870370369</v>
      </c>
      <c r="BI1124" s="1">
        <v>44354.135254629633</v>
      </c>
      <c r="BJ1124" t="s">
        <v>85</v>
      </c>
      <c r="BK1124" t="s">
        <v>86</v>
      </c>
      <c r="BL1124" t="s">
        <v>87</v>
      </c>
    </row>
    <row r="1125" spans="1:64" x14ac:dyDescent="0.3">
      <c r="A1125" t="str">
        <f>"200592B0000"</f>
        <v>200592B0000</v>
      </c>
      <c r="B1125" t="str">
        <f>"200592B00003"</f>
        <v>200592B00003</v>
      </c>
      <c r="C1125" t="str">
        <f t="shared" si="66"/>
        <v>20</v>
      </c>
      <c r="D1125" t="s">
        <v>81</v>
      </c>
      <c r="E1125" t="str">
        <f t="shared" si="65"/>
        <v>066</v>
      </c>
      <c r="F1125" t="s">
        <v>951</v>
      </c>
      <c r="G1125" t="str">
        <f>"0592"</f>
        <v>0592</v>
      </c>
      <c r="H1125" t="str">
        <f>"0000"</f>
        <v>0000</v>
      </c>
      <c r="I1125" t="s">
        <v>83</v>
      </c>
      <c r="J1125">
        <v>0</v>
      </c>
      <c r="K1125">
        <v>1</v>
      </c>
      <c r="L1125">
        <v>3</v>
      </c>
      <c r="M1125">
        <v>368</v>
      </c>
      <c r="N1125">
        <v>327</v>
      </c>
      <c r="O1125">
        <v>8</v>
      </c>
      <c r="P1125" t="s">
        <v>92</v>
      </c>
      <c r="Q1125">
        <v>23</v>
      </c>
      <c r="R1125">
        <v>77</v>
      </c>
      <c r="S1125">
        <v>2</v>
      </c>
      <c r="T1125">
        <v>4</v>
      </c>
      <c r="U1125">
        <v>10</v>
      </c>
      <c r="V1125">
        <v>4</v>
      </c>
      <c r="W1125">
        <v>3</v>
      </c>
      <c r="X1125">
        <v>179</v>
      </c>
      <c r="Y1125">
        <v>3</v>
      </c>
      <c r="Z1125">
        <v>2</v>
      </c>
      <c r="AA1125">
        <v>2</v>
      </c>
      <c r="AB1125">
        <v>9</v>
      </c>
      <c r="AK1125">
        <v>1</v>
      </c>
      <c r="AO1125">
        <v>0</v>
      </c>
      <c r="AP1125">
        <v>0</v>
      </c>
      <c r="AR1125">
        <v>0</v>
      </c>
      <c r="AU1125">
        <v>0</v>
      </c>
      <c r="AW1125">
        <v>0</v>
      </c>
      <c r="AX1125">
        <v>8</v>
      </c>
      <c r="AY1125">
        <v>327</v>
      </c>
      <c r="AZ1125">
        <v>327</v>
      </c>
      <c r="BA1125">
        <v>651</v>
      </c>
      <c r="BB1125">
        <v>44</v>
      </c>
      <c r="BD1125">
        <v>1</v>
      </c>
      <c r="BF1125" t="s">
        <v>1249</v>
      </c>
      <c r="BG1125" s="1">
        <v>44354.081944444442</v>
      </c>
      <c r="BH1125" s="1">
        <v>44354.095833333333</v>
      </c>
      <c r="BI1125" s="1">
        <v>44354.096296296295</v>
      </c>
      <c r="BJ1125" t="s">
        <v>85</v>
      </c>
      <c r="BK1125" t="s">
        <v>86</v>
      </c>
      <c r="BL1125" t="s">
        <v>87</v>
      </c>
    </row>
    <row r="1126" spans="1:64" x14ac:dyDescent="0.3">
      <c r="A1126" t="str">
        <f>"200592C0100"</f>
        <v>200592C0100</v>
      </c>
      <c r="B1126" t="str">
        <f>"200592C01003"</f>
        <v>200592C01003</v>
      </c>
      <c r="C1126" t="str">
        <f t="shared" si="66"/>
        <v>20</v>
      </c>
      <c r="D1126" t="s">
        <v>81</v>
      </c>
      <c r="E1126" t="str">
        <f t="shared" si="65"/>
        <v>066</v>
      </c>
      <c r="F1126" t="s">
        <v>951</v>
      </c>
      <c r="G1126" t="str">
        <f>"0592"</f>
        <v>0592</v>
      </c>
      <c r="H1126" t="str">
        <f>"0001"</f>
        <v>0001</v>
      </c>
      <c r="I1126" t="s">
        <v>89</v>
      </c>
      <c r="J1126">
        <v>0</v>
      </c>
      <c r="K1126">
        <v>1</v>
      </c>
      <c r="L1126">
        <v>3</v>
      </c>
      <c r="M1126">
        <v>361</v>
      </c>
      <c r="N1126">
        <v>334</v>
      </c>
      <c r="O1126">
        <v>9</v>
      </c>
      <c r="P1126">
        <v>334</v>
      </c>
      <c r="Q1126">
        <v>13</v>
      </c>
      <c r="R1126">
        <v>70</v>
      </c>
      <c r="S1126">
        <v>1</v>
      </c>
      <c r="T1126">
        <v>5</v>
      </c>
      <c r="U1126">
        <v>11</v>
      </c>
      <c r="V1126">
        <v>8</v>
      </c>
      <c r="W1126">
        <v>8</v>
      </c>
      <c r="X1126">
        <v>187</v>
      </c>
      <c r="Y1126">
        <v>8</v>
      </c>
      <c r="Z1126">
        <v>6</v>
      </c>
      <c r="AA1126">
        <v>2</v>
      </c>
      <c r="AB1126">
        <v>7</v>
      </c>
      <c r="AK1126">
        <v>2</v>
      </c>
      <c r="AO1126">
        <v>0</v>
      </c>
      <c r="AP1126">
        <v>0</v>
      </c>
      <c r="AR1126">
        <v>0</v>
      </c>
      <c r="AU1126">
        <v>0</v>
      </c>
      <c r="AW1126">
        <v>0</v>
      </c>
      <c r="AX1126">
        <v>6</v>
      </c>
      <c r="AY1126">
        <v>334</v>
      </c>
      <c r="AZ1126">
        <v>334</v>
      </c>
      <c r="BA1126">
        <v>651</v>
      </c>
      <c r="BB1126">
        <v>44</v>
      </c>
      <c r="BD1126">
        <v>1</v>
      </c>
      <c r="BF1126" t="s">
        <v>1250</v>
      </c>
      <c r="BG1126" s="1">
        <v>44354.082638888889</v>
      </c>
      <c r="BH1126" s="1">
        <v>44354.094733796293</v>
      </c>
      <c r="BI1126" s="1">
        <v>44354.095219907409</v>
      </c>
      <c r="BJ1126" t="s">
        <v>85</v>
      </c>
      <c r="BK1126" t="s">
        <v>86</v>
      </c>
      <c r="BL1126" t="s">
        <v>87</v>
      </c>
    </row>
    <row r="1127" spans="1:64" x14ac:dyDescent="0.3">
      <c r="A1127" t="str">
        <f>"200593B0000"</f>
        <v>200593B0000</v>
      </c>
      <c r="B1127" t="str">
        <f>"200593B00003"</f>
        <v>200593B00003</v>
      </c>
      <c r="C1127" t="str">
        <f t="shared" si="66"/>
        <v>20</v>
      </c>
      <c r="D1127" t="s">
        <v>81</v>
      </c>
      <c r="E1127" t="str">
        <f t="shared" si="65"/>
        <v>066</v>
      </c>
      <c r="F1127" t="s">
        <v>951</v>
      </c>
      <c r="G1127" t="str">
        <f>"0593"</f>
        <v>0593</v>
      </c>
      <c r="H1127" t="str">
        <f>"0000"</f>
        <v>0000</v>
      </c>
      <c r="I1127" t="s">
        <v>83</v>
      </c>
      <c r="J1127">
        <v>0</v>
      </c>
      <c r="K1127">
        <v>1</v>
      </c>
      <c r="L1127">
        <v>3</v>
      </c>
      <c r="M1127">
        <v>459</v>
      </c>
      <c r="N1127">
        <v>300</v>
      </c>
      <c r="O1127">
        <v>2</v>
      </c>
      <c r="P1127">
        <v>300</v>
      </c>
      <c r="Q1127">
        <v>7</v>
      </c>
      <c r="R1127">
        <v>91</v>
      </c>
      <c r="S1127">
        <v>5</v>
      </c>
      <c r="T1127">
        <v>0</v>
      </c>
      <c r="U1127">
        <v>17</v>
      </c>
      <c r="V1127">
        <v>3</v>
      </c>
      <c r="W1127">
        <v>4</v>
      </c>
      <c r="X1127">
        <v>134</v>
      </c>
      <c r="Y1127">
        <v>0</v>
      </c>
      <c r="Z1127">
        <v>2</v>
      </c>
      <c r="AA1127">
        <v>2</v>
      </c>
      <c r="AB1127">
        <v>21</v>
      </c>
      <c r="AK1127">
        <v>3</v>
      </c>
      <c r="AO1127">
        <v>0</v>
      </c>
      <c r="AP1127">
        <v>0</v>
      </c>
      <c r="AR1127">
        <v>0</v>
      </c>
      <c r="AU1127">
        <v>0</v>
      </c>
      <c r="AW1127">
        <v>0</v>
      </c>
      <c r="AX1127">
        <v>13</v>
      </c>
      <c r="AY1127">
        <v>303</v>
      </c>
      <c r="AZ1127">
        <v>302</v>
      </c>
      <c r="BA1127">
        <v>718</v>
      </c>
      <c r="BB1127">
        <v>44</v>
      </c>
      <c r="BD1127">
        <v>1</v>
      </c>
      <c r="BF1127" t="s">
        <v>1251</v>
      </c>
      <c r="BG1127" s="1">
        <v>44354.068055555559</v>
      </c>
      <c r="BH1127" s="1">
        <v>44354.077627314815</v>
      </c>
      <c r="BI1127" s="1">
        <v>44354.078113425923</v>
      </c>
      <c r="BJ1127" t="s">
        <v>85</v>
      </c>
      <c r="BK1127" t="s">
        <v>86</v>
      </c>
      <c r="BL1127" t="s">
        <v>87</v>
      </c>
    </row>
    <row r="1128" spans="1:64" x14ac:dyDescent="0.3">
      <c r="A1128" t="str">
        <f>"200593C0100"</f>
        <v>200593C0100</v>
      </c>
      <c r="B1128" t="str">
        <f>"200593C01003"</f>
        <v>200593C01003</v>
      </c>
      <c r="C1128" t="str">
        <f t="shared" si="66"/>
        <v>20</v>
      </c>
      <c r="D1128" t="s">
        <v>81</v>
      </c>
      <c r="E1128" t="str">
        <f t="shared" si="65"/>
        <v>066</v>
      </c>
      <c r="F1128" t="s">
        <v>951</v>
      </c>
      <c r="G1128" t="str">
        <f>"0593"</f>
        <v>0593</v>
      </c>
      <c r="H1128" t="str">
        <f>"0001"</f>
        <v>0001</v>
      </c>
      <c r="I1128" t="s">
        <v>89</v>
      </c>
      <c r="J1128">
        <v>0</v>
      </c>
      <c r="K1128">
        <v>1</v>
      </c>
      <c r="L1128">
        <v>3</v>
      </c>
      <c r="M1128">
        <v>477</v>
      </c>
      <c r="N1128">
        <v>283</v>
      </c>
      <c r="O1128">
        <v>6</v>
      </c>
      <c r="P1128">
        <v>284</v>
      </c>
      <c r="Q1128">
        <v>6</v>
      </c>
      <c r="R1128">
        <v>80</v>
      </c>
      <c r="S1128">
        <v>2</v>
      </c>
      <c r="T1128">
        <v>2</v>
      </c>
      <c r="U1128">
        <v>7</v>
      </c>
      <c r="V1128">
        <v>4</v>
      </c>
      <c r="W1128">
        <v>6</v>
      </c>
      <c r="X1128">
        <v>149</v>
      </c>
      <c r="Y1128">
        <v>2</v>
      </c>
      <c r="Z1128">
        <v>1</v>
      </c>
      <c r="AA1128">
        <v>2</v>
      </c>
      <c r="AB1128">
        <v>14</v>
      </c>
      <c r="AK1128">
        <v>0</v>
      </c>
      <c r="AO1128">
        <v>1</v>
      </c>
      <c r="AP1128">
        <v>0</v>
      </c>
      <c r="AR1128">
        <v>0</v>
      </c>
      <c r="AU1128">
        <v>0</v>
      </c>
      <c r="AW1128">
        <v>0</v>
      </c>
      <c r="AX1128">
        <v>8</v>
      </c>
      <c r="AY1128">
        <v>284</v>
      </c>
      <c r="AZ1128">
        <v>284</v>
      </c>
      <c r="BA1128">
        <v>717</v>
      </c>
      <c r="BB1128">
        <v>44</v>
      </c>
      <c r="BD1128">
        <v>1</v>
      </c>
      <c r="BF1128" t="s">
        <v>1252</v>
      </c>
      <c r="BG1128" s="1">
        <v>44354.076388888891</v>
      </c>
      <c r="BH1128" s="1">
        <v>44354.087673611109</v>
      </c>
      <c r="BI1128" s="1">
        <v>44354.088159722225</v>
      </c>
      <c r="BJ1128" t="s">
        <v>85</v>
      </c>
      <c r="BK1128" t="s">
        <v>86</v>
      </c>
      <c r="BL1128" t="s">
        <v>87</v>
      </c>
    </row>
    <row r="1129" spans="1:64" x14ac:dyDescent="0.3">
      <c r="A1129" t="str">
        <f>"200593C0200"</f>
        <v>200593C0200</v>
      </c>
      <c r="B1129" t="str">
        <f>"200593C02003"</f>
        <v>200593C02003</v>
      </c>
      <c r="C1129" t="str">
        <f t="shared" si="66"/>
        <v>20</v>
      </c>
      <c r="D1129" t="s">
        <v>81</v>
      </c>
      <c r="E1129" t="str">
        <f t="shared" si="65"/>
        <v>066</v>
      </c>
      <c r="F1129" t="s">
        <v>951</v>
      </c>
      <c r="G1129" t="str">
        <f>"0593"</f>
        <v>0593</v>
      </c>
      <c r="H1129" t="str">
        <f>"0002"</f>
        <v>0002</v>
      </c>
      <c r="I1129" t="s">
        <v>89</v>
      </c>
      <c r="J1129">
        <v>0</v>
      </c>
      <c r="K1129">
        <v>1</v>
      </c>
      <c r="L1129">
        <v>3</v>
      </c>
      <c r="M1129">
        <v>444</v>
      </c>
      <c r="N1129">
        <v>317</v>
      </c>
      <c r="O1129">
        <v>6</v>
      </c>
      <c r="P1129">
        <v>317</v>
      </c>
      <c r="Q1129">
        <v>9</v>
      </c>
      <c r="R1129">
        <v>81</v>
      </c>
      <c r="S1129">
        <v>2</v>
      </c>
      <c r="T1129">
        <v>2</v>
      </c>
      <c r="U1129">
        <v>9</v>
      </c>
      <c r="V1129">
        <v>6</v>
      </c>
      <c r="W1129">
        <v>5</v>
      </c>
      <c r="X1129">
        <v>166</v>
      </c>
      <c r="Y1129">
        <v>3</v>
      </c>
      <c r="Z1129">
        <v>5</v>
      </c>
      <c r="AA1129">
        <v>2</v>
      </c>
      <c r="AB1129">
        <v>13</v>
      </c>
      <c r="AK1129">
        <v>3</v>
      </c>
      <c r="AO1129">
        <v>0</v>
      </c>
      <c r="AP1129">
        <v>0</v>
      </c>
      <c r="AR1129">
        <v>0</v>
      </c>
      <c r="AU1129">
        <v>0</v>
      </c>
      <c r="AW1129">
        <v>0</v>
      </c>
      <c r="AX1129">
        <v>11</v>
      </c>
      <c r="AY1129">
        <v>317</v>
      </c>
      <c r="AZ1129">
        <v>317</v>
      </c>
      <c r="BA1129">
        <v>717</v>
      </c>
      <c r="BB1129">
        <v>44</v>
      </c>
      <c r="BD1129">
        <v>1</v>
      </c>
      <c r="BF1129" t="s">
        <v>1253</v>
      </c>
      <c r="BG1129" s="1">
        <v>44354.068055555559</v>
      </c>
      <c r="BH1129" s="1">
        <v>44354.077210648145</v>
      </c>
      <c r="BI1129" s="1">
        <v>44354.077835648146</v>
      </c>
      <c r="BJ1129" t="s">
        <v>85</v>
      </c>
      <c r="BK1129" t="s">
        <v>86</v>
      </c>
      <c r="BL1129" t="s">
        <v>87</v>
      </c>
    </row>
    <row r="1130" spans="1:64" x14ac:dyDescent="0.3">
      <c r="A1130" t="str">
        <f>"200593E0100"</f>
        <v>200593E0100</v>
      </c>
      <c r="B1130" t="str">
        <f>"200593E01003"</f>
        <v>200593E01003</v>
      </c>
      <c r="C1130" t="str">
        <f t="shared" si="66"/>
        <v>20</v>
      </c>
      <c r="D1130" t="s">
        <v>81</v>
      </c>
      <c r="E1130" t="str">
        <f t="shared" si="65"/>
        <v>066</v>
      </c>
      <c r="F1130" t="s">
        <v>951</v>
      </c>
      <c r="G1130" t="str">
        <f>"0593"</f>
        <v>0593</v>
      </c>
      <c r="H1130" t="str">
        <f>"0001"</f>
        <v>0001</v>
      </c>
      <c r="I1130" t="s">
        <v>122</v>
      </c>
      <c r="J1130">
        <v>0</v>
      </c>
      <c r="K1130">
        <v>1</v>
      </c>
      <c r="L1130">
        <v>3</v>
      </c>
      <c r="M1130">
        <v>414</v>
      </c>
      <c r="N1130">
        <v>272</v>
      </c>
      <c r="O1130">
        <v>6</v>
      </c>
      <c r="P1130">
        <v>272</v>
      </c>
      <c r="Q1130">
        <v>7</v>
      </c>
      <c r="R1130">
        <v>66</v>
      </c>
      <c r="S1130">
        <v>3</v>
      </c>
      <c r="T1130">
        <v>5</v>
      </c>
      <c r="U1130">
        <v>16</v>
      </c>
      <c r="V1130">
        <v>6</v>
      </c>
      <c r="W1130">
        <v>5</v>
      </c>
      <c r="X1130">
        <v>136</v>
      </c>
      <c r="Y1130">
        <v>4</v>
      </c>
      <c r="Z1130">
        <v>4</v>
      </c>
      <c r="AA1130">
        <v>1</v>
      </c>
      <c r="AB1130">
        <v>12</v>
      </c>
      <c r="AK1130">
        <v>2</v>
      </c>
      <c r="AO1130">
        <v>0</v>
      </c>
      <c r="AP1130">
        <v>0</v>
      </c>
      <c r="AR1130">
        <v>1</v>
      </c>
      <c r="AU1130">
        <v>0</v>
      </c>
      <c r="AW1130">
        <v>0</v>
      </c>
      <c r="AX1130">
        <v>4</v>
      </c>
      <c r="AY1130">
        <v>272</v>
      </c>
      <c r="AZ1130">
        <v>272</v>
      </c>
      <c r="BA1130">
        <v>642</v>
      </c>
      <c r="BB1130">
        <v>44</v>
      </c>
      <c r="BD1130">
        <v>1</v>
      </c>
      <c r="BF1130" t="s">
        <v>1254</v>
      </c>
      <c r="BG1130" s="1">
        <v>44354.065972222219</v>
      </c>
      <c r="BH1130" s="1">
        <v>44354.08321759259</v>
      </c>
      <c r="BI1130" s="1">
        <v>44354.083969907406</v>
      </c>
      <c r="BJ1130" t="s">
        <v>85</v>
      </c>
      <c r="BK1130" t="s">
        <v>86</v>
      </c>
      <c r="BL1130" t="s">
        <v>87</v>
      </c>
    </row>
    <row r="1131" spans="1:64" x14ac:dyDescent="0.3">
      <c r="A1131" t="str">
        <f>"200593E0101"</f>
        <v>200593E0101</v>
      </c>
      <c r="B1131" t="str">
        <f>"200593E01013"</f>
        <v>200593E01013</v>
      </c>
      <c r="C1131" t="str">
        <f t="shared" si="66"/>
        <v>20</v>
      </c>
      <c r="D1131" t="s">
        <v>81</v>
      </c>
      <c r="E1131" t="str">
        <f t="shared" si="65"/>
        <v>066</v>
      </c>
      <c r="F1131" t="s">
        <v>951</v>
      </c>
      <c r="G1131" t="str">
        <f>"0593"</f>
        <v>0593</v>
      </c>
      <c r="H1131" t="str">
        <f>"0001"</f>
        <v>0001</v>
      </c>
      <c r="I1131" t="s">
        <v>122</v>
      </c>
      <c r="J1131">
        <v>1</v>
      </c>
      <c r="K1131">
        <v>1</v>
      </c>
      <c r="L1131">
        <v>3</v>
      </c>
      <c r="M1131">
        <v>377</v>
      </c>
      <c r="N1131">
        <v>685</v>
      </c>
      <c r="O1131">
        <v>7</v>
      </c>
      <c r="P1131">
        <v>308</v>
      </c>
      <c r="Q1131">
        <v>4</v>
      </c>
      <c r="R1131">
        <v>72</v>
      </c>
      <c r="S1131">
        <v>0</v>
      </c>
      <c r="T1131">
        <v>3</v>
      </c>
      <c r="U1131">
        <v>18</v>
      </c>
      <c r="V1131">
        <v>4</v>
      </c>
      <c r="W1131">
        <v>3</v>
      </c>
      <c r="X1131">
        <v>162</v>
      </c>
      <c r="Y1131">
        <v>4</v>
      </c>
      <c r="Z1131">
        <v>8</v>
      </c>
      <c r="AA1131">
        <v>4</v>
      </c>
      <c r="AB1131">
        <v>18</v>
      </c>
      <c r="AK1131">
        <v>2</v>
      </c>
      <c r="AO1131">
        <v>0</v>
      </c>
      <c r="AP1131">
        <v>0</v>
      </c>
      <c r="AR1131">
        <v>0</v>
      </c>
      <c r="AU1131">
        <v>0</v>
      </c>
      <c r="AW1131">
        <v>0</v>
      </c>
      <c r="AX1131">
        <v>6</v>
      </c>
      <c r="AY1131">
        <v>308</v>
      </c>
      <c r="AZ1131">
        <v>308</v>
      </c>
      <c r="BA1131">
        <v>641</v>
      </c>
      <c r="BB1131">
        <v>44</v>
      </c>
      <c r="BD1131">
        <v>1</v>
      </c>
      <c r="BF1131" t="s">
        <v>1255</v>
      </c>
      <c r="BG1131" s="1">
        <v>44354.066666666666</v>
      </c>
      <c r="BH1131" s="1">
        <v>44354.08152777778</v>
      </c>
      <c r="BI1131" s="1">
        <v>44354.081956018519</v>
      </c>
      <c r="BJ1131" t="s">
        <v>85</v>
      </c>
      <c r="BK1131" t="s">
        <v>86</v>
      </c>
      <c r="BL1131" t="s">
        <v>87</v>
      </c>
    </row>
    <row r="1132" spans="1:64" x14ac:dyDescent="0.3">
      <c r="A1132" t="str">
        <f>"200594B0000"</f>
        <v>200594B0000</v>
      </c>
      <c r="B1132" t="str">
        <f>"200594B00003"</f>
        <v>200594B00003</v>
      </c>
      <c r="C1132" t="str">
        <f t="shared" si="66"/>
        <v>20</v>
      </c>
      <c r="D1132" t="s">
        <v>81</v>
      </c>
      <c r="E1132" t="str">
        <f t="shared" si="65"/>
        <v>066</v>
      </c>
      <c r="F1132" t="s">
        <v>951</v>
      </c>
      <c r="G1132" t="str">
        <f>"0594"</f>
        <v>0594</v>
      </c>
      <c r="H1132" t="str">
        <f>"0000"</f>
        <v>0000</v>
      </c>
      <c r="I1132" t="s">
        <v>83</v>
      </c>
      <c r="J1132">
        <v>0</v>
      </c>
      <c r="K1132">
        <v>1</v>
      </c>
      <c r="L1132">
        <v>3</v>
      </c>
      <c r="M1132">
        <v>366</v>
      </c>
      <c r="N1132">
        <v>294</v>
      </c>
      <c r="O1132">
        <v>6</v>
      </c>
      <c r="P1132">
        <v>295</v>
      </c>
      <c r="Q1132">
        <v>8</v>
      </c>
      <c r="R1132">
        <v>71</v>
      </c>
      <c r="S1132">
        <v>1</v>
      </c>
      <c r="T1132">
        <v>3</v>
      </c>
      <c r="U1132">
        <v>13</v>
      </c>
      <c r="V1132">
        <v>5</v>
      </c>
      <c r="W1132">
        <v>6</v>
      </c>
      <c r="X1132">
        <v>136</v>
      </c>
      <c r="Y1132">
        <v>4</v>
      </c>
      <c r="Z1132">
        <v>2</v>
      </c>
      <c r="AA1132">
        <v>4</v>
      </c>
      <c r="AB1132">
        <v>27</v>
      </c>
      <c r="AK1132">
        <v>1</v>
      </c>
      <c r="AO1132">
        <v>0</v>
      </c>
      <c r="AP1132">
        <v>0</v>
      </c>
      <c r="AR1132">
        <v>0</v>
      </c>
      <c r="AU1132">
        <v>0</v>
      </c>
      <c r="AW1132">
        <v>0</v>
      </c>
      <c r="AX1132">
        <v>14</v>
      </c>
      <c r="AY1132">
        <v>295</v>
      </c>
      <c r="AZ1132">
        <v>295</v>
      </c>
      <c r="BA1132">
        <v>616</v>
      </c>
      <c r="BB1132">
        <v>44</v>
      </c>
      <c r="BD1132">
        <v>1</v>
      </c>
      <c r="BF1132" t="s">
        <v>1256</v>
      </c>
      <c r="BG1132" s="1">
        <v>44354.088194444441</v>
      </c>
      <c r="BH1132" s="1">
        <v>44354.099652777775</v>
      </c>
      <c r="BI1132" s="1">
        <v>44354.100868055553</v>
      </c>
      <c r="BJ1132" t="s">
        <v>85</v>
      </c>
      <c r="BK1132" t="s">
        <v>86</v>
      </c>
      <c r="BL1132" t="s">
        <v>87</v>
      </c>
    </row>
    <row r="1133" spans="1:64" x14ac:dyDescent="0.3">
      <c r="A1133" t="str">
        <f>"200594C0100"</f>
        <v>200594C0100</v>
      </c>
      <c r="B1133" t="str">
        <f>"200594C01003"</f>
        <v>200594C01003</v>
      </c>
      <c r="C1133" t="str">
        <f t="shared" si="66"/>
        <v>20</v>
      </c>
      <c r="D1133" t="s">
        <v>81</v>
      </c>
      <c r="E1133" t="str">
        <f t="shared" si="65"/>
        <v>066</v>
      </c>
      <c r="F1133" t="s">
        <v>951</v>
      </c>
      <c r="G1133" t="str">
        <f>"0594"</f>
        <v>0594</v>
      </c>
      <c r="H1133" t="str">
        <f>"0001"</f>
        <v>0001</v>
      </c>
      <c r="I1133" t="s">
        <v>89</v>
      </c>
      <c r="J1133">
        <v>0</v>
      </c>
      <c r="K1133">
        <v>1</v>
      </c>
      <c r="L1133">
        <v>3</v>
      </c>
      <c r="M1133">
        <v>355</v>
      </c>
      <c r="N1133">
        <v>305</v>
      </c>
      <c r="O1133">
        <v>3</v>
      </c>
      <c r="P1133">
        <v>304</v>
      </c>
      <c r="Q1133">
        <v>12</v>
      </c>
      <c r="R1133">
        <v>84</v>
      </c>
      <c r="S1133">
        <v>2</v>
      </c>
      <c r="T1133">
        <v>3</v>
      </c>
      <c r="U1133">
        <v>12</v>
      </c>
      <c r="V1133">
        <v>2</v>
      </c>
      <c r="W1133">
        <v>3</v>
      </c>
      <c r="X1133">
        <v>139</v>
      </c>
      <c r="Y1133">
        <v>4</v>
      </c>
      <c r="Z1133">
        <v>3</v>
      </c>
      <c r="AA1133">
        <v>0</v>
      </c>
      <c r="AB1133">
        <v>27</v>
      </c>
      <c r="AK1133">
        <v>1</v>
      </c>
      <c r="AO1133">
        <v>0</v>
      </c>
      <c r="AP1133">
        <v>0</v>
      </c>
      <c r="AR1133">
        <v>0</v>
      </c>
      <c r="AU1133">
        <v>0</v>
      </c>
      <c r="AW1133">
        <v>0</v>
      </c>
      <c r="AX1133">
        <v>12</v>
      </c>
      <c r="AY1133">
        <v>304</v>
      </c>
      <c r="AZ1133">
        <v>304</v>
      </c>
      <c r="BA1133">
        <v>616</v>
      </c>
      <c r="BB1133">
        <v>44</v>
      </c>
      <c r="BD1133">
        <v>1</v>
      </c>
      <c r="BF1133" s="2" t="s">
        <v>1257</v>
      </c>
      <c r="BG1133" s="1">
        <v>44354.088194444441</v>
      </c>
      <c r="BH1133" s="1">
        <v>44354.099652777775</v>
      </c>
      <c r="BI1133" s="1">
        <v>44354.100289351853</v>
      </c>
      <c r="BJ1133" t="s">
        <v>85</v>
      </c>
      <c r="BK1133" t="s">
        <v>86</v>
      </c>
      <c r="BL1133" t="s">
        <v>87</v>
      </c>
    </row>
    <row r="1134" spans="1:64" x14ac:dyDescent="0.3">
      <c r="A1134" t="str">
        <f>"200594C0200"</f>
        <v>200594C0200</v>
      </c>
      <c r="B1134" t="str">
        <f>"200594C02003"</f>
        <v>200594C02003</v>
      </c>
      <c r="C1134" t="str">
        <f t="shared" si="66"/>
        <v>20</v>
      </c>
      <c r="D1134" t="s">
        <v>81</v>
      </c>
      <c r="E1134" t="str">
        <f t="shared" si="65"/>
        <v>066</v>
      </c>
      <c r="F1134" t="s">
        <v>951</v>
      </c>
      <c r="G1134" t="str">
        <f>"0594"</f>
        <v>0594</v>
      </c>
      <c r="H1134" t="str">
        <f>"0002"</f>
        <v>0002</v>
      </c>
      <c r="I1134" t="s">
        <v>89</v>
      </c>
      <c r="J1134">
        <v>0</v>
      </c>
      <c r="K1134">
        <v>1</v>
      </c>
      <c r="L1134">
        <v>3</v>
      </c>
      <c r="M1134">
        <v>370</v>
      </c>
      <c r="N1134">
        <v>289</v>
      </c>
      <c r="O1134">
        <v>1</v>
      </c>
      <c r="P1134">
        <v>289</v>
      </c>
      <c r="Q1134">
        <v>6</v>
      </c>
      <c r="R1134">
        <v>59</v>
      </c>
      <c r="S1134">
        <v>1</v>
      </c>
      <c r="T1134">
        <v>7</v>
      </c>
      <c r="U1134">
        <v>15</v>
      </c>
      <c r="V1134">
        <v>7</v>
      </c>
      <c r="W1134">
        <v>2</v>
      </c>
      <c r="X1134">
        <v>151</v>
      </c>
      <c r="Y1134">
        <v>3</v>
      </c>
      <c r="Z1134">
        <v>4</v>
      </c>
      <c r="AA1134">
        <v>3</v>
      </c>
      <c r="AB1134">
        <v>22</v>
      </c>
      <c r="AK1134">
        <v>0</v>
      </c>
      <c r="AO1134">
        <v>0</v>
      </c>
      <c r="AP1134">
        <v>0</v>
      </c>
      <c r="AR1134">
        <v>0</v>
      </c>
      <c r="AU1134">
        <v>0</v>
      </c>
      <c r="AW1134">
        <v>0</v>
      </c>
      <c r="AX1134">
        <v>9</v>
      </c>
      <c r="AY1134">
        <v>289</v>
      </c>
      <c r="AZ1134">
        <v>289</v>
      </c>
      <c r="BA1134">
        <v>615</v>
      </c>
      <c r="BB1134">
        <v>44</v>
      </c>
      <c r="BD1134">
        <v>1</v>
      </c>
      <c r="BF1134" t="s">
        <v>1258</v>
      </c>
      <c r="BG1134" s="1">
        <v>44354.088888888888</v>
      </c>
      <c r="BH1134" s="1">
        <v>44354.100115740737</v>
      </c>
      <c r="BI1134" s="1">
        <v>44354.101226851853</v>
      </c>
      <c r="BJ1134" t="s">
        <v>85</v>
      </c>
      <c r="BK1134" t="s">
        <v>86</v>
      </c>
      <c r="BL1134" t="s">
        <v>87</v>
      </c>
    </row>
    <row r="1135" spans="1:64" x14ac:dyDescent="0.3">
      <c r="A1135" t="str">
        <f>"200595B0000"</f>
        <v>200595B0000</v>
      </c>
      <c r="B1135" t="str">
        <f>"200595B00003"</f>
        <v>200595B00003</v>
      </c>
      <c r="C1135" t="str">
        <f t="shared" si="66"/>
        <v>20</v>
      </c>
      <c r="D1135" t="s">
        <v>81</v>
      </c>
      <c r="E1135" t="str">
        <f t="shared" si="65"/>
        <v>066</v>
      </c>
      <c r="F1135" t="s">
        <v>951</v>
      </c>
      <c r="G1135" t="str">
        <f>"0595"</f>
        <v>0595</v>
      </c>
      <c r="H1135" t="str">
        <f>"0000"</f>
        <v>0000</v>
      </c>
      <c r="I1135" t="s">
        <v>83</v>
      </c>
      <c r="J1135">
        <v>0</v>
      </c>
      <c r="K1135">
        <v>1</v>
      </c>
      <c r="L1135">
        <v>3</v>
      </c>
      <c r="M1135">
        <v>432</v>
      </c>
      <c r="N1135">
        <v>261</v>
      </c>
      <c r="O1135">
        <v>6</v>
      </c>
      <c r="P1135">
        <v>261</v>
      </c>
      <c r="Q1135">
        <v>13</v>
      </c>
      <c r="R1135">
        <v>60</v>
      </c>
      <c r="S1135">
        <v>1</v>
      </c>
      <c r="T1135">
        <v>2</v>
      </c>
      <c r="U1135">
        <v>14</v>
      </c>
      <c r="V1135">
        <v>6</v>
      </c>
      <c r="W1135">
        <v>2</v>
      </c>
      <c r="X1135">
        <v>143</v>
      </c>
      <c r="Y1135">
        <v>4</v>
      </c>
      <c r="Z1135">
        <v>3</v>
      </c>
      <c r="AA1135">
        <v>1</v>
      </c>
      <c r="AB1135">
        <v>5</v>
      </c>
      <c r="AK1135">
        <v>0</v>
      </c>
      <c r="AO1135">
        <v>0</v>
      </c>
      <c r="AP1135">
        <v>0</v>
      </c>
      <c r="AR1135">
        <v>0</v>
      </c>
      <c r="AU1135">
        <v>0</v>
      </c>
      <c r="AW1135">
        <v>0</v>
      </c>
      <c r="AX1135">
        <v>7</v>
      </c>
      <c r="AY1135">
        <v>261</v>
      </c>
      <c r="AZ1135">
        <v>261</v>
      </c>
      <c r="BA1135">
        <v>649</v>
      </c>
      <c r="BB1135">
        <v>44</v>
      </c>
      <c r="BD1135">
        <v>1</v>
      </c>
      <c r="BF1135" t="s">
        <v>1259</v>
      </c>
      <c r="BG1135" s="1">
        <v>44354.067361111112</v>
      </c>
      <c r="BH1135" s="1">
        <v>44354.079432870371</v>
      </c>
      <c r="BI1135" s="1">
        <v>44354.08016203704</v>
      </c>
      <c r="BJ1135" t="s">
        <v>85</v>
      </c>
      <c r="BK1135" t="s">
        <v>86</v>
      </c>
      <c r="BL1135" t="s">
        <v>87</v>
      </c>
    </row>
    <row r="1136" spans="1:64" x14ac:dyDescent="0.3">
      <c r="A1136" t="str">
        <f>"200595C0100"</f>
        <v>200595C0100</v>
      </c>
      <c r="B1136" t="str">
        <f>"200595C01003"</f>
        <v>200595C01003</v>
      </c>
      <c r="C1136" t="str">
        <f t="shared" si="66"/>
        <v>20</v>
      </c>
      <c r="D1136" t="s">
        <v>81</v>
      </c>
      <c r="E1136" t="str">
        <f t="shared" si="65"/>
        <v>066</v>
      </c>
      <c r="F1136" t="s">
        <v>951</v>
      </c>
      <c r="G1136" t="str">
        <f>"0595"</f>
        <v>0595</v>
      </c>
      <c r="H1136" t="str">
        <f>"0001"</f>
        <v>0001</v>
      </c>
      <c r="I1136" t="s">
        <v>89</v>
      </c>
      <c r="J1136">
        <v>0</v>
      </c>
      <c r="K1136">
        <v>1</v>
      </c>
      <c r="L1136">
        <v>3</v>
      </c>
      <c r="M1136">
        <v>396</v>
      </c>
      <c r="N1136">
        <v>296</v>
      </c>
      <c r="O1136">
        <v>6</v>
      </c>
      <c r="P1136">
        <v>296</v>
      </c>
      <c r="Q1136">
        <v>13</v>
      </c>
      <c r="R1136">
        <v>85</v>
      </c>
      <c r="S1136">
        <v>3</v>
      </c>
      <c r="T1136">
        <v>2</v>
      </c>
      <c r="U1136">
        <v>13</v>
      </c>
      <c r="V1136">
        <v>5</v>
      </c>
      <c r="W1136">
        <v>3</v>
      </c>
      <c r="X1136">
        <v>141</v>
      </c>
      <c r="Y1136">
        <v>3</v>
      </c>
      <c r="Z1136">
        <v>5</v>
      </c>
      <c r="AA1136">
        <v>3</v>
      </c>
      <c r="AB1136">
        <v>9</v>
      </c>
      <c r="AK1136">
        <v>2</v>
      </c>
      <c r="AO1136">
        <v>0</v>
      </c>
      <c r="AP1136">
        <v>0</v>
      </c>
      <c r="AR1136">
        <v>0</v>
      </c>
      <c r="AU1136">
        <v>0</v>
      </c>
      <c r="AW1136">
        <v>0</v>
      </c>
      <c r="AX1136">
        <v>9</v>
      </c>
      <c r="AY1136">
        <v>296</v>
      </c>
      <c r="AZ1136">
        <v>296</v>
      </c>
      <c r="BA1136">
        <v>648</v>
      </c>
      <c r="BB1136">
        <v>44</v>
      </c>
      <c r="BD1136">
        <v>1</v>
      </c>
      <c r="BF1136" t="s">
        <v>1260</v>
      </c>
      <c r="BG1136" s="1">
        <v>44354.065972222219</v>
      </c>
      <c r="BH1136" s="1">
        <v>44354.073287037034</v>
      </c>
      <c r="BI1136" s="1">
        <v>44354.074479166666</v>
      </c>
      <c r="BJ1136" t="s">
        <v>85</v>
      </c>
      <c r="BK1136" t="s">
        <v>86</v>
      </c>
      <c r="BL1136" t="s">
        <v>87</v>
      </c>
    </row>
    <row r="1137" spans="1:64" x14ac:dyDescent="0.3">
      <c r="A1137" t="str">
        <f>"200596B0000"</f>
        <v>200596B0000</v>
      </c>
      <c r="B1137" t="str">
        <f>"200596B00003"</f>
        <v>200596B00003</v>
      </c>
      <c r="C1137" t="str">
        <f t="shared" si="66"/>
        <v>20</v>
      </c>
      <c r="D1137" t="s">
        <v>81</v>
      </c>
      <c r="E1137" t="str">
        <f t="shared" si="65"/>
        <v>066</v>
      </c>
      <c r="F1137" t="s">
        <v>951</v>
      </c>
      <c r="G1137" t="str">
        <f>"0596"</f>
        <v>0596</v>
      </c>
      <c r="H1137" t="str">
        <f>"0000"</f>
        <v>0000</v>
      </c>
      <c r="I1137" t="s">
        <v>83</v>
      </c>
      <c r="J1137">
        <v>0</v>
      </c>
      <c r="K1137">
        <v>1</v>
      </c>
      <c r="L1137">
        <v>3</v>
      </c>
      <c r="M1137">
        <v>411</v>
      </c>
      <c r="N1137">
        <v>279</v>
      </c>
      <c r="O1137">
        <v>5</v>
      </c>
      <c r="P1137">
        <v>279</v>
      </c>
      <c r="Q1137">
        <v>6</v>
      </c>
      <c r="R1137">
        <v>76</v>
      </c>
      <c r="S1137">
        <v>1</v>
      </c>
      <c r="T1137">
        <v>3</v>
      </c>
      <c r="U1137">
        <v>13</v>
      </c>
      <c r="V1137">
        <v>0</v>
      </c>
      <c r="W1137">
        <v>1</v>
      </c>
      <c r="X1137">
        <v>148</v>
      </c>
      <c r="Y1137">
        <v>10</v>
      </c>
      <c r="Z1137">
        <v>3</v>
      </c>
      <c r="AA1137">
        <v>7</v>
      </c>
      <c r="AB1137">
        <v>6</v>
      </c>
      <c r="AK1137">
        <v>0</v>
      </c>
      <c r="AO1137">
        <v>0</v>
      </c>
      <c r="AP1137">
        <v>0</v>
      </c>
      <c r="AR1137">
        <v>0</v>
      </c>
      <c r="AU1137">
        <v>0</v>
      </c>
      <c r="AW1137">
        <v>0</v>
      </c>
      <c r="AX1137">
        <v>3</v>
      </c>
      <c r="AY1137">
        <v>279</v>
      </c>
      <c r="AZ1137">
        <v>277</v>
      </c>
      <c r="BA1137">
        <v>646</v>
      </c>
      <c r="BB1137">
        <v>44</v>
      </c>
      <c r="BD1137">
        <v>1</v>
      </c>
      <c r="BF1137" t="s">
        <v>1261</v>
      </c>
      <c r="BG1137" s="1">
        <v>44354.117361111108</v>
      </c>
      <c r="BH1137" s="1">
        <v>44354.121215277781</v>
      </c>
      <c r="BI1137" s="1">
        <v>44354.12190972222</v>
      </c>
      <c r="BJ1137" t="s">
        <v>85</v>
      </c>
      <c r="BK1137" t="s">
        <v>86</v>
      </c>
      <c r="BL1137" t="s">
        <v>87</v>
      </c>
    </row>
    <row r="1138" spans="1:64" x14ac:dyDescent="0.3">
      <c r="A1138" t="str">
        <f>"200596C0100"</f>
        <v>200596C0100</v>
      </c>
      <c r="B1138" t="str">
        <f>"200596C01003"</f>
        <v>200596C01003</v>
      </c>
      <c r="C1138" t="str">
        <f t="shared" si="66"/>
        <v>20</v>
      </c>
      <c r="D1138" t="s">
        <v>81</v>
      </c>
      <c r="E1138" t="str">
        <f t="shared" si="65"/>
        <v>066</v>
      </c>
      <c r="F1138" t="s">
        <v>951</v>
      </c>
      <c r="G1138" t="str">
        <f>"0596"</f>
        <v>0596</v>
      </c>
      <c r="H1138" t="str">
        <f>"0001"</f>
        <v>0001</v>
      </c>
      <c r="I1138" t="s">
        <v>89</v>
      </c>
      <c r="J1138">
        <v>0</v>
      </c>
      <c r="K1138">
        <v>1</v>
      </c>
      <c r="L1138">
        <v>3</v>
      </c>
      <c r="M1138">
        <v>428</v>
      </c>
      <c r="N1138">
        <v>262</v>
      </c>
      <c r="O1138">
        <v>5</v>
      </c>
      <c r="P1138">
        <v>261</v>
      </c>
      <c r="Q1138">
        <v>12</v>
      </c>
      <c r="R1138">
        <v>53</v>
      </c>
      <c r="S1138">
        <v>0</v>
      </c>
      <c r="T1138">
        <v>4</v>
      </c>
      <c r="U1138">
        <v>13</v>
      </c>
      <c r="V1138">
        <v>4</v>
      </c>
      <c r="W1138">
        <v>2</v>
      </c>
      <c r="X1138">
        <v>132</v>
      </c>
      <c r="Y1138">
        <v>13</v>
      </c>
      <c r="Z1138">
        <v>6</v>
      </c>
      <c r="AA1138">
        <v>1</v>
      </c>
      <c r="AB1138">
        <v>12</v>
      </c>
      <c r="AK1138">
        <v>1</v>
      </c>
      <c r="AO1138">
        <v>1</v>
      </c>
      <c r="AP1138">
        <v>0</v>
      </c>
      <c r="AR1138">
        <v>0</v>
      </c>
      <c r="AU1138">
        <v>0</v>
      </c>
      <c r="AW1138">
        <v>0</v>
      </c>
      <c r="AX1138">
        <v>7</v>
      </c>
      <c r="AY1138">
        <v>261</v>
      </c>
      <c r="AZ1138">
        <v>261</v>
      </c>
      <c r="BA1138">
        <v>646</v>
      </c>
      <c r="BB1138">
        <v>44</v>
      </c>
      <c r="BD1138">
        <v>1</v>
      </c>
      <c r="BF1138" t="s">
        <v>1262</v>
      </c>
      <c r="BG1138" s="1">
        <v>44354.125694444447</v>
      </c>
      <c r="BH1138" s="1">
        <v>44354.128206018519</v>
      </c>
      <c r="BI1138" s="1">
        <v>44354.128680555557</v>
      </c>
      <c r="BJ1138" t="s">
        <v>85</v>
      </c>
      <c r="BK1138" t="s">
        <v>86</v>
      </c>
      <c r="BL1138" t="s">
        <v>87</v>
      </c>
    </row>
    <row r="1139" spans="1:64" x14ac:dyDescent="0.3">
      <c r="A1139" t="str">
        <f>"200596C0200"</f>
        <v>200596C0200</v>
      </c>
      <c r="B1139" t="str">
        <f>"200596C02003"</f>
        <v>200596C02003</v>
      </c>
      <c r="C1139" t="str">
        <f t="shared" si="66"/>
        <v>20</v>
      </c>
      <c r="D1139" t="s">
        <v>81</v>
      </c>
      <c r="E1139" t="str">
        <f t="shared" si="65"/>
        <v>066</v>
      </c>
      <c r="F1139" t="s">
        <v>951</v>
      </c>
      <c r="G1139" t="str">
        <f>"0596"</f>
        <v>0596</v>
      </c>
      <c r="H1139" t="str">
        <f>"0002"</f>
        <v>0002</v>
      </c>
      <c r="I1139" t="s">
        <v>89</v>
      </c>
      <c r="J1139">
        <v>0</v>
      </c>
      <c r="K1139">
        <v>1</v>
      </c>
      <c r="L1139">
        <v>3</v>
      </c>
      <c r="M1139">
        <v>451</v>
      </c>
      <c r="N1139">
        <v>238</v>
      </c>
      <c r="O1139">
        <v>2</v>
      </c>
      <c r="P1139">
        <v>238</v>
      </c>
      <c r="Q1139">
        <v>8</v>
      </c>
      <c r="R1139">
        <v>50</v>
      </c>
      <c r="S1139">
        <v>2</v>
      </c>
      <c r="T1139">
        <v>2</v>
      </c>
      <c r="U1139">
        <v>13</v>
      </c>
      <c r="V1139">
        <v>6</v>
      </c>
      <c r="W1139">
        <v>5</v>
      </c>
      <c r="X1139">
        <v>123</v>
      </c>
      <c r="Y1139">
        <v>7</v>
      </c>
      <c r="Z1139">
        <v>4</v>
      </c>
      <c r="AA1139">
        <v>3</v>
      </c>
      <c r="AB1139">
        <v>6</v>
      </c>
      <c r="AK1139">
        <v>5</v>
      </c>
      <c r="AO1139">
        <v>0</v>
      </c>
      <c r="AP1139">
        <v>0</v>
      </c>
      <c r="AR1139">
        <v>0</v>
      </c>
      <c r="AU1139">
        <v>0</v>
      </c>
      <c r="AW1139">
        <v>1</v>
      </c>
      <c r="AX1139">
        <v>3</v>
      </c>
      <c r="AY1139">
        <v>238</v>
      </c>
      <c r="AZ1139">
        <v>238</v>
      </c>
      <c r="BA1139">
        <v>645</v>
      </c>
      <c r="BB1139">
        <v>44</v>
      </c>
      <c r="BD1139">
        <v>1</v>
      </c>
      <c r="BF1139" t="s">
        <v>1263</v>
      </c>
      <c r="BG1139" s="1">
        <v>44354.117361111108</v>
      </c>
      <c r="BH1139" s="1">
        <v>44354.121354166666</v>
      </c>
      <c r="BI1139" s="1">
        <v>44354.122002314813</v>
      </c>
      <c r="BJ1139" t="s">
        <v>85</v>
      </c>
      <c r="BK1139" t="s">
        <v>86</v>
      </c>
      <c r="BL1139" t="s">
        <v>87</v>
      </c>
    </row>
    <row r="1140" spans="1:64" x14ac:dyDescent="0.3">
      <c r="A1140" t="str">
        <f>"200597B0000"</f>
        <v>200597B0000</v>
      </c>
      <c r="B1140" t="str">
        <f>"200597B00003"</f>
        <v>200597B00003</v>
      </c>
      <c r="C1140" t="str">
        <f t="shared" si="66"/>
        <v>20</v>
      </c>
      <c r="D1140" t="s">
        <v>81</v>
      </c>
      <c r="E1140" t="str">
        <f t="shared" si="65"/>
        <v>066</v>
      </c>
      <c r="F1140" t="s">
        <v>951</v>
      </c>
      <c r="G1140" t="str">
        <f>"0597"</f>
        <v>0597</v>
      </c>
      <c r="H1140" t="str">
        <f>"0000"</f>
        <v>0000</v>
      </c>
      <c r="I1140" t="s">
        <v>83</v>
      </c>
      <c r="J1140">
        <v>0</v>
      </c>
      <c r="K1140">
        <v>1</v>
      </c>
      <c r="L1140">
        <v>3</v>
      </c>
      <c r="M1140">
        <v>294</v>
      </c>
      <c r="N1140">
        <v>255</v>
      </c>
      <c r="O1140">
        <v>5</v>
      </c>
      <c r="P1140">
        <v>255</v>
      </c>
      <c r="Q1140">
        <v>18</v>
      </c>
      <c r="R1140">
        <v>75</v>
      </c>
      <c r="S1140">
        <v>1</v>
      </c>
      <c r="T1140">
        <v>4</v>
      </c>
      <c r="U1140">
        <v>4</v>
      </c>
      <c r="V1140">
        <v>3</v>
      </c>
      <c r="W1140">
        <v>1</v>
      </c>
      <c r="X1140">
        <v>132</v>
      </c>
      <c r="Y1140">
        <v>2</v>
      </c>
      <c r="Z1140">
        <v>3</v>
      </c>
      <c r="AA1140">
        <v>1</v>
      </c>
      <c r="AB1140">
        <v>3</v>
      </c>
      <c r="AK1140">
        <v>3</v>
      </c>
      <c r="AO1140">
        <v>0</v>
      </c>
      <c r="AP1140">
        <v>0</v>
      </c>
      <c r="AR1140">
        <v>0</v>
      </c>
      <c r="AU1140">
        <v>0</v>
      </c>
      <c r="AW1140">
        <v>0</v>
      </c>
      <c r="AX1140">
        <v>5</v>
      </c>
      <c r="AY1140">
        <v>255</v>
      </c>
      <c r="AZ1140">
        <v>255</v>
      </c>
      <c r="BA1140">
        <v>505</v>
      </c>
      <c r="BB1140">
        <v>44</v>
      </c>
      <c r="BD1140">
        <v>1</v>
      </c>
      <c r="BF1140" t="s">
        <v>1264</v>
      </c>
      <c r="BG1140" s="1">
        <v>44354.057638888888</v>
      </c>
      <c r="BH1140" s="1">
        <v>44354.06726851852</v>
      </c>
      <c r="BI1140" s="1">
        <v>44354.06790509259</v>
      </c>
      <c r="BJ1140" t="s">
        <v>85</v>
      </c>
      <c r="BK1140" t="s">
        <v>86</v>
      </c>
      <c r="BL1140" t="s">
        <v>87</v>
      </c>
    </row>
    <row r="1141" spans="1:64" x14ac:dyDescent="0.3">
      <c r="A1141" t="str">
        <f>"200597C0100"</f>
        <v>200597C0100</v>
      </c>
      <c r="B1141" t="str">
        <f>"200597C01003"</f>
        <v>200597C01003</v>
      </c>
      <c r="C1141" t="str">
        <f t="shared" si="66"/>
        <v>20</v>
      </c>
      <c r="D1141" t="s">
        <v>81</v>
      </c>
      <c r="E1141" t="str">
        <f t="shared" si="65"/>
        <v>066</v>
      </c>
      <c r="F1141" t="s">
        <v>951</v>
      </c>
      <c r="G1141" t="str">
        <f>"0597"</f>
        <v>0597</v>
      </c>
      <c r="H1141" t="str">
        <f>"0001"</f>
        <v>0001</v>
      </c>
      <c r="I1141" t="s">
        <v>89</v>
      </c>
      <c r="J1141">
        <v>0</v>
      </c>
      <c r="K1141">
        <v>1</v>
      </c>
      <c r="L1141">
        <v>3</v>
      </c>
      <c r="M1141">
        <v>353</v>
      </c>
      <c r="N1141">
        <v>196</v>
      </c>
      <c r="O1141">
        <v>4</v>
      </c>
      <c r="P1141">
        <v>196</v>
      </c>
      <c r="Q1141">
        <v>6</v>
      </c>
      <c r="R1141">
        <v>51</v>
      </c>
      <c r="S1141">
        <v>4</v>
      </c>
      <c r="T1141">
        <v>0</v>
      </c>
      <c r="U1141">
        <v>6</v>
      </c>
      <c r="V1141">
        <v>3</v>
      </c>
      <c r="W1141">
        <v>5</v>
      </c>
      <c r="X1141">
        <v>103</v>
      </c>
      <c r="Y1141">
        <v>5</v>
      </c>
      <c r="Z1141">
        <v>2</v>
      </c>
      <c r="AA1141">
        <v>1</v>
      </c>
      <c r="AB1141">
        <v>2</v>
      </c>
      <c r="AK1141">
        <v>0</v>
      </c>
      <c r="AO1141">
        <v>0</v>
      </c>
      <c r="AP1141">
        <v>0</v>
      </c>
      <c r="AR1141">
        <v>0</v>
      </c>
      <c r="AU1141">
        <v>0</v>
      </c>
      <c r="AW1141">
        <v>0</v>
      </c>
      <c r="AX1141">
        <v>8</v>
      </c>
      <c r="AY1141">
        <v>196</v>
      </c>
      <c r="AZ1141">
        <v>196</v>
      </c>
      <c r="BA1141">
        <v>505</v>
      </c>
      <c r="BB1141">
        <v>44</v>
      </c>
      <c r="BD1141">
        <v>1</v>
      </c>
      <c r="BF1141" t="s">
        <v>1265</v>
      </c>
      <c r="BG1141" s="1">
        <v>44354.061111111114</v>
      </c>
      <c r="BH1141" s="1">
        <v>44354.071793981479</v>
      </c>
      <c r="BI1141" s="1">
        <v>44354.07240740741</v>
      </c>
      <c r="BJ1141" t="s">
        <v>85</v>
      </c>
      <c r="BK1141" t="s">
        <v>86</v>
      </c>
      <c r="BL1141" t="s">
        <v>87</v>
      </c>
    </row>
    <row r="1142" spans="1:64" x14ac:dyDescent="0.3">
      <c r="A1142" t="str">
        <f>"200597C0200"</f>
        <v>200597C0200</v>
      </c>
      <c r="B1142" t="str">
        <f>"200597C02003"</f>
        <v>200597C02003</v>
      </c>
      <c r="C1142" t="str">
        <f t="shared" si="66"/>
        <v>20</v>
      </c>
      <c r="D1142" t="s">
        <v>81</v>
      </c>
      <c r="E1142" t="str">
        <f t="shared" si="65"/>
        <v>066</v>
      </c>
      <c r="F1142" t="s">
        <v>951</v>
      </c>
      <c r="G1142" t="str">
        <f>"0597"</f>
        <v>0597</v>
      </c>
      <c r="H1142" t="str">
        <f>"0002"</f>
        <v>0002</v>
      </c>
      <c r="I1142" t="s">
        <v>89</v>
      </c>
      <c r="J1142">
        <v>0</v>
      </c>
      <c r="K1142">
        <v>1</v>
      </c>
      <c r="L1142">
        <v>3</v>
      </c>
      <c r="M1142">
        <v>287</v>
      </c>
      <c r="N1142">
        <v>261</v>
      </c>
      <c r="O1142">
        <v>4</v>
      </c>
      <c r="P1142">
        <v>261</v>
      </c>
      <c r="Q1142">
        <v>16</v>
      </c>
      <c r="R1142">
        <v>66</v>
      </c>
      <c r="S1142">
        <v>2</v>
      </c>
      <c r="T1142">
        <v>1</v>
      </c>
      <c r="U1142">
        <v>7</v>
      </c>
      <c r="V1142">
        <v>12</v>
      </c>
      <c r="W1142">
        <v>4</v>
      </c>
      <c r="X1142">
        <v>125</v>
      </c>
      <c r="Y1142">
        <v>3</v>
      </c>
      <c r="Z1142">
        <v>5</v>
      </c>
      <c r="AA1142">
        <v>2</v>
      </c>
      <c r="AB1142">
        <v>9</v>
      </c>
      <c r="AK1142">
        <v>4</v>
      </c>
      <c r="AO1142">
        <v>1</v>
      </c>
      <c r="AP1142" t="s">
        <v>95</v>
      </c>
      <c r="AR1142" t="s">
        <v>95</v>
      </c>
      <c r="AU1142" t="s">
        <v>95</v>
      </c>
      <c r="AW1142" t="s">
        <v>95</v>
      </c>
      <c r="AX1142">
        <v>4</v>
      </c>
      <c r="AY1142">
        <v>261</v>
      </c>
      <c r="AZ1142">
        <v>261</v>
      </c>
      <c r="BA1142">
        <v>505</v>
      </c>
      <c r="BB1142">
        <v>44</v>
      </c>
      <c r="BC1142" t="s">
        <v>96</v>
      </c>
      <c r="BD1142">
        <v>1</v>
      </c>
      <c r="BF1142" t="s">
        <v>1266</v>
      </c>
      <c r="BG1142" s="1">
        <v>44354.058333333334</v>
      </c>
      <c r="BH1142" s="1">
        <v>44354.067604166667</v>
      </c>
      <c r="BI1142" s="1">
        <v>44354.068344907406</v>
      </c>
      <c r="BJ1142" t="s">
        <v>85</v>
      </c>
      <c r="BK1142" t="s">
        <v>86</v>
      </c>
      <c r="BL1142" t="s">
        <v>87</v>
      </c>
    </row>
    <row r="1143" spans="1:64" x14ac:dyDescent="0.3">
      <c r="A1143" t="str">
        <f>"200598B0000"</f>
        <v>200598B0000</v>
      </c>
      <c r="B1143" t="str">
        <f>"200598B00003"</f>
        <v>200598B00003</v>
      </c>
      <c r="C1143" t="str">
        <f t="shared" si="66"/>
        <v>20</v>
      </c>
      <c r="D1143" t="s">
        <v>81</v>
      </c>
      <c r="E1143" t="str">
        <f t="shared" si="65"/>
        <v>066</v>
      </c>
      <c r="F1143" t="s">
        <v>951</v>
      </c>
      <c r="G1143" t="str">
        <f>"0598"</f>
        <v>0598</v>
      </c>
      <c r="H1143" t="str">
        <f>"0000"</f>
        <v>0000</v>
      </c>
      <c r="I1143" t="s">
        <v>83</v>
      </c>
      <c r="J1143">
        <v>0</v>
      </c>
      <c r="K1143">
        <v>1</v>
      </c>
      <c r="L1143">
        <v>3</v>
      </c>
      <c r="M1143">
        <v>338</v>
      </c>
      <c r="N1143">
        <v>410</v>
      </c>
      <c r="O1143">
        <v>4</v>
      </c>
      <c r="P1143">
        <v>410</v>
      </c>
      <c r="Q1143">
        <v>31</v>
      </c>
      <c r="R1143">
        <v>108</v>
      </c>
      <c r="S1143">
        <v>0</v>
      </c>
      <c r="T1143">
        <v>1</v>
      </c>
      <c r="U1143">
        <v>12</v>
      </c>
      <c r="V1143">
        <v>9</v>
      </c>
      <c r="W1143">
        <v>5</v>
      </c>
      <c r="X1143">
        <v>217</v>
      </c>
      <c r="Y1143">
        <v>1</v>
      </c>
      <c r="Z1143">
        <v>4</v>
      </c>
      <c r="AA1143">
        <v>2</v>
      </c>
      <c r="AB1143">
        <v>7</v>
      </c>
      <c r="AK1143">
        <v>3</v>
      </c>
      <c r="AO1143">
        <v>2</v>
      </c>
      <c r="AP1143">
        <v>0</v>
      </c>
      <c r="AR1143">
        <v>0</v>
      </c>
      <c r="AU1143">
        <v>0</v>
      </c>
      <c r="AW1143">
        <v>0</v>
      </c>
      <c r="AX1143">
        <v>8</v>
      </c>
      <c r="AY1143">
        <v>410</v>
      </c>
      <c r="AZ1143">
        <v>410</v>
      </c>
      <c r="BA1143">
        <v>704</v>
      </c>
      <c r="BB1143">
        <v>44</v>
      </c>
      <c r="BD1143">
        <v>1</v>
      </c>
      <c r="BF1143" t="s">
        <v>1267</v>
      </c>
      <c r="BG1143" s="1">
        <v>44354.05</v>
      </c>
      <c r="BH1143" s="1">
        <v>44354.059131944443</v>
      </c>
      <c r="BI1143" s="1">
        <v>44354.059861111113</v>
      </c>
      <c r="BJ1143" t="s">
        <v>85</v>
      </c>
      <c r="BK1143" t="s">
        <v>86</v>
      </c>
      <c r="BL1143" t="s">
        <v>87</v>
      </c>
    </row>
    <row r="1144" spans="1:64" x14ac:dyDescent="0.3">
      <c r="A1144" t="str">
        <f>"200599B0000"</f>
        <v>200599B0000</v>
      </c>
      <c r="B1144" t="str">
        <f>"200599B00003"</f>
        <v>200599B00003</v>
      </c>
      <c r="C1144" t="str">
        <f t="shared" si="66"/>
        <v>20</v>
      </c>
      <c r="D1144" t="s">
        <v>81</v>
      </c>
      <c r="E1144" t="str">
        <f t="shared" si="65"/>
        <v>066</v>
      </c>
      <c r="F1144" t="s">
        <v>951</v>
      </c>
      <c r="G1144" t="str">
        <f>"0599"</f>
        <v>0599</v>
      </c>
      <c r="H1144" t="str">
        <f>"0000"</f>
        <v>0000</v>
      </c>
      <c r="I1144" t="s">
        <v>83</v>
      </c>
      <c r="J1144">
        <v>0</v>
      </c>
      <c r="K1144">
        <v>1</v>
      </c>
      <c r="L1144">
        <v>3</v>
      </c>
      <c r="M1144">
        <v>197</v>
      </c>
      <c r="N1144">
        <v>225</v>
      </c>
      <c r="O1144">
        <v>0</v>
      </c>
      <c r="P1144">
        <v>225</v>
      </c>
      <c r="Q1144">
        <v>29</v>
      </c>
      <c r="R1144">
        <v>70</v>
      </c>
      <c r="S1144">
        <v>2</v>
      </c>
      <c r="T1144">
        <v>0</v>
      </c>
      <c r="U1144">
        <v>2</v>
      </c>
      <c r="V1144">
        <v>6</v>
      </c>
      <c r="W1144">
        <v>2</v>
      </c>
      <c r="X1144">
        <v>94</v>
      </c>
      <c r="Y1144">
        <v>1</v>
      </c>
      <c r="Z1144">
        <v>7</v>
      </c>
      <c r="AA1144">
        <v>1</v>
      </c>
      <c r="AB1144">
        <v>1</v>
      </c>
      <c r="AK1144">
        <v>3</v>
      </c>
      <c r="AO1144">
        <v>1</v>
      </c>
      <c r="AP1144">
        <v>1</v>
      </c>
      <c r="AR1144">
        <v>0</v>
      </c>
      <c r="AU1144">
        <v>0</v>
      </c>
      <c r="AW1144">
        <v>0</v>
      </c>
      <c r="AX1144">
        <v>5</v>
      </c>
      <c r="AY1144">
        <v>225</v>
      </c>
      <c r="AZ1144">
        <v>225</v>
      </c>
      <c r="BA1144">
        <v>378</v>
      </c>
      <c r="BB1144">
        <v>44</v>
      </c>
      <c r="BD1144">
        <v>1</v>
      </c>
      <c r="BF1144" t="s">
        <v>1268</v>
      </c>
      <c r="BG1144" s="1">
        <v>44354.047222222223</v>
      </c>
      <c r="BH1144" s="1">
        <v>44354.054155092592</v>
      </c>
      <c r="BI1144" s="1">
        <v>44354.054814814815</v>
      </c>
      <c r="BJ1144" t="s">
        <v>85</v>
      </c>
      <c r="BK1144" t="s">
        <v>86</v>
      </c>
      <c r="BL1144" t="s">
        <v>87</v>
      </c>
    </row>
    <row r="1145" spans="1:64" x14ac:dyDescent="0.3">
      <c r="A1145" t="str">
        <f>"200599C0100"</f>
        <v>200599C0100</v>
      </c>
      <c r="B1145" t="str">
        <f>"200599C01003"</f>
        <v>200599C01003</v>
      </c>
      <c r="C1145" t="str">
        <f t="shared" si="66"/>
        <v>20</v>
      </c>
      <c r="D1145" t="s">
        <v>81</v>
      </c>
      <c r="E1145" t="str">
        <f t="shared" si="65"/>
        <v>066</v>
      </c>
      <c r="F1145" t="s">
        <v>951</v>
      </c>
      <c r="G1145" t="str">
        <f>"0599"</f>
        <v>0599</v>
      </c>
      <c r="H1145" t="str">
        <f>"0001"</f>
        <v>0001</v>
      </c>
      <c r="I1145" t="s">
        <v>89</v>
      </c>
      <c r="J1145">
        <v>0</v>
      </c>
      <c r="K1145">
        <v>1</v>
      </c>
      <c r="L1145">
        <v>3</v>
      </c>
      <c r="M1145">
        <v>193</v>
      </c>
      <c r="N1145" t="s">
        <v>131</v>
      </c>
      <c r="O1145">
        <v>1</v>
      </c>
      <c r="P1145" t="s">
        <v>131</v>
      </c>
      <c r="Q1145">
        <v>12</v>
      </c>
      <c r="R1145">
        <v>59</v>
      </c>
      <c r="S1145">
        <v>0</v>
      </c>
      <c r="T1145">
        <v>6</v>
      </c>
      <c r="U1145">
        <v>3</v>
      </c>
      <c r="V1145">
        <v>11</v>
      </c>
      <c r="W1145">
        <v>2</v>
      </c>
      <c r="X1145">
        <v>118</v>
      </c>
      <c r="Y1145">
        <v>1</v>
      </c>
      <c r="Z1145">
        <v>1</v>
      </c>
      <c r="AA1145">
        <v>2</v>
      </c>
      <c r="AB1145">
        <v>6</v>
      </c>
      <c r="AK1145">
        <v>0</v>
      </c>
      <c r="AO1145">
        <v>1</v>
      </c>
      <c r="AP1145">
        <v>0</v>
      </c>
      <c r="AR1145">
        <v>0</v>
      </c>
      <c r="AU1145">
        <v>0</v>
      </c>
      <c r="AW1145">
        <v>2</v>
      </c>
      <c r="AX1145">
        <v>5</v>
      </c>
      <c r="AY1145">
        <v>229</v>
      </c>
      <c r="AZ1145">
        <v>229</v>
      </c>
      <c r="BA1145">
        <v>378</v>
      </c>
      <c r="BB1145">
        <v>44</v>
      </c>
      <c r="BD1145">
        <v>1</v>
      </c>
      <c r="BF1145" t="s">
        <v>1269</v>
      </c>
      <c r="BG1145" s="1">
        <v>44354.050694444442</v>
      </c>
      <c r="BH1145" s="1">
        <v>44354.057789351849</v>
      </c>
      <c r="BI1145" s="1">
        <v>44354.058356481481</v>
      </c>
      <c r="BJ1145" t="s">
        <v>85</v>
      </c>
      <c r="BK1145" t="s">
        <v>86</v>
      </c>
      <c r="BL1145" t="s">
        <v>87</v>
      </c>
    </row>
    <row r="1146" spans="1:64" x14ac:dyDescent="0.3">
      <c r="A1146" t="str">
        <f>"200600B0000"</f>
        <v>200600B0000</v>
      </c>
      <c r="B1146" t="str">
        <f>"200600B00003"</f>
        <v>200600B00003</v>
      </c>
      <c r="C1146" t="str">
        <f t="shared" si="66"/>
        <v>20</v>
      </c>
      <c r="D1146" t="s">
        <v>81</v>
      </c>
      <c r="E1146" t="str">
        <f t="shared" si="65"/>
        <v>066</v>
      </c>
      <c r="F1146" t="s">
        <v>951</v>
      </c>
      <c r="G1146" t="str">
        <f>"0600"</f>
        <v>0600</v>
      </c>
      <c r="H1146" t="str">
        <f>"0000"</f>
        <v>0000</v>
      </c>
      <c r="I1146" t="s">
        <v>83</v>
      </c>
      <c r="J1146">
        <v>0</v>
      </c>
      <c r="K1146">
        <v>1</v>
      </c>
      <c r="L1146">
        <v>3</v>
      </c>
      <c r="M1146">
        <v>275</v>
      </c>
      <c r="N1146">
        <v>280</v>
      </c>
      <c r="O1146">
        <v>5</v>
      </c>
      <c r="P1146">
        <v>280</v>
      </c>
      <c r="Q1146">
        <v>33</v>
      </c>
      <c r="R1146">
        <v>65</v>
      </c>
      <c r="S1146">
        <v>3</v>
      </c>
      <c r="T1146">
        <v>5</v>
      </c>
      <c r="U1146">
        <v>6</v>
      </c>
      <c r="V1146">
        <v>5</v>
      </c>
      <c r="W1146">
        <v>2</v>
      </c>
      <c r="X1146">
        <v>136</v>
      </c>
      <c r="Y1146">
        <v>3</v>
      </c>
      <c r="Z1146">
        <v>5</v>
      </c>
      <c r="AA1146">
        <v>2</v>
      </c>
      <c r="AB1146">
        <v>7</v>
      </c>
      <c r="AK1146">
        <v>2</v>
      </c>
      <c r="AO1146">
        <v>1</v>
      </c>
      <c r="AP1146">
        <v>1</v>
      </c>
      <c r="AR1146">
        <v>0</v>
      </c>
      <c r="AU1146">
        <v>0</v>
      </c>
      <c r="AW1146">
        <v>0</v>
      </c>
      <c r="AX1146">
        <v>4</v>
      </c>
      <c r="AY1146">
        <v>280</v>
      </c>
      <c r="AZ1146">
        <v>280</v>
      </c>
      <c r="BA1146">
        <v>511</v>
      </c>
      <c r="BB1146">
        <v>44</v>
      </c>
      <c r="BD1146">
        <v>1</v>
      </c>
      <c r="BF1146" t="s">
        <v>1270</v>
      </c>
      <c r="BG1146" s="1">
        <v>44354.094444444447</v>
      </c>
      <c r="BH1146" s="1">
        <v>44354.108437499999</v>
      </c>
      <c r="BI1146" s="1">
        <v>44354.108865740738</v>
      </c>
      <c r="BJ1146" t="s">
        <v>85</v>
      </c>
      <c r="BK1146" t="s">
        <v>86</v>
      </c>
      <c r="BL1146" t="s">
        <v>87</v>
      </c>
    </row>
    <row r="1147" spans="1:64" x14ac:dyDescent="0.3">
      <c r="A1147" t="str">
        <f>"200600C0100"</f>
        <v>200600C0100</v>
      </c>
      <c r="B1147" t="str">
        <f>"200600C01003"</f>
        <v>200600C01003</v>
      </c>
      <c r="C1147" t="str">
        <f t="shared" si="66"/>
        <v>20</v>
      </c>
      <c r="D1147" t="s">
        <v>81</v>
      </c>
      <c r="E1147" t="str">
        <f t="shared" si="65"/>
        <v>066</v>
      </c>
      <c r="F1147" t="s">
        <v>951</v>
      </c>
      <c r="G1147" t="str">
        <f>"0600"</f>
        <v>0600</v>
      </c>
      <c r="H1147" t="str">
        <f>"0001"</f>
        <v>0001</v>
      </c>
      <c r="I1147" t="s">
        <v>89</v>
      </c>
      <c r="J1147">
        <v>0</v>
      </c>
      <c r="K1147">
        <v>1</v>
      </c>
      <c r="L1147">
        <v>3</v>
      </c>
      <c r="M1147">
        <v>277</v>
      </c>
      <c r="N1147">
        <v>278</v>
      </c>
      <c r="O1147">
        <v>3</v>
      </c>
      <c r="P1147">
        <v>278</v>
      </c>
      <c r="Q1147">
        <v>22</v>
      </c>
      <c r="R1147">
        <v>76</v>
      </c>
      <c r="S1147">
        <v>4</v>
      </c>
      <c r="T1147">
        <v>1</v>
      </c>
      <c r="U1147">
        <v>3</v>
      </c>
      <c r="V1147">
        <v>5</v>
      </c>
      <c r="W1147">
        <v>2</v>
      </c>
      <c r="X1147">
        <v>128</v>
      </c>
      <c r="Y1147">
        <v>5</v>
      </c>
      <c r="Z1147">
        <v>3</v>
      </c>
      <c r="AA1147">
        <v>3</v>
      </c>
      <c r="AB1147">
        <v>10</v>
      </c>
      <c r="AK1147">
        <v>4</v>
      </c>
      <c r="AO1147">
        <v>0</v>
      </c>
      <c r="AP1147">
        <v>0</v>
      </c>
      <c r="AR1147">
        <v>0</v>
      </c>
      <c r="AU1147">
        <v>0</v>
      </c>
      <c r="AW1147">
        <v>0</v>
      </c>
      <c r="AX1147">
        <v>12</v>
      </c>
      <c r="AY1147">
        <v>278</v>
      </c>
      <c r="AZ1147">
        <v>278</v>
      </c>
      <c r="BA1147">
        <v>511</v>
      </c>
      <c r="BB1147">
        <v>44</v>
      </c>
      <c r="BD1147">
        <v>1</v>
      </c>
      <c r="BF1147" t="s">
        <v>1271</v>
      </c>
      <c r="BG1147" s="1">
        <v>44354.088194444441</v>
      </c>
      <c r="BH1147" s="1">
        <v>44354.099398148152</v>
      </c>
      <c r="BI1147" s="1">
        <v>44354.100787037038</v>
      </c>
      <c r="BJ1147" t="s">
        <v>85</v>
      </c>
      <c r="BK1147" t="s">
        <v>86</v>
      </c>
      <c r="BL1147" t="s">
        <v>87</v>
      </c>
    </row>
    <row r="1148" spans="1:64" x14ac:dyDescent="0.3">
      <c r="A1148" t="str">
        <f>"200600C0200"</f>
        <v>200600C0200</v>
      </c>
      <c r="B1148" t="str">
        <f>"200600C02003"</f>
        <v>200600C02003</v>
      </c>
      <c r="C1148" t="str">
        <f t="shared" si="66"/>
        <v>20</v>
      </c>
      <c r="D1148" t="s">
        <v>81</v>
      </c>
      <c r="E1148" t="str">
        <f t="shared" ref="E1148:E1211" si="67">"066"</f>
        <v>066</v>
      </c>
      <c r="F1148" t="s">
        <v>951</v>
      </c>
      <c r="G1148" t="str">
        <f>"0600"</f>
        <v>0600</v>
      </c>
      <c r="H1148" t="str">
        <f>"0002"</f>
        <v>0002</v>
      </c>
      <c r="I1148" t="s">
        <v>89</v>
      </c>
      <c r="J1148">
        <v>0</v>
      </c>
      <c r="K1148">
        <v>1</v>
      </c>
      <c r="L1148">
        <v>3</v>
      </c>
      <c r="M1148">
        <v>282</v>
      </c>
      <c r="N1148">
        <v>271</v>
      </c>
      <c r="O1148">
        <v>4</v>
      </c>
      <c r="P1148" t="s">
        <v>92</v>
      </c>
      <c r="Q1148">
        <v>32</v>
      </c>
      <c r="R1148">
        <v>55</v>
      </c>
      <c r="S1148">
        <v>2</v>
      </c>
      <c r="T1148">
        <v>5</v>
      </c>
      <c r="U1148" t="s">
        <v>131</v>
      </c>
      <c r="V1148">
        <v>6</v>
      </c>
      <c r="W1148">
        <v>2</v>
      </c>
      <c r="X1148">
        <v>149</v>
      </c>
      <c r="Y1148">
        <v>1</v>
      </c>
      <c r="Z1148">
        <v>5</v>
      </c>
      <c r="AA1148">
        <v>0</v>
      </c>
      <c r="AB1148">
        <v>3</v>
      </c>
      <c r="AK1148" t="s">
        <v>95</v>
      </c>
      <c r="AO1148" t="s">
        <v>95</v>
      </c>
      <c r="AP1148" t="s">
        <v>95</v>
      </c>
      <c r="AR1148" t="s">
        <v>95</v>
      </c>
      <c r="AU1148" t="s">
        <v>95</v>
      </c>
      <c r="AW1148" t="s">
        <v>95</v>
      </c>
      <c r="AX1148" t="s">
        <v>95</v>
      </c>
      <c r="AY1148" t="s">
        <v>95</v>
      </c>
      <c r="AZ1148">
        <v>260</v>
      </c>
      <c r="BA1148">
        <v>510</v>
      </c>
      <c r="BB1148">
        <v>44</v>
      </c>
      <c r="BC1148" t="s">
        <v>96</v>
      </c>
      <c r="BD1148">
        <v>1</v>
      </c>
      <c r="BF1148" t="s">
        <v>1272</v>
      </c>
      <c r="BG1148" s="1">
        <v>44354.09652777778</v>
      </c>
      <c r="BH1148" s="1">
        <v>44354.121041666665</v>
      </c>
      <c r="BI1148" s="1">
        <v>44354.127581018518</v>
      </c>
      <c r="BJ1148" t="s">
        <v>85</v>
      </c>
      <c r="BK1148" t="s">
        <v>86</v>
      </c>
      <c r="BL1148" t="s">
        <v>87</v>
      </c>
    </row>
    <row r="1149" spans="1:64" x14ac:dyDescent="0.3">
      <c r="A1149" t="str">
        <f>"200601B0000"</f>
        <v>200601B0000</v>
      </c>
      <c r="B1149" t="str">
        <f>"200601B00003"</f>
        <v>200601B00003</v>
      </c>
      <c r="C1149" t="str">
        <f t="shared" si="66"/>
        <v>20</v>
      </c>
      <c r="D1149" t="s">
        <v>81</v>
      </c>
      <c r="E1149" t="str">
        <f t="shared" si="67"/>
        <v>066</v>
      </c>
      <c r="F1149" t="s">
        <v>951</v>
      </c>
      <c r="G1149" t="str">
        <f>"0601"</f>
        <v>0601</v>
      </c>
      <c r="H1149" t="str">
        <f>"0000"</f>
        <v>0000</v>
      </c>
      <c r="I1149" t="s">
        <v>83</v>
      </c>
      <c r="J1149">
        <v>0</v>
      </c>
      <c r="K1149">
        <v>1</v>
      </c>
      <c r="L1149">
        <v>3</v>
      </c>
      <c r="M1149">
        <v>320</v>
      </c>
      <c r="N1149">
        <v>263</v>
      </c>
      <c r="O1149">
        <v>0</v>
      </c>
      <c r="P1149">
        <v>263</v>
      </c>
      <c r="Q1149">
        <v>9</v>
      </c>
      <c r="R1149">
        <v>66</v>
      </c>
      <c r="S1149">
        <v>1</v>
      </c>
      <c r="T1149">
        <v>3</v>
      </c>
      <c r="U1149">
        <v>3</v>
      </c>
      <c r="V1149">
        <v>8</v>
      </c>
      <c r="W1149">
        <v>5</v>
      </c>
      <c r="X1149">
        <v>138</v>
      </c>
      <c r="Y1149">
        <v>4</v>
      </c>
      <c r="Z1149">
        <v>4</v>
      </c>
      <c r="AA1149">
        <v>1</v>
      </c>
      <c r="AB1149">
        <v>12</v>
      </c>
      <c r="AK1149">
        <v>2</v>
      </c>
      <c r="AO1149">
        <v>2</v>
      </c>
      <c r="AP1149">
        <v>0</v>
      </c>
      <c r="AR1149">
        <v>0</v>
      </c>
      <c r="AU1149">
        <v>0</v>
      </c>
      <c r="AW1149">
        <v>0</v>
      </c>
      <c r="AX1149">
        <v>5</v>
      </c>
      <c r="AY1149">
        <v>263</v>
      </c>
      <c r="AZ1149">
        <v>263</v>
      </c>
      <c r="BA1149">
        <v>539</v>
      </c>
      <c r="BB1149">
        <v>44</v>
      </c>
      <c r="BD1149">
        <v>1</v>
      </c>
      <c r="BF1149" t="s">
        <v>1273</v>
      </c>
      <c r="BG1149" s="1">
        <v>44354.092361111114</v>
      </c>
      <c r="BH1149" s="1">
        <v>44354.105509259258</v>
      </c>
      <c r="BI1149" s="1">
        <v>44354.105879629627</v>
      </c>
      <c r="BJ1149" t="s">
        <v>85</v>
      </c>
      <c r="BK1149" t="s">
        <v>86</v>
      </c>
      <c r="BL1149" t="s">
        <v>87</v>
      </c>
    </row>
    <row r="1150" spans="1:64" x14ac:dyDescent="0.3">
      <c r="A1150" t="str">
        <f>"200601C0100"</f>
        <v>200601C0100</v>
      </c>
      <c r="B1150" t="str">
        <f>"200601C01003"</f>
        <v>200601C01003</v>
      </c>
      <c r="C1150" t="str">
        <f t="shared" si="66"/>
        <v>20</v>
      </c>
      <c r="D1150" t="s">
        <v>81</v>
      </c>
      <c r="E1150" t="str">
        <f t="shared" si="67"/>
        <v>066</v>
      </c>
      <c r="F1150" t="s">
        <v>951</v>
      </c>
      <c r="G1150" t="str">
        <f>"0601"</f>
        <v>0601</v>
      </c>
      <c r="H1150" t="str">
        <f>"0001"</f>
        <v>0001</v>
      </c>
      <c r="I1150" t="s">
        <v>89</v>
      </c>
      <c r="J1150">
        <v>0</v>
      </c>
      <c r="K1150">
        <v>1</v>
      </c>
      <c r="L1150">
        <v>3</v>
      </c>
      <c r="M1150">
        <v>283</v>
      </c>
      <c r="N1150">
        <v>300</v>
      </c>
      <c r="O1150">
        <v>2</v>
      </c>
      <c r="P1150">
        <v>300</v>
      </c>
      <c r="Q1150">
        <v>19</v>
      </c>
      <c r="R1150">
        <v>69</v>
      </c>
      <c r="S1150">
        <v>1</v>
      </c>
      <c r="T1150">
        <v>1</v>
      </c>
      <c r="U1150">
        <v>9</v>
      </c>
      <c r="V1150">
        <v>4</v>
      </c>
      <c r="W1150">
        <v>1</v>
      </c>
      <c r="X1150">
        <v>154</v>
      </c>
      <c r="Y1150">
        <v>0</v>
      </c>
      <c r="Z1150">
        <v>5</v>
      </c>
      <c r="AA1150">
        <v>3</v>
      </c>
      <c r="AB1150">
        <v>24</v>
      </c>
      <c r="AK1150">
        <v>3</v>
      </c>
      <c r="AO1150">
        <v>1</v>
      </c>
      <c r="AP1150">
        <v>0</v>
      </c>
      <c r="AR1150">
        <v>0</v>
      </c>
      <c r="AU1150">
        <v>0</v>
      </c>
      <c r="AW1150">
        <v>0</v>
      </c>
      <c r="AX1150">
        <v>6</v>
      </c>
      <c r="AY1150">
        <v>300</v>
      </c>
      <c r="AZ1150">
        <v>300</v>
      </c>
      <c r="BA1150">
        <v>539</v>
      </c>
      <c r="BB1150">
        <v>44</v>
      </c>
      <c r="BD1150">
        <v>1</v>
      </c>
      <c r="BF1150" t="s">
        <v>1274</v>
      </c>
      <c r="BG1150" s="1">
        <v>44354.087500000001</v>
      </c>
      <c r="BH1150" s="1">
        <v>44354.098692129628</v>
      </c>
      <c r="BI1150" s="1">
        <v>44354.102372685185</v>
      </c>
      <c r="BJ1150" t="s">
        <v>85</v>
      </c>
      <c r="BK1150" t="s">
        <v>86</v>
      </c>
      <c r="BL1150" t="s">
        <v>87</v>
      </c>
    </row>
    <row r="1151" spans="1:64" x14ac:dyDescent="0.3">
      <c r="A1151" t="str">
        <f>"200602B0000"</f>
        <v>200602B0000</v>
      </c>
      <c r="B1151" t="str">
        <f>"200602B00003"</f>
        <v>200602B00003</v>
      </c>
      <c r="C1151" t="str">
        <f t="shared" si="66"/>
        <v>20</v>
      </c>
      <c r="D1151" t="s">
        <v>81</v>
      </c>
      <c r="E1151" t="str">
        <f t="shared" si="67"/>
        <v>066</v>
      </c>
      <c r="F1151" t="s">
        <v>951</v>
      </c>
      <c r="G1151" t="str">
        <f>"0602"</f>
        <v>0602</v>
      </c>
      <c r="H1151" t="str">
        <f>"0000"</f>
        <v>0000</v>
      </c>
      <c r="I1151" t="s">
        <v>83</v>
      </c>
      <c r="J1151">
        <v>0</v>
      </c>
      <c r="K1151">
        <v>1</v>
      </c>
      <c r="L1151">
        <v>3</v>
      </c>
      <c r="M1151">
        <v>398</v>
      </c>
      <c r="N1151" t="s">
        <v>92</v>
      </c>
      <c r="O1151" t="s">
        <v>92</v>
      </c>
      <c r="P1151" t="s">
        <v>92</v>
      </c>
      <c r="Q1151">
        <v>16</v>
      </c>
      <c r="R1151">
        <v>72</v>
      </c>
      <c r="S1151">
        <v>3</v>
      </c>
      <c r="T1151">
        <v>2</v>
      </c>
      <c r="U1151">
        <v>6</v>
      </c>
      <c r="V1151">
        <v>7</v>
      </c>
      <c r="W1151">
        <v>3</v>
      </c>
      <c r="X1151">
        <v>180</v>
      </c>
      <c r="Y1151">
        <v>2</v>
      </c>
      <c r="Z1151">
        <v>4</v>
      </c>
      <c r="AA1151">
        <v>5</v>
      </c>
      <c r="AB1151">
        <v>16</v>
      </c>
      <c r="AK1151">
        <v>1</v>
      </c>
      <c r="AO1151">
        <v>1</v>
      </c>
      <c r="AP1151">
        <v>0</v>
      </c>
      <c r="AR1151">
        <v>0</v>
      </c>
      <c r="AU1151">
        <v>0</v>
      </c>
      <c r="AW1151">
        <v>0</v>
      </c>
      <c r="AX1151">
        <v>6</v>
      </c>
      <c r="AY1151">
        <v>324</v>
      </c>
      <c r="AZ1151">
        <v>324</v>
      </c>
      <c r="BA1151">
        <v>690</v>
      </c>
      <c r="BB1151">
        <v>44</v>
      </c>
      <c r="BD1151">
        <v>1</v>
      </c>
      <c r="BF1151" t="s">
        <v>1275</v>
      </c>
      <c r="BG1151" s="1">
        <v>44354.008333333331</v>
      </c>
      <c r="BH1151" s="1">
        <v>44354.016273148147</v>
      </c>
      <c r="BI1151" s="1">
        <v>44354.017152777778</v>
      </c>
      <c r="BJ1151" t="s">
        <v>85</v>
      </c>
      <c r="BK1151" t="s">
        <v>86</v>
      </c>
      <c r="BL1151" t="s">
        <v>87</v>
      </c>
    </row>
    <row r="1152" spans="1:64" x14ac:dyDescent="0.3">
      <c r="A1152" t="str">
        <f>"200602C0100"</f>
        <v>200602C0100</v>
      </c>
      <c r="B1152" t="str">
        <f>"200602C01003"</f>
        <v>200602C01003</v>
      </c>
      <c r="C1152" t="str">
        <f t="shared" si="66"/>
        <v>20</v>
      </c>
      <c r="D1152" t="s">
        <v>81</v>
      </c>
      <c r="E1152" t="str">
        <f t="shared" si="67"/>
        <v>066</v>
      </c>
      <c r="F1152" t="s">
        <v>951</v>
      </c>
      <c r="G1152" t="str">
        <f>"0602"</f>
        <v>0602</v>
      </c>
      <c r="H1152" t="str">
        <f>"0001"</f>
        <v>0001</v>
      </c>
      <c r="I1152" t="s">
        <v>89</v>
      </c>
      <c r="J1152">
        <v>0</v>
      </c>
      <c r="K1152">
        <v>1</v>
      </c>
      <c r="L1152">
        <v>3</v>
      </c>
      <c r="M1152" t="s">
        <v>92</v>
      </c>
      <c r="N1152" t="s">
        <v>92</v>
      </c>
      <c r="O1152" t="s">
        <v>92</v>
      </c>
      <c r="P1152" t="s">
        <v>92</v>
      </c>
      <c r="Q1152">
        <v>16</v>
      </c>
      <c r="R1152">
        <v>93</v>
      </c>
      <c r="S1152">
        <v>1</v>
      </c>
      <c r="T1152">
        <v>5</v>
      </c>
      <c r="U1152">
        <v>13</v>
      </c>
      <c r="V1152">
        <v>4</v>
      </c>
      <c r="W1152">
        <v>0</v>
      </c>
      <c r="X1152">
        <v>197</v>
      </c>
      <c r="Y1152">
        <v>3</v>
      </c>
      <c r="Z1152">
        <v>3</v>
      </c>
      <c r="AA1152">
        <v>5</v>
      </c>
      <c r="AB1152">
        <v>20</v>
      </c>
      <c r="AK1152">
        <v>1</v>
      </c>
      <c r="AO1152">
        <v>0</v>
      </c>
      <c r="AP1152">
        <v>0</v>
      </c>
      <c r="AR1152">
        <v>0</v>
      </c>
      <c r="AU1152">
        <v>4</v>
      </c>
      <c r="AW1152">
        <v>0</v>
      </c>
      <c r="AX1152">
        <v>7</v>
      </c>
      <c r="AY1152">
        <v>372</v>
      </c>
      <c r="AZ1152">
        <v>372</v>
      </c>
      <c r="BA1152">
        <v>690</v>
      </c>
      <c r="BB1152">
        <v>44</v>
      </c>
      <c r="BD1152">
        <v>1</v>
      </c>
      <c r="BF1152" t="s">
        <v>1276</v>
      </c>
      <c r="BG1152" s="1">
        <v>44354.006944444445</v>
      </c>
      <c r="BH1152" s="1">
        <v>44354.013368055559</v>
      </c>
      <c r="BI1152" s="1">
        <v>44354.014502314814</v>
      </c>
      <c r="BJ1152" t="s">
        <v>85</v>
      </c>
      <c r="BK1152" t="s">
        <v>86</v>
      </c>
      <c r="BL1152" t="s">
        <v>87</v>
      </c>
    </row>
    <row r="1153" spans="1:64" x14ac:dyDescent="0.3">
      <c r="A1153" t="str">
        <f>"200603B0000"</f>
        <v>200603B0000</v>
      </c>
      <c r="B1153" t="str">
        <f>"200603B00003"</f>
        <v>200603B00003</v>
      </c>
      <c r="C1153" t="str">
        <f t="shared" si="66"/>
        <v>20</v>
      </c>
      <c r="D1153" t="s">
        <v>81</v>
      </c>
      <c r="E1153" t="str">
        <f t="shared" si="67"/>
        <v>066</v>
      </c>
      <c r="F1153" t="s">
        <v>951</v>
      </c>
      <c r="G1153" t="str">
        <f>"0603"</f>
        <v>0603</v>
      </c>
      <c r="H1153" t="str">
        <f>"0000"</f>
        <v>0000</v>
      </c>
      <c r="I1153" t="s">
        <v>83</v>
      </c>
      <c r="J1153">
        <v>0</v>
      </c>
      <c r="K1153">
        <v>1</v>
      </c>
      <c r="L1153">
        <v>3</v>
      </c>
      <c r="M1153">
        <v>265</v>
      </c>
      <c r="N1153">
        <v>470</v>
      </c>
      <c r="O1153">
        <v>7</v>
      </c>
      <c r="P1153">
        <v>470</v>
      </c>
      <c r="Q1153">
        <v>60</v>
      </c>
      <c r="R1153">
        <v>147</v>
      </c>
      <c r="S1153">
        <v>6</v>
      </c>
      <c r="T1153">
        <v>6</v>
      </c>
      <c r="U1153">
        <v>6</v>
      </c>
      <c r="V1153">
        <v>7</v>
      </c>
      <c r="W1153">
        <v>7</v>
      </c>
      <c r="X1153">
        <v>184</v>
      </c>
      <c r="Y1153">
        <v>4</v>
      </c>
      <c r="Z1153">
        <v>10</v>
      </c>
      <c r="AA1153">
        <v>3</v>
      </c>
      <c r="AB1153">
        <v>17</v>
      </c>
      <c r="AK1153">
        <v>7</v>
      </c>
      <c r="AO1153">
        <v>4</v>
      </c>
      <c r="AP1153">
        <v>0</v>
      </c>
      <c r="AR1153">
        <v>0</v>
      </c>
      <c r="AU1153">
        <v>0</v>
      </c>
      <c r="AW1153">
        <v>0</v>
      </c>
      <c r="AX1153">
        <v>8</v>
      </c>
      <c r="AY1153">
        <v>470</v>
      </c>
      <c r="AZ1153">
        <v>476</v>
      </c>
      <c r="BA1153">
        <v>697</v>
      </c>
      <c r="BB1153">
        <v>44</v>
      </c>
      <c r="BD1153">
        <v>1</v>
      </c>
      <c r="BF1153" t="s">
        <v>1277</v>
      </c>
      <c r="BG1153" s="1">
        <v>44353.98333333333</v>
      </c>
      <c r="BH1153" s="1">
        <v>44353.986435185187</v>
      </c>
      <c r="BI1153" s="1">
        <v>44353.987141203703</v>
      </c>
      <c r="BJ1153" t="s">
        <v>85</v>
      </c>
      <c r="BK1153" t="s">
        <v>86</v>
      </c>
      <c r="BL1153" t="s">
        <v>87</v>
      </c>
    </row>
    <row r="1154" spans="1:64" x14ac:dyDescent="0.3">
      <c r="A1154" t="str">
        <f>"200604B0000"</f>
        <v>200604B0000</v>
      </c>
      <c r="B1154" t="str">
        <f>"200604B00003"</f>
        <v>200604B00003</v>
      </c>
      <c r="C1154" t="str">
        <f t="shared" si="66"/>
        <v>20</v>
      </c>
      <c r="D1154" t="s">
        <v>81</v>
      </c>
      <c r="E1154" t="str">
        <f t="shared" si="67"/>
        <v>066</v>
      </c>
      <c r="F1154" t="s">
        <v>951</v>
      </c>
      <c r="G1154" t="str">
        <f>"0604"</f>
        <v>0604</v>
      </c>
      <c r="H1154" t="str">
        <f>"0000"</f>
        <v>0000</v>
      </c>
      <c r="I1154" t="s">
        <v>83</v>
      </c>
      <c r="J1154">
        <v>0</v>
      </c>
      <c r="K1154">
        <v>1</v>
      </c>
      <c r="L1154">
        <v>3</v>
      </c>
      <c r="M1154">
        <v>300</v>
      </c>
      <c r="N1154">
        <v>294</v>
      </c>
      <c r="O1154">
        <v>4</v>
      </c>
      <c r="P1154">
        <v>290</v>
      </c>
      <c r="Q1154">
        <v>23</v>
      </c>
      <c r="R1154">
        <v>100</v>
      </c>
      <c r="S1154">
        <v>5</v>
      </c>
      <c r="T1154">
        <v>3</v>
      </c>
      <c r="U1154">
        <v>4</v>
      </c>
      <c r="V1154">
        <v>4</v>
      </c>
      <c r="W1154">
        <v>3</v>
      </c>
      <c r="X1154">
        <v>132</v>
      </c>
      <c r="Y1154">
        <v>3</v>
      </c>
      <c r="Z1154">
        <v>2</v>
      </c>
      <c r="AA1154">
        <v>1</v>
      </c>
      <c r="AB1154">
        <v>10</v>
      </c>
      <c r="AK1154">
        <v>1</v>
      </c>
      <c r="AO1154">
        <v>1</v>
      </c>
      <c r="AP1154">
        <v>0</v>
      </c>
      <c r="AR1154">
        <v>1</v>
      </c>
      <c r="AU1154">
        <v>0</v>
      </c>
      <c r="AW1154">
        <v>0</v>
      </c>
      <c r="AX1154">
        <v>3</v>
      </c>
      <c r="AY1154">
        <v>290</v>
      </c>
      <c r="AZ1154">
        <v>296</v>
      </c>
      <c r="BA1154">
        <v>553</v>
      </c>
      <c r="BB1154">
        <v>44</v>
      </c>
      <c r="BD1154">
        <v>1</v>
      </c>
      <c r="BF1154" t="s">
        <v>1278</v>
      </c>
      <c r="BG1154" s="1">
        <v>44353.996527777781</v>
      </c>
      <c r="BH1154" s="1">
        <v>44354.002025462964</v>
      </c>
      <c r="BI1154" s="1">
        <v>44354.002743055556</v>
      </c>
      <c r="BJ1154" t="s">
        <v>85</v>
      </c>
      <c r="BK1154" t="s">
        <v>86</v>
      </c>
      <c r="BL1154" t="s">
        <v>87</v>
      </c>
    </row>
    <row r="1155" spans="1:64" x14ac:dyDescent="0.3">
      <c r="A1155" t="str">
        <f>"200604C0100"</f>
        <v>200604C0100</v>
      </c>
      <c r="B1155" t="str">
        <f>"200604C01003"</f>
        <v>200604C01003</v>
      </c>
      <c r="C1155" t="str">
        <f t="shared" si="66"/>
        <v>20</v>
      </c>
      <c r="D1155" t="s">
        <v>81</v>
      </c>
      <c r="E1155" t="str">
        <f t="shared" si="67"/>
        <v>066</v>
      </c>
      <c r="F1155" t="s">
        <v>951</v>
      </c>
      <c r="G1155" t="str">
        <f>"0604"</f>
        <v>0604</v>
      </c>
      <c r="H1155" t="str">
        <f>"0001"</f>
        <v>0001</v>
      </c>
      <c r="I1155" t="s">
        <v>89</v>
      </c>
      <c r="J1155">
        <v>0</v>
      </c>
      <c r="K1155">
        <v>1</v>
      </c>
      <c r="L1155">
        <v>3</v>
      </c>
      <c r="M1155">
        <v>305</v>
      </c>
      <c r="N1155">
        <v>289</v>
      </c>
      <c r="O1155">
        <v>4</v>
      </c>
      <c r="P1155">
        <v>287</v>
      </c>
      <c r="Q1155">
        <v>19</v>
      </c>
      <c r="R1155">
        <v>70</v>
      </c>
      <c r="S1155">
        <v>3</v>
      </c>
      <c r="T1155">
        <v>4</v>
      </c>
      <c r="U1155">
        <v>13</v>
      </c>
      <c r="V1155">
        <v>9</v>
      </c>
      <c r="W1155">
        <v>4</v>
      </c>
      <c r="X1155">
        <v>139</v>
      </c>
      <c r="Y1155">
        <v>0</v>
      </c>
      <c r="Z1155">
        <v>9</v>
      </c>
      <c r="AA1155">
        <v>3</v>
      </c>
      <c r="AB1155">
        <v>4</v>
      </c>
      <c r="AK1155">
        <v>4</v>
      </c>
      <c r="AO1155" t="s">
        <v>95</v>
      </c>
      <c r="AP1155" t="s">
        <v>95</v>
      </c>
      <c r="AR1155" t="s">
        <v>95</v>
      </c>
      <c r="AU1155" t="s">
        <v>95</v>
      </c>
      <c r="AW1155" t="s">
        <v>95</v>
      </c>
      <c r="AX1155">
        <v>6</v>
      </c>
      <c r="AY1155">
        <v>287</v>
      </c>
      <c r="AZ1155">
        <v>287</v>
      </c>
      <c r="BA1155">
        <v>553</v>
      </c>
      <c r="BB1155">
        <v>44</v>
      </c>
      <c r="BC1155" t="s">
        <v>96</v>
      </c>
      <c r="BD1155">
        <v>1</v>
      </c>
      <c r="BF1155" t="s">
        <v>1279</v>
      </c>
      <c r="BG1155" s="1">
        <v>44353.986111111109</v>
      </c>
      <c r="BH1155" s="1">
        <v>44353.98909722222</v>
      </c>
      <c r="BI1155" s="1">
        <v>44353.989895833336</v>
      </c>
      <c r="BJ1155" t="s">
        <v>85</v>
      </c>
      <c r="BK1155" t="s">
        <v>86</v>
      </c>
      <c r="BL1155" t="s">
        <v>87</v>
      </c>
    </row>
    <row r="1156" spans="1:64" x14ac:dyDescent="0.3">
      <c r="A1156" t="str">
        <f>"200605B0000"</f>
        <v>200605B0000</v>
      </c>
      <c r="B1156" t="str">
        <f>"200605B00003"</f>
        <v>200605B00003</v>
      </c>
      <c r="C1156" t="str">
        <f t="shared" si="66"/>
        <v>20</v>
      </c>
      <c r="D1156" t="s">
        <v>81</v>
      </c>
      <c r="E1156" t="str">
        <f t="shared" si="67"/>
        <v>066</v>
      </c>
      <c r="F1156" t="s">
        <v>951</v>
      </c>
      <c r="G1156" t="str">
        <f>"0605"</f>
        <v>0605</v>
      </c>
      <c r="H1156" t="str">
        <f>"0000"</f>
        <v>0000</v>
      </c>
      <c r="I1156" t="s">
        <v>83</v>
      </c>
      <c r="J1156">
        <v>0</v>
      </c>
      <c r="K1156">
        <v>1</v>
      </c>
      <c r="L1156">
        <v>3</v>
      </c>
      <c r="M1156">
        <v>448</v>
      </c>
      <c r="N1156">
        <v>300</v>
      </c>
      <c r="O1156">
        <v>2</v>
      </c>
      <c r="P1156">
        <v>299</v>
      </c>
      <c r="Q1156">
        <v>20</v>
      </c>
      <c r="R1156">
        <v>93</v>
      </c>
      <c r="S1156">
        <v>3</v>
      </c>
      <c r="T1156">
        <v>2</v>
      </c>
      <c r="U1156">
        <v>6</v>
      </c>
      <c r="V1156">
        <v>12</v>
      </c>
      <c r="W1156">
        <v>1</v>
      </c>
      <c r="X1156">
        <v>131</v>
      </c>
      <c r="Y1156">
        <v>3</v>
      </c>
      <c r="Z1156">
        <v>2</v>
      </c>
      <c r="AA1156">
        <v>1</v>
      </c>
      <c r="AB1156">
        <v>12</v>
      </c>
      <c r="AK1156">
        <v>0</v>
      </c>
      <c r="AO1156">
        <v>0</v>
      </c>
      <c r="AP1156">
        <v>0</v>
      </c>
      <c r="AR1156">
        <v>0</v>
      </c>
      <c r="AU1156">
        <v>0</v>
      </c>
      <c r="AW1156">
        <v>0</v>
      </c>
      <c r="AX1156">
        <v>13</v>
      </c>
      <c r="AY1156">
        <v>299</v>
      </c>
      <c r="AZ1156">
        <v>299</v>
      </c>
      <c r="BA1156">
        <v>704</v>
      </c>
      <c r="BB1156">
        <v>44</v>
      </c>
      <c r="BD1156">
        <v>1</v>
      </c>
      <c r="BF1156" t="s">
        <v>1280</v>
      </c>
      <c r="BG1156" s="1">
        <v>44354.130555555559</v>
      </c>
      <c r="BH1156" s="1">
        <v>44354.132465277777</v>
      </c>
      <c r="BI1156" s="1">
        <v>44354.132928240739</v>
      </c>
      <c r="BJ1156" t="s">
        <v>85</v>
      </c>
      <c r="BK1156" t="s">
        <v>86</v>
      </c>
      <c r="BL1156" t="s">
        <v>87</v>
      </c>
    </row>
    <row r="1157" spans="1:64" x14ac:dyDescent="0.3">
      <c r="A1157" t="str">
        <f>"200605C0100"</f>
        <v>200605C0100</v>
      </c>
      <c r="B1157" t="str">
        <f>"200605C01003"</f>
        <v>200605C01003</v>
      </c>
      <c r="C1157" t="str">
        <f t="shared" si="66"/>
        <v>20</v>
      </c>
      <c r="D1157" t="s">
        <v>81</v>
      </c>
      <c r="E1157" t="str">
        <f t="shared" si="67"/>
        <v>066</v>
      </c>
      <c r="F1157" t="s">
        <v>951</v>
      </c>
      <c r="G1157" t="str">
        <f>"0605"</f>
        <v>0605</v>
      </c>
      <c r="H1157" t="str">
        <f>"0001"</f>
        <v>0001</v>
      </c>
      <c r="I1157" t="s">
        <v>89</v>
      </c>
      <c r="J1157">
        <v>0</v>
      </c>
      <c r="K1157">
        <v>1</v>
      </c>
      <c r="L1157">
        <v>3</v>
      </c>
      <c r="M1157">
        <v>396</v>
      </c>
      <c r="N1157">
        <v>351</v>
      </c>
      <c r="O1157">
        <v>2</v>
      </c>
      <c r="P1157">
        <v>351</v>
      </c>
      <c r="Q1157">
        <v>20</v>
      </c>
      <c r="R1157">
        <v>88</v>
      </c>
      <c r="S1157">
        <v>3</v>
      </c>
      <c r="T1157">
        <v>6</v>
      </c>
      <c r="U1157">
        <v>6</v>
      </c>
      <c r="V1157">
        <v>10</v>
      </c>
      <c r="W1157">
        <v>7</v>
      </c>
      <c r="X1157">
        <v>188</v>
      </c>
      <c r="Y1157">
        <v>4</v>
      </c>
      <c r="Z1157">
        <v>3</v>
      </c>
      <c r="AA1157">
        <v>1</v>
      </c>
      <c r="AB1157">
        <v>9</v>
      </c>
      <c r="AK1157">
        <v>0</v>
      </c>
      <c r="AO1157">
        <v>0</v>
      </c>
      <c r="AP1157">
        <v>0</v>
      </c>
      <c r="AR1157">
        <v>0</v>
      </c>
      <c r="AU1157">
        <v>0</v>
      </c>
      <c r="AW1157">
        <v>0</v>
      </c>
      <c r="AX1157">
        <v>5</v>
      </c>
      <c r="AY1157">
        <v>350</v>
      </c>
      <c r="AZ1157">
        <v>350</v>
      </c>
      <c r="BA1157">
        <v>703</v>
      </c>
      <c r="BB1157">
        <v>44</v>
      </c>
      <c r="BD1157">
        <v>1</v>
      </c>
      <c r="BF1157" t="s">
        <v>1281</v>
      </c>
      <c r="BG1157" s="1">
        <v>44354.130555555559</v>
      </c>
      <c r="BH1157" s="1">
        <v>44354.133599537039</v>
      </c>
      <c r="BI1157" s="1">
        <v>44354.134201388886</v>
      </c>
      <c r="BJ1157" t="s">
        <v>85</v>
      </c>
      <c r="BK1157" t="s">
        <v>86</v>
      </c>
      <c r="BL1157" t="s">
        <v>87</v>
      </c>
    </row>
    <row r="1158" spans="1:64" x14ac:dyDescent="0.3">
      <c r="A1158" t="str">
        <f>"200606B0000"</f>
        <v>200606B0000</v>
      </c>
      <c r="B1158" t="str">
        <f>"200606B00003"</f>
        <v>200606B00003</v>
      </c>
      <c r="C1158" t="str">
        <f t="shared" si="66"/>
        <v>20</v>
      </c>
      <c r="D1158" t="s">
        <v>81</v>
      </c>
      <c r="E1158" t="str">
        <f t="shared" si="67"/>
        <v>066</v>
      </c>
      <c r="F1158" t="s">
        <v>951</v>
      </c>
      <c r="G1158" t="str">
        <f>"0606"</f>
        <v>0606</v>
      </c>
      <c r="H1158" t="str">
        <f>"0000"</f>
        <v>0000</v>
      </c>
      <c r="I1158" t="s">
        <v>83</v>
      </c>
      <c r="J1158">
        <v>0</v>
      </c>
      <c r="K1158">
        <v>1</v>
      </c>
      <c r="L1158">
        <v>3</v>
      </c>
      <c r="M1158">
        <v>321</v>
      </c>
      <c r="N1158">
        <v>275</v>
      </c>
      <c r="O1158">
        <v>0</v>
      </c>
      <c r="P1158">
        <v>275</v>
      </c>
      <c r="Q1158">
        <v>15</v>
      </c>
      <c r="R1158">
        <v>82</v>
      </c>
      <c r="S1158">
        <v>1</v>
      </c>
      <c r="T1158">
        <v>1</v>
      </c>
      <c r="U1158">
        <v>3</v>
      </c>
      <c r="V1158">
        <v>7</v>
      </c>
      <c r="W1158">
        <v>1</v>
      </c>
      <c r="X1158">
        <v>136</v>
      </c>
      <c r="Y1158">
        <v>2</v>
      </c>
      <c r="Z1158">
        <v>4</v>
      </c>
      <c r="AA1158">
        <v>2</v>
      </c>
      <c r="AB1158">
        <v>6</v>
      </c>
      <c r="AK1158">
        <v>0</v>
      </c>
      <c r="AO1158">
        <v>1</v>
      </c>
      <c r="AP1158">
        <v>0</v>
      </c>
      <c r="AR1158">
        <v>1</v>
      </c>
      <c r="AU1158">
        <v>0</v>
      </c>
      <c r="AW1158">
        <v>0</v>
      </c>
      <c r="AX1158">
        <v>13</v>
      </c>
      <c r="AY1158">
        <v>275</v>
      </c>
      <c r="AZ1158">
        <v>275</v>
      </c>
      <c r="BA1158">
        <v>558</v>
      </c>
      <c r="BB1158">
        <v>44</v>
      </c>
      <c r="BD1158">
        <v>1</v>
      </c>
      <c r="BF1158" t="s">
        <v>1282</v>
      </c>
      <c r="BG1158" s="1">
        <v>44354.058333333334</v>
      </c>
      <c r="BH1158" s="1">
        <v>44354.068506944444</v>
      </c>
      <c r="BI1158" s="1">
        <v>44354.06958333333</v>
      </c>
      <c r="BJ1158" t="s">
        <v>85</v>
      </c>
      <c r="BK1158" t="s">
        <v>86</v>
      </c>
      <c r="BL1158" t="s">
        <v>87</v>
      </c>
    </row>
    <row r="1159" spans="1:64" x14ac:dyDescent="0.3">
      <c r="A1159" t="str">
        <f>"200606C0100"</f>
        <v>200606C0100</v>
      </c>
      <c r="B1159" t="str">
        <f>"200606C01003"</f>
        <v>200606C01003</v>
      </c>
      <c r="C1159" t="str">
        <f t="shared" ref="C1159:C1222" si="68">"20"</f>
        <v>20</v>
      </c>
      <c r="D1159" t="s">
        <v>81</v>
      </c>
      <c r="E1159" t="str">
        <f t="shared" si="67"/>
        <v>066</v>
      </c>
      <c r="F1159" t="s">
        <v>951</v>
      </c>
      <c r="G1159" t="str">
        <f>"0606"</f>
        <v>0606</v>
      </c>
      <c r="H1159" t="str">
        <f>"0001"</f>
        <v>0001</v>
      </c>
      <c r="I1159" t="s">
        <v>89</v>
      </c>
      <c r="J1159">
        <v>0</v>
      </c>
      <c r="K1159">
        <v>1</v>
      </c>
      <c r="L1159">
        <v>3</v>
      </c>
      <c r="M1159">
        <v>328</v>
      </c>
      <c r="N1159">
        <v>273</v>
      </c>
      <c r="O1159">
        <v>6</v>
      </c>
      <c r="P1159">
        <v>273</v>
      </c>
      <c r="Q1159">
        <v>12</v>
      </c>
      <c r="R1159">
        <v>67</v>
      </c>
      <c r="S1159">
        <v>2</v>
      </c>
      <c r="T1159">
        <v>2</v>
      </c>
      <c r="U1159">
        <v>5</v>
      </c>
      <c r="V1159">
        <v>6</v>
      </c>
      <c r="W1159">
        <v>3</v>
      </c>
      <c r="X1159">
        <v>159</v>
      </c>
      <c r="Y1159">
        <v>1</v>
      </c>
      <c r="Z1159">
        <v>1</v>
      </c>
      <c r="AA1159">
        <v>2</v>
      </c>
      <c r="AB1159">
        <v>4</v>
      </c>
      <c r="AK1159">
        <v>2</v>
      </c>
      <c r="AO1159">
        <v>0</v>
      </c>
      <c r="AP1159">
        <v>0</v>
      </c>
      <c r="AR1159">
        <v>0</v>
      </c>
      <c r="AU1159">
        <v>1</v>
      </c>
      <c r="AW1159">
        <v>0</v>
      </c>
      <c r="AX1159">
        <v>6</v>
      </c>
      <c r="AY1159">
        <v>273</v>
      </c>
      <c r="AZ1159">
        <v>273</v>
      </c>
      <c r="BA1159">
        <v>557</v>
      </c>
      <c r="BB1159">
        <v>44</v>
      </c>
      <c r="BD1159">
        <v>1</v>
      </c>
      <c r="BF1159" t="s">
        <v>1283</v>
      </c>
      <c r="BG1159" s="1">
        <v>44354.060416666667</v>
      </c>
      <c r="BH1159" s="1">
        <v>44354.070983796293</v>
      </c>
      <c r="BI1159" s="1">
        <v>44354.071331018517</v>
      </c>
      <c r="BJ1159" t="s">
        <v>85</v>
      </c>
      <c r="BK1159" t="s">
        <v>86</v>
      </c>
      <c r="BL1159" t="s">
        <v>87</v>
      </c>
    </row>
    <row r="1160" spans="1:64" x14ac:dyDescent="0.3">
      <c r="A1160" t="str">
        <f>"200607B0000"</f>
        <v>200607B0000</v>
      </c>
      <c r="B1160" t="str">
        <f>"200607B00003"</f>
        <v>200607B00003</v>
      </c>
      <c r="C1160" t="str">
        <f t="shared" si="68"/>
        <v>20</v>
      </c>
      <c r="D1160" t="s">
        <v>81</v>
      </c>
      <c r="E1160" t="str">
        <f t="shared" si="67"/>
        <v>066</v>
      </c>
      <c r="F1160" t="s">
        <v>951</v>
      </c>
      <c r="G1160" t="str">
        <f>"0607"</f>
        <v>0607</v>
      </c>
      <c r="H1160" t="str">
        <f>"0000"</f>
        <v>0000</v>
      </c>
      <c r="I1160" t="s">
        <v>83</v>
      </c>
      <c r="J1160">
        <v>0</v>
      </c>
      <c r="K1160">
        <v>1</v>
      </c>
      <c r="L1160">
        <v>3</v>
      </c>
      <c r="M1160">
        <v>370</v>
      </c>
      <c r="N1160">
        <v>333</v>
      </c>
      <c r="O1160">
        <v>8</v>
      </c>
      <c r="P1160">
        <v>332</v>
      </c>
      <c r="Q1160">
        <v>21</v>
      </c>
      <c r="R1160">
        <v>84</v>
      </c>
      <c r="S1160">
        <v>6</v>
      </c>
      <c r="T1160">
        <v>4</v>
      </c>
      <c r="U1160">
        <v>7</v>
      </c>
      <c r="V1160">
        <v>5</v>
      </c>
      <c r="W1160">
        <v>6</v>
      </c>
      <c r="X1160">
        <v>179</v>
      </c>
      <c r="Y1160">
        <v>1</v>
      </c>
      <c r="Z1160">
        <v>2</v>
      </c>
      <c r="AA1160">
        <v>2</v>
      </c>
      <c r="AB1160">
        <v>5</v>
      </c>
      <c r="AK1160">
        <v>4</v>
      </c>
      <c r="AO1160">
        <v>0</v>
      </c>
      <c r="AP1160">
        <v>0</v>
      </c>
      <c r="AR1160">
        <v>1</v>
      </c>
      <c r="AU1160">
        <v>0</v>
      </c>
      <c r="AW1160">
        <v>0</v>
      </c>
      <c r="AX1160">
        <v>5</v>
      </c>
      <c r="AY1160">
        <v>332</v>
      </c>
      <c r="AZ1160">
        <v>332</v>
      </c>
      <c r="BA1160">
        <v>660</v>
      </c>
      <c r="BB1160">
        <v>44</v>
      </c>
      <c r="BD1160">
        <v>1</v>
      </c>
      <c r="BF1160" t="s">
        <v>1284</v>
      </c>
      <c r="BG1160" s="1">
        <v>44354.067361111112</v>
      </c>
      <c r="BH1160" s="1">
        <v>44354.076689814814</v>
      </c>
      <c r="BI1160" s="1">
        <v>44354.07775462963</v>
      </c>
      <c r="BJ1160" t="s">
        <v>85</v>
      </c>
      <c r="BK1160" t="s">
        <v>86</v>
      </c>
      <c r="BL1160" t="s">
        <v>87</v>
      </c>
    </row>
    <row r="1161" spans="1:64" x14ac:dyDescent="0.3">
      <c r="A1161" t="str">
        <f>"200607C0100"</f>
        <v>200607C0100</v>
      </c>
      <c r="B1161" t="str">
        <f>"200607C01003"</f>
        <v>200607C01003</v>
      </c>
      <c r="C1161" t="str">
        <f t="shared" si="68"/>
        <v>20</v>
      </c>
      <c r="D1161" t="s">
        <v>81</v>
      </c>
      <c r="E1161" t="str">
        <f t="shared" si="67"/>
        <v>066</v>
      </c>
      <c r="F1161" t="s">
        <v>951</v>
      </c>
      <c r="G1161" t="str">
        <f>"0607"</f>
        <v>0607</v>
      </c>
      <c r="H1161" t="str">
        <f>"0001"</f>
        <v>0001</v>
      </c>
      <c r="I1161" t="s">
        <v>89</v>
      </c>
      <c r="J1161">
        <v>0</v>
      </c>
      <c r="K1161">
        <v>1</v>
      </c>
      <c r="L1161">
        <v>3</v>
      </c>
      <c r="M1161">
        <v>408</v>
      </c>
      <c r="N1161">
        <v>295</v>
      </c>
      <c r="O1161">
        <v>4</v>
      </c>
      <c r="P1161" t="s">
        <v>92</v>
      </c>
      <c r="Q1161">
        <v>27</v>
      </c>
      <c r="R1161">
        <v>65</v>
      </c>
      <c r="S1161">
        <v>4</v>
      </c>
      <c r="T1161">
        <v>2</v>
      </c>
      <c r="U1161">
        <v>6</v>
      </c>
      <c r="V1161">
        <v>6</v>
      </c>
      <c r="W1161">
        <v>6</v>
      </c>
      <c r="X1161">
        <v>161</v>
      </c>
      <c r="Y1161">
        <v>2</v>
      </c>
      <c r="Z1161">
        <v>3</v>
      </c>
      <c r="AA1161">
        <v>1</v>
      </c>
      <c r="AB1161">
        <v>6</v>
      </c>
      <c r="AK1161">
        <v>3</v>
      </c>
      <c r="AO1161" t="s">
        <v>95</v>
      </c>
      <c r="AP1161" t="s">
        <v>95</v>
      </c>
      <c r="AR1161" t="s">
        <v>95</v>
      </c>
      <c r="AU1161" t="s">
        <v>95</v>
      </c>
      <c r="AW1161" t="s">
        <v>95</v>
      </c>
      <c r="AX1161">
        <v>4</v>
      </c>
      <c r="AY1161">
        <v>296</v>
      </c>
      <c r="AZ1161">
        <v>296</v>
      </c>
      <c r="BA1161">
        <v>660</v>
      </c>
      <c r="BB1161">
        <v>44</v>
      </c>
      <c r="BC1161" t="s">
        <v>96</v>
      </c>
      <c r="BD1161">
        <v>1</v>
      </c>
      <c r="BF1161" t="s">
        <v>1285</v>
      </c>
      <c r="BG1161" s="1">
        <v>44354.072222222225</v>
      </c>
      <c r="BH1161" s="1">
        <v>44354.080879629626</v>
      </c>
      <c r="BI1161" s="1">
        <v>44354.081446759257</v>
      </c>
      <c r="BJ1161" t="s">
        <v>85</v>
      </c>
      <c r="BK1161" t="s">
        <v>86</v>
      </c>
      <c r="BL1161" t="s">
        <v>87</v>
      </c>
    </row>
    <row r="1162" spans="1:64" x14ac:dyDescent="0.3">
      <c r="A1162" t="str">
        <f>"200608B0000"</f>
        <v>200608B0000</v>
      </c>
      <c r="B1162" t="str">
        <f>"200608B00003"</f>
        <v>200608B00003</v>
      </c>
      <c r="C1162" t="str">
        <f t="shared" si="68"/>
        <v>20</v>
      </c>
      <c r="D1162" t="s">
        <v>81</v>
      </c>
      <c r="E1162" t="str">
        <f t="shared" si="67"/>
        <v>066</v>
      </c>
      <c r="F1162" t="s">
        <v>951</v>
      </c>
      <c r="G1162" t="str">
        <f>"0608"</f>
        <v>0608</v>
      </c>
      <c r="H1162" t="str">
        <f>"0000"</f>
        <v>0000</v>
      </c>
      <c r="I1162" t="s">
        <v>83</v>
      </c>
      <c r="J1162">
        <v>0</v>
      </c>
      <c r="K1162">
        <v>1</v>
      </c>
      <c r="L1162">
        <v>3</v>
      </c>
      <c r="M1162">
        <v>201</v>
      </c>
      <c r="N1162">
        <v>274</v>
      </c>
      <c r="O1162">
        <v>9</v>
      </c>
      <c r="P1162">
        <v>274</v>
      </c>
      <c r="Q1162">
        <v>41</v>
      </c>
      <c r="R1162">
        <v>95</v>
      </c>
      <c r="S1162">
        <v>4</v>
      </c>
      <c r="T1162">
        <v>1</v>
      </c>
      <c r="U1162">
        <v>7</v>
      </c>
      <c r="V1162">
        <v>3</v>
      </c>
      <c r="W1162">
        <v>1</v>
      </c>
      <c r="X1162">
        <v>101</v>
      </c>
      <c r="Y1162">
        <v>2</v>
      </c>
      <c r="Z1162">
        <v>0</v>
      </c>
      <c r="AA1162">
        <v>0</v>
      </c>
      <c r="AB1162">
        <v>7</v>
      </c>
      <c r="AK1162">
        <v>6</v>
      </c>
      <c r="AO1162">
        <v>0</v>
      </c>
      <c r="AP1162">
        <v>0</v>
      </c>
      <c r="AR1162">
        <v>0</v>
      </c>
      <c r="AU1162">
        <v>0</v>
      </c>
      <c r="AW1162">
        <v>0</v>
      </c>
      <c r="AX1162">
        <v>6</v>
      </c>
      <c r="AY1162">
        <v>274</v>
      </c>
      <c r="AZ1162">
        <v>274</v>
      </c>
      <c r="BA1162">
        <v>431</v>
      </c>
      <c r="BB1162">
        <v>44</v>
      </c>
      <c r="BD1162">
        <v>1</v>
      </c>
      <c r="BF1162" t="s">
        <v>1286</v>
      </c>
      <c r="BG1162" s="1">
        <v>44354.104166666664</v>
      </c>
      <c r="BH1162" s="1">
        <v>44354.108564814815</v>
      </c>
      <c r="BI1162" s="1">
        <v>44354.109131944446</v>
      </c>
      <c r="BJ1162" t="s">
        <v>85</v>
      </c>
      <c r="BK1162" t="s">
        <v>86</v>
      </c>
      <c r="BL1162" t="s">
        <v>87</v>
      </c>
    </row>
    <row r="1163" spans="1:64" x14ac:dyDescent="0.3">
      <c r="A1163" t="str">
        <f>"200608C0100"</f>
        <v>200608C0100</v>
      </c>
      <c r="B1163" t="str">
        <f>"200608C01003"</f>
        <v>200608C01003</v>
      </c>
      <c r="C1163" t="str">
        <f t="shared" si="68"/>
        <v>20</v>
      </c>
      <c r="D1163" t="s">
        <v>81</v>
      </c>
      <c r="E1163" t="str">
        <f t="shared" si="67"/>
        <v>066</v>
      </c>
      <c r="F1163" t="s">
        <v>951</v>
      </c>
      <c r="G1163" t="str">
        <f>"0608"</f>
        <v>0608</v>
      </c>
      <c r="H1163" t="str">
        <f>"0001"</f>
        <v>0001</v>
      </c>
      <c r="I1163" t="s">
        <v>89</v>
      </c>
      <c r="J1163">
        <v>0</v>
      </c>
      <c r="K1163">
        <v>1</v>
      </c>
      <c r="L1163">
        <v>3</v>
      </c>
      <c r="M1163">
        <v>231</v>
      </c>
      <c r="N1163">
        <v>243</v>
      </c>
      <c r="O1163">
        <v>5</v>
      </c>
      <c r="P1163">
        <v>243</v>
      </c>
      <c r="Q1163">
        <v>39</v>
      </c>
      <c r="R1163">
        <v>70</v>
      </c>
      <c r="S1163">
        <v>1</v>
      </c>
      <c r="T1163">
        <v>2</v>
      </c>
      <c r="U1163">
        <v>2</v>
      </c>
      <c r="V1163">
        <v>5</v>
      </c>
      <c r="W1163">
        <v>1</v>
      </c>
      <c r="X1163">
        <v>90</v>
      </c>
      <c r="Y1163">
        <v>3</v>
      </c>
      <c r="Z1163">
        <v>5</v>
      </c>
      <c r="AA1163">
        <v>2</v>
      </c>
      <c r="AB1163">
        <v>6</v>
      </c>
      <c r="AK1163">
        <v>2</v>
      </c>
      <c r="AO1163">
        <v>1</v>
      </c>
      <c r="AP1163">
        <v>0</v>
      </c>
      <c r="AR1163">
        <v>2</v>
      </c>
      <c r="AU1163">
        <v>0</v>
      </c>
      <c r="AW1163">
        <v>0</v>
      </c>
      <c r="AX1163">
        <v>12</v>
      </c>
      <c r="AY1163">
        <v>243</v>
      </c>
      <c r="AZ1163">
        <v>243</v>
      </c>
      <c r="BA1163">
        <v>430</v>
      </c>
      <c r="BB1163">
        <v>44</v>
      </c>
      <c r="BD1163">
        <v>1</v>
      </c>
      <c r="BF1163" t="s">
        <v>1287</v>
      </c>
      <c r="BG1163" s="1">
        <v>44354.106249999997</v>
      </c>
      <c r="BH1163" s="1">
        <v>44354.1091087963</v>
      </c>
      <c r="BI1163" s="1">
        <v>44354.109814814816</v>
      </c>
      <c r="BJ1163" t="s">
        <v>85</v>
      </c>
      <c r="BK1163" t="s">
        <v>86</v>
      </c>
      <c r="BL1163" t="s">
        <v>87</v>
      </c>
    </row>
    <row r="1164" spans="1:64" x14ac:dyDescent="0.3">
      <c r="A1164" t="str">
        <f>"200609B0000"</f>
        <v>200609B0000</v>
      </c>
      <c r="B1164" t="str">
        <f>"200609B00003"</f>
        <v>200609B00003</v>
      </c>
      <c r="C1164" t="str">
        <f t="shared" si="68"/>
        <v>20</v>
      </c>
      <c r="D1164" t="s">
        <v>81</v>
      </c>
      <c r="E1164" t="str">
        <f t="shared" si="67"/>
        <v>066</v>
      </c>
      <c r="F1164" t="s">
        <v>951</v>
      </c>
      <c r="G1164" t="str">
        <f>"0609"</f>
        <v>0609</v>
      </c>
      <c r="H1164" t="str">
        <f>"0000"</f>
        <v>0000</v>
      </c>
      <c r="I1164" t="s">
        <v>83</v>
      </c>
      <c r="J1164">
        <v>0</v>
      </c>
      <c r="K1164">
        <v>1</v>
      </c>
      <c r="L1164">
        <v>3</v>
      </c>
      <c r="M1164">
        <v>384</v>
      </c>
      <c r="N1164">
        <v>295</v>
      </c>
      <c r="O1164">
        <v>0</v>
      </c>
      <c r="P1164">
        <v>295</v>
      </c>
      <c r="Q1164">
        <v>21</v>
      </c>
      <c r="R1164">
        <v>95</v>
      </c>
      <c r="S1164">
        <v>1</v>
      </c>
      <c r="T1164">
        <v>2</v>
      </c>
      <c r="U1164">
        <v>5</v>
      </c>
      <c r="V1164">
        <v>5</v>
      </c>
      <c r="W1164">
        <v>2</v>
      </c>
      <c r="X1164">
        <v>137</v>
      </c>
      <c r="Y1164">
        <v>1</v>
      </c>
      <c r="Z1164">
        <v>2</v>
      </c>
      <c r="AA1164">
        <v>2</v>
      </c>
      <c r="AB1164">
        <v>6</v>
      </c>
      <c r="AK1164">
        <v>4</v>
      </c>
      <c r="AO1164">
        <v>0</v>
      </c>
      <c r="AP1164">
        <v>0</v>
      </c>
      <c r="AR1164">
        <v>0</v>
      </c>
      <c r="AU1164">
        <v>0</v>
      </c>
      <c r="AW1164">
        <v>4</v>
      </c>
      <c r="AX1164">
        <v>8</v>
      </c>
      <c r="AY1164">
        <v>295</v>
      </c>
      <c r="AZ1164">
        <v>295</v>
      </c>
      <c r="BA1164">
        <v>635</v>
      </c>
      <c r="BB1164">
        <v>44</v>
      </c>
      <c r="BD1164">
        <v>1</v>
      </c>
      <c r="BF1164" t="s">
        <v>1288</v>
      </c>
      <c r="BG1164" s="1">
        <v>44354.006249999999</v>
      </c>
      <c r="BH1164" s="1">
        <v>44354.014641203707</v>
      </c>
      <c r="BI1164" s="1">
        <v>44354.015219907407</v>
      </c>
      <c r="BJ1164" t="s">
        <v>85</v>
      </c>
      <c r="BK1164" t="s">
        <v>86</v>
      </c>
      <c r="BL1164" t="s">
        <v>87</v>
      </c>
    </row>
    <row r="1165" spans="1:64" x14ac:dyDescent="0.3">
      <c r="A1165" t="str">
        <f>"200609C0100"</f>
        <v>200609C0100</v>
      </c>
      <c r="B1165" t="str">
        <f>"200609C01003"</f>
        <v>200609C01003</v>
      </c>
      <c r="C1165" t="str">
        <f t="shared" si="68"/>
        <v>20</v>
      </c>
      <c r="D1165" t="s">
        <v>81</v>
      </c>
      <c r="E1165" t="str">
        <f t="shared" si="67"/>
        <v>066</v>
      </c>
      <c r="F1165" t="s">
        <v>951</v>
      </c>
      <c r="G1165" t="str">
        <f>"0609"</f>
        <v>0609</v>
      </c>
      <c r="H1165" t="str">
        <f>"0001"</f>
        <v>0001</v>
      </c>
      <c r="I1165" t="s">
        <v>89</v>
      </c>
      <c r="J1165">
        <v>0</v>
      </c>
      <c r="K1165">
        <v>1</v>
      </c>
      <c r="L1165">
        <v>3</v>
      </c>
      <c r="M1165">
        <v>386</v>
      </c>
      <c r="N1165">
        <v>292</v>
      </c>
      <c r="O1165">
        <v>0</v>
      </c>
      <c r="P1165">
        <v>292</v>
      </c>
      <c r="Q1165">
        <v>32</v>
      </c>
      <c r="R1165">
        <v>86</v>
      </c>
      <c r="S1165">
        <v>3</v>
      </c>
      <c r="T1165">
        <v>2</v>
      </c>
      <c r="U1165">
        <v>4</v>
      </c>
      <c r="V1165">
        <v>8</v>
      </c>
      <c r="W1165">
        <v>1</v>
      </c>
      <c r="X1165">
        <v>136</v>
      </c>
      <c r="Y1165">
        <v>2</v>
      </c>
      <c r="Z1165">
        <v>2</v>
      </c>
      <c r="AA1165">
        <v>0</v>
      </c>
      <c r="AB1165">
        <v>9</v>
      </c>
      <c r="AK1165">
        <v>0</v>
      </c>
      <c r="AO1165">
        <v>0</v>
      </c>
      <c r="AP1165">
        <v>0</v>
      </c>
      <c r="AR1165">
        <v>0</v>
      </c>
      <c r="AU1165">
        <v>0</v>
      </c>
      <c r="AW1165">
        <v>0</v>
      </c>
      <c r="AX1165">
        <v>7</v>
      </c>
      <c r="AY1165">
        <v>292</v>
      </c>
      <c r="AZ1165">
        <v>292</v>
      </c>
      <c r="BA1165">
        <v>634</v>
      </c>
      <c r="BB1165">
        <v>44</v>
      </c>
      <c r="BD1165">
        <v>1</v>
      </c>
      <c r="BF1165" t="s">
        <v>1289</v>
      </c>
      <c r="BG1165" s="1">
        <v>44354.00277777778</v>
      </c>
      <c r="BH1165" s="1">
        <v>44354.010324074072</v>
      </c>
      <c r="BI1165" s="1">
        <v>44354.010833333334</v>
      </c>
      <c r="BJ1165" t="s">
        <v>85</v>
      </c>
      <c r="BK1165" t="s">
        <v>86</v>
      </c>
      <c r="BL1165" t="s">
        <v>87</v>
      </c>
    </row>
    <row r="1166" spans="1:64" x14ac:dyDescent="0.3">
      <c r="A1166" t="str">
        <f>"200609C0200"</f>
        <v>200609C0200</v>
      </c>
      <c r="B1166" t="str">
        <f>"200609C02003"</f>
        <v>200609C02003</v>
      </c>
      <c r="C1166" t="str">
        <f t="shared" si="68"/>
        <v>20</v>
      </c>
      <c r="D1166" t="s">
        <v>81</v>
      </c>
      <c r="E1166" t="str">
        <f t="shared" si="67"/>
        <v>066</v>
      </c>
      <c r="F1166" t="s">
        <v>951</v>
      </c>
      <c r="G1166" t="str">
        <f>"0609"</f>
        <v>0609</v>
      </c>
      <c r="H1166" t="str">
        <f>"0002"</f>
        <v>0002</v>
      </c>
      <c r="I1166" t="s">
        <v>89</v>
      </c>
      <c r="J1166">
        <v>0</v>
      </c>
      <c r="K1166">
        <v>1</v>
      </c>
      <c r="L1166">
        <v>3</v>
      </c>
      <c r="M1166">
        <v>354</v>
      </c>
      <c r="N1166">
        <v>281</v>
      </c>
      <c r="O1166">
        <v>2</v>
      </c>
      <c r="P1166">
        <v>281</v>
      </c>
      <c r="Q1166">
        <v>12</v>
      </c>
      <c r="R1166">
        <v>65</v>
      </c>
      <c r="S1166">
        <v>3</v>
      </c>
      <c r="T1166">
        <v>0</v>
      </c>
      <c r="U1166">
        <v>0</v>
      </c>
      <c r="V1166">
        <v>6</v>
      </c>
      <c r="W1166">
        <v>2</v>
      </c>
      <c r="X1166">
        <v>156</v>
      </c>
      <c r="Y1166">
        <v>1</v>
      </c>
      <c r="Z1166">
        <v>5</v>
      </c>
      <c r="AA1166">
        <v>0</v>
      </c>
      <c r="AB1166">
        <v>10</v>
      </c>
      <c r="AK1166" t="s">
        <v>95</v>
      </c>
      <c r="AO1166" t="s">
        <v>95</v>
      </c>
      <c r="AP1166" t="s">
        <v>95</v>
      </c>
      <c r="AR1166" t="s">
        <v>95</v>
      </c>
      <c r="AU1166" t="s">
        <v>95</v>
      </c>
      <c r="AW1166" t="s">
        <v>95</v>
      </c>
      <c r="AX1166">
        <v>6</v>
      </c>
      <c r="AY1166">
        <v>279</v>
      </c>
      <c r="AZ1166">
        <v>266</v>
      </c>
      <c r="BA1166">
        <v>634</v>
      </c>
      <c r="BB1166">
        <v>44</v>
      </c>
      <c r="BC1166" t="s">
        <v>96</v>
      </c>
      <c r="BD1166">
        <v>1</v>
      </c>
      <c r="BF1166" t="s">
        <v>1290</v>
      </c>
      <c r="BG1166" s="1">
        <v>44354.002083333333</v>
      </c>
      <c r="BH1166" s="1">
        <v>44354.011620370373</v>
      </c>
      <c r="BI1166" s="1">
        <v>44354.012129629627</v>
      </c>
      <c r="BJ1166" t="s">
        <v>85</v>
      </c>
      <c r="BK1166" t="s">
        <v>86</v>
      </c>
      <c r="BL1166" t="s">
        <v>87</v>
      </c>
    </row>
    <row r="1167" spans="1:64" x14ac:dyDescent="0.3">
      <c r="A1167" t="str">
        <f>"200609C0300"</f>
        <v>200609C0300</v>
      </c>
      <c r="B1167" t="str">
        <f>"200609C03003"</f>
        <v>200609C03003</v>
      </c>
      <c r="C1167" t="str">
        <f t="shared" si="68"/>
        <v>20</v>
      </c>
      <c r="D1167" t="s">
        <v>81</v>
      </c>
      <c r="E1167" t="str">
        <f t="shared" si="67"/>
        <v>066</v>
      </c>
      <c r="F1167" t="s">
        <v>951</v>
      </c>
      <c r="G1167" t="str">
        <f>"0609"</f>
        <v>0609</v>
      </c>
      <c r="H1167" t="str">
        <f>"0003"</f>
        <v>0003</v>
      </c>
      <c r="I1167" t="s">
        <v>89</v>
      </c>
      <c r="J1167">
        <v>0</v>
      </c>
      <c r="K1167">
        <v>1</v>
      </c>
      <c r="L1167">
        <v>3</v>
      </c>
      <c r="M1167">
        <v>374</v>
      </c>
      <c r="N1167">
        <v>304</v>
      </c>
      <c r="O1167">
        <v>0</v>
      </c>
      <c r="P1167" t="s">
        <v>92</v>
      </c>
      <c r="Q1167">
        <v>25</v>
      </c>
      <c r="R1167">
        <v>83</v>
      </c>
      <c r="S1167">
        <v>1</v>
      </c>
      <c r="T1167">
        <v>3</v>
      </c>
      <c r="U1167">
        <v>3</v>
      </c>
      <c r="V1167">
        <v>2</v>
      </c>
      <c r="W1167">
        <v>0</v>
      </c>
      <c r="X1167">
        <v>156</v>
      </c>
      <c r="Y1167">
        <v>3</v>
      </c>
      <c r="Z1167">
        <v>4</v>
      </c>
      <c r="AA1167">
        <v>1</v>
      </c>
      <c r="AB1167">
        <v>13</v>
      </c>
      <c r="AK1167">
        <v>2</v>
      </c>
      <c r="AO1167">
        <v>1</v>
      </c>
      <c r="AP1167">
        <v>0</v>
      </c>
      <c r="AR1167">
        <v>0</v>
      </c>
      <c r="AU1167">
        <v>1</v>
      </c>
      <c r="AW1167">
        <v>0</v>
      </c>
      <c r="AX1167">
        <v>6</v>
      </c>
      <c r="AY1167">
        <v>304</v>
      </c>
      <c r="AZ1167">
        <v>304</v>
      </c>
      <c r="BA1167">
        <v>634</v>
      </c>
      <c r="BB1167">
        <v>44</v>
      </c>
      <c r="BD1167">
        <v>1</v>
      </c>
      <c r="BF1167" t="s">
        <v>1291</v>
      </c>
      <c r="BG1167" s="1">
        <v>44353.993055555555</v>
      </c>
      <c r="BH1167" s="1">
        <v>44354.003969907404</v>
      </c>
      <c r="BI1167" s="1">
        <v>44354.004733796297</v>
      </c>
      <c r="BJ1167" t="s">
        <v>85</v>
      </c>
      <c r="BK1167" t="s">
        <v>86</v>
      </c>
      <c r="BL1167" t="s">
        <v>87</v>
      </c>
    </row>
    <row r="1168" spans="1:64" x14ac:dyDescent="0.3">
      <c r="A1168" t="str">
        <f>"200609C0400"</f>
        <v>200609C0400</v>
      </c>
      <c r="B1168" t="str">
        <f>"200609C04003"</f>
        <v>200609C04003</v>
      </c>
      <c r="C1168" t="str">
        <f t="shared" si="68"/>
        <v>20</v>
      </c>
      <c r="D1168" t="s">
        <v>81</v>
      </c>
      <c r="E1168" t="str">
        <f t="shared" si="67"/>
        <v>066</v>
      </c>
      <c r="F1168" t="s">
        <v>951</v>
      </c>
      <c r="G1168" t="str">
        <f>"0609"</f>
        <v>0609</v>
      </c>
      <c r="H1168" t="str">
        <f>"0004"</f>
        <v>0004</v>
      </c>
      <c r="I1168" t="s">
        <v>89</v>
      </c>
      <c r="J1168">
        <v>0</v>
      </c>
      <c r="K1168">
        <v>1</v>
      </c>
      <c r="L1168">
        <v>3</v>
      </c>
      <c r="M1168">
        <v>407</v>
      </c>
      <c r="N1168">
        <v>271</v>
      </c>
      <c r="O1168">
        <v>0</v>
      </c>
      <c r="P1168">
        <v>271</v>
      </c>
      <c r="Q1168">
        <v>19</v>
      </c>
      <c r="R1168">
        <v>93</v>
      </c>
      <c r="S1168">
        <v>1</v>
      </c>
      <c r="T1168">
        <v>4</v>
      </c>
      <c r="U1168">
        <v>4</v>
      </c>
      <c r="V1168">
        <v>11</v>
      </c>
      <c r="W1168">
        <v>1</v>
      </c>
      <c r="X1168">
        <v>117</v>
      </c>
      <c r="Y1168">
        <v>1</v>
      </c>
      <c r="Z1168">
        <v>2</v>
      </c>
      <c r="AA1168">
        <v>0</v>
      </c>
      <c r="AB1168">
        <v>7</v>
      </c>
      <c r="AK1168">
        <v>4</v>
      </c>
      <c r="AO1168">
        <v>1</v>
      </c>
      <c r="AP1168">
        <v>0</v>
      </c>
      <c r="AR1168">
        <v>0</v>
      </c>
      <c r="AU1168">
        <v>0</v>
      </c>
      <c r="AW1168">
        <v>0</v>
      </c>
      <c r="AX1168">
        <v>6</v>
      </c>
      <c r="AY1168">
        <v>271</v>
      </c>
      <c r="AZ1168">
        <v>271</v>
      </c>
      <c r="BA1168">
        <v>634</v>
      </c>
      <c r="BB1168">
        <v>44</v>
      </c>
      <c r="BD1168">
        <v>1</v>
      </c>
      <c r="BF1168" t="s">
        <v>1292</v>
      </c>
      <c r="BG1168" s="1">
        <v>44354.007638888892</v>
      </c>
      <c r="BH1168" s="1">
        <v>44354.013912037037</v>
      </c>
      <c r="BI1168" s="1">
        <v>44354.014224537037</v>
      </c>
      <c r="BJ1168" t="s">
        <v>85</v>
      </c>
      <c r="BK1168" t="s">
        <v>86</v>
      </c>
      <c r="BL1168" t="s">
        <v>87</v>
      </c>
    </row>
    <row r="1169" spans="1:64" x14ac:dyDescent="0.3">
      <c r="A1169" t="str">
        <f>"200610B0000"</f>
        <v>200610B0000</v>
      </c>
      <c r="B1169" t="str">
        <f>"200610B00003"</f>
        <v>200610B00003</v>
      </c>
      <c r="C1169" t="str">
        <f t="shared" si="68"/>
        <v>20</v>
      </c>
      <c r="D1169" t="s">
        <v>81</v>
      </c>
      <c r="E1169" t="str">
        <f t="shared" si="67"/>
        <v>066</v>
      </c>
      <c r="F1169" t="s">
        <v>951</v>
      </c>
      <c r="G1169" t="str">
        <f>"0610"</f>
        <v>0610</v>
      </c>
      <c r="H1169" t="str">
        <f>"0000"</f>
        <v>0000</v>
      </c>
      <c r="I1169" t="s">
        <v>83</v>
      </c>
      <c r="J1169">
        <v>0</v>
      </c>
      <c r="K1169">
        <v>1</v>
      </c>
      <c r="L1169">
        <v>3</v>
      </c>
      <c r="M1169">
        <v>192</v>
      </c>
      <c r="N1169">
        <v>279</v>
      </c>
      <c r="O1169">
        <v>6</v>
      </c>
      <c r="P1169" t="s">
        <v>92</v>
      </c>
      <c r="Q1169">
        <v>37</v>
      </c>
      <c r="R1169">
        <v>87</v>
      </c>
      <c r="S1169">
        <v>3</v>
      </c>
      <c r="T1169">
        <v>0</v>
      </c>
      <c r="U1169">
        <v>3</v>
      </c>
      <c r="V1169">
        <v>1</v>
      </c>
      <c r="W1169">
        <v>3</v>
      </c>
      <c r="X1169">
        <v>112</v>
      </c>
      <c r="Y1169">
        <v>6</v>
      </c>
      <c r="Z1169">
        <v>5</v>
      </c>
      <c r="AA1169">
        <v>1</v>
      </c>
      <c r="AB1169">
        <v>8</v>
      </c>
      <c r="AK1169">
        <v>1</v>
      </c>
      <c r="AO1169">
        <v>0</v>
      </c>
      <c r="AP1169">
        <v>0</v>
      </c>
      <c r="AR1169">
        <v>0</v>
      </c>
      <c r="AU1169">
        <v>0</v>
      </c>
      <c r="AW1169">
        <v>1</v>
      </c>
      <c r="AX1169">
        <v>11</v>
      </c>
      <c r="AY1169">
        <v>279</v>
      </c>
      <c r="AZ1169">
        <v>279</v>
      </c>
      <c r="BA1169">
        <v>427</v>
      </c>
      <c r="BB1169">
        <v>44</v>
      </c>
      <c r="BD1169">
        <v>1</v>
      </c>
      <c r="BF1169" t="s">
        <v>1293</v>
      </c>
      <c r="BG1169" s="1">
        <v>44354.05</v>
      </c>
      <c r="BH1169" s="1">
        <v>44354.056979166664</v>
      </c>
      <c r="BI1169" s="1">
        <v>44354.057708333334</v>
      </c>
      <c r="BJ1169" t="s">
        <v>85</v>
      </c>
      <c r="BK1169" t="s">
        <v>86</v>
      </c>
      <c r="BL1169" t="s">
        <v>87</v>
      </c>
    </row>
    <row r="1170" spans="1:64" x14ac:dyDescent="0.3">
      <c r="A1170" t="str">
        <f>"200610C0100"</f>
        <v>200610C0100</v>
      </c>
      <c r="B1170" t="str">
        <f>"200610C01003"</f>
        <v>200610C01003</v>
      </c>
      <c r="C1170" t="str">
        <f t="shared" si="68"/>
        <v>20</v>
      </c>
      <c r="D1170" t="s">
        <v>81</v>
      </c>
      <c r="E1170" t="str">
        <f t="shared" si="67"/>
        <v>066</v>
      </c>
      <c r="F1170" t="s">
        <v>951</v>
      </c>
      <c r="G1170" t="str">
        <f>"0610"</f>
        <v>0610</v>
      </c>
      <c r="H1170" t="str">
        <f>"0001"</f>
        <v>0001</v>
      </c>
      <c r="I1170" t="s">
        <v>89</v>
      </c>
      <c r="J1170">
        <v>0</v>
      </c>
      <c r="K1170">
        <v>1</v>
      </c>
      <c r="L1170">
        <v>3</v>
      </c>
      <c r="M1170">
        <v>209</v>
      </c>
      <c r="N1170">
        <v>261</v>
      </c>
      <c r="O1170">
        <v>0</v>
      </c>
      <c r="P1170">
        <v>261</v>
      </c>
      <c r="Q1170">
        <v>19</v>
      </c>
      <c r="R1170">
        <v>79</v>
      </c>
      <c r="S1170">
        <v>1</v>
      </c>
      <c r="T1170">
        <v>0</v>
      </c>
      <c r="U1170">
        <v>2</v>
      </c>
      <c r="V1170">
        <v>5</v>
      </c>
      <c r="W1170">
        <v>3</v>
      </c>
      <c r="X1170">
        <v>128</v>
      </c>
      <c r="Y1170">
        <v>4</v>
      </c>
      <c r="Z1170">
        <v>3</v>
      </c>
      <c r="AA1170">
        <v>1</v>
      </c>
      <c r="AB1170">
        <v>6</v>
      </c>
      <c r="AK1170">
        <v>2</v>
      </c>
      <c r="AO1170">
        <v>0</v>
      </c>
      <c r="AP1170">
        <v>0</v>
      </c>
      <c r="AR1170">
        <v>0</v>
      </c>
      <c r="AU1170">
        <v>0</v>
      </c>
      <c r="AW1170">
        <v>1</v>
      </c>
      <c r="AX1170">
        <v>7</v>
      </c>
      <c r="AY1170">
        <v>261</v>
      </c>
      <c r="AZ1170">
        <v>261</v>
      </c>
      <c r="BA1170">
        <v>426</v>
      </c>
      <c r="BB1170">
        <v>44</v>
      </c>
      <c r="BD1170">
        <v>1</v>
      </c>
      <c r="BF1170" t="s">
        <v>1294</v>
      </c>
      <c r="BG1170" s="1">
        <v>44354.047222222223</v>
      </c>
      <c r="BH1170" s="1">
        <v>44354.05641203704</v>
      </c>
      <c r="BI1170" s="1">
        <v>44354.057118055556</v>
      </c>
      <c r="BJ1170" t="s">
        <v>85</v>
      </c>
      <c r="BK1170" t="s">
        <v>86</v>
      </c>
      <c r="BL1170" t="s">
        <v>87</v>
      </c>
    </row>
    <row r="1171" spans="1:64" x14ac:dyDescent="0.3">
      <c r="A1171" t="str">
        <f>"200611B0000"</f>
        <v>200611B0000</v>
      </c>
      <c r="B1171" t="str">
        <f>"200611B00003"</f>
        <v>200611B00003</v>
      </c>
      <c r="C1171" t="str">
        <f t="shared" si="68"/>
        <v>20</v>
      </c>
      <c r="D1171" t="s">
        <v>81</v>
      </c>
      <c r="E1171" t="str">
        <f t="shared" si="67"/>
        <v>066</v>
      </c>
      <c r="F1171" t="s">
        <v>951</v>
      </c>
      <c r="G1171" t="str">
        <f>"0611"</f>
        <v>0611</v>
      </c>
      <c r="H1171" t="str">
        <f>"0000"</f>
        <v>0000</v>
      </c>
      <c r="I1171" t="s">
        <v>83</v>
      </c>
      <c r="J1171">
        <v>0</v>
      </c>
      <c r="K1171">
        <v>1</v>
      </c>
      <c r="L1171">
        <v>3</v>
      </c>
      <c r="M1171">
        <v>312</v>
      </c>
      <c r="N1171">
        <v>305</v>
      </c>
      <c r="O1171">
        <v>4</v>
      </c>
      <c r="P1171" t="s">
        <v>92</v>
      </c>
      <c r="Q1171">
        <v>19</v>
      </c>
      <c r="R1171">
        <v>62</v>
      </c>
      <c r="S1171">
        <v>3</v>
      </c>
      <c r="T1171">
        <v>4</v>
      </c>
      <c r="U1171">
        <v>6</v>
      </c>
      <c r="V1171">
        <v>3</v>
      </c>
      <c r="W1171">
        <v>3</v>
      </c>
      <c r="X1171">
        <v>185</v>
      </c>
      <c r="Y1171">
        <v>1</v>
      </c>
      <c r="Z1171">
        <v>1</v>
      </c>
      <c r="AA1171">
        <v>2</v>
      </c>
      <c r="AB1171">
        <v>5</v>
      </c>
      <c r="AK1171">
        <v>4</v>
      </c>
      <c r="AO1171">
        <v>0</v>
      </c>
      <c r="AP1171">
        <v>0</v>
      </c>
      <c r="AR1171">
        <v>0</v>
      </c>
      <c r="AU1171">
        <v>1</v>
      </c>
      <c r="AW1171">
        <v>0</v>
      </c>
      <c r="AX1171">
        <v>7</v>
      </c>
      <c r="AY1171">
        <v>306</v>
      </c>
      <c r="AZ1171">
        <v>306</v>
      </c>
      <c r="BA1171">
        <v>573</v>
      </c>
      <c r="BB1171">
        <v>44</v>
      </c>
      <c r="BD1171">
        <v>1</v>
      </c>
      <c r="BF1171" t="s">
        <v>1295</v>
      </c>
      <c r="BG1171" s="1">
        <v>44354.106249999997</v>
      </c>
      <c r="BH1171" s="1">
        <v>44354.109363425923</v>
      </c>
      <c r="BI1171" s="1">
        <v>44354.110636574071</v>
      </c>
      <c r="BJ1171" t="s">
        <v>85</v>
      </c>
      <c r="BK1171" t="s">
        <v>86</v>
      </c>
      <c r="BL1171" t="s">
        <v>87</v>
      </c>
    </row>
    <row r="1172" spans="1:64" x14ac:dyDescent="0.3">
      <c r="A1172" t="str">
        <f>"200611C0100"</f>
        <v>200611C0100</v>
      </c>
      <c r="B1172" t="str">
        <f>"200611C01003"</f>
        <v>200611C01003</v>
      </c>
      <c r="C1172" t="str">
        <f t="shared" si="68"/>
        <v>20</v>
      </c>
      <c r="D1172" t="s">
        <v>81</v>
      </c>
      <c r="E1172" t="str">
        <f t="shared" si="67"/>
        <v>066</v>
      </c>
      <c r="F1172" t="s">
        <v>951</v>
      </c>
      <c r="G1172" t="str">
        <f>"0611"</f>
        <v>0611</v>
      </c>
      <c r="H1172" t="str">
        <f>"0001"</f>
        <v>0001</v>
      </c>
      <c r="I1172" t="s">
        <v>89</v>
      </c>
      <c r="J1172">
        <v>0</v>
      </c>
      <c r="K1172">
        <v>1</v>
      </c>
      <c r="L1172">
        <v>3</v>
      </c>
      <c r="M1172">
        <v>295</v>
      </c>
      <c r="N1172">
        <v>321</v>
      </c>
      <c r="O1172">
        <v>5</v>
      </c>
      <c r="P1172">
        <v>319</v>
      </c>
      <c r="Q1172">
        <v>19</v>
      </c>
      <c r="R1172">
        <v>62</v>
      </c>
      <c r="S1172">
        <v>3</v>
      </c>
      <c r="T1172">
        <v>4</v>
      </c>
      <c r="U1172">
        <v>3</v>
      </c>
      <c r="V1172">
        <v>5</v>
      </c>
      <c r="W1172">
        <v>5</v>
      </c>
      <c r="X1172">
        <v>185</v>
      </c>
      <c r="Y1172">
        <v>3</v>
      </c>
      <c r="Z1172">
        <v>6</v>
      </c>
      <c r="AA1172">
        <v>0</v>
      </c>
      <c r="AB1172">
        <v>8</v>
      </c>
      <c r="AK1172">
        <v>5</v>
      </c>
      <c r="AO1172">
        <v>0</v>
      </c>
      <c r="AP1172">
        <v>0</v>
      </c>
      <c r="AR1172">
        <v>0</v>
      </c>
      <c r="AU1172">
        <v>0</v>
      </c>
      <c r="AW1172">
        <v>0</v>
      </c>
      <c r="AX1172">
        <v>11</v>
      </c>
      <c r="AY1172">
        <v>319</v>
      </c>
      <c r="AZ1172">
        <v>319</v>
      </c>
      <c r="BA1172">
        <v>573</v>
      </c>
      <c r="BB1172">
        <v>44</v>
      </c>
      <c r="BD1172">
        <v>1</v>
      </c>
      <c r="BF1172" t="s">
        <v>1296</v>
      </c>
      <c r="BG1172" s="1">
        <v>44354.104166666664</v>
      </c>
      <c r="BH1172" s="1">
        <v>44354.108229166668</v>
      </c>
      <c r="BI1172" s="1">
        <v>44354.108819444446</v>
      </c>
      <c r="BJ1172" t="s">
        <v>85</v>
      </c>
      <c r="BK1172" t="s">
        <v>86</v>
      </c>
      <c r="BL1172" t="s">
        <v>87</v>
      </c>
    </row>
    <row r="1173" spans="1:64" x14ac:dyDescent="0.3">
      <c r="A1173" t="str">
        <f>"200612B0000"</f>
        <v>200612B0000</v>
      </c>
      <c r="B1173" t="str">
        <f>"200612B00003"</f>
        <v>200612B00003</v>
      </c>
      <c r="C1173" t="str">
        <f t="shared" si="68"/>
        <v>20</v>
      </c>
      <c r="D1173" t="s">
        <v>81</v>
      </c>
      <c r="E1173" t="str">
        <f t="shared" si="67"/>
        <v>066</v>
      </c>
      <c r="F1173" t="s">
        <v>951</v>
      </c>
      <c r="G1173" t="str">
        <f>"0612"</f>
        <v>0612</v>
      </c>
      <c r="H1173" t="str">
        <f>"0000"</f>
        <v>0000</v>
      </c>
      <c r="I1173" t="s">
        <v>83</v>
      </c>
      <c r="J1173">
        <v>0</v>
      </c>
      <c r="K1173">
        <v>1</v>
      </c>
      <c r="L1173">
        <v>3</v>
      </c>
      <c r="M1173">
        <v>327</v>
      </c>
      <c r="N1173">
        <v>303</v>
      </c>
      <c r="O1173">
        <v>4</v>
      </c>
      <c r="P1173">
        <v>303</v>
      </c>
      <c r="Q1173">
        <v>14</v>
      </c>
      <c r="R1173">
        <v>77</v>
      </c>
      <c r="S1173">
        <v>2</v>
      </c>
      <c r="T1173">
        <v>0</v>
      </c>
      <c r="U1173">
        <v>4</v>
      </c>
      <c r="V1173">
        <v>4</v>
      </c>
      <c r="W1173">
        <v>1</v>
      </c>
      <c r="X1173">
        <v>173</v>
      </c>
      <c r="Y1173">
        <v>4</v>
      </c>
      <c r="Z1173">
        <v>1</v>
      </c>
      <c r="AA1173">
        <v>2</v>
      </c>
      <c r="AB1173">
        <v>8</v>
      </c>
      <c r="AK1173">
        <v>4</v>
      </c>
      <c r="AO1173">
        <v>0</v>
      </c>
      <c r="AP1173">
        <v>0</v>
      </c>
      <c r="AR1173">
        <v>0</v>
      </c>
      <c r="AU1173">
        <v>0</v>
      </c>
      <c r="AW1173">
        <v>0</v>
      </c>
      <c r="AX1173">
        <v>9</v>
      </c>
      <c r="AY1173">
        <v>303</v>
      </c>
      <c r="AZ1173">
        <v>303</v>
      </c>
      <c r="BA1173">
        <v>586</v>
      </c>
      <c r="BB1173">
        <v>44</v>
      </c>
      <c r="BD1173">
        <v>1</v>
      </c>
      <c r="BF1173" t="s">
        <v>1297</v>
      </c>
      <c r="BG1173" s="1">
        <v>44354.067361111112</v>
      </c>
      <c r="BH1173" s="1">
        <v>44354.087766203702</v>
      </c>
      <c r="BI1173" s="1">
        <v>44354.091944444444</v>
      </c>
      <c r="BJ1173" t="s">
        <v>85</v>
      </c>
      <c r="BK1173" t="s">
        <v>86</v>
      </c>
      <c r="BL1173" t="s">
        <v>87</v>
      </c>
    </row>
    <row r="1174" spans="1:64" x14ac:dyDescent="0.3">
      <c r="A1174" t="str">
        <f>"200612C0100"</f>
        <v>200612C0100</v>
      </c>
      <c r="B1174" t="str">
        <f>"200612C01003"</f>
        <v>200612C01003</v>
      </c>
      <c r="C1174" t="str">
        <f t="shared" si="68"/>
        <v>20</v>
      </c>
      <c r="D1174" t="s">
        <v>81</v>
      </c>
      <c r="E1174" t="str">
        <f t="shared" si="67"/>
        <v>066</v>
      </c>
      <c r="F1174" t="s">
        <v>951</v>
      </c>
      <c r="G1174" t="str">
        <f>"0612"</f>
        <v>0612</v>
      </c>
      <c r="H1174" t="str">
        <f>"0001"</f>
        <v>0001</v>
      </c>
      <c r="I1174" t="s">
        <v>89</v>
      </c>
      <c r="J1174">
        <v>0</v>
      </c>
      <c r="K1174">
        <v>1</v>
      </c>
      <c r="L1174">
        <v>3</v>
      </c>
      <c r="M1174">
        <v>339</v>
      </c>
      <c r="N1174">
        <v>290</v>
      </c>
      <c r="O1174">
        <v>4</v>
      </c>
      <c r="P1174">
        <v>290</v>
      </c>
      <c r="Q1174">
        <v>20</v>
      </c>
      <c r="R1174">
        <v>77</v>
      </c>
      <c r="S1174">
        <v>2</v>
      </c>
      <c r="T1174">
        <v>1</v>
      </c>
      <c r="U1174">
        <v>2</v>
      </c>
      <c r="V1174">
        <v>4</v>
      </c>
      <c r="W1174">
        <v>2</v>
      </c>
      <c r="X1174">
        <v>162</v>
      </c>
      <c r="Y1174">
        <v>2</v>
      </c>
      <c r="Z1174">
        <v>3</v>
      </c>
      <c r="AA1174">
        <v>1</v>
      </c>
      <c r="AB1174">
        <v>9</v>
      </c>
      <c r="AK1174">
        <v>2</v>
      </c>
      <c r="AO1174">
        <v>0</v>
      </c>
      <c r="AP1174">
        <v>0</v>
      </c>
      <c r="AR1174">
        <v>0</v>
      </c>
      <c r="AU1174">
        <v>0</v>
      </c>
      <c r="AW1174">
        <v>0</v>
      </c>
      <c r="AX1174">
        <v>3</v>
      </c>
      <c r="AY1174">
        <v>290</v>
      </c>
      <c r="AZ1174">
        <v>290</v>
      </c>
      <c r="BA1174">
        <v>585</v>
      </c>
      <c r="BB1174">
        <v>44</v>
      </c>
      <c r="BD1174">
        <v>1</v>
      </c>
      <c r="BF1174" t="s">
        <v>1298</v>
      </c>
      <c r="BG1174" s="1">
        <v>44354.063888888886</v>
      </c>
      <c r="BH1174" s="1">
        <v>44354.074432870373</v>
      </c>
      <c r="BI1174" s="1">
        <v>44354.075046296297</v>
      </c>
      <c r="BJ1174" t="s">
        <v>85</v>
      </c>
      <c r="BK1174" t="s">
        <v>86</v>
      </c>
      <c r="BL1174" t="s">
        <v>87</v>
      </c>
    </row>
    <row r="1175" spans="1:64" x14ac:dyDescent="0.3">
      <c r="A1175" t="str">
        <f>"200613B0000"</f>
        <v>200613B0000</v>
      </c>
      <c r="B1175" t="str">
        <f>"200613B00003"</f>
        <v>200613B00003</v>
      </c>
      <c r="C1175" t="str">
        <f t="shared" si="68"/>
        <v>20</v>
      </c>
      <c r="D1175" t="s">
        <v>81</v>
      </c>
      <c r="E1175" t="str">
        <f t="shared" si="67"/>
        <v>066</v>
      </c>
      <c r="F1175" t="s">
        <v>951</v>
      </c>
      <c r="G1175" t="str">
        <f>"0613"</f>
        <v>0613</v>
      </c>
      <c r="H1175" t="str">
        <f>"0000"</f>
        <v>0000</v>
      </c>
      <c r="I1175" t="s">
        <v>83</v>
      </c>
      <c r="J1175">
        <v>0</v>
      </c>
      <c r="K1175">
        <v>1</v>
      </c>
      <c r="L1175">
        <v>3</v>
      </c>
      <c r="M1175">
        <v>279</v>
      </c>
      <c r="N1175">
        <v>248</v>
      </c>
      <c r="O1175">
        <v>5</v>
      </c>
      <c r="P1175">
        <v>243</v>
      </c>
      <c r="Q1175">
        <v>4</v>
      </c>
      <c r="R1175">
        <v>72</v>
      </c>
      <c r="S1175">
        <v>0</v>
      </c>
      <c r="T1175">
        <v>3</v>
      </c>
      <c r="U1175">
        <v>8</v>
      </c>
      <c r="V1175">
        <v>5</v>
      </c>
      <c r="W1175">
        <v>8</v>
      </c>
      <c r="X1175">
        <v>128</v>
      </c>
      <c r="Y1175">
        <v>7</v>
      </c>
      <c r="Z1175">
        <v>2</v>
      </c>
      <c r="AA1175">
        <v>0</v>
      </c>
      <c r="AB1175">
        <v>1</v>
      </c>
      <c r="AK1175">
        <v>0</v>
      </c>
      <c r="AO1175">
        <v>0</v>
      </c>
      <c r="AP1175">
        <v>0</v>
      </c>
      <c r="AR1175">
        <v>0</v>
      </c>
      <c r="AU1175">
        <v>0</v>
      </c>
      <c r="AW1175">
        <v>0</v>
      </c>
      <c r="AX1175">
        <v>5</v>
      </c>
      <c r="AY1175">
        <v>243</v>
      </c>
      <c r="AZ1175">
        <v>243</v>
      </c>
      <c r="BA1175">
        <v>478</v>
      </c>
      <c r="BB1175">
        <v>44</v>
      </c>
      <c r="BD1175">
        <v>1</v>
      </c>
      <c r="BF1175" t="s">
        <v>1299</v>
      </c>
      <c r="BG1175" s="1">
        <v>44354.059027777781</v>
      </c>
      <c r="BH1175" s="1">
        <v>44354.06826388889</v>
      </c>
      <c r="BI1175" s="1">
        <v>44354.068854166668</v>
      </c>
      <c r="BJ1175" t="s">
        <v>85</v>
      </c>
      <c r="BK1175" t="s">
        <v>86</v>
      </c>
      <c r="BL1175" t="s">
        <v>87</v>
      </c>
    </row>
    <row r="1176" spans="1:64" x14ac:dyDescent="0.3">
      <c r="A1176" t="str">
        <f>"200613C0100"</f>
        <v>200613C0100</v>
      </c>
      <c r="B1176" t="str">
        <f>"200613C01003"</f>
        <v>200613C01003</v>
      </c>
      <c r="C1176" t="str">
        <f t="shared" si="68"/>
        <v>20</v>
      </c>
      <c r="D1176" t="s">
        <v>81</v>
      </c>
      <c r="E1176" t="str">
        <f t="shared" si="67"/>
        <v>066</v>
      </c>
      <c r="F1176" t="s">
        <v>951</v>
      </c>
      <c r="G1176" t="str">
        <f>"0613"</f>
        <v>0613</v>
      </c>
      <c r="H1176" t="str">
        <f>"0001"</f>
        <v>0001</v>
      </c>
      <c r="I1176" t="s">
        <v>89</v>
      </c>
      <c r="J1176">
        <v>0</v>
      </c>
      <c r="K1176">
        <v>1</v>
      </c>
      <c r="L1176">
        <v>3</v>
      </c>
      <c r="M1176">
        <v>251</v>
      </c>
      <c r="N1176">
        <v>266</v>
      </c>
      <c r="O1176">
        <v>4</v>
      </c>
      <c r="P1176">
        <v>208</v>
      </c>
      <c r="Q1176">
        <v>4</v>
      </c>
      <c r="R1176">
        <v>17</v>
      </c>
      <c r="S1176">
        <v>2</v>
      </c>
      <c r="T1176">
        <v>3</v>
      </c>
      <c r="U1176">
        <v>12</v>
      </c>
      <c r="V1176">
        <v>1</v>
      </c>
      <c r="W1176">
        <v>5</v>
      </c>
      <c r="X1176">
        <v>149</v>
      </c>
      <c r="Y1176">
        <v>8</v>
      </c>
      <c r="Z1176">
        <v>5</v>
      </c>
      <c r="AA1176">
        <v>1</v>
      </c>
      <c r="AB1176">
        <v>1</v>
      </c>
      <c r="AK1176">
        <v>0</v>
      </c>
      <c r="AO1176">
        <v>0</v>
      </c>
      <c r="AP1176">
        <v>0</v>
      </c>
      <c r="AR1176">
        <v>0</v>
      </c>
      <c r="AU1176">
        <v>0</v>
      </c>
      <c r="AW1176">
        <v>0</v>
      </c>
      <c r="AX1176">
        <v>0</v>
      </c>
      <c r="AY1176">
        <v>0</v>
      </c>
      <c r="AZ1176">
        <v>208</v>
      </c>
      <c r="BA1176">
        <v>478</v>
      </c>
      <c r="BB1176">
        <v>44</v>
      </c>
      <c r="BD1176">
        <v>1</v>
      </c>
      <c r="BF1176" t="s">
        <v>1300</v>
      </c>
      <c r="BG1176" s="1">
        <v>44354.057638888888</v>
      </c>
      <c r="BH1176" s="1">
        <v>44354.067407407405</v>
      </c>
      <c r="BI1176" s="1">
        <v>44354.068206018521</v>
      </c>
      <c r="BJ1176" t="s">
        <v>85</v>
      </c>
      <c r="BK1176" t="s">
        <v>86</v>
      </c>
      <c r="BL1176" t="s">
        <v>87</v>
      </c>
    </row>
    <row r="1177" spans="1:64" x14ac:dyDescent="0.3">
      <c r="A1177" t="str">
        <f>"200614B0000"</f>
        <v>200614B0000</v>
      </c>
      <c r="B1177" t="str">
        <f>"200614B00003"</f>
        <v>200614B00003</v>
      </c>
      <c r="C1177" t="str">
        <f t="shared" si="68"/>
        <v>20</v>
      </c>
      <c r="D1177" t="s">
        <v>81</v>
      </c>
      <c r="E1177" t="str">
        <f t="shared" si="67"/>
        <v>066</v>
      </c>
      <c r="F1177" t="s">
        <v>951</v>
      </c>
      <c r="G1177" t="str">
        <f>"0614"</f>
        <v>0614</v>
      </c>
      <c r="H1177" t="str">
        <f>"0000"</f>
        <v>0000</v>
      </c>
      <c r="I1177" t="s">
        <v>83</v>
      </c>
      <c r="J1177">
        <v>0</v>
      </c>
      <c r="K1177">
        <v>1</v>
      </c>
      <c r="L1177">
        <v>3</v>
      </c>
      <c r="M1177">
        <v>300</v>
      </c>
      <c r="N1177">
        <v>293</v>
      </c>
      <c r="O1177">
        <v>6</v>
      </c>
      <c r="P1177">
        <v>293</v>
      </c>
      <c r="Q1177">
        <v>14</v>
      </c>
      <c r="R1177">
        <v>58</v>
      </c>
      <c r="S1177">
        <v>0</v>
      </c>
      <c r="T1177">
        <v>0</v>
      </c>
      <c r="U1177">
        <v>7</v>
      </c>
      <c r="V1177">
        <v>10</v>
      </c>
      <c r="W1177">
        <v>1</v>
      </c>
      <c r="X1177">
        <v>185</v>
      </c>
      <c r="Y1177">
        <v>1</v>
      </c>
      <c r="Z1177">
        <v>5</v>
      </c>
      <c r="AA1177">
        <v>2</v>
      </c>
      <c r="AB1177">
        <v>3</v>
      </c>
      <c r="AK1177">
        <v>0</v>
      </c>
      <c r="AO1177">
        <v>0</v>
      </c>
      <c r="AP1177">
        <v>0</v>
      </c>
      <c r="AR1177">
        <v>0</v>
      </c>
      <c r="AU1177">
        <v>0</v>
      </c>
      <c r="AW1177">
        <v>0</v>
      </c>
      <c r="AX1177">
        <v>7</v>
      </c>
      <c r="AY1177">
        <v>293</v>
      </c>
      <c r="AZ1177">
        <v>293</v>
      </c>
      <c r="BA1177">
        <v>549</v>
      </c>
      <c r="BB1177">
        <v>44</v>
      </c>
      <c r="BD1177">
        <v>1</v>
      </c>
      <c r="BF1177" t="s">
        <v>1301</v>
      </c>
      <c r="BG1177" s="1">
        <v>44354.059027777781</v>
      </c>
      <c r="BH1177" s="1">
        <v>44354.067604166667</v>
      </c>
      <c r="BI1177" s="1">
        <v>44354.068182870367</v>
      </c>
      <c r="BJ1177" t="s">
        <v>85</v>
      </c>
      <c r="BK1177" t="s">
        <v>86</v>
      </c>
      <c r="BL1177" t="s">
        <v>87</v>
      </c>
    </row>
    <row r="1178" spans="1:64" x14ac:dyDescent="0.3">
      <c r="A1178" t="str">
        <f>"200614C0100"</f>
        <v>200614C0100</v>
      </c>
      <c r="B1178" t="str">
        <f>"200614C01003"</f>
        <v>200614C01003</v>
      </c>
      <c r="C1178" t="str">
        <f t="shared" si="68"/>
        <v>20</v>
      </c>
      <c r="D1178" t="s">
        <v>81</v>
      </c>
      <c r="E1178" t="str">
        <f t="shared" si="67"/>
        <v>066</v>
      </c>
      <c r="F1178" t="s">
        <v>951</v>
      </c>
      <c r="G1178" t="str">
        <f>"0614"</f>
        <v>0614</v>
      </c>
      <c r="H1178" t="str">
        <f>"0001"</f>
        <v>0001</v>
      </c>
      <c r="I1178" t="s">
        <v>89</v>
      </c>
      <c r="J1178">
        <v>0</v>
      </c>
      <c r="K1178">
        <v>1</v>
      </c>
      <c r="L1178">
        <v>3</v>
      </c>
      <c r="M1178">
        <v>320</v>
      </c>
      <c r="N1178">
        <v>273</v>
      </c>
      <c r="O1178">
        <v>5</v>
      </c>
      <c r="P1178">
        <v>273</v>
      </c>
      <c r="Q1178">
        <v>6</v>
      </c>
      <c r="R1178">
        <v>57</v>
      </c>
      <c r="S1178">
        <v>3</v>
      </c>
      <c r="T1178">
        <v>2</v>
      </c>
      <c r="U1178">
        <v>1</v>
      </c>
      <c r="V1178">
        <v>5</v>
      </c>
      <c r="W1178">
        <v>3</v>
      </c>
      <c r="X1178">
        <v>177</v>
      </c>
      <c r="Y1178">
        <v>4</v>
      </c>
      <c r="Z1178">
        <v>3</v>
      </c>
      <c r="AA1178">
        <v>2</v>
      </c>
      <c r="AB1178">
        <v>3</v>
      </c>
      <c r="AK1178">
        <v>1</v>
      </c>
      <c r="AO1178">
        <v>2</v>
      </c>
      <c r="AP1178">
        <v>0</v>
      </c>
      <c r="AR1178">
        <v>0</v>
      </c>
      <c r="AU1178">
        <v>0</v>
      </c>
      <c r="AW1178">
        <v>0</v>
      </c>
      <c r="AX1178">
        <v>4</v>
      </c>
      <c r="AY1178">
        <v>273</v>
      </c>
      <c r="AZ1178">
        <v>273</v>
      </c>
      <c r="BA1178">
        <v>549</v>
      </c>
      <c r="BB1178">
        <v>44</v>
      </c>
      <c r="BD1178">
        <v>1</v>
      </c>
      <c r="BF1178" t="s">
        <v>1302</v>
      </c>
      <c r="BG1178" s="1">
        <v>44354.055555555555</v>
      </c>
      <c r="BH1178" s="1">
        <v>44354.072569444441</v>
      </c>
      <c r="BI1178" s="1">
        <v>44354.072974537034</v>
      </c>
      <c r="BJ1178" t="s">
        <v>85</v>
      </c>
      <c r="BK1178" t="s">
        <v>86</v>
      </c>
      <c r="BL1178" t="s">
        <v>87</v>
      </c>
    </row>
    <row r="1179" spans="1:64" x14ac:dyDescent="0.3">
      <c r="A1179" t="str">
        <f>"200615B0000"</f>
        <v>200615B0000</v>
      </c>
      <c r="B1179" t="str">
        <f>"200615B00003"</f>
        <v>200615B00003</v>
      </c>
      <c r="C1179" t="str">
        <f t="shared" si="68"/>
        <v>20</v>
      </c>
      <c r="D1179" t="s">
        <v>81</v>
      </c>
      <c r="E1179" t="str">
        <f t="shared" si="67"/>
        <v>066</v>
      </c>
      <c r="F1179" t="s">
        <v>951</v>
      </c>
      <c r="G1179" t="str">
        <f>"0615"</f>
        <v>0615</v>
      </c>
      <c r="H1179" t="str">
        <f>"0000"</f>
        <v>0000</v>
      </c>
      <c r="I1179" t="s">
        <v>83</v>
      </c>
      <c r="J1179">
        <v>0</v>
      </c>
      <c r="K1179">
        <v>1</v>
      </c>
      <c r="L1179">
        <v>3</v>
      </c>
      <c r="M1179">
        <v>401</v>
      </c>
      <c r="N1179">
        <v>287</v>
      </c>
      <c r="O1179">
        <v>6</v>
      </c>
      <c r="P1179">
        <v>287</v>
      </c>
      <c r="Q1179">
        <v>19</v>
      </c>
      <c r="R1179">
        <v>59</v>
      </c>
      <c r="S1179">
        <v>3</v>
      </c>
      <c r="T1179">
        <v>3</v>
      </c>
      <c r="U1179">
        <v>6</v>
      </c>
      <c r="V1179">
        <v>1</v>
      </c>
      <c r="W1179">
        <v>4</v>
      </c>
      <c r="X1179">
        <v>164</v>
      </c>
      <c r="Y1179">
        <v>7</v>
      </c>
      <c r="Z1179">
        <v>3</v>
      </c>
      <c r="AA1179">
        <v>2</v>
      </c>
      <c r="AB1179">
        <v>6</v>
      </c>
      <c r="AK1179">
        <v>2</v>
      </c>
      <c r="AO1179" t="s">
        <v>95</v>
      </c>
      <c r="AP1179" t="s">
        <v>95</v>
      </c>
      <c r="AR1179" t="s">
        <v>95</v>
      </c>
      <c r="AU1179" t="s">
        <v>95</v>
      </c>
      <c r="AW1179" t="s">
        <v>95</v>
      </c>
      <c r="AX1179">
        <v>8</v>
      </c>
      <c r="AY1179">
        <v>287</v>
      </c>
      <c r="AZ1179">
        <v>287</v>
      </c>
      <c r="BA1179">
        <v>644</v>
      </c>
      <c r="BB1179">
        <v>44</v>
      </c>
      <c r="BC1179" t="s">
        <v>96</v>
      </c>
      <c r="BD1179">
        <v>1</v>
      </c>
      <c r="BF1179" t="s">
        <v>1303</v>
      </c>
      <c r="BG1179" s="1">
        <v>44354.050694444442</v>
      </c>
      <c r="BH1179" s="1">
        <v>44354.060636574075</v>
      </c>
      <c r="BI1179" s="1">
        <v>44354.061354166668</v>
      </c>
      <c r="BJ1179" t="s">
        <v>85</v>
      </c>
      <c r="BK1179" t="s">
        <v>86</v>
      </c>
      <c r="BL1179" t="s">
        <v>87</v>
      </c>
    </row>
    <row r="1180" spans="1:64" x14ac:dyDescent="0.3">
      <c r="A1180" t="str">
        <f>"200615C0100"</f>
        <v>200615C0100</v>
      </c>
      <c r="B1180" t="str">
        <f>"200615C01003"</f>
        <v>200615C01003</v>
      </c>
      <c r="C1180" t="str">
        <f t="shared" si="68"/>
        <v>20</v>
      </c>
      <c r="D1180" t="s">
        <v>81</v>
      </c>
      <c r="E1180" t="str">
        <f t="shared" si="67"/>
        <v>066</v>
      </c>
      <c r="F1180" t="s">
        <v>951</v>
      </c>
      <c r="G1180" t="str">
        <f>"0615"</f>
        <v>0615</v>
      </c>
      <c r="H1180" t="str">
        <f>"0001"</f>
        <v>0001</v>
      </c>
      <c r="I1180" t="s">
        <v>89</v>
      </c>
      <c r="J1180">
        <v>0</v>
      </c>
      <c r="K1180">
        <v>1</v>
      </c>
      <c r="L1180">
        <v>3</v>
      </c>
      <c r="M1180">
        <v>409</v>
      </c>
      <c r="N1180">
        <v>279</v>
      </c>
      <c r="O1180">
        <v>6</v>
      </c>
      <c r="P1180">
        <v>279</v>
      </c>
      <c r="Q1180">
        <v>28</v>
      </c>
      <c r="R1180">
        <v>78</v>
      </c>
      <c r="S1180">
        <v>2</v>
      </c>
      <c r="T1180">
        <v>1</v>
      </c>
      <c r="U1180">
        <v>8</v>
      </c>
      <c r="V1180">
        <v>7</v>
      </c>
      <c r="W1180">
        <v>2</v>
      </c>
      <c r="X1180">
        <v>125</v>
      </c>
      <c r="Y1180">
        <v>2</v>
      </c>
      <c r="Z1180">
        <v>6</v>
      </c>
      <c r="AA1180">
        <v>0</v>
      </c>
      <c r="AB1180">
        <v>10</v>
      </c>
      <c r="AK1180">
        <v>2</v>
      </c>
      <c r="AO1180">
        <v>0</v>
      </c>
      <c r="AP1180">
        <v>0</v>
      </c>
      <c r="AR1180">
        <v>0</v>
      </c>
      <c r="AU1180">
        <v>0</v>
      </c>
      <c r="AW1180">
        <v>0</v>
      </c>
      <c r="AX1180">
        <v>8</v>
      </c>
      <c r="AY1180">
        <v>279</v>
      </c>
      <c r="AZ1180">
        <v>279</v>
      </c>
      <c r="BA1180">
        <v>644</v>
      </c>
      <c r="BB1180">
        <v>44</v>
      </c>
      <c r="BD1180">
        <v>1</v>
      </c>
      <c r="BF1180" t="s">
        <v>1304</v>
      </c>
      <c r="BG1180" s="1">
        <v>44354.047222222223</v>
      </c>
      <c r="BH1180" s="1">
        <v>44354.056516203702</v>
      </c>
      <c r="BI1180" s="1">
        <v>44354.05809027778</v>
      </c>
      <c r="BJ1180" t="s">
        <v>85</v>
      </c>
      <c r="BK1180" t="s">
        <v>86</v>
      </c>
      <c r="BL1180" t="s">
        <v>87</v>
      </c>
    </row>
    <row r="1181" spans="1:64" x14ac:dyDescent="0.3">
      <c r="A1181" t="str">
        <f>"200616B0000"</f>
        <v>200616B0000</v>
      </c>
      <c r="B1181" t="str">
        <f>"200616B00003"</f>
        <v>200616B00003</v>
      </c>
      <c r="C1181" t="str">
        <f t="shared" si="68"/>
        <v>20</v>
      </c>
      <c r="D1181" t="s">
        <v>81</v>
      </c>
      <c r="E1181" t="str">
        <f t="shared" si="67"/>
        <v>066</v>
      </c>
      <c r="F1181" t="s">
        <v>951</v>
      </c>
      <c r="G1181" t="str">
        <f t="shared" ref="G1181:G1187" si="69">"0616"</f>
        <v>0616</v>
      </c>
      <c r="H1181" t="str">
        <f>"0000"</f>
        <v>0000</v>
      </c>
      <c r="I1181" t="s">
        <v>83</v>
      </c>
      <c r="J1181">
        <v>0</v>
      </c>
      <c r="K1181">
        <v>1</v>
      </c>
      <c r="L1181">
        <v>3</v>
      </c>
      <c r="M1181">
        <v>395</v>
      </c>
      <c r="N1181">
        <v>341</v>
      </c>
      <c r="O1181">
        <v>5</v>
      </c>
      <c r="P1181">
        <v>342</v>
      </c>
      <c r="Q1181">
        <v>11</v>
      </c>
      <c r="R1181">
        <v>78</v>
      </c>
      <c r="S1181">
        <v>0</v>
      </c>
      <c r="T1181">
        <v>4</v>
      </c>
      <c r="U1181">
        <v>9</v>
      </c>
      <c r="V1181">
        <v>3</v>
      </c>
      <c r="W1181">
        <v>9</v>
      </c>
      <c r="X1181">
        <v>201</v>
      </c>
      <c r="Y1181">
        <v>7</v>
      </c>
      <c r="Z1181">
        <v>5</v>
      </c>
      <c r="AA1181">
        <v>4</v>
      </c>
      <c r="AB1181">
        <v>3</v>
      </c>
      <c r="AK1181">
        <v>2</v>
      </c>
      <c r="AO1181">
        <v>0</v>
      </c>
      <c r="AP1181">
        <v>0</v>
      </c>
      <c r="AR1181">
        <v>0</v>
      </c>
      <c r="AU1181">
        <v>0</v>
      </c>
      <c r="AW1181">
        <v>0</v>
      </c>
      <c r="AX1181">
        <v>6</v>
      </c>
      <c r="AY1181">
        <v>342</v>
      </c>
      <c r="AZ1181">
        <v>342</v>
      </c>
      <c r="BA1181">
        <v>693</v>
      </c>
      <c r="BB1181">
        <v>44</v>
      </c>
      <c r="BD1181">
        <v>1</v>
      </c>
      <c r="BF1181" t="s">
        <v>1305</v>
      </c>
      <c r="BG1181" s="1">
        <v>44354.095138888886</v>
      </c>
      <c r="BH1181" s="1">
        <v>44354.108668981484</v>
      </c>
      <c r="BI1181" s="1">
        <v>44354.109826388885</v>
      </c>
      <c r="BJ1181" t="s">
        <v>85</v>
      </c>
      <c r="BK1181" t="s">
        <v>86</v>
      </c>
      <c r="BL1181" t="s">
        <v>87</v>
      </c>
    </row>
    <row r="1182" spans="1:64" x14ac:dyDescent="0.3">
      <c r="A1182" t="str">
        <f>"200616C0100"</f>
        <v>200616C0100</v>
      </c>
      <c r="B1182" t="str">
        <f>"200616C01003"</f>
        <v>200616C01003</v>
      </c>
      <c r="C1182" t="str">
        <f t="shared" si="68"/>
        <v>20</v>
      </c>
      <c r="D1182" t="s">
        <v>81</v>
      </c>
      <c r="E1182" t="str">
        <f t="shared" si="67"/>
        <v>066</v>
      </c>
      <c r="F1182" t="s">
        <v>951</v>
      </c>
      <c r="G1182" t="str">
        <f t="shared" si="69"/>
        <v>0616</v>
      </c>
      <c r="H1182" t="str">
        <f>"0001"</f>
        <v>0001</v>
      </c>
      <c r="I1182" t="s">
        <v>89</v>
      </c>
      <c r="J1182">
        <v>0</v>
      </c>
      <c r="K1182">
        <v>1</v>
      </c>
      <c r="L1182">
        <v>3</v>
      </c>
      <c r="M1182">
        <v>374</v>
      </c>
      <c r="N1182">
        <v>366</v>
      </c>
      <c r="O1182">
        <v>6</v>
      </c>
      <c r="P1182" t="s">
        <v>92</v>
      </c>
      <c r="Q1182">
        <v>9</v>
      </c>
      <c r="R1182">
        <v>114</v>
      </c>
      <c r="S1182">
        <v>1</v>
      </c>
      <c r="T1182">
        <v>8</v>
      </c>
      <c r="U1182">
        <v>11</v>
      </c>
      <c r="V1182">
        <v>4</v>
      </c>
      <c r="W1182">
        <v>3</v>
      </c>
      <c r="X1182">
        <v>174</v>
      </c>
      <c r="Y1182">
        <v>9</v>
      </c>
      <c r="Z1182">
        <v>5</v>
      </c>
      <c r="AA1182">
        <v>1</v>
      </c>
      <c r="AB1182">
        <v>9</v>
      </c>
      <c r="AK1182">
        <v>3</v>
      </c>
      <c r="AO1182">
        <v>1</v>
      </c>
      <c r="AP1182">
        <v>0</v>
      </c>
      <c r="AR1182">
        <v>0</v>
      </c>
      <c r="AU1182">
        <v>0</v>
      </c>
      <c r="AW1182">
        <v>0</v>
      </c>
      <c r="AX1182">
        <v>11</v>
      </c>
      <c r="AY1182">
        <v>363</v>
      </c>
      <c r="AZ1182">
        <v>363</v>
      </c>
      <c r="BA1182">
        <v>693</v>
      </c>
      <c r="BB1182">
        <v>44</v>
      </c>
      <c r="BD1182">
        <v>1</v>
      </c>
      <c r="BF1182" t="s">
        <v>1306</v>
      </c>
      <c r="BG1182" s="1">
        <v>44354.095138888886</v>
      </c>
      <c r="BH1182" s="1">
        <v>44354.11204861111</v>
      </c>
      <c r="BI1182" s="1">
        <v>44354.113946759258</v>
      </c>
      <c r="BJ1182" t="s">
        <v>85</v>
      </c>
      <c r="BK1182" t="s">
        <v>86</v>
      </c>
      <c r="BL1182" t="s">
        <v>87</v>
      </c>
    </row>
    <row r="1183" spans="1:64" x14ac:dyDescent="0.3">
      <c r="A1183" t="str">
        <f>"200616C0200"</f>
        <v>200616C0200</v>
      </c>
      <c r="B1183" t="str">
        <f>"200616C02003"</f>
        <v>200616C02003</v>
      </c>
      <c r="C1183" t="str">
        <f t="shared" si="68"/>
        <v>20</v>
      </c>
      <c r="D1183" t="s">
        <v>81</v>
      </c>
      <c r="E1183" t="str">
        <f t="shared" si="67"/>
        <v>066</v>
      </c>
      <c r="F1183" t="s">
        <v>951</v>
      </c>
      <c r="G1183" t="str">
        <f t="shared" si="69"/>
        <v>0616</v>
      </c>
      <c r="H1183" t="str">
        <f>"0002"</f>
        <v>0002</v>
      </c>
      <c r="I1183" t="s">
        <v>89</v>
      </c>
      <c r="J1183">
        <v>0</v>
      </c>
      <c r="K1183">
        <v>1</v>
      </c>
      <c r="L1183">
        <v>3</v>
      </c>
      <c r="M1183">
        <v>368</v>
      </c>
      <c r="N1183">
        <v>367</v>
      </c>
      <c r="O1183">
        <v>2</v>
      </c>
      <c r="P1183">
        <v>367</v>
      </c>
      <c r="Q1183">
        <v>9</v>
      </c>
      <c r="R1183">
        <v>93</v>
      </c>
      <c r="S1183">
        <v>3</v>
      </c>
      <c r="T1183">
        <v>4</v>
      </c>
      <c r="U1183">
        <v>10</v>
      </c>
      <c r="V1183">
        <v>4</v>
      </c>
      <c r="W1183">
        <v>5</v>
      </c>
      <c r="X1183">
        <v>207</v>
      </c>
      <c r="Y1183">
        <v>7</v>
      </c>
      <c r="Z1183">
        <v>3</v>
      </c>
      <c r="AA1183">
        <v>1</v>
      </c>
      <c r="AB1183">
        <v>9</v>
      </c>
      <c r="AK1183">
        <v>2</v>
      </c>
      <c r="AO1183">
        <v>0</v>
      </c>
      <c r="AP1183">
        <v>0</v>
      </c>
      <c r="AR1183">
        <v>0</v>
      </c>
      <c r="AU1183">
        <v>0</v>
      </c>
      <c r="AW1183">
        <v>0</v>
      </c>
      <c r="AX1183">
        <v>10</v>
      </c>
      <c r="AY1183">
        <v>367</v>
      </c>
      <c r="AZ1183">
        <v>367</v>
      </c>
      <c r="BA1183">
        <v>692</v>
      </c>
      <c r="BB1183">
        <v>44</v>
      </c>
      <c r="BD1183">
        <v>1</v>
      </c>
      <c r="BF1183" t="s">
        <v>1307</v>
      </c>
      <c r="BG1183" s="1">
        <v>44354.095138888886</v>
      </c>
      <c r="BH1183" s="1">
        <v>44354.108946759261</v>
      </c>
      <c r="BI1183" s="1">
        <v>44354.109803240739</v>
      </c>
      <c r="BJ1183" t="s">
        <v>85</v>
      </c>
      <c r="BK1183" t="s">
        <v>86</v>
      </c>
      <c r="BL1183" t="s">
        <v>87</v>
      </c>
    </row>
    <row r="1184" spans="1:64" x14ac:dyDescent="0.3">
      <c r="A1184" t="str">
        <f>"200616E0100"</f>
        <v>200616E0100</v>
      </c>
      <c r="B1184" t="str">
        <f>"200616E01003"</f>
        <v>200616E01003</v>
      </c>
      <c r="C1184" t="str">
        <f t="shared" si="68"/>
        <v>20</v>
      </c>
      <c r="D1184" t="s">
        <v>81</v>
      </c>
      <c r="E1184" t="str">
        <f t="shared" si="67"/>
        <v>066</v>
      </c>
      <c r="F1184" t="s">
        <v>951</v>
      </c>
      <c r="G1184" t="str">
        <f t="shared" si="69"/>
        <v>0616</v>
      </c>
      <c r="H1184" t="str">
        <f>"0001"</f>
        <v>0001</v>
      </c>
      <c r="I1184" t="s">
        <v>122</v>
      </c>
      <c r="J1184">
        <v>0</v>
      </c>
      <c r="K1184">
        <v>1</v>
      </c>
      <c r="L1184">
        <v>3</v>
      </c>
      <c r="M1184">
        <v>410</v>
      </c>
      <c r="N1184">
        <v>297</v>
      </c>
      <c r="O1184">
        <v>6</v>
      </c>
      <c r="P1184">
        <v>297</v>
      </c>
      <c r="Q1184">
        <v>8</v>
      </c>
      <c r="R1184">
        <v>66</v>
      </c>
      <c r="S1184">
        <v>3</v>
      </c>
      <c r="T1184">
        <v>2</v>
      </c>
      <c r="U1184">
        <v>9</v>
      </c>
      <c r="V1184">
        <v>3</v>
      </c>
      <c r="W1184">
        <v>0</v>
      </c>
      <c r="X1184">
        <v>158</v>
      </c>
      <c r="Y1184">
        <v>12</v>
      </c>
      <c r="Z1184">
        <v>6</v>
      </c>
      <c r="AA1184">
        <v>3</v>
      </c>
      <c r="AB1184">
        <v>9</v>
      </c>
      <c r="AK1184">
        <v>3</v>
      </c>
      <c r="AO1184">
        <v>0</v>
      </c>
      <c r="AP1184">
        <v>0</v>
      </c>
      <c r="AR1184">
        <v>0</v>
      </c>
      <c r="AU1184">
        <v>0</v>
      </c>
      <c r="AW1184">
        <v>0</v>
      </c>
      <c r="AX1184">
        <v>15</v>
      </c>
      <c r="AY1184">
        <v>297</v>
      </c>
      <c r="AZ1184">
        <v>297</v>
      </c>
      <c r="BA1184">
        <v>663</v>
      </c>
      <c r="BB1184">
        <v>44</v>
      </c>
      <c r="BD1184">
        <v>1</v>
      </c>
      <c r="BF1184" t="s">
        <v>1308</v>
      </c>
      <c r="BG1184" s="1">
        <v>44354.04791666667</v>
      </c>
      <c r="BH1184" s="1">
        <v>44354.054907407408</v>
      </c>
      <c r="BI1184" s="1">
        <v>44354.056006944447</v>
      </c>
      <c r="BJ1184" t="s">
        <v>85</v>
      </c>
      <c r="BK1184" t="s">
        <v>86</v>
      </c>
      <c r="BL1184" t="s">
        <v>87</v>
      </c>
    </row>
    <row r="1185" spans="1:64" x14ac:dyDescent="0.3">
      <c r="A1185" t="str">
        <f>"200616E0101"</f>
        <v>200616E0101</v>
      </c>
      <c r="B1185" t="str">
        <f>"200616E01013"</f>
        <v>200616E01013</v>
      </c>
      <c r="C1185" t="str">
        <f t="shared" si="68"/>
        <v>20</v>
      </c>
      <c r="D1185" t="s">
        <v>81</v>
      </c>
      <c r="E1185" t="str">
        <f t="shared" si="67"/>
        <v>066</v>
      </c>
      <c r="F1185" t="s">
        <v>951</v>
      </c>
      <c r="G1185" t="str">
        <f t="shared" si="69"/>
        <v>0616</v>
      </c>
      <c r="H1185" t="str">
        <f>"0001"</f>
        <v>0001</v>
      </c>
      <c r="I1185" t="s">
        <v>122</v>
      </c>
      <c r="J1185">
        <v>1</v>
      </c>
      <c r="K1185">
        <v>1</v>
      </c>
      <c r="L1185">
        <v>3</v>
      </c>
      <c r="M1185">
        <v>380</v>
      </c>
      <c r="N1185">
        <v>327</v>
      </c>
      <c r="O1185">
        <v>6</v>
      </c>
      <c r="P1185">
        <v>325</v>
      </c>
      <c r="Q1185">
        <v>11</v>
      </c>
      <c r="R1185">
        <v>74</v>
      </c>
      <c r="S1185">
        <v>1</v>
      </c>
      <c r="T1185">
        <v>4</v>
      </c>
      <c r="U1185">
        <v>11</v>
      </c>
      <c r="V1185">
        <v>7</v>
      </c>
      <c r="W1185">
        <v>1</v>
      </c>
      <c r="X1185">
        <v>171</v>
      </c>
      <c r="Y1185">
        <v>9</v>
      </c>
      <c r="Z1185">
        <v>3</v>
      </c>
      <c r="AA1185">
        <v>6</v>
      </c>
      <c r="AB1185">
        <v>13</v>
      </c>
      <c r="AK1185">
        <v>1</v>
      </c>
      <c r="AO1185">
        <v>1</v>
      </c>
      <c r="AP1185">
        <v>0</v>
      </c>
      <c r="AR1185">
        <v>0</v>
      </c>
      <c r="AU1185">
        <v>0</v>
      </c>
      <c r="AW1185">
        <v>1</v>
      </c>
      <c r="AX1185">
        <v>11</v>
      </c>
      <c r="AY1185">
        <v>325</v>
      </c>
      <c r="AZ1185">
        <v>325</v>
      </c>
      <c r="BA1185">
        <v>663</v>
      </c>
      <c r="BB1185">
        <v>44</v>
      </c>
      <c r="BD1185">
        <v>1</v>
      </c>
      <c r="BF1185" t="s">
        <v>1309</v>
      </c>
      <c r="BG1185" s="1">
        <v>44354.025694444441</v>
      </c>
      <c r="BH1185" s="1">
        <v>44354.034756944442</v>
      </c>
      <c r="BI1185" s="1">
        <v>44354.035682870373</v>
      </c>
      <c r="BJ1185" t="s">
        <v>85</v>
      </c>
      <c r="BK1185" t="s">
        <v>86</v>
      </c>
      <c r="BL1185" t="s">
        <v>87</v>
      </c>
    </row>
    <row r="1186" spans="1:64" x14ac:dyDescent="0.3">
      <c r="A1186" t="str">
        <f>"200616E0102"</f>
        <v>200616E0102</v>
      </c>
      <c r="B1186" t="str">
        <f>"200616E01023"</f>
        <v>200616E01023</v>
      </c>
      <c r="C1186" t="str">
        <f t="shared" si="68"/>
        <v>20</v>
      </c>
      <c r="D1186" t="s">
        <v>81</v>
      </c>
      <c r="E1186" t="str">
        <f t="shared" si="67"/>
        <v>066</v>
      </c>
      <c r="F1186" t="s">
        <v>951</v>
      </c>
      <c r="G1186" t="str">
        <f t="shared" si="69"/>
        <v>0616</v>
      </c>
      <c r="H1186" t="str">
        <f>"0001"</f>
        <v>0001</v>
      </c>
      <c r="I1186" t="s">
        <v>122</v>
      </c>
      <c r="J1186">
        <v>2</v>
      </c>
      <c r="K1186">
        <v>1</v>
      </c>
      <c r="L1186">
        <v>3</v>
      </c>
      <c r="M1186">
        <v>412</v>
      </c>
      <c r="N1186">
        <v>293</v>
      </c>
      <c r="O1186">
        <v>3</v>
      </c>
      <c r="P1186">
        <v>293</v>
      </c>
      <c r="Q1186">
        <v>7</v>
      </c>
      <c r="R1186">
        <v>2</v>
      </c>
      <c r="S1186">
        <v>3</v>
      </c>
      <c r="T1186">
        <v>4</v>
      </c>
      <c r="U1186">
        <v>9</v>
      </c>
      <c r="V1186">
        <v>3</v>
      </c>
      <c r="W1186">
        <v>2</v>
      </c>
      <c r="X1186">
        <v>175</v>
      </c>
      <c r="Y1186">
        <v>6</v>
      </c>
      <c r="Z1186">
        <v>4</v>
      </c>
      <c r="AA1186">
        <v>1</v>
      </c>
      <c r="AB1186">
        <v>4</v>
      </c>
      <c r="AK1186">
        <v>1</v>
      </c>
      <c r="AO1186">
        <v>0</v>
      </c>
      <c r="AP1186">
        <v>0</v>
      </c>
      <c r="AR1186">
        <v>0</v>
      </c>
      <c r="AU1186">
        <v>0</v>
      </c>
      <c r="AW1186">
        <v>0</v>
      </c>
      <c r="AX1186">
        <v>12</v>
      </c>
      <c r="AY1186">
        <v>293</v>
      </c>
      <c r="AZ1186">
        <v>233</v>
      </c>
      <c r="BA1186">
        <v>662</v>
      </c>
      <c r="BB1186">
        <v>44</v>
      </c>
      <c r="BD1186">
        <v>1</v>
      </c>
      <c r="BF1186" t="s">
        <v>1310</v>
      </c>
      <c r="BG1186" s="1">
        <v>44354.048611111109</v>
      </c>
      <c r="BH1186" s="1">
        <v>44354.056145833332</v>
      </c>
      <c r="BI1186" s="1">
        <v>44354.05673611111</v>
      </c>
      <c r="BJ1186" t="s">
        <v>85</v>
      </c>
      <c r="BK1186" t="s">
        <v>86</v>
      </c>
      <c r="BL1186" t="s">
        <v>87</v>
      </c>
    </row>
    <row r="1187" spans="1:64" x14ac:dyDescent="0.3">
      <c r="A1187" t="str">
        <f>"200616E0200"</f>
        <v>200616E0200</v>
      </c>
      <c r="B1187" t="str">
        <f>"200616E02003"</f>
        <v>200616E02003</v>
      </c>
      <c r="C1187" t="str">
        <f t="shared" si="68"/>
        <v>20</v>
      </c>
      <c r="D1187" t="s">
        <v>81</v>
      </c>
      <c r="E1187" t="str">
        <f t="shared" si="67"/>
        <v>066</v>
      </c>
      <c r="F1187" t="s">
        <v>951</v>
      </c>
      <c r="G1187" t="str">
        <f t="shared" si="69"/>
        <v>0616</v>
      </c>
      <c r="H1187" t="str">
        <f>"0002"</f>
        <v>0002</v>
      </c>
      <c r="I1187" t="s">
        <v>122</v>
      </c>
      <c r="J1187">
        <v>0</v>
      </c>
      <c r="K1187">
        <v>1</v>
      </c>
      <c r="L1187">
        <v>3</v>
      </c>
      <c r="M1187">
        <v>210</v>
      </c>
      <c r="N1187">
        <v>96</v>
      </c>
      <c r="O1187">
        <v>6</v>
      </c>
      <c r="P1187">
        <v>96</v>
      </c>
      <c r="Q1187">
        <v>2</v>
      </c>
      <c r="R1187">
        <v>20</v>
      </c>
      <c r="S1187">
        <v>0</v>
      </c>
      <c r="T1187">
        <v>1</v>
      </c>
      <c r="U1187">
        <v>4</v>
      </c>
      <c r="V1187">
        <v>0</v>
      </c>
      <c r="W1187">
        <v>0</v>
      </c>
      <c r="X1187">
        <v>59</v>
      </c>
      <c r="Y1187">
        <v>3</v>
      </c>
      <c r="Z1187">
        <v>1</v>
      </c>
      <c r="AA1187">
        <v>2</v>
      </c>
      <c r="AB1187">
        <v>0</v>
      </c>
      <c r="AK1187">
        <v>0</v>
      </c>
      <c r="AO1187">
        <v>0</v>
      </c>
      <c r="AP1187">
        <v>0</v>
      </c>
      <c r="AR1187">
        <v>0</v>
      </c>
      <c r="AU1187">
        <v>0</v>
      </c>
      <c r="AW1187">
        <v>0</v>
      </c>
      <c r="AX1187">
        <v>4</v>
      </c>
      <c r="AY1187">
        <v>96</v>
      </c>
      <c r="AZ1187">
        <v>96</v>
      </c>
      <c r="BA1187">
        <v>262</v>
      </c>
      <c r="BB1187">
        <v>44</v>
      </c>
      <c r="BD1187">
        <v>1</v>
      </c>
      <c r="BF1187" t="s">
        <v>1311</v>
      </c>
      <c r="BG1187" s="1">
        <v>44353.931250000001</v>
      </c>
      <c r="BH1187" s="1">
        <v>44353.933819444443</v>
      </c>
      <c r="BI1187" s="1">
        <v>44353.934236111112</v>
      </c>
      <c r="BJ1187" t="s">
        <v>85</v>
      </c>
      <c r="BK1187" t="s">
        <v>86</v>
      </c>
      <c r="BL1187" t="s">
        <v>87</v>
      </c>
    </row>
    <row r="1188" spans="1:64" x14ac:dyDescent="0.3">
      <c r="A1188" t="str">
        <f>"202454B0000"</f>
        <v>202454B0000</v>
      </c>
      <c r="B1188" t="str">
        <f>"202454B00003"</f>
        <v>202454B00003</v>
      </c>
      <c r="C1188" t="str">
        <f t="shared" si="68"/>
        <v>20</v>
      </c>
      <c r="D1188" t="s">
        <v>81</v>
      </c>
      <c r="E1188" t="str">
        <f t="shared" si="67"/>
        <v>066</v>
      </c>
      <c r="F1188" t="s">
        <v>951</v>
      </c>
      <c r="G1188" t="str">
        <f>"2454"</f>
        <v>2454</v>
      </c>
      <c r="H1188" t="str">
        <f>"0000"</f>
        <v>0000</v>
      </c>
      <c r="I1188" t="s">
        <v>83</v>
      </c>
      <c r="J1188">
        <v>0</v>
      </c>
      <c r="K1188">
        <v>1</v>
      </c>
      <c r="L1188">
        <v>3</v>
      </c>
      <c r="M1188">
        <v>133</v>
      </c>
      <c r="N1188">
        <v>126</v>
      </c>
      <c r="O1188">
        <v>4</v>
      </c>
      <c r="P1188">
        <v>126</v>
      </c>
      <c r="Q1188">
        <v>6</v>
      </c>
      <c r="R1188">
        <v>29</v>
      </c>
      <c r="S1188">
        <v>1</v>
      </c>
      <c r="T1188">
        <v>1</v>
      </c>
      <c r="U1188">
        <v>11</v>
      </c>
      <c r="V1188">
        <v>5</v>
      </c>
      <c r="W1188">
        <v>2</v>
      </c>
      <c r="X1188">
        <v>64</v>
      </c>
      <c r="Y1188">
        <v>2</v>
      </c>
      <c r="Z1188">
        <v>0</v>
      </c>
      <c r="AA1188">
        <v>1</v>
      </c>
      <c r="AB1188">
        <v>2</v>
      </c>
      <c r="AK1188">
        <v>0</v>
      </c>
      <c r="AO1188">
        <v>0</v>
      </c>
      <c r="AP1188">
        <v>0</v>
      </c>
      <c r="AR1188">
        <v>0</v>
      </c>
      <c r="AU1188">
        <v>0</v>
      </c>
      <c r="AW1188">
        <v>0</v>
      </c>
      <c r="AX1188">
        <v>2</v>
      </c>
      <c r="AY1188">
        <v>126</v>
      </c>
      <c r="AZ1188">
        <v>126</v>
      </c>
      <c r="BA1188">
        <v>215</v>
      </c>
      <c r="BB1188">
        <v>44</v>
      </c>
      <c r="BD1188">
        <v>1</v>
      </c>
      <c r="BF1188" t="s">
        <v>1312</v>
      </c>
      <c r="BG1188" s="1">
        <v>44354.05972222222</v>
      </c>
      <c r="BH1188" s="1">
        <v>44354.067337962966</v>
      </c>
      <c r="BI1188" s="1">
        <v>44354.068032407406</v>
      </c>
      <c r="BJ1188" t="s">
        <v>85</v>
      </c>
      <c r="BK1188" t="s">
        <v>86</v>
      </c>
      <c r="BL1188" t="s">
        <v>87</v>
      </c>
    </row>
    <row r="1189" spans="1:64" x14ac:dyDescent="0.3">
      <c r="A1189" t="str">
        <f>"202470B0000"</f>
        <v>202470B0000</v>
      </c>
      <c r="B1189" t="str">
        <f>"202470B00003"</f>
        <v>202470B00003</v>
      </c>
      <c r="C1189" t="str">
        <f t="shared" si="68"/>
        <v>20</v>
      </c>
      <c r="D1189" t="s">
        <v>81</v>
      </c>
      <c r="E1189" t="str">
        <f t="shared" si="67"/>
        <v>066</v>
      </c>
      <c r="F1189" t="s">
        <v>951</v>
      </c>
      <c r="G1189" t="str">
        <f>"2470"</f>
        <v>2470</v>
      </c>
      <c r="H1189" t="str">
        <f>"0000"</f>
        <v>0000</v>
      </c>
      <c r="I1189" t="s">
        <v>83</v>
      </c>
      <c r="J1189">
        <v>0</v>
      </c>
      <c r="K1189">
        <v>1</v>
      </c>
      <c r="L1189">
        <v>3</v>
      </c>
      <c r="M1189">
        <v>308</v>
      </c>
      <c r="N1189">
        <v>214</v>
      </c>
      <c r="O1189">
        <v>6</v>
      </c>
      <c r="P1189">
        <v>214</v>
      </c>
      <c r="Q1189">
        <v>15</v>
      </c>
      <c r="R1189">
        <v>43</v>
      </c>
      <c r="S1189">
        <v>0</v>
      </c>
      <c r="T1189">
        <v>1</v>
      </c>
      <c r="U1189">
        <v>5</v>
      </c>
      <c r="V1189">
        <v>1</v>
      </c>
      <c r="W1189">
        <v>2</v>
      </c>
      <c r="X1189">
        <v>111</v>
      </c>
      <c r="Y1189">
        <v>11</v>
      </c>
      <c r="Z1189">
        <v>4</v>
      </c>
      <c r="AA1189">
        <v>5</v>
      </c>
      <c r="AB1189">
        <v>8</v>
      </c>
      <c r="AK1189">
        <v>1</v>
      </c>
      <c r="AO1189">
        <v>0</v>
      </c>
      <c r="AP1189">
        <v>0</v>
      </c>
      <c r="AR1189">
        <v>0</v>
      </c>
      <c r="AU1189">
        <v>0</v>
      </c>
      <c r="AW1189">
        <v>0</v>
      </c>
      <c r="AX1189">
        <v>7</v>
      </c>
      <c r="AY1189">
        <v>214</v>
      </c>
      <c r="AZ1189">
        <v>214</v>
      </c>
      <c r="BA1189">
        <v>479</v>
      </c>
      <c r="BB1189">
        <v>44</v>
      </c>
      <c r="BD1189">
        <v>1</v>
      </c>
      <c r="BF1189" t="s">
        <v>1313</v>
      </c>
      <c r="BG1189" s="1">
        <v>44354.071527777778</v>
      </c>
      <c r="BH1189" s="1">
        <v>44354.082604166666</v>
      </c>
      <c r="BI1189" s="1">
        <v>44354.082974537036</v>
      </c>
      <c r="BJ1189" t="s">
        <v>85</v>
      </c>
      <c r="BK1189" t="s">
        <v>86</v>
      </c>
      <c r="BL1189" t="s">
        <v>87</v>
      </c>
    </row>
    <row r="1190" spans="1:64" x14ac:dyDescent="0.3">
      <c r="A1190" t="str">
        <f>"202470C0100"</f>
        <v>202470C0100</v>
      </c>
      <c r="B1190" t="str">
        <f>"202470C01003"</f>
        <v>202470C01003</v>
      </c>
      <c r="C1190" t="str">
        <f t="shared" si="68"/>
        <v>20</v>
      </c>
      <c r="D1190" t="s">
        <v>81</v>
      </c>
      <c r="E1190" t="str">
        <f t="shared" si="67"/>
        <v>066</v>
      </c>
      <c r="F1190" t="s">
        <v>951</v>
      </c>
      <c r="G1190" t="str">
        <f>"2470"</f>
        <v>2470</v>
      </c>
      <c r="H1190" t="str">
        <f>"0001"</f>
        <v>0001</v>
      </c>
      <c r="I1190" t="s">
        <v>89</v>
      </c>
      <c r="J1190">
        <v>0</v>
      </c>
      <c r="K1190">
        <v>1</v>
      </c>
      <c r="L1190">
        <v>3</v>
      </c>
      <c r="BA1190">
        <v>478</v>
      </c>
      <c r="BB1190">
        <v>44</v>
      </c>
      <c r="BC1190" t="s">
        <v>381</v>
      </c>
      <c r="BD1190">
        <v>0</v>
      </c>
      <c r="BF1190" t="s">
        <v>1314</v>
      </c>
      <c r="BG1190" s="1">
        <v>44354.427083333336</v>
      </c>
      <c r="BH1190" s="1">
        <v>44354.442881944444</v>
      </c>
      <c r="BI1190" s="1">
        <v>44354.442881944444</v>
      </c>
      <c r="BJ1190" t="s">
        <v>85</v>
      </c>
      <c r="BK1190" t="s">
        <v>86</v>
      </c>
      <c r="BL1190" t="s">
        <v>87</v>
      </c>
    </row>
    <row r="1191" spans="1:64" x14ac:dyDescent="0.3">
      <c r="A1191" t="str">
        <f>"202471B0000"</f>
        <v>202471B0000</v>
      </c>
      <c r="B1191" t="str">
        <f>"202471B00003"</f>
        <v>202471B00003</v>
      </c>
      <c r="C1191" t="str">
        <f t="shared" si="68"/>
        <v>20</v>
      </c>
      <c r="D1191" t="s">
        <v>81</v>
      </c>
      <c r="E1191" t="str">
        <f t="shared" si="67"/>
        <v>066</v>
      </c>
      <c r="F1191" t="s">
        <v>951</v>
      </c>
      <c r="G1191" t="str">
        <f>"2471"</f>
        <v>2471</v>
      </c>
      <c r="H1191" t="str">
        <f>"0000"</f>
        <v>0000</v>
      </c>
      <c r="I1191" t="s">
        <v>83</v>
      </c>
      <c r="J1191">
        <v>0</v>
      </c>
      <c r="K1191">
        <v>1</v>
      </c>
      <c r="L1191">
        <v>3</v>
      </c>
      <c r="M1191">
        <v>274</v>
      </c>
      <c r="N1191">
        <v>246</v>
      </c>
      <c r="O1191">
        <v>9</v>
      </c>
      <c r="P1191">
        <v>246</v>
      </c>
      <c r="Q1191">
        <v>10</v>
      </c>
      <c r="R1191">
        <v>40</v>
      </c>
      <c r="S1191">
        <v>3</v>
      </c>
      <c r="T1191">
        <v>7</v>
      </c>
      <c r="U1191">
        <v>8</v>
      </c>
      <c r="V1191">
        <v>4</v>
      </c>
      <c r="W1191">
        <v>5</v>
      </c>
      <c r="X1191">
        <v>133</v>
      </c>
      <c r="Y1191">
        <v>19</v>
      </c>
      <c r="Z1191">
        <v>6</v>
      </c>
      <c r="AA1191">
        <v>1</v>
      </c>
      <c r="AB1191">
        <v>3</v>
      </c>
      <c r="AK1191">
        <v>0</v>
      </c>
      <c r="AO1191">
        <v>0</v>
      </c>
      <c r="AP1191">
        <v>0</v>
      </c>
      <c r="AR1191">
        <v>0</v>
      </c>
      <c r="AU1191">
        <v>0</v>
      </c>
      <c r="AW1191">
        <v>0</v>
      </c>
      <c r="AX1191">
        <v>7</v>
      </c>
      <c r="AY1191">
        <v>246</v>
      </c>
      <c r="AZ1191">
        <v>246</v>
      </c>
      <c r="BA1191">
        <v>476</v>
      </c>
      <c r="BB1191">
        <v>44</v>
      </c>
      <c r="BD1191">
        <v>1</v>
      </c>
      <c r="BF1191" t="s">
        <v>1315</v>
      </c>
      <c r="BG1191" s="1">
        <v>44354.063194444447</v>
      </c>
      <c r="BH1191" s="1">
        <v>44354.07372685185</v>
      </c>
      <c r="BI1191" s="1">
        <v>44354.074756944443</v>
      </c>
      <c r="BJ1191" t="s">
        <v>85</v>
      </c>
      <c r="BK1191" t="s">
        <v>86</v>
      </c>
      <c r="BL1191" t="s">
        <v>87</v>
      </c>
    </row>
    <row r="1192" spans="1:64" x14ac:dyDescent="0.3">
      <c r="A1192" t="str">
        <f>"202471C0100"</f>
        <v>202471C0100</v>
      </c>
      <c r="B1192" t="str">
        <f>"202471C01003"</f>
        <v>202471C01003</v>
      </c>
      <c r="C1192" t="str">
        <f t="shared" si="68"/>
        <v>20</v>
      </c>
      <c r="D1192" t="s">
        <v>81</v>
      </c>
      <c r="E1192" t="str">
        <f t="shared" si="67"/>
        <v>066</v>
      </c>
      <c r="F1192" t="s">
        <v>951</v>
      </c>
      <c r="G1192" t="str">
        <f>"2471"</f>
        <v>2471</v>
      </c>
      <c r="H1192" t="str">
        <f>"0001"</f>
        <v>0001</v>
      </c>
      <c r="I1192" t="s">
        <v>89</v>
      </c>
      <c r="J1192">
        <v>0</v>
      </c>
      <c r="K1192">
        <v>1</v>
      </c>
      <c r="L1192">
        <v>3</v>
      </c>
      <c r="M1192">
        <v>267</v>
      </c>
      <c r="N1192">
        <v>252</v>
      </c>
      <c r="O1192">
        <v>7</v>
      </c>
      <c r="P1192">
        <v>252</v>
      </c>
      <c r="Q1192">
        <v>8</v>
      </c>
      <c r="R1192">
        <v>37</v>
      </c>
      <c r="S1192">
        <v>2</v>
      </c>
      <c r="T1192">
        <v>1</v>
      </c>
      <c r="U1192">
        <v>6</v>
      </c>
      <c r="V1192">
        <v>0</v>
      </c>
      <c r="W1192">
        <v>0</v>
      </c>
      <c r="X1192">
        <v>156</v>
      </c>
      <c r="Y1192">
        <v>18</v>
      </c>
      <c r="Z1192">
        <v>3</v>
      </c>
      <c r="AA1192">
        <v>2</v>
      </c>
      <c r="AB1192">
        <v>10</v>
      </c>
      <c r="AK1192">
        <v>1</v>
      </c>
      <c r="AO1192">
        <v>1</v>
      </c>
      <c r="AP1192">
        <v>0</v>
      </c>
      <c r="AR1192">
        <v>0</v>
      </c>
      <c r="AU1192">
        <v>0</v>
      </c>
      <c r="AW1192">
        <v>0</v>
      </c>
      <c r="AX1192">
        <v>7</v>
      </c>
      <c r="AY1192">
        <v>252</v>
      </c>
      <c r="AZ1192">
        <v>252</v>
      </c>
      <c r="BA1192">
        <v>475</v>
      </c>
      <c r="BB1192">
        <v>44</v>
      </c>
      <c r="BD1192">
        <v>1</v>
      </c>
      <c r="BF1192" t="s">
        <v>1316</v>
      </c>
      <c r="BG1192" s="1">
        <v>44354.057638888888</v>
      </c>
      <c r="BH1192" s="1">
        <v>44354.06454861111</v>
      </c>
      <c r="BI1192" s="1">
        <v>44354.065416666665</v>
      </c>
      <c r="BJ1192" t="s">
        <v>85</v>
      </c>
      <c r="BK1192" t="s">
        <v>86</v>
      </c>
      <c r="BL1192" t="s">
        <v>87</v>
      </c>
    </row>
    <row r="1193" spans="1:64" x14ac:dyDescent="0.3">
      <c r="A1193" t="str">
        <f>"202472B0000"</f>
        <v>202472B0000</v>
      </c>
      <c r="B1193" t="str">
        <f>"202472B00003"</f>
        <v>202472B00003</v>
      </c>
      <c r="C1193" t="str">
        <f t="shared" si="68"/>
        <v>20</v>
      </c>
      <c r="D1193" t="s">
        <v>81</v>
      </c>
      <c r="E1193" t="str">
        <f t="shared" si="67"/>
        <v>066</v>
      </c>
      <c r="F1193" t="s">
        <v>951</v>
      </c>
      <c r="G1193" t="str">
        <f>"2472"</f>
        <v>2472</v>
      </c>
      <c r="H1193" t="str">
        <f>"0000"</f>
        <v>0000</v>
      </c>
      <c r="I1193" t="s">
        <v>83</v>
      </c>
      <c r="J1193">
        <v>0</v>
      </c>
      <c r="K1193">
        <v>1</v>
      </c>
      <c r="L1193">
        <v>3</v>
      </c>
      <c r="M1193">
        <v>311</v>
      </c>
      <c r="N1193">
        <v>286</v>
      </c>
      <c r="O1193">
        <v>8</v>
      </c>
      <c r="P1193">
        <v>286</v>
      </c>
      <c r="Q1193">
        <v>14</v>
      </c>
      <c r="R1193">
        <v>42</v>
      </c>
      <c r="S1193">
        <v>2</v>
      </c>
      <c r="T1193">
        <v>2</v>
      </c>
      <c r="U1193">
        <v>8</v>
      </c>
      <c r="V1193">
        <v>2</v>
      </c>
      <c r="W1193">
        <v>1</v>
      </c>
      <c r="X1193">
        <v>174</v>
      </c>
      <c r="Y1193">
        <v>19</v>
      </c>
      <c r="Z1193">
        <v>3</v>
      </c>
      <c r="AA1193">
        <v>4</v>
      </c>
      <c r="AB1193">
        <v>5</v>
      </c>
      <c r="AK1193">
        <v>1</v>
      </c>
      <c r="AO1193">
        <v>0</v>
      </c>
      <c r="AP1193">
        <v>0</v>
      </c>
      <c r="AR1193">
        <v>0</v>
      </c>
      <c r="AU1193">
        <v>1</v>
      </c>
      <c r="AW1193">
        <v>0</v>
      </c>
      <c r="AX1193">
        <v>8</v>
      </c>
      <c r="AY1193">
        <v>286</v>
      </c>
      <c r="AZ1193">
        <v>286</v>
      </c>
      <c r="BA1193">
        <v>553</v>
      </c>
      <c r="BB1193">
        <v>44</v>
      </c>
      <c r="BD1193">
        <v>1</v>
      </c>
      <c r="BF1193" t="s">
        <v>1317</v>
      </c>
      <c r="BG1193" s="1">
        <v>44354.071527777778</v>
      </c>
      <c r="BH1193" s="1">
        <v>44354.082083333335</v>
      </c>
      <c r="BI1193" s="1">
        <v>44354.082569444443</v>
      </c>
      <c r="BJ1193" t="s">
        <v>85</v>
      </c>
      <c r="BK1193" t="s">
        <v>86</v>
      </c>
      <c r="BL1193" t="s">
        <v>87</v>
      </c>
    </row>
    <row r="1194" spans="1:64" x14ac:dyDescent="0.3">
      <c r="A1194" t="str">
        <f>"202472C0100"</f>
        <v>202472C0100</v>
      </c>
      <c r="B1194" t="str">
        <f>"202472C01003"</f>
        <v>202472C01003</v>
      </c>
      <c r="C1194" t="str">
        <f t="shared" si="68"/>
        <v>20</v>
      </c>
      <c r="D1194" t="s">
        <v>81</v>
      </c>
      <c r="E1194" t="str">
        <f t="shared" si="67"/>
        <v>066</v>
      </c>
      <c r="F1194" t="s">
        <v>951</v>
      </c>
      <c r="G1194" t="str">
        <f>"2472"</f>
        <v>2472</v>
      </c>
      <c r="H1194" t="str">
        <f>"0001"</f>
        <v>0001</v>
      </c>
      <c r="I1194" t="s">
        <v>89</v>
      </c>
      <c r="J1194">
        <v>0</v>
      </c>
      <c r="K1194">
        <v>1</v>
      </c>
      <c r="L1194">
        <v>3</v>
      </c>
      <c r="M1194">
        <v>297</v>
      </c>
      <c r="N1194">
        <v>299</v>
      </c>
      <c r="O1194">
        <v>10</v>
      </c>
      <c r="P1194">
        <v>299</v>
      </c>
      <c r="Q1194">
        <v>15</v>
      </c>
      <c r="R1194">
        <v>54</v>
      </c>
      <c r="S1194">
        <v>1</v>
      </c>
      <c r="T1194">
        <v>2</v>
      </c>
      <c r="U1194">
        <v>8</v>
      </c>
      <c r="V1194">
        <v>2</v>
      </c>
      <c r="W1194">
        <v>1</v>
      </c>
      <c r="X1194">
        <v>175</v>
      </c>
      <c r="Y1194">
        <v>23</v>
      </c>
      <c r="Z1194">
        <v>6</v>
      </c>
      <c r="AA1194">
        <v>0</v>
      </c>
      <c r="AB1194">
        <v>6</v>
      </c>
      <c r="AK1194">
        <v>0</v>
      </c>
      <c r="AO1194">
        <v>1</v>
      </c>
      <c r="AP1194">
        <v>0</v>
      </c>
      <c r="AR1194">
        <v>0</v>
      </c>
      <c r="AU1194">
        <v>0</v>
      </c>
      <c r="AW1194">
        <v>0</v>
      </c>
      <c r="AX1194">
        <v>5</v>
      </c>
      <c r="AY1194">
        <v>299</v>
      </c>
      <c r="AZ1194">
        <v>299</v>
      </c>
      <c r="BA1194">
        <v>552</v>
      </c>
      <c r="BB1194">
        <v>44</v>
      </c>
      <c r="BD1194">
        <v>1</v>
      </c>
      <c r="BF1194" t="s">
        <v>1318</v>
      </c>
      <c r="BG1194" s="1">
        <v>44354.050694444442</v>
      </c>
      <c r="BH1194" s="1">
        <v>44354.069444444445</v>
      </c>
      <c r="BI1194" s="1">
        <v>44354.070011574076</v>
      </c>
      <c r="BJ1194" t="s">
        <v>85</v>
      </c>
      <c r="BK1194" t="s">
        <v>86</v>
      </c>
      <c r="BL1194" t="s">
        <v>87</v>
      </c>
    </row>
    <row r="1195" spans="1:64" x14ac:dyDescent="0.3">
      <c r="A1195" t="str">
        <f>"202473B0000"</f>
        <v>202473B0000</v>
      </c>
      <c r="B1195" t="str">
        <f>"202473B00003"</f>
        <v>202473B00003</v>
      </c>
      <c r="C1195" t="str">
        <f t="shared" si="68"/>
        <v>20</v>
      </c>
      <c r="D1195" t="s">
        <v>81</v>
      </c>
      <c r="E1195" t="str">
        <f t="shared" si="67"/>
        <v>066</v>
      </c>
      <c r="F1195" t="s">
        <v>951</v>
      </c>
      <c r="G1195" t="str">
        <f>"2473"</f>
        <v>2473</v>
      </c>
      <c r="H1195" t="str">
        <f>"0000"</f>
        <v>0000</v>
      </c>
      <c r="I1195" t="s">
        <v>83</v>
      </c>
      <c r="J1195">
        <v>0</v>
      </c>
      <c r="K1195">
        <v>1</v>
      </c>
      <c r="L1195">
        <v>3</v>
      </c>
      <c r="M1195">
        <v>354</v>
      </c>
      <c r="N1195">
        <v>323</v>
      </c>
      <c r="O1195">
        <v>6</v>
      </c>
      <c r="P1195">
        <v>323</v>
      </c>
      <c r="Q1195">
        <v>12</v>
      </c>
      <c r="R1195">
        <v>53</v>
      </c>
      <c r="S1195">
        <v>5</v>
      </c>
      <c r="T1195">
        <v>2</v>
      </c>
      <c r="U1195">
        <v>7</v>
      </c>
      <c r="V1195">
        <v>5</v>
      </c>
      <c r="W1195">
        <v>1</v>
      </c>
      <c r="X1195">
        <v>187</v>
      </c>
      <c r="Y1195">
        <v>21</v>
      </c>
      <c r="Z1195">
        <v>6</v>
      </c>
      <c r="AA1195">
        <v>3</v>
      </c>
      <c r="AB1195">
        <v>6</v>
      </c>
      <c r="AK1195">
        <v>1</v>
      </c>
      <c r="AO1195">
        <v>0</v>
      </c>
      <c r="AP1195">
        <v>0</v>
      </c>
      <c r="AR1195">
        <v>0</v>
      </c>
      <c r="AU1195">
        <v>0</v>
      </c>
      <c r="AW1195">
        <v>0</v>
      </c>
      <c r="AX1195">
        <v>14</v>
      </c>
      <c r="AY1195">
        <v>323</v>
      </c>
      <c r="AZ1195">
        <v>323</v>
      </c>
      <c r="BA1195">
        <v>633</v>
      </c>
      <c r="BB1195">
        <v>44</v>
      </c>
      <c r="BD1195">
        <v>1</v>
      </c>
      <c r="BF1195" t="s">
        <v>1319</v>
      </c>
      <c r="BG1195" s="1">
        <v>44354.072222222225</v>
      </c>
      <c r="BH1195" s="1">
        <v>44354.089097222219</v>
      </c>
      <c r="BI1195" s="1">
        <v>44354.089375000003</v>
      </c>
      <c r="BJ1195" t="s">
        <v>85</v>
      </c>
      <c r="BK1195" t="s">
        <v>86</v>
      </c>
      <c r="BL1195" t="s">
        <v>87</v>
      </c>
    </row>
    <row r="1196" spans="1:64" x14ac:dyDescent="0.3">
      <c r="A1196" t="str">
        <f>"202474B0000"</f>
        <v>202474B0000</v>
      </c>
      <c r="B1196" t="str">
        <f>"202474B00003"</f>
        <v>202474B00003</v>
      </c>
      <c r="C1196" t="str">
        <f t="shared" si="68"/>
        <v>20</v>
      </c>
      <c r="D1196" t="s">
        <v>81</v>
      </c>
      <c r="E1196" t="str">
        <f t="shared" si="67"/>
        <v>066</v>
      </c>
      <c r="F1196" t="s">
        <v>951</v>
      </c>
      <c r="G1196" t="str">
        <f>"2474"</f>
        <v>2474</v>
      </c>
      <c r="H1196" t="str">
        <f>"0000"</f>
        <v>0000</v>
      </c>
      <c r="I1196" t="s">
        <v>83</v>
      </c>
      <c r="J1196">
        <v>0</v>
      </c>
      <c r="K1196">
        <v>1</v>
      </c>
      <c r="L1196">
        <v>3</v>
      </c>
      <c r="M1196">
        <v>357</v>
      </c>
      <c r="N1196">
        <v>272</v>
      </c>
      <c r="O1196">
        <v>7</v>
      </c>
      <c r="P1196">
        <v>265</v>
      </c>
      <c r="Q1196">
        <v>7</v>
      </c>
      <c r="R1196">
        <v>46</v>
      </c>
      <c r="S1196">
        <v>1</v>
      </c>
      <c r="T1196">
        <v>0</v>
      </c>
      <c r="U1196">
        <v>2</v>
      </c>
      <c r="V1196">
        <v>2</v>
      </c>
      <c r="W1196">
        <v>1</v>
      </c>
      <c r="X1196">
        <v>148</v>
      </c>
      <c r="Y1196">
        <v>39</v>
      </c>
      <c r="Z1196">
        <v>5</v>
      </c>
      <c r="AA1196">
        <v>4</v>
      </c>
      <c r="AB1196">
        <v>4</v>
      </c>
      <c r="AK1196" t="s">
        <v>95</v>
      </c>
      <c r="AO1196" t="s">
        <v>95</v>
      </c>
      <c r="AP1196" t="s">
        <v>95</v>
      </c>
      <c r="AR1196" t="s">
        <v>95</v>
      </c>
      <c r="AU1196" t="s">
        <v>95</v>
      </c>
      <c r="AW1196" t="s">
        <v>95</v>
      </c>
      <c r="AX1196" t="s">
        <v>95</v>
      </c>
      <c r="AY1196" t="s">
        <v>95</v>
      </c>
      <c r="AZ1196">
        <v>259</v>
      </c>
      <c r="BA1196">
        <v>578</v>
      </c>
      <c r="BB1196">
        <v>44</v>
      </c>
      <c r="BC1196" t="s">
        <v>96</v>
      </c>
      <c r="BD1196">
        <v>1</v>
      </c>
      <c r="BF1196" t="s">
        <v>1320</v>
      </c>
      <c r="BG1196" s="1">
        <v>44353.965277777781</v>
      </c>
      <c r="BH1196" s="1">
        <v>44353.968912037039</v>
      </c>
      <c r="BI1196" s="1">
        <v>44353.96947916667</v>
      </c>
      <c r="BJ1196" t="s">
        <v>85</v>
      </c>
      <c r="BK1196" t="s">
        <v>86</v>
      </c>
      <c r="BL1196" t="s">
        <v>87</v>
      </c>
    </row>
    <row r="1197" spans="1:64" x14ac:dyDescent="0.3">
      <c r="A1197" t="str">
        <f>"202474C0100"</f>
        <v>202474C0100</v>
      </c>
      <c r="B1197" t="str">
        <f>"202474C01003"</f>
        <v>202474C01003</v>
      </c>
      <c r="C1197" t="str">
        <f t="shared" si="68"/>
        <v>20</v>
      </c>
      <c r="D1197" t="s">
        <v>81</v>
      </c>
      <c r="E1197" t="str">
        <f t="shared" si="67"/>
        <v>066</v>
      </c>
      <c r="F1197" t="s">
        <v>951</v>
      </c>
      <c r="G1197" t="str">
        <f>"2474"</f>
        <v>2474</v>
      </c>
      <c r="H1197" t="str">
        <f>"0001"</f>
        <v>0001</v>
      </c>
      <c r="I1197" t="s">
        <v>89</v>
      </c>
      <c r="J1197">
        <v>0</v>
      </c>
      <c r="K1197">
        <v>1</v>
      </c>
      <c r="L1197">
        <v>3</v>
      </c>
      <c r="M1197">
        <v>339</v>
      </c>
      <c r="N1197">
        <v>282</v>
      </c>
      <c r="O1197">
        <v>7</v>
      </c>
      <c r="P1197">
        <v>281</v>
      </c>
      <c r="Q1197">
        <v>9</v>
      </c>
      <c r="R1197">
        <v>47</v>
      </c>
      <c r="S1197">
        <v>1</v>
      </c>
      <c r="T1197">
        <v>4</v>
      </c>
      <c r="U1197">
        <v>3</v>
      </c>
      <c r="V1197">
        <v>3</v>
      </c>
      <c r="W1197">
        <v>1</v>
      </c>
      <c r="X1197">
        <v>146</v>
      </c>
      <c r="Y1197">
        <v>39</v>
      </c>
      <c r="Z1197">
        <v>5</v>
      </c>
      <c r="AA1197">
        <v>4</v>
      </c>
      <c r="AB1197">
        <v>7</v>
      </c>
      <c r="AK1197">
        <v>1</v>
      </c>
      <c r="AO1197">
        <v>0</v>
      </c>
      <c r="AP1197">
        <v>0</v>
      </c>
      <c r="AR1197">
        <v>0</v>
      </c>
      <c r="AU1197">
        <v>0</v>
      </c>
      <c r="AW1197">
        <v>0</v>
      </c>
      <c r="AX1197">
        <v>11</v>
      </c>
      <c r="AY1197">
        <v>281</v>
      </c>
      <c r="AZ1197">
        <v>281</v>
      </c>
      <c r="BA1197">
        <v>577</v>
      </c>
      <c r="BB1197">
        <v>44</v>
      </c>
      <c r="BD1197">
        <v>1</v>
      </c>
      <c r="BF1197" t="s">
        <v>1321</v>
      </c>
      <c r="BG1197" s="1">
        <v>44353.96597222222</v>
      </c>
      <c r="BH1197" s="1">
        <v>44353.969236111108</v>
      </c>
      <c r="BI1197" s="1">
        <v>44353.970092592594</v>
      </c>
      <c r="BJ1197" t="s">
        <v>85</v>
      </c>
      <c r="BK1197" t="s">
        <v>86</v>
      </c>
      <c r="BL1197" t="s">
        <v>87</v>
      </c>
    </row>
    <row r="1198" spans="1:64" x14ac:dyDescent="0.3">
      <c r="A1198" t="str">
        <f>"202474C0200"</f>
        <v>202474C0200</v>
      </c>
      <c r="B1198" t="str">
        <f>"202474C02003"</f>
        <v>202474C02003</v>
      </c>
      <c r="C1198" t="str">
        <f t="shared" si="68"/>
        <v>20</v>
      </c>
      <c r="D1198" t="s">
        <v>81</v>
      </c>
      <c r="E1198" t="str">
        <f t="shared" si="67"/>
        <v>066</v>
      </c>
      <c r="F1198" t="s">
        <v>951</v>
      </c>
      <c r="G1198" t="str">
        <f>"2474"</f>
        <v>2474</v>
      </c>
      <c r="H1198" t="str">
        <f>"0002"</f>
        <v>0002</v>
      </c>
      <c r="I1198" t="s">
        <v>89</v>
      </c>
      <c r="J1198">
        <v>0</v>
      </c>
      <c r="K1198">
        <v>1</v>
      </c>
      <c r="L1198">
        <v>3</v>
      </c>
      <c r="M1198">
        <v>333</v>
      </c>
      <c r="N1198">
        <v>288</v>
      </c>
      <c r="O1198">
        <v>9</v>
      </c>
      <c r="P1198">
        <v>288</v>
      </c>
      <c r="Q1198">
        <v>13</v>
      </c>
      <c r="R1198">
        <v>53</v>
      </c>
      <c r="S1198">
        <v>3</v>
      </c>
      <c r="T1198">
        <v>3</v>
      </c>
      <c r="U1198">
        <v>3</v>
      </c>
      <c r="V1198">
        <v>4</v>
      </c>
      <c r="W1198">
        <v>1</v>
      </c>
      <c r="X1198">
        <v>157</v>
      </c>
      <c r="Y1198">
        <v>37</v>
      </c>
      <c r="Z1198">
        <v>0</v>
      </c>
      <c r="AA1198">
        <v>2</v>
      </c>
      <c r="AB1198">
        <v>5</v>
      </c>
      <c r="AK1198">
        <v>2</v>
      </c>
      <c r="AO1198">
        <v>0</v>
      </c>
      <c r="AP1198">
        <v>0</v>
      </c>
      <c r="AR1198">
        <v>0</v>
      </c>
      <c r="AU1198">
        <v>0</v>
      </c>
      <c r="AW1198">
        <v>0</v>
      </c>
      <c r="AX1198">
        <v>5</v>
      </c>
      <c r="AY1198">
        <v>288</v>
      </c>
      <c r="AZ1198">
        <v>288</v>
      </c>
      <c r="BA1198">
        <v>577</v>
      </c>
      <c r="BB1198">
        <v>44</v>
      </c>
      <c r="BD1198">
        <v>1</v>
      </c>
      <c r="BF1198" t="s">
        <v>1322</v>
      </c>
      <c r="BG1198" s="1">
        <v>44353.964583333334</v>
      </c>
      <c r="BH1198" s="1">
        <v>44353.973182870373</v>
      </c>
      <c r="BI1198" s="1">
        <v>44353.97388888889</v>
      </c>
      <c r="BJ1198" t="s">
        <v>85</v>
      </c>
      <c r="BK1198" t="s">
        <v>86</v>
      </c>
      <c r="BL1198" t="s">
        <v>87</v>
      </c>
    </row>
    <row r="1199" spans="1:64" x14ac:dyDescent="0.3">
      <c r="A1199" t="str">
        <f>"202475B0000"</f>
        <v>202475B0000</v>
      </c>
      <c r="B1199" t="str">
        <f>"202475B00003"</f>
        <v>202475B00003</v>
      </c>
      <c r="C1199" t="str">
        <f t="shared" si="68"/>
        <v>20</v>
      </c>
      <c r="D1199" t="s">
        <v>81</v>
      </c>
      <c r="E1199" t="str">
        <f t="shared" si="67"/>
        <v>066</v>
      </c>
      <c r="F1199" t="s">
        <v>951</v>
      </c>
      <c r="G1199" t="str">
        <f>"2475"</f>
        <v>2475</v>
      </c>
      <c r="H1199" t="str">
        <f>"0000"</f>
        <v>0000</v>
      </c>
      <c r="I1199" t="s">
        <v>83</v>
      </c>
      <c r="J1199">
        <v>0</v>
      </c>
      <c r="K1199">
        <v>1</v>
      </c>
      <c r="L1199">
        <v>3</v>
      </c>
      <c r="M1199">
        <v>252</v>
      </c>
      <c r="N1199">
        <v>189</v>
      </c>
      <c r="O1199">
        <v>9</v>
      </c>
      <c r="P1199">
        <v>189</v>
      </c>
      <c r="Q1199">
        <v>4</v>
      </c>
      <c r="R1199">
        <v>50</v>
      </c>
      <c r="S1199">
        <v>0</v>
      </c>
      <c r="T1199">
        <v>6</v>
      </c>
      <c r="U1199">
        <v>4</v>
      </c>
      <c r="V1199">
        <v>9</v>
      </c>
      <c r="W1199">
        <v>0</v>
      </c>
      <c r="X1199">
        <v>101</v>
      </c>
      <c r="Y1199">
        <v>8</v>
      </c>
      <c r="Z1199">
        <v>1</v>
      </c>
      <c r="AA1199">
        <v>0</v>
      </c>
      <c r="AB1199">
        <v>2</v>
      </c>
      <c r="AK1199">
        <v>2</v>
      </c>
      <c r="AO1199">
        <v>0</v>
      </c>
      <c r="AP1199">
        <v>0</v>
      </c>
      <c r="AR1199">
        <v>0</v>
      </c>
      <c r="AU1199">
        <v>0</v>
      </c>
      <c r="AW1199">
        <v>0</v>
      </c>
      <c r="AX1199">
        <v>2</v>
      </c>
      <c r="AY1199">
        <v>189</v>
      </c>
      <c r="AZ1199">
        <v>189</v>
      </c>
      <c r="BA1199">
        <v>397</v>
      </c>
      <c r="BB1199">
        <v>44</v>
      </c>
      <c r="BD1199">
        <v>1</v>
      </c>
      <c r="BF1199" t="s">
        <v>1323</v>
      </c>
      <c r="BG1199" s="1">
        <v>44354.059027777781</v>
      </c>
      <c r="BH1199" s="1">
        <v>44354.067997685182</v>
      </c>
      <c r="BI1199" s="1">
        <v>44354.068391203706</v>
      </c>
      <c r="BJ1199" t="s">
        <v>85</v>
      </c>
      <c r="BK1199" t="s">
        <v>86</v>
      </c>
      <c r="BL1199" t="s">
        <v>87</v>
      </c>
    </row>
    <row r="1200" spans="1:64" x14ac:dyDescent="0.3">
      <c r="A1200" t="str">
        <f>"202475C0100"</f>
        <v>202475C0100</v>
      </c>
      <c r="B1200" t="str">
        <f>"202475C01003"</f>
        <v>202475C01003</v>
      </c>
      <c r="C1200" t="str">
        <f t="shared" si="68"/>
        <v>20</v>
      </c>
      <c r="D1200" t="s">
        <v>81</v>
      </c>
      <c r="E1200" t="str">
        <f t="shared" si="67"/>
        <v>066</v>
      </c>
      <c r="F1200" t="s">
        <v>951</v>
      </c>
      <c r="G1200" t="str">
        <f>"2475"</f>
        <v>2475</v>
      </c>
      <c r="H1200" t="str">
        <f>"0001"</f>
        <v>0001</v>
      </c>
      <c r="I1200" t="s">
        <v>89</v>
      </c>
      <c r="J1200">
        <v>0</v>
      </c>
      <c r="K1200">
        <v>1</v>
      </c>
      <c r="L1200">
        <v>3</v>
      </c>
      <c r="M1200">
        <v>241</v>
      </c>
      <c r="N1200">
        <v>200</v>
      </c>
      <c r="O1200">
        <v>7</v>
      </c>
      <c r="P1200">
        <v>200</v>
      </c>
      <c r="Q1200">
        <v>6</v>
      </c>
      <c r="R1200">
        <v>39</v>
      </c>
      <c r="S1200">
        <v>1</v>
      </c>
      <c r="T1200">
        <v>1</v>
      </c>
      <c r="U1200">
        <v>7</v>
      </c>
      <c r="V1200">
        <v>1</v>
      </c>
      <c r="W1200">
        <v>1</v>
      </c>
      <c r="X1200">
        <v>125</v>
      </c>
      <c r="Y1200">
        <v>10</v>
      </c>
      <c r="Z1200">
        <v>0</v>
      </c>
      <c r="AA1200">
        <v>1</v>
      </c>
      <c r="AB1200">
        <v>2</v>
      </c>
      <c r="AK1200">
        <v>1</v>
      </c>
      <c r="AO1200">
        <v>0</v>
      </c>
      <c r="AP1200">
        <v>0</v>
      </c>
      <c r="AR1200">
        <v>0</v>
      </c>
      <c r="AU1200">
        <v>0</v>
      </c>
      <c r="AW1200">
        <v>1</v>
      </c>
      <c r="AX1200">
        <v>4</v>
      </c>
      <c r="AY1200">
        <v>200</v>
      </c>
      <c r="AZ1200">
        <v>200</v>
      </c>
      <c r="BA1200">
        <v>397</v>
      </c>
      <c r="BB1200">
        <v>44</v>
      </c>
      <c r="BD1200">
        <v>1</v>
      </c>
      <c r="BF1200" t="s">
        <v>1324</v>
      </c>
      <c r="BG1200" s="1">
        <v>44354.060416666667</v>
      </c>
      <c r="BH1200" s="1">
        <v>44354.070752314816</v>
      </c>
      <c r="BI1200" s="1">
        <v>44354.071631944447</v>
      </c>
      <c r="BJ1200" t="s">
        <v>85</v>
      </c>
      <c r="BK1200" t="s">
        <v>86</v>
      </c>
      <c r="BL1200" t="s">
        <v>87</v>
      </c>
    </row>
    <row r="1201" spans="1:64" x14ac:dyDescent="0.3">
      <c r="A1201" t="str">
        <f>"202476B0000"</f>
        <v>202476B0000</v>
      </c>
      <c r="B1201" t="str">
        <f>"202476B00003"</f>
        <v>202476B00003</v>
      </c>
      <c r="C1201" t="str">
        <f t="shared" si="68"/>
        <v>20</v>
      </c>
      <c r="D1201" t="s">
        <v>81</v>
      </c>
      <c r="E1201" t="str">
        <f t="shared" si="67"/>
        <v>066</v>
      </c>
      <c r="F1201" t="s">
        <v>951</v>
      </c>
      <c r="G1201" t="str">
        <f>"2476"</f>
        <v>2476</v>
      </c>
      <c r="H1201" t="str">
        <f>"0000"</f>
        <v>0000</v>
      </c>
      <c r="I1201" t="s">
        <v>83</v>
      </c>
      <c r="J1201">
        <v>0</v>
      </c>
      <c r="K1201">
        <v>1</v>
      </c>
      <c r="L1201">
        <v>3</v>
      </c>
      <c r="M1201">
        <v>396</v>
      </c>
      <c r="N1201">
        <v>307</v>
      </c>
      <c r="O1201">
        <v>8</v>
      </c>
      <c r="P1201" t="s">
        <v>92</v>
      </c>
      <c r="Q1201">
        <v>17</v>
      </c>
      <c r="R1201">
        <v>70</v>
      </c>
      <c r="S1201">
        <v>4</v>
      </c>
      <c r="T1201">
        <v>6</v>
      </c>
      <c r="U1201">
        <v>10</v>
      </c>
      <c r="V1201">
        <v>3</v>
      </c>
      <c r="W1201">
        <v>1</v>
      </c>
      <c r="X1201">
        <v>146</v>
      </c>
      <c r="Y1201">
        <v>15</v>
      </c>
      <c r="Z1201">
        <v>5</v>
      </c>
      <c r="AA1201">
        <v>2</v>
      </c>
      <c r="AB1201">
        <v>14</v>
      </c>
      <c r="AK1201">
        <v>1</v>
      </c>
      <c r="AO1201">
        <v>1</v>
      </c>
      <c r="AP1201">
        <v>0</v>
      </c>
      <c r="AR1201">
        <v>0</v>
      </c>
      <c r="AU1201">
        <v>0</v>
      </c>
      <c r="AW1201">
        <v>0</v>
      </c>
      <c r="AX1201">
        <v>12</v>
      </c>
      <c r="AY1201">
        <v>307</v>
      </c>
      <c r="AZ1201">
        <v>307</v>
      </c>
      <c r="BA1201">
        <v>659</v>
      </c>
      <c r="BB1201">
        <v>44</v>
      </c>
      <c r="BD1201">
        <v>1</v>
      </c>
      <c r="BF1201" t="s">
        <v>1325</v>
      </c>
      <c r="BG1201" s="1">
        <v>44353.96597222222</v>
      </c>
      <c r="BH1201" s="1">
        <v>44353.968078703707</v>
      </c>
      <c r="BI1201" s="1">
        <v>44353.968391203707</v>
      </c>
      <c r="BJ1201" t="s">
        <v>85</v>
      </c>
      <c r="BK1201" t="s">
        <v>86</v>
      </c>
      <c r="BL1201" t="s">
        <v>87</v>
      </c>
    </row>
    <row r="1202" spans="1:64" x14ac:dyDescent="0.3">
      <c r="A1202" t="str">
        <f>"202476C0100"</f>
        <v>202476C0100</v>
      </c>
      <c r="B1202" t="str">
        <f>"202476C01003"</f>
        <v>202476C01003</v>
      </c>
      <c r="C1202" t="str">
        <f t="shared" si="68"/>
        <v>20</v>
      </c>
      <c r="D1202" t="s">
        <v>81</v>
      </c>
      <c r="E1202" t="str">
        <f t="shared" si="67"/>
        <v>066</v>
      </c>
      <c r="F1202" t="s">
        <v>951</v>
      </c>
      <c r="G1202" t="str">
        <f>"2476"</f>
        <v>2476</v>
      </c>
      <c r="H1202" t="str">
        <f>"0001"</f>
        <v>0001</v>
      </c>
      <c r="I1202" t="s">
        <v>89</v>
      </c>
      <c r="J1202">
        <v>0</v>
      </c>
      <c r="K1202">
        <v>1</v>
      </c>
      <c r="L1202">
        <v>3</v>
      </c>
      <c r="M1202" t="s">
        <v>131</v>
      </c>
      <c r="N1202" t="s">
        <v>131</v>
      </c>
      <c r="O1202" t="s">
        <v>131</v>
      </c>
      <c r="P1202" t="s">
        <v>131</v>
      </c>
      <c r="Q1202" t="s">
        <v>131</v>
      </c>
      <c r="R1202" t="s">
        <v>131</v>
      </c>
      <c r="S1202" t="s">
        <v>131</v>
      </c>
      <c r="T1202" t="s">
        <v>131</v>
      </c>
      <c r="U1202" t="s">
        <v>131</v>
      </c>
      <c r="V1202" t="s">
        <v>131</v>
      </c>
      <c r="W1202" t="s">
        <v>131</v>
      </c>
      <c r="X1202" t="s">
        <v>131</v>
      </c>
      <c r="Y1202" t="s">
        <v>131</v>
      </c>
      <c r="Z1202" t="s">
        <v>131</v>
      </c>
      <c r="AA1202" t="s">
        <v>131</v>
      </c>
      <c r="AB1202" t="s">
        <v>131</v>
      </c>
      <c r="AK1202" t="s">
        <v>131</v>
      </c>
      <c r="AO1202" t="s">
        <v>131</v>
      </c>
      <c r="AP1202" t="s">
        <v>131</v>
      </c>
      <c r="AR1202" t="s">
        <v>131</v>
      </c>
      <c r="AU1202" t="s">
        <v>131</v>
      </c>
      <c r="AW1202" t="s">
        <v>131</v>
      </c>
      <c r="AX1202" t="s">
        <v>131</v>
      </c>
      <c r="BA1202">
        <v>658</v>
      </c>
      <c r="BB1202">
        <v>44</v>
      </c>
      <c r="BC1202" t="s">
        <v>712</v>
      </c>
      <c r="BD1202">
        <v>0</v>
      </c>
      <c r="BF1202" t="s">
        <v>1326</v>
      </c>
      <c r="BG1202" s="1">
        <v>44354.304861111108</v>
      </c>
      <c r="BH1202" s="1">
        <v>44354.310717592591</v>
      </c>
      <c r="BI1202" s="1">
        <v>44354.321574074071</v>
      </c>
      <c r="BJ1202" t="s">
        <v>85</v>
      </c>
      <c r="BK1202" t="s">
        <v>86</v>
      </c>
      <c r="BL1202" t="s">
        <v>87</v>
      </c>
    </row>
    <row r="1203" spans="1:64" x14ac:dyDescent="0.3">
      <c r="A1203" t="str">
        <f>"202477B0000"</f>
        <v>202477B0000</v>
      </c>
      <c r="B1203" t="str">
        <f>"202477B00003"</f>
        <v>202477B00003</v>
      </c>
      <c r="C1203" t="str">
        <f t="shared" si="68"/>
        <v>20</v>
      </c>
      <c r="D1203" t="s">
        <v>81</v>
      </c>
      <c r="E1203" t="str">
        <f t="shared" si="67"/>
        <v>066</v>
      </c>
      <c r="F1203" t="s">
        <v>951</v>
      </c>
      <c r="G1203" t="str">
        <f>"2477"</f>
        <v>2477</v>
      </c>
      <c r="H1203" t="str">
        <f>"0000"</f>
        <v>0000</v>
      </c>
      <c r="I1203" t="s">
        <v>83</v>
      </c>
      <c r="J1203">
        <v>0</v>
      </c>
      <c r="K1203">
        <v>1</v>
      </c>
      <c r="L1203">
        <v>3</v>
      </c>
      <c r="M1203">
        <v>326</v>
      </c>
      <c r="N1203">
        <v>240</v>
      </c>
      <c r="O1203">
        <v>4</v>
      </c>
      <c r="P1203">
        <v>240</v>
      </c>
      <c r="Q1203">
        <v>6</v>
      </c>
      <c r="R1203">
        <v>37</v>
      </c>
      <c r="S1203">
        <v>2</v>
      </c>
      <c r="T1203">
        <v>5</v>
      </c>
      <c r="U1203">
        <v>11</v>
      </c>
      <c r="V1203">
        <v>2</v>
      </c>
      <c r="W1203">
        <v>3</v>
      </c>
      <c r="X1203">
        <v>137</v>
      </c>
      <c r="Y1203">
        <v>2</v>
      </c>
      <c r="Z1203">
        <v>9</v>
      </c>
      <c r="AA1203">
        <v>0</v>
      </c>
      <c r="AB1203">
        <v>20</v>
      </c>
      <c r="AK1203">
        <v>1</v>
      </c>
      <c r="AO1203">
        <v>0</v>
      </c>
      <c r="AP1203">
        <v>0</v>
      </c>
      <c r="AR1203">
        <v>1</v>
      </c>
      <c r="AU1203">
        <v>0</v>
      </c>
      <c r="AW1203">
        <v>1</v>
      </c>
      <c r="AX1203">
        <v>3</v>
      </c>
      <c r="AY1203">
        <v>240</v>
      </c>
      <c r="AZ1203">
        <v>240</v>
      </c>
      <c r="BA1203">
        <v>523</v>
      </c>
      <c r="BB1203">
        <v>44</v>
      </c>
      <c r="BD1203">
        <v>1</v>
      </c>
      <c r="BF1203" t="s">
        <v>1327</v>
      </c>
      <c r="BG1203" s="1">
        <v>44354.054861111108</v>
      </c>
      <c r="BH1203" s="1">
        <v>44354.061655092592</v>
      </c>
      <c r="BI1203" s="1">
        <v>44354.062361111108</v>
      </c>
      <c r="BJ1203" t="s">
        <v>85</v>
      </c>
      <c r="BK1203" t="s">
        <v>86</v>
      </c>
      <c r="BL1203" t="s">
        <v>87</v>
      </c>
    </row>
    <row r="1204" spans="1:64" x14ac:dyDescent="0.3">
      <c r="A1204" t="str">
        <f>"202477C0100"</f>
        <v>202477C0100</v>
      </c>
      <c r="B1204" t="str">
        <f>"202477C01003"</f>
        <v>202477C01003</v>
      </c>
      <c r="C1204" t="str">
        <f t="shared" si="68"/>
        <v>20</v>
      </c>
      <c r="D1204" t="s">
        <v>81</v>
      </c>
      <c r="E1204" t="str">
        <f t="shared" si="67"/>
        <v>066</v>
      </c>
      <c r="F1204" t="s">
        <v>951</v>
      </c>
      <c r="G1204" t="str">
        <f>"2477"</f>
        <v>2477</v>
      </c>
      <c r="H1204" t="str">
        <f>"0001"</f>
        <v>0001</v>
      </c>
      <c r="I1204" t="s">
        <v>89</v>
      </c>
      <c r="J1204">
        <v>0</v>
      </c>
      <c r="K1204">
        <v>1</v>
      </c>
      <c r="L1204">
        <v>3</v>
      </c>
      <c r="M1204">
        <v>308</v>
      </c>
      <c r="N1204">
        <v>259</v>
      </c>
      <c r="O1204">
        <v>4</v>
      </c>
      <c r="P1204">
        <v>259</v>
      </c>
      <c r="Q1204">
        <v>5</v>
      </c>
      <c r="R1204">
        <v>46</v>
      </c>
      <c r="S1204">
        <v>2</v>
      </c>
      <c r="T1204">
        <v>2</v>
      </c>
      <c r="U1204">
        <v>10</v>
      </c>
      <c r="V1204">
        <v>4</v>
      </c>
      <c r="W1204">
        <v>2</v>
      </c>
      <c r="X1204">
        <v>152</v>
      </c>
      <c r="Y1204">
        <v>0</v>
      </c>
      <c r="Z1204">
        <v>1</v>
      </c>
      <c r="AA1204">
        <v>2</v>
      </c>
      <c r="AB1204">
        <v>22</v>
      </c>
      <c r="AK1204">
        <v>1</v>
      </c>
      <c r="AO1204">
        <v>0</v>
      </c>
      <c r="AP1204">
        <v>0</v>
      </c>
      <c r="AR1204">
        <v>0</v>
      </c>
      <c r="AU1204">
        <v>1</v>
      </c>
      <c r="AW1204" t="s">
        <v>95</v>
      </c>
      <c r="AX1204">
        <v>9</v>
      </c>
      <c r="AY1204">
        <v>259</v>
      </c>
      <c r="AZ1204">
        <v>259</v>
      </c>
      <c r="BA1204">
        <v>523</v>
      </c>
      <c r="BB1204">
        <v>44</v>
      </c>
      <c r="BC1204" t="s">
        <v>96</v>
      </c>
      <c r="BD1204">
        <v>1</v>
      </c>
      <c r="BF1204" t="s">
        <v>1328</v>
      </c>
      <c r="BG1204" s="1">
        <v>44354.055555555555</v>
      </c>
      <c r="BH1204" s="1">
        <v>44354.071666666663</v>
      </c>
      <c r="BI1204" s="1">
        <v>44354.072083333333</v>
      </c>
      <c r="BJ1204" t="s">
        <v>85</v>
      </c>
      <c r="BK1204" t="s">
        <v>86</v>
      </c>
      <c r="BL1204" t="s">
        <v>87</v>
      </c>
    </row>
    <row r="1205" spans="1:64" x14ac:dyDescent="0.3">
      <c r="A1205" t="str">
        <f>"202477C0200"</f>
        <v>202477C0200</v>
      </c>
      <c r="B1205" t="str">
        <f>"202477C02003"</f>
        <v>202477C02003</v>
      </c>
      <c r="C1205" t="str">
        <f t="shared" si="68"/>
        <v>20</v>
      </c>
      <c r="D1205" t="s">
        <v>81</v>
      </c>
      <c r="E1205" t="str">
        <f t="shared" si="67"/>
        <v>066</v>
      </c>
      <c r="F1205" t="s">
        <v>951</v>
      </c>
      <c r="G1205" t="str">
        <f>"2477"</f>
        <v>2477</v>
      </c>
      <c r="H1205" t="str">
        <f>"0002"</f>
        <v>0002</v>
      </c>
      <c r="I1205" t="s">
        <v>89</v>
      </c>
      <c r="J1205">
        <v>0</v>
      </c>
      <c r="K1205">
        <v>1</v>
      </c>
      <c r="L1205">
        <v>3</v>
      </c>
      <c r="M1205">
        <v>301</v>
      </c>
      <c r="N1205">
        <v>266</v>
      </c>
      <c r="O1205">
        <v>6</v>
      </c>
      <c r="P1205">
        <v>266</v>
      </c>
      <c r="Q1205">
        <v>8</v>
      </c>
      <c r="R1205">
        <v>45</v>
      </c>
      <c r="S1205">
        <v>5</v>
      </c>
      <c r="T1205">
        <v>3</v>
      </c>
      <c r="U1205">
        <v>9</v>
      </c>
      <c r="V1205">
        <v>5</v>
      </c>
      <c r="W1205">
        <v>2</v>
      </c>
      <c r="X1205">
        <v>157</v>
      </c>
      <c r="Y1205">
        <v>2</v>
      </c>
      <c r="Z1205">
        <v>1</v>
      </c>
      <c r="AA1205">
        <v>1</v>
      </c>
      <c r="AB1205">
        <v>19</v>
      </c>
      <c r="AK1205">
        <v>0</v>
      </c>
      <c r="AO1205">
        <v>0</v>
      </c>
      <c r="AP1205">
        <v>0</v>
      </c>
      <c r="AR1205">
        <v>0</v>
      </c>
      <c r="AU1205">
        <v>0</v>
      </c>
      <c r="AW1205">
        <v>0</v>
      </c>
      <c r="AX1205">
        <v>9</v>
      </c>
      <c r="AY1205">
        <v>266</v>
      </c>
      <c r="AZ1205">
        <v>266</v>
      </c>
      <c r="BA1205">
        <v>523</v>
      </c>
      <c r="BB1205">
        <v>44</v>
      </c>
      <c r="BD1205">
        <v>1</v>
      </c>
      <c r="BF1205" t="s">
        <v>1329</v>
      </c>
      <c r="BG1205" s="1">
        <v>44354.054861111108</v>
      </c>
      <c r="BH1205" s="1">
        <v>44354.063680555555</v>
      </c>
      <c r="BI1205" s="1">
        <v>44354.064363425925</v>
      </c>
      <c r="BJ1205" t="s">
        <v>85</v>
      </c>
      <c r="BK1205" t="s">
        <v>86</v>
      </c>
      <c r="BL1205" t="s">
        <v>87</v>
      </c>
    </row>
    <row r="1206" spans="1:64" x14ac:dyDescent="0.3">
      <c r="A1206" t="str">
        <f>"202478B0000"</f>
        <v>202478B0000</v>
      </c>
      <c r="B1206" t="str">
        <f>"202478B00003"</f>
        <v>202478B00003</v>
      </c>
      <c r="C1206" t="str">
        <f t="shared" si="68"/>
        <v>20</v>
      </c>
      <c r="D1206" t="s">
        <v>81</v>
      </c>
      <c r="E1206" t="str">
        <f t="shared" si="67"/>
        <v>066</v>
      </c>
      <c r="F1206" t="s">
        <v>951</v>
      </c>
      <c r="G1206" t="str">
        <f>"2478"</f>
        <v>2478</v>
      </c>
      <c r="H1206" t="str">
        <f>"0000"</f>
        <v>0000</v>
      </c>
      <c r="I1206" t="s">
        <v>83</v>
      </c>
      <c r="J1206">
        <v>0</v>
      </c>
      <c r="K1206">
        <v>1</v>
      </c>
      <c r="L1206">
        <v>3</v>
      </c>
      <c r="BA1206">
        <v>570</v>
      </c>
      <c r="BB1206">
        <v>44</v>
      </c>
      <c r="BC1206" t="s">
        <v>381</v>
      </c>
      <c r="BD1206">
        <v>0</v>
      </c>
      <c r="BF1206" t="s">
        <v>1330</v>
      </c>
      <c r="BG1206" s="1">
        <v>44354.493055555555</v>
      </c>
      <c r="BH1206" s="1">
        <v>44354.503576388888</v>
      </c>
      <c r="BI1206" s="1">
        <v>44354.503576388888</v>
      </c>
      <c r="BJ1206" t="s">
        <v>85</v>
      </c>
      <c r="BK1206" t="s">
        <v>86</v>
      </c>
      <c r="BL1206" t="s">
        <v>87</v>
      </c>
    </row>
    <row r="1207" spans="1:64" x14ac:dyDescent="0.3">
      <c r="A1207" t="str">
        <f>"202478C0100"</f>
        <v>202478C0100</v>
      </c>
      <c r="B1207" t="str">
        <f>"202478C01003"</f>
        <v>202478C01003</v>
      </c>
      <c r="C1207" t="str">
        <f t="shared" si="68"/>
        <v>20</v>
      </c>
      <c r="D1207" t="s">
        <v>81</v>
      </c>
      <c r="E1207" t="str">
        <f t="shared" si="67"/>
        <v>066</v>
      </c>
      <c r="F1207" t="s">
        <v>951</v>
      </c>
      <c r="G1207" t="str">
        <f>"2478"</f>
        <v>2478</v>
      </c>
      <c r="H1207" t="str">
        <f>"0001"</f>
        <v>0001</v>
      </c>
      <c r="I1207" t="s">
        <v>89</v>
      </c>
      <c r="J1207">
        <v>0</v>
      </c>
      <c r="K1207">
        <v>1</v>
      </c>
      <c r="L1207">
        <v>3</v>
      </c>
      <c r="M1207">
        <v>382</v>
      </c>
      <c r="N1207">
        <v>232</v>
      </c>
      <c r="O1207">
        <v>7</v>
      </c>
      <c r="P1207">
        <v>232</v>
      </c>
      <c r="Q1207">
        <v>6</v>
      </c>
      <c r="R1207">
        <v>64</v>
      </c>
      <c r="S1207">
        <v>3</v>
      </c>
      <c r="T1207">
        <v>1</v>
      </c>
      <c r="U1207">
        <v>8</v>
      </c>
      <c r="V1207">
        <v>6</v>
      </c>
      <c r="W1207">
        <v>2</v>
      </c>
      <c r="X1207">
        <v>127</v>
      </c>
      <c r="Y1207">
        <v>2</v>
      </c>
      <c r="Z1207">
        <v>1</v>
      </c>
      <c r="AA1207">
        <v>3</v>
      </c>
      <c r="AB1207">
        <v>3</v>
      </c>
      <c r="AK1207">
        <v>1</v>
      </c>
      <c r="AO1207">
        <v>0</v>
      </c>
      <c r="AP1207">
        <v>0</v>
      </c>
      <c r="AR1207">
        <v>0</v>
      </c>
      <c r="AU1207">
        <v>0</v>
      </c>
      <c r="AW1207">
        <v>0</v>
      </c>
      <c r="AX1207">
        <v>5</v>
      </c>
      <c r="AY1207">
        <v>232</v>
      </c>
      <c r="AZ1207">
        <v>232</v>
      </c>
      <c r="BA1207">
        <v>570</v>
      </c>
      <c r="BB1207">
        <v>44</v>
      </c>
      <c r="BD1207">
        <v>1</v>
      </c>
      <c r="BF1207" t="s">
        <v>1331</v>
      </c>
      <c r="BG1207" s="1">
        <v>44353.981944444444</v>
      </c>
      <c r="BH1207" s="1">
        <v>44353.984733796293</v>
      </c>
      <c r="BI1207" s="1">
        <v>44353.985567129632</v>
      </c>
      <c r="BJ1207" t="s">
        <v>85</v>
      </c>
      <c r="BK1207" t="s">
        <v>86</v>
      </c>
      <c r="BL1207" t="s">
        <v>87</v>
      </c>
    </row>
    <row r="1208" spans="1:64" x14ac:dyDescent="0.3">
      <c r="A1208" t="str">
        <f>"202478C0200"</f>
        <v>202478C0200</v>
      </c>
      <c r="B1208" t="str">
        <f>"202478C02003"</f>
        <v>202478C02003</v>
      </c>
      <c r="C1208" t="str">
        <f t="shared" si="68"/>
        <v>20</v>
      </c>
      <c r="D1208" t="s">
        <v>81</v>
      </c>
      <c r="E1208" t="str">
        <f t="shared" si="67"/>
        <v>066</v>
      </c>
      <c r="F1208" t="s">
        <v>951</v>
      </c>
      <c r="G1208" t="str">
        <f>"2478"</f>
        <v>2478</v>
      </c>
      <c r="H1208" t="str">
        <f>"0002"</f>
        <v>0002</v>
      </c>
      <c r="I1208" t="s">
        <v>89</v>
      </c>
      <c r="J1208">
        <v>0</v>
      </c>
      <c r="K1208">
        <v>1</v>
      </c>
      <c r="L1208">
        <v>3</v>
      </c>
      <c r="M1208">
        <v>386</v>
      </c>
      <c r="N1208">
        <v>228</v>
      </c>
      <c r="O1208">
        <v>4</v>
      </c>
      <c r="P1208">
        <v>227</v>
      </c>
      <c r="Q1208">
        <v>9</v>
      </c>
      <c r="R1208">
        <v>47</v>
      </c>
      <c r="S1208">
        <v>3</v>
      </c>
      <c r="T1208">
        <v>1</v>
      </c>
      <c r="U1208">
        <v>6</v>
      </c>
      <c r="V1208">
        <v>4</v>
      </c>
      <c r="W1208">
        <v>5</v>
      </c>
      <c r="X1208">
        <v>133</v>
      </c>
      <c r="Y1208">
        <v>3</v>
      </c>
      <c r="Z1208">
        <v>6</v>
      </c>
      <c r="AA1208">
        <v>3</v>
      </c>
      <c r="AB1208">
        <v>2</v>
      </c>
      <c r="AK1208">
        <v>1</v>
      </c>
      <c r="AO1208">
        <v>1</v>
      </c>
      <c r="AP1208">
        <v>0</v>
      </c>
      <c r="AR1208">
        <v>0</v>
      </c>
      <c r="AU1208">
        <v>0</v>
      </c>
      <c r="AW1208">
        <v>0</v>
      </c>
      <c r="AX1208">
        <v>3</v>
      </c>
      <c r="AY1208">
        <v>227</v>
      </c>
      <c r="AZ1208">
        <v>227</v>
      </c>
      <c r="BA1208">
        <v>570</v>
      </c>
      <c r="BB1208">
        <v>44</v>
      </c>
      <c r="BD1208">
        <v>1</v>
      </c>
      <c r="BF1208" t="s">
        <v>1332</v>
      </c>
      <c r="BG1208" s="1">
        <v>44353.995138888888</v>
      </c>
      <c r="BH1208" s="1">
        <v>44354.001226851855</v>
      </c>
      <c r="BI1208" s="1">
        <v>44354.001805555556</v>
      </c>
      <c r="BJ1208" t="s">
        <v>85</v>
      </c>
      <c r="BK1208" t="s">
        <v>86</v>
      </c>
      <c r="BL1208" t="s">
        <v>87</v>
      </c>
    </row>
    <row r="1209" spans="1:64" x14ac:dyDescent="0.3">
      <c r="A1209" t="str">
        <f>"202478C0300"</f>
        <v>202478C0300</v>
      </c>
      <c r="B1209" t="str">
        <f>"202478C03003"</f>
        <v>202478C03003</v>
      </c>
      <c r="C1209" t="str">
        <f t="shared" si="68"/>
        <v>20</v>
      </c>
      <c r="D1209" t="s">
        <v>81</v>
      </c>
      <c r="E1209" t="str">
        <f t="shared" si="67"/>
        <v>066</v>
      </c>
      <c r="F1209" t="s">
        <v>951</v>
      </c>
      <c r="G1209" t="str">
        <f>"2478"</f>
        <v>2478</v>
      </c>
      <c r="H1209" t="str">
        <f>"0003"</f>
        <v>0003</v>
      </c>
      <c r="I1209" t="s">
        <v>89</v>
      </c>
      <c r="J1209">
        <v>0</v>
      </c>
      <c r="K1209">
        <v>1</v>
      </c>
      <c r="L1209">
        <v>3</v>
      </c>
      <c r="M1209">
        <v>382</v>
      </c>
      <c r="N1209">
        <v>231</v>
      </c>
      <c r="O1209">
        <v>5</v>
      </c>
      <c r="P1209">
        <v>233</v>
      </c>
      <c r="Q1209">
        <v>5</v>
      </c>
      <c r="R1209">
        <v>59</v>
      </c>
      <c r="S1209">
        <v>2</v>
      </c>
      <c r="T1209">
        <v>2</v>
      </c>
      <c r="U1209">
        <v>9</v>
      </c>
      <c r="V1209">
        <v>8</v>
      </c>
      <c r="W1209">
        <v>3</v>
      </c>
      <c r="X1209">
        <v>121</v>
      </c>
      <c r="Y1209">
        <v>2</v>
      </c>
      <c r="Z1209">
        <v>4</v>
      </c>
      <c r="AA1209">
        <v>3</v>
      </c>
      <c r="AB1209">
        <v>4</v>
      </c>
      <c r="AK1209">
        <v>2</v>
      </c>
      <c r="AO1209">
        <v>1</v>
      </c>
      <c r="AP1209">
        <v>0</v>
      </c>
      <c r="AR1209">
        <v>0</v>
      </c>
      <c r="AU1209">
        <v>0</v>
      </c>
      <c r="AW1209">
        <v>0</v>
      </c>
      <c r="AX1209">
        <v>8</v>
      </c>
      <c r="AY1209">
        <v>233</v>
      </c>
      <c r="AZ1209">
        <v>233</v>
      </c>
      <c r="BA1209">
        <v>570</v>
      </c>
      <c r="BB1209">
        <v>44</v>
      </c>
      <c r="BD1209">
        <v>1</v>
      </c>
      <c r="BF1209" t="s">
        <v>1333</v>
      </c>
      <c r="BG1209" s="1">
        <v>44353.98541666667</v>
      </c>
      <c r="BH1209" s="1">
        <v>44353.987824074073</v>
      </c>
      <c r="BI1209" s="1">
        <v>44353.988865740743</v>
      </c>
      <c r="BJ1209" t="s">
        <v>85</v>
      </c>
      <c r="BK1209" t="s">
        <v>86</v>
      </c>
      <c r="BL1209" t="s">
        <v>87</v>
      </c>
    </row>
    <row r="1210" spans="1:64" x14ac:dyDescent="0.3">
      <c r="A1210" t="str">
        <f>"202479B0000"</f>
        <v>202479B0000</v>
      </c>
      <c r="B1210" t="str">
        <f>"202479B00003"</f>
        <v>202479B00003</v>
      </c>
      <c r="C1210" t="str">
        <f t="shared" si="68"/>
        <v>20</v>
      </c>
      <c r="D1210" t="s">
        <v>81</v>
      </c>
      <c r="E1210" t="str">
        <f t="shared" si="67"/>
        <v>066</v>
      </c>
      <c r="F1210" t="s">
        <v>951</v>
      </c>
      <c r="G1210" t="str">
        <f>"2479"</f>
        <v>2479</v>
      </c>
      <c r="H1210" t="str">
        <f>"0000"</f>
        <v>0000</v>
      </c>
      <c r="I1210" t="s">
        <v>83</v>
      </c>
      <c r="J1210">
        <v>0</v>
      </c>
      <c r="K1210">
        <v>1</v>
      </c>
      <c r="L1210">
        <v>3</v>
      </c>
      <c r="M1210">
        <v>424</v>
      </c>
      <c r="N1210">
        <v>345</v>
      </c>
      <c r="O1210">
        <v>6</v>
      </c>
      <c r="P1210">
        <v>345</v>
      </c>
      <c r="Q1210">
        <v>12</v>
      </c>
      <c r="R1210">
        <v>93</v>
      </c>
      <c r="S1210">
        <v>1</v>
      </c>
      <c r="T1210">
        <v>8</v>
      </c>
      <c r="U1210">
        <v>4</v>
      </c>
      <c r="V1210">
        <v>0</v>
      </c>
      <c r="W1210">
        <v>1</v>
      </c>
      <c r="X1210">
        <v>185</v>
      </c>
      <c r="Y1210">
        <v>5</v>
      </c>
      <c r="Z1210">
        <v>6</v>
      </c>
      <c r="AA1210">
        <v>4</v>
      </c>
      <c r="AB1210">
        <v>9</v>
      </c>
      <c r="AK1210">
        <v>0</v>
      </c>
      <c r="AO1210">
        <v>3</v>
      </c>
      <c r="AP1210">
        <v>0</v>
      </c>
      <c r="AR1210">
        <v>0</v>
      </c>
      <c r="AU1210">
        <v>0</v>
      </c>
      <c r="AW1210">
        <v>0</v>
      </c>
      <c r="AX1210">
        <v>14</v>
      </c>
      <c r="AY1210">
        <v>345</v>
      </c>
      <c r="AZ1210">
        <v>345</v>
      </c>
      <c r="BA1210">
        <v>725</v>
      </c>
      <c r="BB1210">
        <v>44</v>
      </c>
      <c r="BD1210">
        <v>1</v>
      </c>
      <c r="BF1210" t="s">
        <v>1334</v>
      </c>
      <c r="BG1210" s="1">
        <v>44354.056944444441</v>
      </c>
      <c r="BH1210" s="1">
        <v>44354.063831018517</v>
      </c>
      <c r="BI1210" s="1">
        <v>44354.064895833333</v>
      </c>
      <c r="BJ1210" t="s">
        <v>85</v>
      </c>
      <c r="BK1210" t="s">
        <v>86</v>
      </c>
      <c r="BL1210" t="s">
        <v>87</v>
      </c>
    </row>
    <row r="1211" spans="1:64" x14ac:dyDescent="0.3">
      <c r="A1211" t="str">
        <f>"202479C0100"</f>
        <v>202479C0100</v>
      </c>
      <c r="B1211" t="str">
        <f>"202479C01003"</f>
        <v>202479C01003</v>
      </c>
      <c r="C1211" t="str">
        <f t="shared" si="68"/>
        <v>20</v>
      </c>
      <c r="D1211" t="s">
        <v>81</v>
      </c>
      <c r="E1211" t="str">
        <f t="shared" si="67"/>
        <v>066</v>
      </c>
      <c r="F1211" t="s">
        <v>951</v>
      </c>
      <c r="G1211" t="str">
        <f>"2479"</f>
        <v>2479</v>
      </c>
      <c r="H1211" t="str">
        <f>"0001"</f>
        <v>0001</v>
      </c>
      <c r="I1211" t="s">
        <v>89</v>
      </c>
      <c r="J1211">
        <v>0</v>
      </c>
      <c r="K1211">
        <v>1</v>
      </c>
      <c r="L1211">
        <v>3</v>
      </c>
      <c r="M1211">
        <v>460</v>
      </c>
      <c r="N1211">
        <v>309</v>
      </c>
      <c r="O1211">
        <v>5</v>
      </c>
      <c r="P1211">
        <v>309</v>
      </c>
      <c r="Q1211">
        <v>20</v>
      </c>
      <c r="R1211">
        <v>89</v>
      </c>
      <c r="S1211">
        <v>0</v>
      </c>
      <c r="T1211">
        <v>2</v>
      </c>
      <c r="U1211">
        <v>13</v>
      </c>
      <c r="V1211">
        <v>1</v>
      </c>
      <c r="W1211">
        <v>4</v>
      </c>
      <c r="X1211">
        <v>147</v>
      </c>
      <c r="Y1211">
        <v>4</v>
      </c>
      <c r="Z1211">
        <v>3</v>
      </c>
      <c r="AA1211">
        <v>3</v>
      </c>
      <c r="AB1211">
        <v>14</v>
      </c>
      <c r="AK1211">
        <v>1</v>
      </c>
      <c r="AO1211">
        <v>1</v>
      </c>
      <c r="AP1211">
        <v>0</v>
      </c>
      <c r="AR1211">
        <v>0</v>
      </c>
      <c r="AU1211">
        <v>0</v>
      </c>
      <c r="AW1211">
        <v>0</v>
      </c>
      <c r="AX1211">
        <v>7</v>
      </c>
      <c r="AY1211">
        <v>309</v>
      </c>
      <c r="AZ1211">
        <v>309</v>
      </c>
      <c r="BA1211">
        <v>725</v>
      </c>
      <c r="BB1211">
        <v>44</v>
      </c>
      <c r="BD1211">
        <v>1</v>
      </c>
      <c r="BF1211" t="s">
        <v>1335</v>
      </c>
      <c r="BG1211" s="1">
        <v>44354.055555555555</v>
      </c>
      <c r="BH1211" s="1">
        <v>44354.063136574077</v>
      </c>
      <c r="BI1211" s="1">
        <v>44354.063969907409</v>
      </c>
      <c r="BJ1211" t="s">
        <v>85</v>
      </c>
      <c r="BK1211" t="s">
        <v>86</v>
      </c>
      <c r="BL1211" t="s">
        <v>87</v>
      </c>
    </row>
    <row r="1212" spans="1:64" x14ac:dyDescent="0.3">
      <c r="A1212" t="str">
        <f>"202480B0000"</f>
        <v>202480B0000</v>
      </c>
      <c r="B1212" t="str">
        <f>"202480B00003"</f>
        <v>202480B00003</v>
      </c>
      <c r="C1212" t="str">
        <f t="shared" si="68"/>
        <v>20</v>
      </c>
      <c r="D1212" t="s">
        <v>81</v>
      </c>
      <c r="E1212" t="str">
        <f t="shared" ref="E1212:E1219" si="70">"066"</f>
        <v>066</v>
      </c>
      <c r="F1212" t="s">
        <v>951</v>
      </c>
      <c r="G1212" t="str">
        <f>"2480"</f>
        <v>2480</v>
      </c>
      <c r="H1212" t="str">
        <f>"0000"</f>
        <v>0000</v>
      </c>
      <c r="I1212" t="s">
        <v>83</v>
      </c>
      <c r="J1212">
        <v>0</v>
      </c>
      <c r="K1212">
        <v>1</v>
      </c>
      <c r="L1212">
        <v>3</v>
      </c>
      <c r="M1212">
        <v>373</v>
      </c>
      <c r="N1212">
        <v>267</v>
      </c>
      <c r="O1212">
        <v>6</v>
      </c>
      <c r="P1212">
        <v>267</v>
      </c>
      <c r="Q1212">
        <v>7</v>
      </c>
      <c r="R1212">
        <v>67</v>
      </c>
      <c r="S1212">
        <v>2</v>
      </c>
      <c r="T1212">
        <v>4</v>
      </c>
      <c r="U1212">
        <v>5</v>
      </c>
      <c r="V1212">
        <v>5</v>
      </c>
      <c r="W1212">
        <v>1</v>
      </c>
      <c r="X1212">
        <v>155</v>
      </c>
      <c r="Y1212">
        <v>1</v>
      </c>
      <c r="Z1212">
        <v>2</v>
      </c>
      <c r="AA1212">
        <v>2</v>
      </c>
      <c r="AB1212">
        <v>12</v>
      </c>
      <c r="AK1212">
        <v>1</v>
      </c>
      <c r="AO1212">
        <v>0</v>
      </c>
      <c r="AP1212">
        <v>0</v>
      </c>
      <c r="AR1212">
        <v>0</v>
      </c>
      <c r="AU1212">
        <v>1</v>
      </c>
      <c r="AW1212">
        <v>0</v>
      </c>
      <c r="AX1212">
        <v>2</v>
      </c>
      <c r="AY1212">
        <v>267</v>
      </c>
      <c r="AZ1212">
        <v>267</v>
      </c>
      <c r="BA1212">
        <v>597</v>
      </c>
      <c r="BB1212">
        <v>44</v>
      </c>
      <c r="BD1212">
        <v>1</v>
      </c>
      <c r="BF1212" t="s">
        <v>1336</v>
      </c>
      <c r="BG1212" s="1">
        <v>44354.113888888889</v>
      </c>
      <c r="BH1212" s="1">
        <v>44354.118993055556</v>
      </c>
      <c r="BI1212" s="1">
        <v>44354.119930555556</v>
      </c>
      <c r="BJ1212" t="s">
        <v>85</v>
      </c>
      <c r="BK1212" t="s">
        <v>86</v>
      </c>
      <c r="BL1212" t="s">
        <v>87</v>
      </c>
    </row>
    <row r="1213" spans="1:64" x14ac:dyDescent="0.3">
      <c r="A1213" t="str">
        <f>"202480C0100"</f>
        <v>202480C0100</v>
      </c>
      <c r="B1213" t="str">
        <f>"202480C01003"</f>
        <v>202480C01003</v>
      </c>
      <c r="C1213" t="str">
        <f t="shared" si="68"/>
        <v>20</v>
      </c>
      <c r="D1213" t="s">
        <v>81</v>
      </c>
      <c r="E1213" t="str">
        <f t="shared" si="70"/>
        <v>066</v>
      </c>
      <c r="F1213" t="s">
        <v>951</v>
      </c>
      <c r="G1213" t="str">
        <f>"2480"</f>
        <v>2480</v>
      </c>
      <c r="H1213" t="str">
        <f>"0001"</f>
        <v>0001</v>
      </c>
      <c r="I1213" t="s">
        <v>89</v>
      </c>
      <c r="J1213">
        <v>0</v>
      </c>
      <c r="K1213">
        <v>1</v>
      </c>
      <c r="L1213">
        <v>3</v>
      </c>
      <c r="BA1213">
        <v>597</v>
      </c>
      <c r="BB1213">
        <v>44</v>
      </c>
      <c r="BC1213" t="s">
        <v>381</v>
      </c>
      <c r="BD1213">
        <v>0</v>
      </c>
      <c r="BF1213" t="s">
        <v>1337</v>
      </c>
      <c r="BG1213" s="1">
        <v>44354.427083333336</v>
      </c>
      <c r="BH1213" s="1">
        <v>44354.442453703705</v>
      </c>
      <c r="BI1213" s="1">
        <v>44354.442453703705</v>
      </c>
      <c r="BJ1213" t="s">
        <v>85</v>
      </c>
      <c r="BK1213" t="s">
        <v>86</v>
      </c>
      <c r="BL1213" t="s">
        <v>87</v>
      </c>
    </row>
    <row r="1214" spans="1:64" x14ac:dyDescent="0.3">
      <c r="A1214" t="str">
        <f>"202480C0200"</f>
        <v>202480C0200</v>
      </c>
      <c r="B1214" t="str">
        <f>"202480C02003"</f>
        <v>202480C02003</v>
      </c>
      <c r="C1214" t="str">
        <f t="shared" si="68"/>
        <v>20</v>
      </c>
      <c r="D1214" t="s">
        <v>81</v>
      </c>
      <c r="E1214" t="str">
        <f t="shared" si="70"/>
        <v>066</v>
      </c>
      <c r="F1214" t="s">
        <v>951</v>
      </c>
      <c r="G1214" t="str">
        <f>"2480"</f>
        <v>2480</v>
      </c>
      <c r="H1214" t="str">
        <f>"0002"</f>
        <v>0002</v>
      </c>
      <c r="I1214" t="s">
        <v>89</v>
      </c>
      <c r="J1214">
        <v>0</v>
      </c>
      <c r="K1214">
        <v>1</v>
      </c>
      <c r="L1214">
        <v>3</v>
      </c>
      <c r="M1214">
        <v>304</v>
      </c>
      <c r="N1214">
        <v>237</v>
      </c>
      <c r="O1214">
        <v>8</v>
      </c>
      <c r="P1214">
        <v>236</v>
      </c>
      <c r="Q1214">
        <v>10</v>
      </c>
      <c r="R1214">
        <v>64</v>
      </c>
      <c r="S1214">
        <v>1</v>
      </c>
      <c r="T1214">
        <v>3</v>
      </c>
      <c r="U1214">
        <v>6</v>
      </c>
      <c r="V1214">
        <v>1</v>
      </c>
      <c r="W1214">
        <v>0</v>
      </c>
      <c r="X1214">
        <v>132</v>
      </c>
      <c r="Y1214">
        <v>1</v>
      </c>
      <c r="Z1214">
        <v>2</v>
      </c>
      <c r="AA1214">
        <v>2</v>
      </c>
      <c r="AB1214">
        <v>4</v>
      </c>
      <c r="AK1214">
        <v>2</v>
      </c>
      <c r="AO1214">
        <v>1</v>
      </c>
      <c r="AP1214">
        <v>0</v>
      </c>
      <c r="AR1214">
        <v>1</v>
      </c>
      <c r="AU1214">
        <v>0</v>
      </c>
      <c r="AW1214">
        <v>0</v>
      </c>
      <c r="AX1214">
        <v>6</v>
      </c>
      <c r="AY1214">
        <v>236</v>
      </c>
      <c r="AZ1214">
        <v>236</v>
      </c>
      <c r="BA1214">
        <v>597</v>
      </c>
      <c r="BB1214">
        <v>44</v>
      </c>
      <c r="BD1214">
        <v>1</v>
      </c>
      <c r="BF1214" t="s">
        <v>1338</v>
      </c>
      <c r="BG1214" s="1">
        <v>44354.112500000003</v>
      </c>
      <c r="BH1214" s="1">
        <v>44354.117210648146</v>
      </c>
      <c r="BI1214" s="1">
        <v>44354.117638888885</v>
      </c>
      <c r="BJ1214" t="s">
        <v>85</v>
      </c>
      <c r="BK1214" t="s">
        <v>86</v>
      </c>
      <c r="BL1214" t="s">
        <v>87</v>
      </c>
    </row>
    <row r="1215" spans="1:64" x14ac:dyDescent="0.3">
      <c r="A1215" t="str">
        <f>"202480C0300"</f>
        <v>202480C0300</v>
      </c>
      <c r="B1215" t="str">
        <f>"202480C03003"</f>
        <v>202480C03003</v>
      </c>
      <c r="C1215" t="str">
        <f t="shared" si="68"/>
        <v>20</v>
      </c>
      <c r="D1215" t="s">
        <v>81</v>
      </c>
      <c r="E1215" t="str">
        <f t="shared" si="70"/>
        <v>066</v>
      </c>
      <c r="F1215" t="s">
        <v>951</v>
      </c>
      <c r="G1215" t="str">
        <f>"2480"</f>
        <v>2480</v>
      </c>
      <c r="H1215" t="str">
        <f>"0003"</f>
        <v>0003</v>
      </c>
      <c r="I1215" t="s">
        <v>89</v>
      </c>
      <c r="J1215">
        <v>0</v>
      </c>
      <c r="K1215">
        <v>1</v>
      </c>
      <c r="L1215">
        <v>3</v>
      </c>
      <c r="M1215">
        <v>407</v>
      </c>
      <c r="N1215">
        <v>234</v>
      </c>
      <c r="O1215">
        <v>6</v>
      </c>
      <c r="P1215">
        <v>234</v>
      </c>
      <c r="Q1215">
        <v>4</v>
      </c>
      <c r="R1215">
        <v>52</v>
      </c>
      <c r="S1215">
        <v>1</v>
      </c>
      <c r="T1215">
        <v>3</v>
      </c>
      <c r="U1215">
        <v>11</v>
      </c>
      <c r="V1215">
        <v>8</v>
      </c>
      <c r="W1215">
        <v>1</v>
      </c>
      <c r="X1215">
        <v>130</v>
      </c>
      <c r="Y1215">
        <v>3</v>
      </c>
      <c r="Z1215">
        <v>4</v>
      </c>
      <c r="AA1215">
        <v>1</v>
      </c>
      <c r="AB1215">
        <v>10</v>
      </c>
      <c r="AK1215">
        <v>2</v>
      </c>
      <c r="AO1215">
        <v>0</v>
      </c>
      <c r="AP1215">
        <v>0</v>
      </c>
      <c r="AR1215">
        <v>0</v>
      </c>
      <c r="AU1215">
        <v>0</v>
      </c>
      <c r="AW1215">
        <v>0</v>
      </c>
      <c r="AX1215">
        <v>4</v>
      </c>
      <c r="AY1215">
        <v>234</v>
      </c>
      <c r="AZ1215">
        <v>234</v>
      </c>
      <c r="BA1215">
        <v>597</v>
      </c>
      <c r="BB1215">
        <v>44</v>
      </c>
      <c r="BD1215">
        <v>1</v>
      </c>
      <c r="BF1215" t="s">
        <v>1339</v>
      </c>
      <c r="BG1215" s="1">
        <v>44354.114583333336</v>
      </c>
      <c r="BH1215" s="1">
        <v>44354.119386574072</v>
      </c>
      <c r="BI1215" s="1">
        <v>44354.11996527778</v>
      </c>
      <c r="BJ1215" t="s">
        <v>85</v>
      </c>
      <c r="BK1215" t="s">
        <v>86</v>
      </c>
      <c r="BL1215" t="s">
        <v>87</v>
      </c>
    </row>
    <row r="1216" spans="1:64" x14ac:dyDescent="0.3">
      <c r="A1216" t="str">
        <f>"202481B0000"</f>
        <v>202481B0000</v>
      </c>
      <c r="B1216" t="str">
        <f>"202481B00003"</f>
        <v>202481B00003</v>
      </c>
      <c r="C1216" t="str">
        <f t="shared" si="68"/>
        <v>20</v>
      </c>
      <c r="D1216" t="s">
        <v>81</v>
      </c>
      <c r="E1216" t="str">
        <f t="shared" si="70"/>
        <v>066</v>
      </c>
      <c r="F1216" t="s">
        <v>951</v>
      </c>
      <c r="G1216" t="str">
        <f>"2481"</f>
        <v>2481</v>
      </c>
      <c r="H1216" t="str">
        <f>"0000"</f>
        <v>0000</v>
      </c>
      <c r="I1216" t="s">
        <v>83</v>
      </c>
      <c r="J1216">
        <v>0</v>
      </c>
      <c r="K1216">
        <v>1</v>
      </c>
      <c r="L1216">
        <v>3</v>
      </c>
      <c r="BA1216">
        <v>576</v>
      </c>
      <c r="BB1216">
        <v>44</v>
      </c>
      <c r="BC1216" t="s">
        <v>381</v>
      </c>
      <c r="BD1216">
        <v>0</v>
      </c>
      <c r="BF1216" t="s">
        <v>1340</v>
      </c>
      <c r="BG1216" s="1">
        <v>44354.427083333336</v>
      </c>
      <c r="BH1216" s="1">
        <v>44354.443298611113</v>
      </c>
      <c r="BI1216" s="1">
        <v>44354.443298611113</v>
      </c>
      <c r="BJ1216" t="s">
        <v>85</v>
      </c>
      <c r="BK1216" t="s">
        <v>86</v>
      </c>
      <c r="BL1216" t="s">
        <v>87</v>
      </c>
    </row>
    <row r="1217" spans="1:64" x14ac:dyDescent="0.3">
      <c r="A1217" t="str">
        <f>"202481C0100"</f>
        <v>202481C0100</v>
      </c>
      <c r="B1217" t="str">
        <f>"202481C01003"</f>
        <v>202481C01003</v>
      </c>
      <c r="C1217" t="str">
        <f t="shared" si="68"/>
        <v>20</v>
      </c>
      <c r="D1217" t="s">
        <v>81</v>
      </c>
      <c r="E1217" t="str">
        <f t="shared" si="70"/>
        <v>066</v>
      </c>
      <c r="F1217" t="s">
        <v>951</v>
      </c>
      <c r="G1217" t="str">
        <f>"2481"</f>
        <v>2481</v>
      </c>
      <c r="H1217" t="str">
        <f>"0001"</f>
        <v>0001</v>
      </c>
      <c r="I1217" t="s">
        <v>89</v>
      </c>
      <c r="J1217">
        <v>0</v>
      </c>
      <c r="K1217">
        <v>1</v>
      </c>
      <c r="L1217">
        <v>3</v>
      </c>
      <c r="M1217">
        <v>310</v>
      </c>
      <c r="N1217">
        <v>310</v>
      </c>
      <c r="O1217">
        <v>3</v>
      </c>
      <c r="P1217">
        <v>310</v>
      </c>
      <c r="Q1217">
        <v>15</v>
      </c>
      <c r="R1217">
        <v>73</v>
      </c>
      <c r="S1217">
        <v>6</v>
      </c>
      <c r="T1217">
        <v>4</v>
      </c>
      <c r="U1217">
        <v>11</v>
      </c>
      <c r="V1217">
        <v>12</v>
      </c>
      <c r="W1217">
        <v>0</v>
      </c>
      <c r="X1217">
        <v>164</v>
      </c>
      <c r="Y1217">
        <v>2</v>
      </c>
      <c r="Z1217">
        <v>8</v>
      </c>
      <c r="AA1217">
        <v>2</v>
      </c>
      <c r="AB1217">
        <v>5</v>
      </c>
      <c r="AK1217">
        <v>3</v>
      </c>
      <c r="AO1217">
        <v>0</v>
      </c>
      <c r="AP1217">
        <v>0</v>
      </c>
      <c r="AR1217">
        <v>0</v>
      </c>
      <c r="AU1217">
        <v>0</v>
      </c>
      <c r="AW1217">
        <v>1</v>
      </c>
      <c r="AX1217">
        <v>4</v>
      </c>
      <c r="AY1217">
        <v>310</v>
      </c>
      <c r="AZ1217">
        <v>310</v>
      </c>
      <c r="BA1217">
        <v>576</v>
      </c>
      <c r="BB1217">
        <v>44</v>
      </c>
      <c r="BD1217">
        <v>1</v>
      </c>
      <c r="BF1217" t="s">
        <v>1341</v>
      </c>
      <c r="BG1217" s="1">
        <v>44354.083333333336</v>
      </c>
      <c r="BH1217" s="1">
        <v>44354.100428240738</v>
      </c>
      <c r="BI1217" s="1">
        <v>44354.1015162037</v>
      </c>
      <c r="BJ1217" t="s">
        <v>85</v>
      </c>
      <c r="BK1217" t="s">
        <v>86</v>
      </c>
      <c r="BL1217" t="s">
        <v>87</v>
      </c>
    </row>
    <row r="1218" spans="1:64" x14ac:dyDescent="0.3">
      <c r="A1218" t="str">
        <f>"202481C0200"</f>
        <v>202481C0200</v>
      </c>
      <c r="B1218" t="str">
        <f>"202481C02003"</f>
        <v>202481C02003</v>
      </c>
      <c r="C1218" t="str">
        <f t="shared" si="68"/>
        <v>20</v>
      </c>
      <c r="D1218" t="s">
        <v>81</v>
      </c>
      <c r="E1218" t="str">
        <f t="shared" si="70"/>
        <v>066</v>
      </c>
      <c r="F1218" t="s">
        <v>951</v>
      </c>
      <c r="G1218" t="str">
        <f>"2481"</f>
        <v>2481</v>
      </c>
      <c r="H1218" t="str">
        <f>"0002"</f>
        <v>0002</v>
      </c>
      <c r="I1218" t="s">
        <v>89</v>
      </c>
      <c r="J1218">
        <v>0</v>
      </c>
      <c r="K1218">
        <v>1</v>
      </c>
      <c r="L1218">
        <v>3</v>
      </c>
      <c r="M1218">
        <v>324</v>
      </c>
      <c r="N1218">
        <v>296</v>
      </c>
      <c r="O1218">
        <v>9</v>
      </c>
      <c r="P1218" t="s">
        <v>92</v>
      </c>
      <c r="Q1218">
        <v>18</v>
      </c>
      <c r="R1218">
        <v>27</v>
      </c>
      <c r="S1218">
        <v>0</v>
      </c>
      <c r="T1218">
        <v>9</v>
      </c>
      <c r="U1218">
        <v>8</v>
      </c>
      <c r="V1218">
        <v>6</v>
      </c>
      <c r="W1218">
        <v>2</v>
      </c>
      <c r="X1218">
        <v>149</v>
      </c>
      <c r="Y1218">
        <v>7</v>
      </c>
      <c r="Z1218">
        <v>4</v>
      </c>
      <c r="AA1218">
        <v>4</v>
      </c>
      <c r="AB1218">
        <v>11</v>
      </c>
      <c r="AK1218">
        <v>9</v>
      </c>
      <c r="AO1218">
        <v>0</v>
      </c>
      <c r="AP1218">
        <v>0</v>
      </c>
      <c r="AR1218">
        <v>0</v>
      </c>
      <c r="AU1218">
        <v>2</v>
      </c>
      <c r="AW1218">
        <v>0</v>
      </c>
      <c r="AX1218">
        <v>7</v>
      </c>
      <c r="AY1218">
        <v>296</v>
      </c>
      <c r="AZ1218">
        <v>263</v>
      </c>
      <c r="BA1218">
        <v>576</v>
      </c>
      <c r="BB1218">
        <v>44</v>
      </c>
      <c r="BD1218">
        <v>1</v>
      </c>
      <c r="BF1218" t="s">
        <v>1342</v>
      </c>
      <c r="BG1218" s="1">
        <v>44354.083333333336</v>
      </c>
      <c r="BH1218" s="1">
        <v>44354.1018287037</v>
      </c>
      <c r="BI1218" s="1">
        <v>44354.102511574078</v>
      </c>
      <c r="BJ1218" t="s">
        <v>85</v>
      </c>
      <c r="BK1218" t="s">
        <v>86</v>
      </c>
      <c r="BL1218" t="s">
        <v>87</v>
      </c>
    </row>
    <row r="1219" spans="1:64" x14ac:dyDescent="0.3">
      <c r="A1219" t="str">
        <f>"202481C0300"</f>
        <v>202481C0300</v>
      </c>
      <c r="B1219" t="str">
        <f>"202481C03003"</f>
        <v>202481C03003</v>
      </c>
      <c r="C1219" t="str">
        <f t="shared" si="68"/>
        <v>20</v>
      </c>
      <c r="D1219" t="s">
        <v>81</v>
      </c>
      <c r="E1219" t="str">
        <f t="shared" si="70"/>
        <v>066</v>
      </c>
      <c r="F1219" t="s">
        <v>951</v>
      </c>
      <c r="G1219" t="str">
        <f>"2481"</f>
        <v>2481</v>
      </c>
      <c r="H1219" t="str">
        <f>"0003"</f>
        <v>0003</v>
      </c>
      <c r="I1219" t="s">
        <v>89</v>
      </c>
      <c r="J1219">
        <v>0</v>
      </c>
      <c r="K1219">
        <v>1</v>
      </c>
      <c r="L1219">
        <v>3</v>
      </c>
      <c r="M1219">
        <v>303</v>
      </c>
      <c r="N1219">
        <v>316</v>
      </c>
      <c r="O1219">
        <v>6</v>
      </c>
      <c r="P1219">
        <v>309</v>
      </c>
      <c r="Q1219">
        <v>22</v>
      </c>
      <c r="R1219">
        <v>66</v>
      </c>
      <c r="S1219">
        <v>0</v>
      </c>
      <c r="T1219">
        <v>4</v>
      </c>
      <c r="U1219">
        <v>18</v>
      </c>
      <c r="V1219">
        <v>10</v>
      </c>
      <c r="W1219">
        <v>2</v>
      </c>
      <c r="X1219">
        <v>155</v>
      </c>
      <c r="Y1219">
        <v>4</v>
      </c>
      <c r="Z1219">
        <v>7</v>
      </c>
      <c r="AA1219">
        <v>3</v>
      </c>
      <c r="AB1219">
        <v>12</v>
      </c>
      <c r="AK1219">
        <v>2</v>
      </c>
      <c r="AO1219">
        <v>0</v>
      </c>
      <c r="AP1219">
        <v>0</v>
      </c>
      <c r="AR1219">
        <v>0</v>
      </c>
      <c r="AU1219">
        <v>0</v>
      </c>
      <c r="AW1219">
        <v>0</v>
      </c>
      <c r="AX1219">
        <v>7</v>
      </c>
      <c r="AY1219">
        <v>309</v>
      </c>
      <c r="AZ1219">
        <v>312</v>
      </c>
      <c r="BA1219">
        <v>575</v>
      </c>
      <c r="BB1219">
        <v>44</v>
      </c>
      <c r="BD1219">
        <v>1</v>
      </c>
      <c r="BF1219" t="s">
        <v>1343</v>
      </c>
      <c r="BG1219" s="1">
        <v>44354.083333333336</v>
      </c>
      <c r="BH1219" s="1">
        <v>44354.110775462963</v>
      </c>
      <c r="BI1219" s="1">
        <v>44354.113692129627</v>
      </c>
      <c r="BJ1219" t="s">
        <v>85</v>
      </c>
      <c r="BK1219" t="s">
        <v>86</v>
      </c>
      <c r="BL1219" t="s">
        <v>87</v>
      </c>
    </row>
    <row r="1220" spans="1:64" x14ac:dyDescent="0.3">
      <c r="A1220" t="str">
        <f>"200617B0000"</f>
        <v>200617B0000</v>
      </c>
      <c r="B1220" t="str">
        <f>"200617B00003"</f>
        <v>200617B00003</v>
      </c>
      <c r="C1220" t="str">
        <f t="shared" si="68"/>
        <v>20</v>
      </c>
      <c r="D1220" t="s">
        <v>81</v>
      </c>
      <c r="E1220" t="str">
        <f t="shared" ref="E1220:E1251" si="71">"067"</f>
        <v>067</v>
      </c>
      <c r="F1220" t="s">
        <v>1344</v>
      </c>
      <c r="G1220" t="str">
        <f>"0617"</f>
        <v>0617</v>
      </c>
      <c r="H1220" t="str">
        <f>"0000"</f>
        <v>0000</v>
      </c>
      <c r="I1220" t="s">
        <v>83</v>
      </c>
      <c r="J1220">
        <v>0</v>
      </c>
      <c r="K1220">
        <v>1</v>
      </c>
      <c r="L1220">
        <v>3</v>
      </c>
      <c r="M1220">
        <v>280</v>
      </c>
      <c r="N1220">
        <v>465</v>
      </c>
      <c r="O1220">
        <v>1</v>
      </c>
      <c r="P1220">
        <v>465</v>
      </c>
      <c r="Q1220">
        <v>18</v>
      </c>
      <c r="R1220">
        <v>12</v>
      </c>
      <c r="S1220">
        <v>4</v>
      </c>
      <c r="T1220">
        <v>130</v>
      </c>
      <c r="U1220">
        <v>62</v>
      </c>
      <c r="V1220">
        <v>10</v>
      </c>
      <c r="X1220">
        <v>105</v>
      </c>
      <c r="Y1220">
        <v>0</v>
      </c>
      <c r="Z1220">
        <v>1</v>
      </c>
      <c r="AA1220">
        <v>7</v>
      </c>
      <c r="AB1220">
        <v>104</v>
      </c>
      <c r="AF1220" t="s">
        <v>95</v>
      </c>
      <c r="AG1220" t="s">
        <v>95</v>
      </c>
      <c r="AH1220" t="s">
        <v>95</v>
      </c>
      <c r="AI1220" t="s">
        <v>95</v>
      </c>
      <c r="AW1220">
        <v>1</v>
      </c>
      <c r="AX1220">
        <v>11</v>
      </c>
      <c r="AY1220">
        <v>465</v>
      </c>
      <c r="AZ1220">
        <v>465</v>
      </c>
      <c r="BA1220">
        <v>701</v>
      </c>
      <c r="BB1220">
        <v>44</v>
      </c>
      <c r="BC1220" t="s">
        <v>96</v>
      </c>
      <c r="BD1220">
        <v>1</v>
      </c>
      <c r="BF1220" t="s">
        <v>1345</v>
      </c>
      <c r="BG1220" s="1">
        <v>44353.994189814817</v>
      </c>
      <c r="BH1220" s="1">
        <v>44353.999328703707</v>
      </c>
      <c r="BI1220" s="1">
        <v>44354.000590277778</v>
      </c>
      <c r="BJ1220" t="s">
        <v>197</v>
      </c>
      <c r="BK1220" t="s">
        <v>198</v>
      </c>
      <c r="BL1220" t="s">
        <v>87</v>
      </c>
    </row>
    <row r="1221" spans="1:64" x14ac:dyDescent="0.3">
      <c r="A1221" t="str">
        <f>"200617C0100"</f>
        <v>200617C0100</v>
      </c>
      <c r="B1221" t="str">
        <f>"200617C01003"</f>
        <v>200617C01003</v>
      </c>
      <c r="C1221" t="str">
        <f t="shared" si="68"/>
        <v>20</v>
      </c>
      <c r="D1221" t="s">
        <v>81</v>
      </c>
      <c r="E1221" t="str">
        <f t="shared" si="71"/>
        <v>067</v>
      </c>
      <c r="F1221" t="s">
        <v>1344</v>
      </c>
      <c r="G1221" t="str">
        <f>"0617"</f>
        <v>0617</v>
      </c>
      <c r="H1221" t="str">
        <f>"0001"</f>
        <v>0001</v>
      </c>
      <c r="I1221" t="s">
        <v>89</v>
      </c>
      <c r="J1221">
        <v>0</v>
      </c>
      <c r="K1221">
        <v>1</v>
      </c>
      <c r="L1221">
        <v>3</v>
      </c>
      <c r="M1221">
        <v>321</v>
      </c>
      <c r="N1221">
        <v>324</v>
      </c>
      <c r="O1221">
        <v>1</v>
      </c>
      <c r="P1221">
        <v>424</v>
      </c>
      <c r="Q1221">
        <v>22</v>
      </c>
      <c r="R1221">
        <v>14</v>
      </c>
      <c r="S1221">
        <v>2</v>
      </c>
      <c r="T1221">
        <v>107</v>
      </c>
      <c r="U1221">
        <v>46</v>
      </c>
      <c r="V1221">
        <v>18</v>
      </c>
      <c r="X1221">
        <v>99</v>
      </c>
      <c r="Y1221">
        <v>2</v>
      </c>
      <c r="Z1221">
        <v>2</v>
      </c>
      <c r="AA1221">
        <v>1</v>
      </c>
      <c r="AB1221">
        <v>93</v>
      </c>
      <c r="AF1221" t="s">
        <v>95</v>
      </c>
      <c r="AG1221" t="s">
        <v>95</v>
      </c>
      <c r="AH1221" t="s">
        <v>95</v>
      </c>
      <c r="AI1221" t="s">
        <v>95</v>
      </c>
      <c r="AW1221" t="s">
        <v>95</v>
      </c>
      <c r="AX1221">
        <v>17</v>
      </c>
      <c r="AY1221" t="s">
        <v>95</v>
      </c>
      <c r="AZ1221">
        <v>423</v>
      </c>
      <c r="BA1221">
        <v>701</v>
      </c>
      <c r="BB1221">
        <v>44</v>
      </c>
      <c r="BC1221" t="s">
        <v>96</v>
      </c>
      <c r="BD1221">
        <v>1</v>
      </c>
      <c r="BF1221" t="s">
        <v>1346</v>
      </c>
      <c r="BG1221" s="1">
        <v>44354.038194444445</v>
      </c>
      <c r="BH1221" s="1">
        <v>44354.04959490741</v>
      </c>
      <c r="BI1221" s="1">
        <v>44354.050208333334</v>
      </c>
      <c r="BJ1221" t="s">
        <v>85</v>
      </c>
      <c r="BK1221" t="s">
        <v>86</v>
      </c>
      <c r="BL1221" t="s">
        <v>87</v>
      </c>
    </row>
    <row r="1222" spans="1:64" x14ac:dyDescent="0.3">
      <c r="A1222" t="str">
        <f>"200617E0100"</f>
        <v>200617E0100</v>
      </c>
      <c r="B1222" t="str">
        <f>"200617E01003"</f>
        <v>200617E01003</v>
      </c>
      <c r="C1222" t="str">
        <f t="shared" si="68"/>
        <v>20</v>
      </c>
      <c r="D1222" t="s">
        <v>81</v>
      </c>
      <c r="E1222" t="str">
        <f t="shared" si="71"/>
        <v>067</v>
      </c>
      <c r="F1222" t="s">
        <v>1344</v>
      </c>
      <c r="G1222" t="str">
        <f>"0617"</f>
        <v>0617</v>
      </c>
      <c r="H1222" t="str">
        <f>"0001"</f>
        <v>0001</v>
      </c>
      <c r="I1222" t="s">
        <v>122</v>
      </c>
      <c r="J1222">
        <v>0</v>
      </c>
      <c r="K1222">
        <v>1</v>
      </c>
      <c r="L1222">
        <v>3</v>
      </c>
      <c r="M1222">
        <v>78</v>
      </c>
      <c r="N1222">
        <v>103</v>
      </c>
      <c r="O1222">
        <v>5</v>
      </c>
      <c r="P1222">
        <v>103</v>
      </c>
      <c r="Q1222">
        <v>7</v>
      </c>
      <c r="R1222">
        <v>8</v>
      </c>
      <c r="S1222">
        <v>3</v>
      </c>
      <c r="T1222">
        <v>25</v>
      </c>
      <c r="U1222">
        <v>7</v>
      </c>
      <c r="V1222">
        <v>3</v>
      </c>
      <c r="X1222">
        <v>32</v>
      </c>
      <c r="Y1222">
        <v>1</v>
      </c>
      <c r="Z1222">
        <v>0</v>
      </c>
      <c r="AA1222">
        <v>0</v>
      </c>
      <c r="AB1222">
        <v>16</v>
      </c>
      <c r="AF1222">
        <v>0</v>
      </c>
      <c r="AG1222">
        <v>0</v>
      </c>
      <c r="AH1222">
        <v>0</v>
      </c>
      <c r="AI1222">
        <v>0</v>
      </c>
      <c r="AW1222">
        <v>0</v>
      </c>
      <c r="AX1222">
        <v>1</v>
      </c>
      <c r="AY1222">
        <v>103</v>
      </c>
      <c r="AZ1222">
        <v>103</v>
      </c>
      <c r="BA1222">
        <v>137</v>
      </c>
      <c r="BB1222">
        <v>44</v>
      </c>
      <c r="BD1222">
        <v>1</v>
      </c>
      <c r="BF1222" t="s">
        <v>1347</v>
      </c>
      <c r="BG1222" s="1">
        <v>44353.853101851855</v>
      </c>
      <c r="BH1222" s="1">
        <v>44353.857881944445</v>
      </c>
      <c r="BI1222" s="1">
        <v>44353.858368055553</v>
      </c>
      <c r="BJ1222" t="s">
        <v>197</v>
      </c>
      <c r="BK1222" t="s">
        <v>198</v>
      </c>
      <c r="BL1222" t="s">
        <v>87</v>
      </c>
    </row>
    <row r="1223" spans="1:64" x14ac:dyDescent="0.3">
      <c r="A1223" t="str">
        <f>"200617S0100"</f>
        <v>200617S0100</v>
      </c>
      <c r="B1223" t="str">
        <f>"200617S01003E"</f>
        <v>200617S01003E</v>
      </c>
      <c r="C1223" t="str">
        <f t="shared" ref="C1223:C1286" si="72">"20"</f>
        <v>20</v>
      </c>
      <c r="D1223" t="s">
        <v>81</v>
      </c>
      <c r="E1223" t="str">
        <f t="shared" si="71"/>
        <v>067</v>
      </c>
      <c r="F1223" t="s">
        <v>1344</v>
      </c>
      <c r="G1223" t="str">
        <f>"0617"</f>
        <v>0617</v>
      </c>
      <c r="H1223" t="str">
        <f>"0001"</f>
        <v>0001</v>
      </c>
      <c r="I1223" t="s">
        <v>99</v>
      </c>
      <c r="J1223">
        <v>0</v>
      </c>
      <c r="K1223">
        <v>1</v>
      </c>
      <c r="L1223" t="s">
        <v>100</v>
      </c>
      <c r="M1223">
        <v>981</v>
      </c>
      <c r="N1223">
        <v>19</v>
      </c>
      <c r="O1223">
        <v>0</v>
      </c>
      <c r="P1223">
        <v>19</v>
      </c>
      <c r="Q1223">
        <v>2</v>
      </c>
      <c r="R1223">
        <v>1</v>
      </c>
      <c r="S1223" t="s">
        <v>95</v>
      </c>
      <c r="T1223">
        <v>3</v>
      </c>
      <c r="U1223">
        <v>2</v>
      </c>
      <c r="V1223">
        <v>2</v>
      </c>
      <c r="X1223">
        <v>3</v>
      </c>
      <c r="Y1223" t="s">
        <v>95</v>
      </c>
      <c r="Z1223" t="s">
        <v>95</v>
      </c>
      <c r="AA1223" t="s">
        <v>95</v>
      </c>
      <c r="AB1223">
        <v>5</v>
      </c>
      <c r="AF1223" t="s">
        <v>95</v>
      </c>
      <c r="AG1223" t="s">
        <v>95</v>
      </c>
      <c r="AH1223" t="s">
        <v>95</v>
      </c>
      <c r="AI1223" t="s">
        <v>95</v>
      </c>
      <c r="AW1223" t="s">
        <v>95</v>
      </c>
      <c r="AX1223">
        <v>1</v>
      </c>
      <c r="AY1223">
        <v>19</v>
      </c>
      <c r="AZ1223">
        <v>19</v>
      </c>
      <c r="BA1223">
        <v>0</v>
      </c>
      <c r="BB1223">
        <v>44</v>
      </c>
      <c r="BC1223" t="s">
        <v>96</v>
      </c>
      <c r="BD1223">
        <v>1</v>
      </c>
      <c r="BF1223" t="s">
        <v>1348</v>
      </c>
      <c r="BG1223" s="1">
        <v>44353.906226851854</v>
      </c>
      <c r="BH1223" s="1">
        <v>44353.907881944448</v>
      </c>
      <c r="BI1223" s="1">
        <v>44353.908425925925</v>
      </c>
      <c r="BJ1223" t="s">
        <v>197</v>
      </c>
      <c r="BK1223" t="s">
        <v>198</v>
      </c>
      <c r="BL1223" t="s">
        <v>87</v>
      </c>
    </row>
    <row r="1224" spans="1:64" x14ac:dyDescent="0.3">
      <c r="A1224" t="str">
        <f>"200618B0000"</f>
        <v>200618B0000</v>
      </c>
      <c r="B1224" t="str">
        <f>"200618B00003"</f>
        <v>200618B00003</v>
      </c>
      <c r="C1224" t="str">
        <f t="shared" si="72"/>
        <v>20</v>
      </c>
      <c r="D1224" t="s">
        <v>81</v>
      </c>
      <c r="E1224" t="str">
        <f t="shared" si="71"/>
        <v>067</v>
      </c>
      <c r="F1224" t="s">
        <v>1344</v>
      </c>
      <c r="G1224" t="str">
        <f>"0618"</f>
        <v>0618</v>
      </c>
      <c r="H1224" t="str">
        <f>"0000"</f>
        <v>0000</v>
      </c>
      <c r="I1224" t="s">
        <v>83</v>
      </c>
      <c r="J1224">
        <v>0</v>
      </c>
      <c r="K1224">
        <v>1</v>
      </c>
      <c r="L1224">
        <v>3</v>
      </c>
      <c r="M1224">
        <v>278</v>
      </c>
      <c r="N1224">
        <v>379</v>
      </c>
      <c r="O1224">
        <v>0</v>
      </c>
      <c r="P1224">
        <v>379</v>
      </c>
      <c r="Q1224">
        <v>16</v>
      </c>
      <c r="R1224">
        <v>5</v>
      </c>
      <c r="S1224">
        <v>0</v>
      </c>
      <c r="T1224">
        <v>90</v>
      </c>
      <c r="U1224">
        <v>62</v>
      </c>
      <c r="V1224">
        <v>23</v>
      </c>
      <c r="X1224">
        <v>73</v>
      </c>
      <c r="Y1224">
        <v>4</v>
      </c>
      <c r="Z1224">
        <v>1</v>
      </c>
      <c r="AA1224">
        <v>5</v>
      </c>
      <c r="AB1224">
        <v>88</v>
      </c>
      <c r="AF1224">
        <v>0</v>
      </c>
      <c r="AG1224">
        <v>0</v>
      </c>
      <c r="AH1224">
        <v>0</v>
      </c>
      <c r="AI1224">
        <v>0</v>
      </c>
      <c r="AW1224">
        <v>0</v>
      </c>
      <c r="AX1224">
        <v>0</v>
      </c>
      <c r="AY1224">
        <v>0</v>
      </c>
      <c r="AZ1224">
        <v>367</v>
      </c>
      <c r="BA1224">
        <v>613</v>
      </c>
      <c r="BB1224">
        <v>44</v>
      </c>
      <c r="BD1224">
        <v>1</v>
      </c>
      <c r="BF1224" t="s">
        <v>1349</v>
      </c>
      <c r="BG1224" s="1">
        <v>44354.01666666667</v>
      </c>
      <c r="BH1224" s="1">
        <v>44354.030324074076</v>
      </c>
      <c r="BI1224" s="1">
        <v>44354.031365740739</v>
      </c>
      <c r="BJ1224" t="s">
        <v>85</v>
      </c>
      <c r="BK1224" t="s">
        <v>86</v>
      </c>
      <c r="BL1224" t="s">
        <v>87</v>
      </c>
    </row>
    <row r="1225" spans="1:64" x14ac:dyDescent="0.3">
      <c r="A1225" t="str">
        <f>"200618C0100"</f>
        <v>200618C0100</v>
      </c>
      <c r="B1225" t="str">
        <f>"200618C01003"</f>
        <v>200618C01003</v>
      </c>
      <c r="C1225" t="str">
        <f t="shared" si="72"/>
        <v>20</v>
      </c>
      <c r="D1225" t="s">
        <v>81</v>
      </c>
      <c r="E1225" t="str">
        <f t="shared" si="71"/>
        <v>067</v>
      </c>
      <c r="F1225" t="s">
        <v>1344</v>
      </c>
      <c r="G1225" t="str">
        <f>"0618"</f>
        <v>0618</v>
      </c>
      <c r="H1225" t="str">
        <f>"0001"</f>
        <v>0001</v>
      </c>
      <c r="I1225" t="s">
        <v>89</v>
      </c>
      <c r="J1225">
        <v>0</v>
      </c>
      <c r="K1225">
        <v>1</v>
      </c>
      <c r="L1225">
        <v>3</v>
      </c>
      <c r="M1225">
        <v>297</v>
      </c>
      <c r="N1225">
        <v>359</v>
      </c>
      <c r="O1225">
        <v>1</v>
      </c>
      <c r="P1225">
        <v>359</v>
      </c>
      <c r="Q1225">
        <v>13</v>
      </c>
      <c r="R1225">
        <v>4</v>
      </c>
      <c r="S1225">
        <v>1</v>
      </c>
      <c r="T1225">
        <v>77</v>
      </c>
      <c r="U1225">
        <v>52</v>
      </c>
      <c r="V1225">
        <v>27</v>
      </c>
      <c r="X1225">
        <v>81</v>
      </c>
      <c r="Y1225">
        <v>5</v>
      </c>
      <c r="Z1225">
        <v>0</v>
      </c>
      <c r="AA1225">
        <v>5</v>
      </c>
      <c r="AB1225">
        <v>86</v>
      </c>
      <c r="AF1225">
        <v>0</v>
      </c>
      <c r="AG1225">
        <v>0</v>
      </c>
      <c r="AH1225">
        <v>0</v>
      </c>
      <c r="AI1225">
        <v>0</v>
      </c>
      <c r="AW1225">
        <v>0</v>
      </c>
      <c r="AX1225" t="s">
        <v>131</v>
      </c>
      <c r="AY1225">
        <v>359</v>
      </c>
      <c r="AZ1225">
        <v>351</v>
      </c>
      <c r="BA1225">
        <v>613</v>
      </c>
      <c r="BB1225">
        <v>44</v>
      </c>
      <c r="BC1225" t="s">
        <v>96</v>
      </c>
      <c r="BD1225">
        <v>1</v>
      </c>
      <c r="BF1225" t="s">
        <v>1350</v>
      </c>
      <c r="BG1225" s="1">
        <v>44353.961458333331</v>
      </c>
      <c r="BH1225" s="1">
        <v>44353.963263888887</v>
      </c>
      <c r="BI1225" s="1">
        <v>44353.963831018518</v>
      </c>
      <c r="BJ1225" t="s">
        <v>197</v>
      </c>
      <c r="BK1225" t="s">
        <v>198</v>
      </c>
      <c r="BL1225" t="s">
        <v>87</v>
      </c>
    </row>
    <row r="1226" spans="1:64" x14ac:dyDescent="0.3">
      <c r="A1226" t="str">
        <f>"200618C0200"</f>
        <v>200618C0200</v>
      </c>
      <c r="B1226" t="str">
        <f>"200618C02003"</f>
        <v>200618C02003</v>
      </c>
      <c r="C1226" t="str">
        <f t="shared" si="72"/>
        <v>20</v>
      </c>
      <c r="D1226" t="s">
        <v>81</v>
      </c>
      <c r="E1226" t="str">
        <f t="shared" si="71"/>
        <v>067</v>
      </c>
      <c r="F1226" t="s">
        <v>1344</v>
      </c>
      <c r="G1226" t="str">
        <f>"0618"</f>
        <v>0618</v>
      </c>
      <c r="H1226" t="str">
        <f>"0002"</f>
        <v>0002</v>
      </c>
      <c r="I1226" t="s">
        <v>89</v>
      </c>
      <c r="J1226">
        <v>0</v>
      </c>
      <c r="K1226">
        <v>1</v>
      </c>
      <c r="L1226">
        <v>3</v>
      </c>
      <c r="M1226">
        <v>286</v>
      </c>
      <c r="N1226">
        <v>371</v>
      </c>
      <c r="O1226">
        <v>4</v>
      </c>
      <c r="P1226">
        <v>372</v>
      </c>
      <c r="Q1226">
        <v>10</v>
      </c>
      <c r="R1226">
        <v>5</v>
      </c>
      <c r="S1226">
        <v>1</v>
      </c>
      <c r="T1226">
        <v>81</v>
      </c>
      <c r="U1226">
        <v>56</v>
      </c>
      <c r="V1226">
        <v>23</v>
      </c>
      <c r="X1226">
        <v>72</v>
      </c>
      <c r="Y1226">
        <v>1</v>
      </c>
      <c r="Z1226">
        <v>5</v>
      </c>
      <c r="AA1226">
        <v>8</v>
      </c>
      <c r="AB1226">
        <v>98</v>
      </c>
      <c r="AF1226">
        <v>0</v>
      </c>
      <c r="AG1226">
        <v>2</v>
      </c>
      <c r="AH1226">
        <v>0</v>
      </c>
      <c r="AI1226">
        <v>0</v>
      </c>
      <c r="AW1226">
        <v>0</v>
      </c>
      <c r="AX1226">
        <v>10</v>
      </c>
      <c r="AY1226">
        <v>372</v>
      </c>
      <c r="AZ1226">
        <v>372</v>
      </c>
      <c r="BA1226">
        <v>613</v>
      </c>
      <c r="BB1226">
        <v>44</v>
      </c>
      <c r="BD1226">
        <v>1</v>
      </c>
      <c r="BF1226" t="s">
        <v>1351</v>
      </c>
      <c r="BG1226" s="1">
        <v>44353.948784722219</v>
      </c>
      <c r="BH1226" s="1">
        <v>44353.950428240743</v>
      </c>
      <c r="BI1226" s="1">
        <v>44353.95103009259</v>
      </c>
      <c r="BJ1226" t="s">
        <v>197</v>
      </c>
      <c r="BK1226" t="s">
        <v>198</v>
      </c>
      <c r="BL1226" t="s">
        <v>87</v>
      </c>
    </row>
    <row r="1227" spans="1:64" x14ac:dyDescent="0.3">
      <c r="A1227" t="str">
        <f>"200619B0000"</f>
        <v>200619B0000</v>
      </c>
      <c r="B1227" t="str">
        <f>"200619B00003"</f>
        <v>200619B00003</v>
      </c>
      <c r="C1227" t="str">
        <f t="shared" si="72"/>
        <v>20</v>
      </c>
      <c r="D1227" t="s">
        <v>81</v>
      </c>
      <c r="E1227" t="str">
        <f t="shared" si="71"/>
        <v>067</v>
      </c>
      <c r="F1227" t="s">
        <v>1344</v>
      </c>
      <c r="G1227" t="str">
        <f>"0619"</f>
        <v>0619</v>
      </c>
      <c r="H1227" t="str">
        <f>"0000"</f>
        <v>0000</v>
      </c>
      <c r="I1227" t="s">
        <v>83</v>
      </c>
      <c r="J1227">
        <v>0</v>
      </c>
      <c r="K1227">
        <v>1</v>
      </c>
      <c r="L1227">
        <v>3</v>
      </c>
      <c r="M1227">
        <v>355</v>
      </c>
      <c r="N1227">
        <v>436</v>
      </c>
      <c r="O1227">
        <v>1</v>
      </c>
      <c r="P1227">
        <v>0</v>
      </c>
      <c r="Q1227">
        <v>11</v>
      </c>
      <c r="R1227">
        <v>9</v>
      </c>
      <c r="S1227">
        <v>5</v>
      </c>
      <c r="T1227">
        <v>118</v>
      </c>
      <c r="U1227">
        <v>54</v>
      </c>
      <c r="V1227">
        <v>36</v>
      </c>
      <c r="X1227">
        <v>80</v>
      </c>
      <c r="Y1227">
        <v>5</v>
      </c>
      <c r="Z1227">
        <v>2</v>
      </c>
      <c r="AA1227">
        <v>1</v>
      </c>
      <c r="AB1227">
        <v>100</v>
      </c>
      <c r="AF1227">
        <v>1</v>
      </c>
      <c r="AG1227">
        <v>1</v>
      </c>
      <c r="AH1227">
        <v>0</v>
      </c>
      <c r="AI1227">
        <v>0</v>
      </c>
      <c r="AW1227">
        <v>1</v>
      </c>
      <c r="AX1227">
        <v>12</v>
      </c>
      <c r="AY1227">
        <v>436</v>
      </c>
      <c r="AZ1227">
        <v>436</v>
      </c>
      <c r="BA1227">
        <v>747</v>
      </c>
      <c r="BB1227">
        <v>44</v>
      </c>
      <c r="BD1227">
        <v>1</v>
      </c>
      <c r="BF1227" t="s">
        <v>1352</v>
      </c>
      <c r="BG1227" s="1">
        <v>44353.883657407408</v>
      </c>
      <c r="BH1227" s="1">
        <v>44353.88554398148</v>
      </c>
      <c r="BI1227" s="1">
        <v>44353.886238425926</v>
      </c>
      <c r="BJ1227" t="s">
        <v>197</v>
      </c>
      <c r="BK1227" t="s">
        <v>198</v>
      </c>
      <c r="BL1227" t="s">
        <v>87</v>
      </c>
    </row>
    <row r="1228" spans="1:64" x14ac:dyDescent="0.3">
      <c r="A1228" t="str">
        <f>"200619C0100"</f>
        <v>200619C0100</v>
      </c>
      <c r="B1228" t="str">
        <f>"200619C01003"</f>
        <v>200619C01003</v>
      </c>
      <c r="C1228" t="str">
        <f t="shared" si="72"/>
        <v>20</v>
      </c>
      <c r="D1228" t="s">
        <v>81</v>
      </c>
      <c r="E1228" t="str">
        <f t="shared" si="71"/>
        <v>067</v>
      </c>
      <c r="F1228" t="s">
        <v>1344</v>
      </c>
      <c r="G1228" t="str">
        <f>"0619"</f>
        <v>0619</v>
      </c>
      <c r="H1228" t="str">
        <f>"0001"</f>
        <v>0001</v>
      </c>
      <c r="I1228" t="s">
        <v>89</v>
      </c>
      <c r="J1228">
        <v>0</v>
      </c>
      <c r="K1228">
        <v>1</v>
      </c>
      <c r="L1228">
        <v>3</v>
      </c>
      <c r="M1228">
        <v>319</v>
      </c>
      <c r="N1228">
        <v>472</v>
      </c>
      <c r="O1228">
        <v>1</v>
      </c>
      <c r="P1228" t="s">
        <v>92</v>
      </c>
      <c r="Q1228">
        <v>30</v>
      </c>
      <c r="R1228">
        <v>9</v>
      </c>
      <c r="S1228">
        <v>0</v>
      </c>
      <c r="T1228">
        <v>108</v>
      </c>
      <c r="U1228">
        <v>56</v>
      </c>
      <c r="V1228">
        <v>25</v>
      </c>
      <c r="X1228">
        <v>107</v>
      </c>
      <c r="Y1228">
        <v>2</v>
      </c>
      <c r="Z1228">
        <v>1</v>
      </c>
      <c r="AA1228">
        <v>7</v>
      </c>
      <c r="AB1228">
        <v>113</v>
      </c>
      <c r="AF1228">
        <v>1</v>
      </c>
      <c r="AG1228">
        <v>0</v>
      </c>
      <c r="AH1228">
        <v>0</v>
      </c>
      <c r="AI1228">
        <v>0</v>
      </c>
      <c r="AW1228">
        <v>0</v>
      </c>
      <c r="AX1228">
        <v>13</v>
      </c>
      <c r="AY1228">
        <v>472</v>
      </c>
      <c r="AZ1228">
        <v>472</v>
      </c>
      <c r="BA1228">
        <v>747</v>
      </c>
      <c r="BB1228">
        <v>44</v>
      </c>
      <c r="BD1228">
        <v>1</v>
      </c>
      <c r="BF1228" t="s">
        <v>1353</v>
      </c>
      <c r="BG1228" s="1">
        <v>44354.020833333336</v>
      </c>
      <c r="BH1228" s="1">
        <v>44354.034942129627</v>
      </c>
      <c r="BI1228" s="1">
        <v>44354.035787037035</v>
      </c>
      <c r="BJ1228" t="s">
        <v>85</v>
      </c>
      <c r="BK1228" t="s">
        <v>86</v>
      </c>
      <c r="BL1228" t="s">
        <v>87</v>
      </c>
    </row>
    <row r="1229" spans="1:64" x14ac:dyDescent="0.3">
      <c r="A1229" t="str">
        <f>"200619C0200"</f>
        <v>200619C0200</v>
      </c>
      <c r="B1229" t="str">
        <f>"200619C02003"</f>
        <v>200619C02003</v>
      </c>
      <c r="C1229" t="str">
        <f t="shared" si="72"/>
        <v>20</v>
      </c>
      <c r="D1229" t="s">
        <v>81</v>
      </c>
      <c r="E1229" t="str">
        <f t="shared" si="71"/>
        <v>067</v>
      </c>
      <c r="F1229" t="s">
        <v>1344</v>
      </c>
      <c r="G1229" t="str">
        <f>"0619"</f>
        <v>0619</v>
      </c>
      <c r="H1229" t="str">
        <f>"0002"</f>
        <v>0002</v>
      </c>
      <c r="I1229" t="s">
        <v>89</v>
      </c>
      <c r="J1229">
        <v>0</v>
      </c>
      <c r="K1229">
        <v>1</v>
      </c>
      <c r="L1229">
        <v>3</v>
      </c>
      <c r="M1229">
        <v>354</v>
      </c>
      <c r="N1229">
        <v>436</v>
      </c>
      <c r="O1229">
        <v>0</v>
      </c>
      <c r="P1229">
        <v>436</v>
      </c>
      <c r="Q1229">
        <v>11</v>
      </c>
      <c r="R1229">
        <v>7</v>
      </c>
      <c r="S1229">
        <v>3</v>
      </c>
      <c r="T1229">
        <v>113</v>
      </c>
      <c r="U1229">
        <v>35</v>
      </c>
      <c r="V1229">
        <v>35</v>
      </c>
      <c r="X1229">
        <v>84</v>
      </c>
      <c r="Y1229">
        <v>3</v>
      </c>
      <c r="Z1229">
        <v>2</v>
      </c>
      <c r="AA1229">
        <v>6</v>
      </c>
      <c r="AB1229">
        <v>118</v>
      </c>
      <c r="AF1229">
        <v>0</v>
      </c>
      <c r="AG1229">
        <v>0</v>
      </c>
      <c r="AH1229">
        <v>0</v>
      </c>
      <c r="AI1229">
        <v>0</v>
      </c>
      <c r="AW1229">
        <v>0</v>
      </c>
      <c r="AX1229">
        <v>19</v>
      </c>
      <c r="AY1229">
        <v>436</v>
      </c>
      <c r="AZ1229">
        <v>436</v>
      </c>
      <c r="BA1229">
        <v>746</v>
      </c>
      <c r="BB1229">
        <v>44</v>
      </c>
      <c r="BD1229">
        <v>1</v>
      </c>
      <c r="BF1229" t="s">
        <v>1354</v>
      </c>
      <c r="BG1229" s="1">
        <v>44353.894594907404</v>
      </c>
      <c r="BH1229" s="1">
        <v>44353.896747685183</v>
      </c>
      <c r="BI1229" s="1">
        <v>44353.897337962961</v>
      </c>
      <c r="BJ1229" t="s">
        <v>197</v>
      </c>
      <c r="BK1229" t="s">
        <v>198</v>
      </c>
      <c r="BL1229" t="s">
        <v>87</v>
      </c>
    </row>
    <row r="1230" spans="1:64" x14ac:dyDescent="0.3">
      <c r="A1230" t="str">
        <f>"200620B0000"</f>
        <v>200620B0000</v>
      </c>
      <c r="B1230" t="str">
        <f>"200620B00003"</f>
        <v>200620B00003</v>
      </c>
      <c r="C1230" t="str">
        <f t="shared" si="72"/>
        <v>20</v>
      </c>
      <c r="D1230" t="s">
        <v>81</v>
      </c>
      <c r="E1230" t="str">
        <f t="shared" si="71"/>
        <v>067</v>
      </c>
      <c r="F1230" t="s">
        <v>1344</v>
      </c>
      <c r="G1230" t="str">
        <f>"0620"</f>
        <v>0620</v>
      </c>
      <c r="H1230" t="str">
        <f>"0000"</f>
        <v>0000</v>
      </c>
      <c r="I1230" t="s">
        <v>83</v>
      </c>
      <c r="J1230">
        <v>0</v>
      </c>
      <c r="K1230">
        <v>1</v>
      </c>
      <c r="L1230">
        <v>3</v>
      </c>
      <c r="M1230">
        <v>252</v>
      </c>
      <c r="N1230">
        <v>396</v>
      </c>
      <c r="O1230">
        <v>3</v>
      </c>
      <c r="P1230">
        <v>396</v>
      </c>
      <c r="Q1230">
        <v>20</v>
      </c>
      <c r="R1230">
        <v>5</v>
      </c>
      <c r="S1230">
        <v>3</v>
      </c>
      <c r="T1230">
        <v>97</v>
      </c>
      <c r="U1230">
        <v>61</v>
      </c>
      <c r="V1230">
        <v>17</v>
      </c>
      <c r="X1230">
        <v>81</v>
      </c>
      <c r="Y1230">
        <v>3</v>
      </c>
      <c r="Z1230">
        <v>4</v>
      </c>
      <c r="AA1230">
        <v>4</v>
      </c>
      <c r="AB1230">
        <v>83</v>
      </c>
      <c r="AF1230">
        <v>2</v>
      </c>
      <c r="AG1230">
        <v>0</v>
      </c>
      <c r="AH1230">
        <v>0</v>
      </c>
      <c r="AI1230">
        <v>0</v>
      </c>
      <c r="AW1230">
        <v>1</v>
      </c>
      <c r="AX1230">
        <v>15</v>
      </c>
      <c r="AY1230">
        <v>396</v>
      </c>
      <c r="AZ1230">
        <v>396</v>
      </c>
      <c r="BA1230">
        <v>605</v>
      </c>
      <c r="BB1230">
        <v>44</v>
      </c>
      <c r="BD1230">
        <v>1</v>
      </c>
      <c r="BF1230" t="s">
        <v>1355</v>
      </c>
      <c r="BG1230" s="1">
        <v>44353.911111111112</v>
      </c>
      <c r="BH1230" s="1">
        <v>44353.912685185183</v>
      </c>
      <c r="BI1230" s="1">
        <v>44353.913888888892</v>
      </c>
      <c r="BJ1230" t="s">
        <v>197</v>
      </c>
      <c r="BK1230" t="s">
        <v>198</v>
      </c>
      <c r="BL1230" t="s">
        <v>87</v>
      </c>
    </row>
    <row r="1231" spans="1:64" x14ac:dyDescent="0.3">
      <c r="A1231" t="str">
        <f>"200620C0100"</f>
        <v>200620C0100</v>
      </c>
      <c r="B1231" t="str">
        <f>"200620C01003"</f>
        <v>200620C01003</v>
      </c>
      <c r="C1231" t="str">
        <f t="shared" si="72"/>
        <v>20</v>
      </c>
      <c r="D1231" t="s">
        <v>81</v>
      </c>
      <c r="E1231" t="str">
        <f t="shared" si="71"/>
        <v>067</v>
      </c>
      <c r="F1231" t="s">
        <v>1344</v>
      </c>
      <c r="G1231" t="str">
        <f>"0620"</f>
        <v>0620</v>
      </c>
      <c r="H1231" t="str">
        <f>"0001"</f>
        <v>0001</v>
      </c>
      <c r="I1231" t="s">
        <v>89</v>
      </c>
      <c r="J1231">
        <v>0</v>
      </c>
      <c r="K1231">
        <v>1</v>
      </c>
      <c r="L1231">
        <v>3</v>
      </c>
      <c r="M1231">
        <v>272</v>
      </c>
      <c r="N1231">
        <v>377</v>
      </c>
      <c r="O1231">
        <v>2</v>
      </c>
      <c r="P1231">
        <v>377</v>
      </c>
      <c r="Q1231">
        <v>16</v>
      </c>
      <c r="R1231">
        <v>10</v>
      </c>
      <c r="S1231">
        <v>1</v>
      </c>
      <c r="T1231">
        <v>76</v>
      </c>
      <c r="U1231">
        <v>67</v>
      </c>
      <c r="V1231">
        <v>35</v>
      </c>
      <c r="X1231">
        <v>72</v>
      </c>
      <c r="Y1231">
        <v>2</v>
      </c>
      <c r="Z1231">
        <v>2</v>
      </c>
      <c r="AA1231">
        <v>2</v>
      </c>
      <c r="AB1231">
        <v>84</v>
      </c>
      <c r="AF1231">
        <v>1</v>
      </c>
      <c r="AG1231">
        <v>0</v>
      </c>
      <c r="AH1231">
        <v>0</v>
      </c>
      <c r="AI1231">
        <v>0</v>
      </c>
      <c r="AW1231">
        <v>0</v>
      </c>
      <c r="AX1231">
        <v>9</v>
      </c>
      <c r="AY1231">
        <v>377</v>
      </c>
      <c r="AZ1231">
        <v>377</v>
      </c>
      <c r="BA1231">
        <v>605</v>
      </c>
      <c r="BB1231">
        <v>44</v>
      </c>
      <c r="BD1231">
        <v>1</v>
      </c>
      <c r="BF1231" t="s">
        <v>1356</v>
      </c>
      <c r="BG1231" s="1">
        <v>44353.930196759262</v>
      </c>
      <c r="BH1231" s="1">
        <v>44353.931666666664</v>
      </c>
      <c r="BI1231" s="1">
        <v>44353.933668981481</v>
      </c>
      <c r="BJ1231" t="s">
        <v>197</v>
      </c>
      <c r="BK1231" t="s">
        <v>198</v>
      </c>
      <c r="BL1231" t="s">
        <v>87</v>
      </c>
    </row>
    <row r="1232" spans="1:64" x14ac:dyDescent="0.3">
      <c r="A1232" t="str">
        <f>"200620C0200"</f>
        <v>200620C0200</v>
      </c>
      <c r="B1232" t="str">
        <f>"200620C02003"</f>
        <v>200620C02003</v>
      </c>
      <c r="C1232" t="str">
        <f t="shared" si="72"/>
        <v>20</v>
      </c>
      <c r="D1232" t="s">
        <v>81</v>
      </c>
      <c r="E1232" t="str">
        <f t="shared" si="71"/>
        <v>067</v>
      </c>
      <c r="F1232" t="s">
        <v>1344</v>
      </c>
      <c r="G1232" t="str">
        <f>"0620"</f>
        <v>0620</v>
      </c>
      <c r="H1232" t="str">
        <f>"0002"</f>
        <v>0002</v>
      </c>
      <c r="I1232" t="s">
        <v>89</v>
      </c>
      <c r="J1232">
        <v>0</v>
      </c>
      <c r="K1232">
        <v>1</v>
      </c>
      <c r="L1232">
        <v>3</v>
      </c>
      <c r="M1232">
        <v>264</v>
      </c>
      <c r="N1232">
        <v>385</v>
      </c>
      <c r="O1232">
        <v>3</v>
      </c>
      <c r="P1232">
        <v>385</v>
      </c>
      <c r="Q1232">
        <v>20</v>
      </c>
      <c r="R1232">
        <v>10</v>
      </c>
      <c r="S1232">
        <v>2</v>
      </c>
      <c r="T1232">
        <v>90</v>
      </c>
      <c r="U1232">
        <v>43</v>
      </c>
      <c r="V1232">
        <v>22</v>
      </c>
      <c r="X1232">
        <v>73</v>
      </c>
      <c r="Y1232">
        <v>2</v>
      </c>
      <c r="Z1232">
        <v>1</v>
      </c>
      <c r="AA1232">
        <v>2</v>
      </c>
      <c r="AB1232">
        <v>104</v>
      </c>
      <c r="AF1232">
        <v>1</v>
      </c>
      <c r="AG1232">
        <v>0</v>
      </c>
      <c r="AH1232">
        <v>0</v>
      </c>
      <c r="AI1232">
        <v>0</v>
      </c>
      <c r="AW1232">
        <v>0</v>
      </c>
      <c r="AX1232">
        <v>15</v>
      </c>
      <c r="AY1232">
        <v>385</v>
      </c>
      <c r="AZ1232">
        <v>385</v>
      </c>
      <c r="BA1232">
        <v>605</v>
      </c>
      <c r="BB1232">
        <v>44</v>
      </c>
      <c r="BD1232">
        <v>1</v>
      </c>
      <c r="BF1232" t="s">
        <v>1357</v>
      </c>
      <c r="BG1232" s="1">
        <v>44353.944687499999</v>
      </c>
      <c r="BH1232" s="1">
        <v>44353.945833333331</v>
      </c>
      <c r="BI1232" s="1">
        <v>44353.946539351855</v>
      </c>
      <c r="BJ1232" t="s">
        <v>197</v>
      </c>
      <c r="BK1232" t="s">
        <v>198</v>
      </c>
      <c r="BL1232" t="s">
        <v>87</v>
      </c>
    </row>
    <row r="1233" spans="1:64" x14ac:dyDescent="0.3">
      <c r="A1233" t="str">
        <f>"200620C0300"</f>
        <v>200620C0300</v>
      </c>
      <c r="B1233" t="str">
        <f>"200620C03003"</f>
        <v>200620C03003</v>
      </c>
      <c r="C1233" t="str">
        <f t="shared" si="72"/>
        <v>20</v>
      </c>
      <c r="D1233" t="s">
        <v>81</v>
      </c>
      <c r="E1233" t="str">
        <f t="shared" si="71"/>
        <v>067</v>
      </c>
      <c r="F1233" t="s">
        <v>1344</v>
      </c>
      <c r="G1233" t="str">
        <f>"0620"</f>
        <v>0620</v>
      </c>
      <c r="H1233" t="str">
        <f>"0003"</f>
        <v>0003</v>
      </c>
      <c r="I1233" t="s">
        <v>89</v>
      </c>
      <c r="J1233">
        <v>0</v>
      </c>
      <c r="K1233">
        <v>1</v>
      </c>
      <c r="L1233">
        <v>3</v>
      </c>
      <c r="M1233">
        <v>269</v>
      </c>
      <c r="N1233">
        <v>380</v>
      </c>
      <c r="O1233">
        <v>2</v>
      </c>
      <c r="P1233">
        <v>380</v>
      </c>
      <c r="Q1233">
        <v>15</v>
      </c>
      <c r="R1233">
        <v>7</v>
      </c>
      <c r="S1233">
        <v>1</v>
      </c>
      <c r="T1233">
        <v>101</v>
      </c>
      <c r="U1233">
        <v>56</v>
      </c>
      <c r="V1233">
        <v>17</v>
      </c>
      <c r="X1233">
        <v>60</v>
      </c>
      <c r="Y1233">
        <v>1</v>
      </c>
      <c r="Z1233">
        <v>2</v>
      </c>
      <c r="AA1233">
        <v>1</v>
      </c>
      <c r="AB1233">
        <v>97</v>
      </c>
      <c r="AF1233">
        <v>0</v>
      </c>
      <c r="AG1233">
        <v>0</v>
      </c>
      <c r="AH1233">
        <v>0</v>
      </c>
      <c r="AI1233">
        <v>0</v>
      </c>
      <c r="AW1233">
        <v>1</v>
      </c>
      <c r="AX1233">
        <v>21</v>
      </c>
      <c r="AY1233">
        <v>380</v>
      </c>
      <c r="AZ1233">
        <v>380</v>
      </c>
      <c r="BA1233">
        <v>605</v>
      </c>
      <c r="BB1233">
        <v>44</v>
      </c>
      <c r="BD1233">
        <v>1</v>
      </c>
      <c r="BF1233" t="s">
        <v>1358</v>
      </c>
      <c r="BG1233" s="1">
        <v>44353.949965277781</v>
      </c>
      <c r="BH1233" s="1">
        <v>44353.952534722222</v>
      </c>
      <c r="BI1233" s="1">
        <v>44353.953113425923</v>
      </c>
      <c r="BJ1233" t="s">
        <v>197</v>
      </c>
      <c r="BK1233" t="s">
        <v>198</v>
      </c>
      <c r="BL1233" t="s">
        <v>87</v>
      </c>
    </row>
    <row r="1234" spans="1:64" x14ac:dyDescent="0.3">
      <c r="A1234" t="str">
        <f>"200620C0400"</f>
        <v>200620C0400</v>
      </c>
      <c r="B1234" t="str">
        <f>"200620C04003"</f>
        <v>200620C04003</v>
      </c>
      <c r="C1234" t="str">
        <f t="shared" si="72"/>
        <v>20</v>
      </c>
      <c r="D1234" t="s">
        <v>81</v>
      </c>
      <c r="E1234" t="str">
        <f t="shared" si="71"/>
        <v>067</v>
      </c>
      <c r="F1234" t="s">
        <v>1344</v>
      </c>
      <c r="G1234" t="str">
        <f>"0620"</f>
        <v>0620</v>
      </c>
      <c r="H1234" t="str">
        <f>"0004"</f>
        <v>0004</v>
      </c>
      <c r="I1234" t="s">
        <v>89</v>
      </c>
      <c r="J1234">
        <v>0</v>
      </c>
      <c r="K1234">
        <v>1</v>
      </c>
      <c r="L1234">
        <v>3</v>
      </c>
      <c r="M1234">
        <v>292</v>
      </c>
      <c r="N1234">
        <v>356</v>
      </c>
      <c r="O1234">
        <v>0</v>
      </c>
      <c r="P1234">
        <v>356</v>
      </c>
      <c r="Q1234">
        <v>13</v>
      </c>
      <c r="R1234">
        <v>10</v>
      </c>
      <c r="S1234">
        <v>5</v>
      </c>
      <c r="T1234">
        <v>74</v>
      </c>
      <c r="U1234">
        <v>58</v>
      </c>
      <c r="V1234">
        <v>25</v>
      </c>
      <c r="X1234">
        <v>68</v>
      </c>
      <c r="Y1234">
        <v>2</v>
      </c>
      <c r="Z1234">
        <v>1</v>
      </c>
      <c r="AA1234">
        <v>3</v>
      </c>
      <c r="AB1234">
        <v>73</v>
      </c>
      <c r="AF1234">
        <v>1</v>
      </c>
      <c r="AG1234">
        <v>1</v>
      </c>
      <c r="AH1234">
        <v>1</v>
      </c>
      <c r="AI1234">
        <v>0</v>
      </c>
      <c r="AW1234">
        <v>0</v>
      </c>
      <c r="AX1234">
        <v>21</v>
      </c>
      <c r="AY1234">
        <v>356</v>
      </c>
      <c r="AZ1234">
        <v>356</v>
      </c>
      <c r="BA1234">
        <v>604</v>
      </c>
      <c r="BB1234">
        <v>44</v>
      </c>
      <c r="BD1234">
        <v>1</v>
      </c>
      <c r="BF1234" t="s">
        <v>1359</v>
      </c>
      <c r="BG1234" s="1">
        <v>44353.932881944442</v>
      </c>
      <c r="BH1234" s="1">
        <v>44353.934525462966</v>
      </c>
      <c r="BI1234" s="1">
        <v>44353.935069444444</v>
      </c>
      <c r="BJ1234" t="s">
        <v>197</v>
      </c>
      <c r="BK1234" t="s">
        <v>198</v>
      </c>
      <c r="BL1234" t="s">
        <v>87</v>
      </c>
    </row>
    <row r="1235" spans="1:64" x14ac:dyDescent="0.3">
      <c r="A1235" t="str">
        <f>"200621B0000"</f>
        <v>200621B0000</v>
      </c>
      <c r="B1235" t="str">
        <f>"200621B00003"</f>
        <v>200621B00003</v>
      </c>
      <c r="C1235" t="str">
        <f t="shared" si="72"/>
        <v>20</v>
      </c>
      <c r="D1235" t="s">
        <v>81</v>
      </c>
      <c r="E1235" t="str">
        <f t="shared" si="71"/>
        <v>067</v>
      </c>
      <c r="F1235" t="s">
        <v>1344</v>
      </c>
      <c r="G1235" t="str">
        <f>"0621"</f>
        <v>0621</v>
      </c>
      <c r="H1235" t="str">
        <f>"0000"</f>
        <v>0000</v>
      </c>
      <c r="I1235" t="s">
        <v>83</v>
      </c>
      <c r="J1235">
        <v>0</v>
      </c>
      <c r="K1235">
        <v>1</v>
      </c>
      <c r="L1235">
        <v>3</v>
      </c>
      <c r="M1235">
        <v>232</v>
      </c>
      <c r="N1235">
        <v>575</v>
      </c>
      <c r="O1235">
        <v>3</v>
      </c>
      <c r="P1235">
        <v>340</v>
      </c>
      <c r="Q1235">
        <v>15</v>
      </c>
      <c r="R1235">
        <v>5</v>
      </c>
      <c r="S1235">
        <v>1</v>
      </c>
      <c r="T1235">
        <v>84</v>
      </c>
      <c r="U1235">
        <v>39</v>
      </c>
      <c r="V1235">
        <v>12</v>
      </c>
      <c r="X1235">
        <v>95</v>
      </c>
      <c r="Y1235">
        <v>2</v>
      </c>
      <c r="Z1235">
        <v>4</v>
      </c>
      <c r="AA1235">
        <v>2</v>
      </c>
      <c r="AB1235">
        <v>70</v>
      </c>
      <c r="AF1235">
        <v>1</v>
      </c>
      <c r="AG1235" t="s">
        <v>95</v>
      </c>
      <c r="AH1235" t="s">
        <v>95</v>
      </c>
      <c r="AI1235" t="s">
        <v>95</v>
      </c>
      <c r="AW1235">
        <v>1</v>
      </c>
      <c r="AX1235">
        <v>9</v>
      </c>
      <c r="AY1235">
        <v>340</v>
      </c>
      <c r="AZ1235">
        <v>340</v>
      </c>
      <c r="BA1235">
        <v>528</v>
      </c>
      <c r="BB1235">
        <v>44</v>
      </c>
      <c r="BC1235" t="s">
        <v>96</v>
      </c>
      <c r="BD1235">
        <v>1</v>
      </c>
      <c r="BF1235" t="s">
        <v>1360</v>
      </c>
      <c r="BG1235" s="1">
        <v>44353.96875</v>
      </c>
      <c r="BH1235" s="1">
        <v>44353.978912037041</v>
      </c>
      <c r="BI1235" s="1">
        <v>44353.97997685185</v>
      </c>
      <c r="BJ1235" t="s">
        <v>85</v>
      </c>
      <c r="BK1235" t="s">
        <v>86</v>
      </c>
      <c r="BL1235" t="s">
        <v>87</v>
      </c>
    </row>
    <row r="1236" spans="1:64" x14ac:dyDescent="0.3">
      <c r="A1236" t="str">
        <f>"200621C0100"</f>
        <v>200621C0100</v>
      </c>
      <c r="B1236" t="str">
        <f>"200621C01003"</f>
        <v>200621C01003</v>
      </c>
      <c r="C1236" t="str">
        <f t="shared" si="72"/>
        <v>20</v>
      </c>
      <c r="D1236" t="s">
        <v>81</v>
      </c>
      <c r="E1236" t="str">
        <f t="shared" si="71"/>
        <v>067</v>
      </c>
      <c r="F1236" t="s">
        <v>1344</v>
      </c>
      <c r="G1236" t="str">
        <f>"0621"</f>
        <v>0621</v>
      </c>
      <c r="H1236" t="str">
        <f>"0001"</f>
        <v>0001</v>
      </c>
      <c r="I1236" t="s">
        <v>89</v>
      </c>
      <c r="J1236">
        <v>0</v>
      </c>
      <c r="K1236">
        <v>1</v>
      </c>
      <c r="L1236">
        <v>3</v>
      </c>
      <c r="M1236">
        <v>240</v>
      </c>
      <c r="N1236">
        <v>329</v>
      </c>
      <c r="O1236">
        <v>2</v>
      </c>
      <c r="P1236">
        <v>329</v>
      </c>
      <c r="Q1236">
        <v>17</v>
      </c>
      <c r="R1236">
        <v>3</v>
      </c>
      <c r="S1236">
        <v>1</v>
      </c>
      <c r="T1236">
        <v>64</v>
      </c>
      <c r="U1236">
        <v>38</v>
      </c>
      <c r="V1236">
        <v>13</v>
      </c>
      <c r="X1236">
        <v>85</v>
      </c>
      <c r="Y1236">
        <v>3</v>
      </c>
      <c r="Z1236">
        <v>2</v>
      </c>
      <c r="AA1236">
        <v>3</v>
      </c>
      <c r="AB1236">
        <v>88</v>
      </c>
      <c r="AF1236" t="s">
        <v>95</v>
      </c>
      <c r="AG1236" t="s">
        <v>95</v>
      </c>
      <c r="AH1236" t="s">
        <v>95</v>
      </c>
      <c r="AI1236" t="s">
        <v>95</v>
      </c>
      <c r="AW1236" t="s">
        <v>95</v>
      </c>
      <c r="AX1236">
        <v>14</v>
      </c>
      <c r="AY1236">
        <v>329</v>
      </c>
      <c r="AZ1236">
        <v>331</v>
      </c>
      <c r="BA1236">
        <v>527</v>
      </c>
      <c r="BB1236">
        <v>44</v>
      </c>
      <c r="BC1236" t="s">
        <v>96</v>
      </c>
      <c r="BD1236">
        <v>1</v>
      </c>
      <c r="BF1236" t="s">
        <v>1361</v>
      </c>
      <c r="BG1236" s="1">
        <v>44353.880104166667</v>
      </c>
      <c r="BH1236" s="1">
        <v>44353.882534722223</v>
      </c>
      <c r="BI1236" s="1">
        <v>44353.883356481485</v>
      </c>
      <c r="BJ1236" t="s">
        <v>197</v>
      </c>
      <c r="BK1236" t="s">
        <v>198</v>
      </c>
      <c r="BL1236" t="s">
        <v>87</v>
      </c>
    </row>
    <row r="1237" spans="1:64" x14ac:dyDescent="0.3">
      <c r="A1237" t="str">
        <f>"200621C0200"</f>
        <v>200621C0200</v>
      </c>
      <c r="B1237" t="str">
        <f>"200621C02003"</f>
        <v>200621C02003</v>
      </c>
      <c r="C1237" t="str">
        <f t="shared" si="72"/>
        <v>20</v>
      </c>
      <c r="D1237" t="s">
        <v>81</v>
      </c>
      <c r="E1237" t="str">
        <f t="shared" si="71"/>
        <v>067</v>
      </c>
      <c r="F1237" t="s">
        <v>1344</v>
      </c>
      <c r="G1237" t="str">
        <f>"0621"</f>
        <v>0621</v>
      </c>
      <c r="H1237" t="str">
        <f>"0002"</f>
        <v>0002</v>
      </c>
      <c r="I1237" t="s">
        <v>89</v>
      </c>
      <c r="J1237">
        <v>0</v>
      </c>
      <c r="K1237">
        <v>1</v>
      </c>
      <c r="L1237">
        <v>3</v>
      </c>
      <c r="M1237">
        <v>249</v>
      </c>
      <c r="N1237">
        <v>321</v>
      </c>
      <c r="O1237">
        <v>5</v>
      </c>
      <c r="P1237">
        <v>322</v>
      </c>
      <c r="Q1237">
        <v>13</v>
      </c>
      <c r="R1237">
        <v>10</v>
      </c>
      <c r="S1237">
        <v>2</v>
      </c>
      <c r="T1237">
        <v>83</v>
      </c>
      <c r="U1237">
        <v>27</v>
      </c>
      <c r="V1237">
        <v>7</v>
      </c>
      <c r="X1237">
        <v>90</v>
      </c>
      <c r="Y1237">
        <v>3</v>
      </c>
      <c r="Z1237">
        <v>2</v>
      </c>
      <c r="AA1237">
        <v>5</v>
      </c>
      <c r="AB1237">
        <v>69</v>
      </c>
      <c r="AF1237">
        <v>1</v>
      </c>
      <c r="AG1237">
        <v>0</v>
      </c>
      <c r="AH1237">
        <v>0</v>
      </c>
      <c r="AI1237">
        <v>0</v>
      </c>
      <c r="AW1237">
        <v>0</v>
      </c>
      <c r="AX1237">
        <v>10</v>
      </c>
      <c r="AY1237">
        <v>322</v>
      </c>
      <c r="AZ1237">
        <v>322</v>
      </c>
      <c r="BA1237">
        <v>527</v>
      </c>
      <c r="BB1237">
        <v>44</v>
      </c>
      <c r="BD1237">
        <v>1</v>
      </c>
      <c r="BF1237" t="s">
        <v>1362</v>
      </c>
      <c r="BG1237" s="1">
        <v>44353.889664351853</v>
      </c>
      <c r="BH1237" s="1">
        <v>44353.891053240739</v>
      </c>
      <c r="BI1237" s="1">
        <v>44353.892314814817</v>
      </c>
      <c r="BJ1237" t="s">
        <v>197</v>
      </c>
      <c r="BK1237" t="s">
        <v>198</v>
      </c>
      <c r="BL1237" t="s">
        <v>87</v>
      </c>
    </row>
    <row r="1238" spans="1:64" x14ac:dyDescent="0.3">
      <c r="A1238" t="str">
        <f>"200622B0000"</f>
        <v>200622B0000</v>
      </c>
      <c r="B1238" t="str">
        <f>"200622B00003"</f>
        <v>200622B00003</v>
      </c>
      <c r="C1238" t="str">
        <f t="shared" si="72"/>
        <v>20</v>
      </c>
      <c r="D1238" t="s">
        <v>81</v>
      </c>
      <c r="E1238" t="str">
        <f t="shared" si="71"/>
        <v>067</v>
      </c>
      <c r="F1238" t="s">
        <v>1344</v>
      </c>
      <c r="G1238" t="str">
        <f>"0622"</f>
        <v>0622</v>
      </c>
      <c r="H1238" t="str">
        <f>"0000"</f>
        <v>0000</v>
      </c>
      <c r="I1238" t="s">
        <v>83</v>
      </c>
      <c r="J1238">
        <v>0</v>
      </c>
      <c r="K1238">
        <v>1</v>
      </c>
      <c r="L1238">
        <v>3</v>
      </c>
      <c r="M1238">
        <v>320</v>
      </c>
      <c r="N1238">
        <v>473</v>
      </c>
      <c r="O1238">
        <v>0</v>
      </c>
      <c r="P1238" t="s">
        <v>92</v>
      </c>
      <c r="Q1238">
        <v>48</v>
      </c>
      <c r="R1238">
        <v>23</v>
      </c>
      <c r="S1238">
        <v>9</v>
      </c>
      <c r="T1238">
        <v>112</v>
      </c>
      <c r="U1238">
        <v>42</v>
      </c>
      <c r="V1238">
        <v>7</v>
      </c>
      <c r="X1238">
        <v>153</v>
      </c>
      <c r="Y1238">
        <v>2</v>
      </c>
      <c r="Z1238">
        <v>10</v>
      </c>
      <c r="AA1238">
        <v>5</v>
      </c>
      <c r="AB1238" t="s">
        <v>95</v>
      </c>
      <c r="AF1238" t="s">
        <v>95</v>
      </c>
      <c r="AG1238" t="s">
        <v>95</v>
      </c>
      <c r="AH1238" t="s">
        <v>95</v>
      </c>
      <c r="AI1238" t="s">
        <v>95</v>
      </c>
      <c r="AW1238" t="s">
        <v>95</v>
      </c>
      <c r="AX1238" t="s">
        <v>95</v>
      </c>
      <c r="AY1238" t="s">
        <v>95</v>
      </c>
      <c r="AZ1238">
        <v>411</v>
      </c>
      <c r="BA1238">
        <v>749</v>
      </c>
      <c r="BB1238">
        <v>44</v>
      </c>
      <c r="BC1238" t="s">
        <v>96</v>
      </c>
      <c r="BD1238">
        <v>1</v>
      </c>
      <c r="BF1238" t="s">
        <v>1363</v>
      </c>
      <c r="BG1238" s="1">
        <v>44353.993784722225</v>
      </c>
      <c r="BH1238" s="1">
        <v>44353.998368055552</v>
      </c>
      <c r="BI1238" s="1">
        <v>44353.999166666668</v>
      </c>
      <c r="BJ1238" t="s">
        <v>197</v>
      </c>
      <c r="BK1238" t="s">
        <v>198</v>
      </c>
      <c r="BL1238" t="s">
        <v>87</v>
      </c>
    </row>
    <row r="1239" spans="1:64" x14ac:dyDescent="0.3">
      <c r="A1239" t="str">
        <f>"200622C0100"</f>
        <v>200622C0100</v>
      </c>
      <c r="B1239" t="str">
        <f>"200622C01003"</f>
        <v>200622C01003</v>
      </c>
      <c r="C1239" t="str">
        <f t="shared" si="72"/>
        <v>20</v>
      </c>
      <c r="D1239" t="s">
        <v>81</v>
      </c>
      <c r="E1239" t="str">
        <f t="shared" si="71"/>
        <v>067</v>
      </c>
      <c r="F1239" t="s">
        <v>1344</v>
      </c>
      <c r="G1239" t="str">
        <f>"0622"</f>
        <v>0622</v>
      </c>
      <c r="H1239" t="str">
        <f>"0001"</f>
        <v>0001</v>
      </c>
      <c r="I1239" t="s">
        <v>89</v>
      </c>
      <c r="J1239">
        <v>0</v>
      </c>
      <c r="K1239">
        <v>1</v>
      </c>
      <c r="L1239">
        <v>3</v>
      </c>
      <c r="M1239" t="s">
        <v>92</v>
      </c>
      <c r="N1239" t="s">
        <v>92</v>
      </c>
      <c r="O1239" t="s">
        <v>92</v>
      </c>
      <c r="P1239">
        <v>453</v>
      </c>
      <c r="Q1239">
        <v>28</v>
      </c>
      <c r="R1239">
        <v>5</v>
      </c>
      <c r="S1239">
        <v>2</v>
      </c>
      <c r="T1239">
        <v>104</v>
      </c>
      <c r="U1239">
        <v>58</v>
      </c>
      <c r="V1239">
        <v>25</v>
      </c>
      <c r="X1239">
        <v>111</v>
      </c>
      <c r="Y1239">
        <v>2</v>
      </c>
      <c r="Z1239">
        <v>2</v>
      </c>
      <c r="AA1239">
        <v>4</v>
      </c>
      <c r="AB1239">
        <v>92</v>
      </c>
      <c r="AF1239">
        <v>0</v>
      </c>
      <c r="AG1239">
        <v>0</v>
      </c>
      <c r="AH1239">
        <v>0</v>
      </c>
      <c r="AI1239">
        <v>0</v>
      </c>
      <c r="AW1239">
        <v>0</v>
      </c>
      <c r="AX1239">
        <v>20</v>
      </c>
      <c r="AY1239">
        <v>453</v>
      </c>
      <c r="AZ1239">
        <v>453</v>
      </c>
      <c r="BA1239">
        <v>749</v>
      </c>
      <c r="BB1239">
        <v>44</v>
      </c>
      <c r="BD1239">
        <v>1</v>
      </c>
      <c r="BF1239" t="s">
        <v>1364</v>
      </c>
      <c r="BG1239" s="1">
        <v>44353.993171296293</v>
      </c>
      <c r="BH1239" s="1">
        <v>44353.996921296297</v>
      </c>
      <c r="BI1239" s="1">
        <v>44353.997835648152</v>
      </c>
      <c r="BJ1239" t="s">
        <v>197</v>
      </c>
      <c r="BK1239" t="s">
        <v>198</v>
      </c>
      <c r="BL1239" t="s">
        <v>87</v>
      </c>
    </row>
    <row r="1240" spans="1:64" x14ac:dyDescent="0.3">
      <c r="A1240" t="str">
        <f>"200622C0200"</f>
        <v>200622C0200</v>
      </c>
      <c r="B1240" t="str">
        <f>"200622C02003"</f>
        <v>200622C02003</v>
      </c>
      <c r="C1240" t="str">
        <f t="shared" si="72"/>
        <v>20</v>
      </c>
      <c r="D1240" t="s">
        <v>81</v>
      </c>
      <c r="E1240" t="str">
        <f t="shared" si="71"/>
        <v>067</v>
      </c>
      <c r="F1240" t="s">
        <v>1344</v>
      </c>
      <c r="G1240" t="str">
        <f>"0622"</f>
        <v>0622</v>
      </c>
      <c r="H1240" t="str">
        <f>"0002"</f>
        <v>0002</v>
      </c>
      <c r="I1240" t="s">
        <v>89</v>
      </c>
      <c r="J1240">
        <v>0</v>
      </c>
      <c r="K1240">
        <v>1</v>
      </c>
      <c r="L1240">
        <v>3</v>
      </c>
      <c r="M1240">
        <v>337</v>
      </c>
      <c r="N1240">
        <v>455</v>
      </c>
      <c r="O1240">
        <v>6</v>
      </c>
      <c r="P1240">
        <v>455</v>
      </c>
      <c r="Q1240">
        <v>29</v>
      </c>
      <c r="R1240">
        <v>5</v>
      </c>
      <c r="S1240">
        <v>9</v>
      </c>
      <c r="T1240">
        <v>107</v>
      </c>
      <c r="U1240">
        <v>64</v>
      </c>
      <c r="V1240">
        <v>19</v>
      </c>
      <c r="X1240">
        <v>96</v>
      </c>
      <c r="Y1240">
        <v>5</v>
      </c>
      <c r="Z1240">
        <v>2</v>
      </c>
      <c r="AA1240">
        <v>3</v>
      </c>
      <c r="AB1240">
        <v>100</v>
      </c>
      <c r="AF1240">
        <v>1</v>
      </c>
      <c r="AG1240">
        <v>0</v>
      </c>
      <c r="AH1240">
        <v>0</v>
      </c>
      <c r="AI1240">
        <v>0</v>
      </c>
      <c r="AW1240">
        <v>0</v>
      </c>
      <c r="AX1240">
        <v>15</v>
      </c>
      <c r="AY1240">
        <v>455</v>
      </c>
      <c r="AZ1240">
        <v>455</v>
      </c>
      <c r="BA1240">
        <v>748</v>
      </c>
      <c r="BB1240">
        <v>44</v>
      </c>
      <c r="BD1240">
        <v>1</v>
      </c>
      <c r="BF1240" t="s">
        <v>1365</v>
      </c>
      <c r="BG1240" s="1">
        <v>44353.98646990741</v>
      </c>
      <c r="BH1240" s="1">
        <v>44353.988622685189</v>
      </c>
      <c r="BI1240" s="1">
        <v>44353.98909722222</v>
      </c>
      <c r="BJ1240" t="s">
        <v>197</v>
      </c>
      <c r="BK1240" t="s">
        <v>198</v>
      </c>
      <c r="BL1240" t="s">
        <v>87</v>
      </c>
    </row>
    <row r="1241" spans="1:64" x14ac:dyDescent="0.3">
      <c r="A1241" t="str">
        <f>"200623B0000"</f>
        <v>200623B0000</v>
      </c>
      <c r="B1241" t="str">
        <f>"200623B00003"</f>
        <v>200623B00003</v>
      </c>
      <c r="C1241" t="str">
        <f t="shared" si="72"/>
        <v>20</v>
      </c>
      <c r="D1241" t="s">
        <v>81</v>
      </c>
      <c r="E1241" t="str">
        <f t="shared" si="71"/>
        <v>067</v>
      </c>
      <c r="F1241" t="s">
        <v>1344</v>
      </c>
      <c r="G1241" t="str">
        <f>"0623"</f>
        <v>0623</v>
      </c>
      <c r="H1241" t="str">
        <f>"0000"</f>
        <v>0000</v>
      </c>
      <c r="I1241" t="s">
        <v>83</v>
      </c>
      <c r="J1241">
        <v>0</v>
      </c>
      <c r="K1241">
        <v>1</v>
      </c>
      <c r="L1241">
        <v>3</v>
      </c>
      <c r="M1241">
        <v>217</v>
      </c>
      <c r="N1241">
        <v>305</v>
      </c>
      <c r="O1241">
        <v>2</v>
      </c>
      <c r="P1241">
        <v>305</v>
      </c>
      <c r="Q1241">
        <v>19</v>
      </c>
      <c r="R1241">
        <v>6</v>
      </c>
      <c r="S1241">
        <v>5</v>
      </c>
      <c r="T1241">
        <v>53</v>
      </c>
      <c r="U1241">
        <v>36</v>
      </c>
      <c r="V1241">
        <v>39</v>
      </c>
      <c r="X1241">
        <v>73</v>
      </c>
      <c r="Y1241">
        <v>0</v>
      </c>
      <c r="Z1241">
        <v>1</v>
      </c>
      <c r="AA1241">
        <v>5</v>
      </c>
      <c r="AB1241">
        <v>53</v>
      </c>
      <c r="AF1241">
        <v>0</v>
      </c>
      <c r="AG1241">
        <v>1</v>
      </c>
      <c r="AH1241">
        <v>0</v>
      </c>
      <c r="AI1241">
        <v>1</v>
      </c>
      <c r="AW1241">
        <v>0</v>
      </c>
      <c r="AX1241">
        <v>13</v>
      </c>
      <c r="AY1241">
        <v>305</v>
      </c>
      <c r="AZ1241">
        <v>305</v>
      </c>
      <c r="BA1241">
        <v>478</v>
      </c>
      <c r="BB1241">
        <v>44</v>
      </c>
      <c r="BD1241">
        <v>1</v>
      </c>
      <c r="BF1241" t="s">
        <v>1366</v>
      </c>
      <c r="BG1241" s="1">
        <v>44353.929293981484</v>
      </c>
      <c r="BH1241" s="1">
        <v>44353.931122685186</v>
      </c>
      <c r="BI1241" s="1">
        <v>44353.931608796294</v>
      </c>
      <c r="BJ1241" t="s">
        <v>197</v>
      </c>
      <c r="BK1241" t="s">
        <v>198</v>
      </c>
      <c r="BL1241" t="s">
        <v>87</v>
      </c>
    </row>
    <row r="1242" spans="1:64" x14ac:dyDescent="0.3">
      <c r="A1242" t="str">
        <f>"200623C0100"</f>
        <v>200623C0100</v>
      </c>
      <c r="B1242" t="str">
        <f>"200623C01003"</f>
        <v>200623C01003</v>
      </c>
      <c r="C1242" t="str">
        <f t="shared" si="72"/>
        <v>20</v>
      </c>
      <c r="D1242" t="s">
        <v>81</v>
      </c>
      <c r="E1242" t="str">
        <f t="shared" si="71"/>
        <v>067</v>
      </c>
      <c r="F1242" t="s">
        <v>1344</v>
      </c>
      <c r="G1242" t="str">
        <f>"0623"</f>
        <v>0623</v>
      </c>
      <c r="H1242" t="str">
        <f>"0001"</f>
        <v>0001</v>
      </c>
      <c r="I1242" t="s">
        <v>89</v>
      </c>
      <c r="J1242">
        <v>0</v>
      </c>
      <c r="K1242">
        <v>1</v>
      </c>
      <c r="L1242">
        <v>3</v>
      </c>
      <c r="M1242">
        <v>243</v>
      </c>
      <c r="N1242">
        <v>278</v>
      </c>
      <c r="O1242">
        <v>1</v>
      </c>
      <c r="P1242">
        <v>277</v>
      </c>
      <c r="Q1242">
        <v>24</v>
      </c>
      <c r="R1242">
        <v>4</v>
      </c>
      <c r="S1242">
        <v>7</v>
      </c>
      <c r="T1242">
        <v>45</v>
      </c>
      <c r="U1242">
        <v>54</v>
      </c>
      <c r="V1242">
        <v>23</v>
      </c>
      <c r="X1242">
        <v>72</v>
      </c>
      <c r="Y1242">
        <v>1</v>
      </c>
      <c r="Z1242">
        <v>3</v>
      </c>
      <c r="AA1242">
        <v>2</v>
      </c>
      <c r="AB1242">
        <v>30</v>
      </c>
      <c r="AF1242">
        <v>1</v>
      </c>
      <c r="AG1242">
        <v>0</v>
      </c>
      <c r="AH1242">
        <v>1</v>
      </c>
      <c r="AI1242">
        <v>0</v>
      </c>
      <c r="AW1242">
        <v>0</v>
      </c>
      <c r="AX1242">
        <v>11</v>
      </c>
      <c r="AY1242">
        <v>278</v>
      </c>
      <c r="AZ1242">
        <v>278</v>
      </c>
      <c r="BA1242">
        <v>477</v>
      </c>
      <c r="BB1242">
        <v>44</v>
      </c>
      <c r="BD1242">
        <v>1</v>
      </c>
      <c r="BF1242" t="s">
        <v>1367</v>
      </c>
      <c r="BG1242" s="1">
        <v>44353.91233796296</v>
      </c>
      <c r="BH1242" s="1">
        <v>44353.9137962963</v>
      </c>
      <c r="BI1242" s="1">
        <v>44353.91511574074</v>
      </c>
      <c r="BJ1242" t="s">
        <v>197</v>
      </c>
      <c r="BK1242" t="s">
        <v>198</v>
      </c>
      <c r="BL1242" t="s">
        <v>87</v>
      </c>
    </row>
    <row r="1243" spans="1:64" x14ac:dyDescent="0.3">
      <c r="A1243" t="str">
        <f>"200624B0000"</f>
        <v>200624B0000</v>
      </c>
      <c r="B1243" t="str">
        <f>"200624B00003"</f>
        <v>200624B00003</v>
      </c>
      <c r="C1243" t="str">
        <f t="shared" si="72"/>
        <v>20</v>
      </c>
      <c r="D1243" t="s">
        <v>81</v>
      </c>
      <c r="E1243" t="str">
        <f t="shared" si="71"/>
        <v>067</v>
      </c>
      <c r="F1243" t="s">
        <v>1344</v>
      </c>
      <c r="G1243" t="str">
        <f>"0624"</f>
        <v>0624</v>
      </c>
      <c r="H1243" t="str">
        <f t="shared" ref="H1243:H1249" si="73">"0000"</f>
        <v>0000</v>
      </c>
      <c r="I1243" t="s">
        <v>83</v>
      </c>
      <c r="J1243">
        <v>0</v>
      </c>
      <c r="K1243">
        <v>1</v>
      </c>
      <c r="L1243">
        <v>3</v>
      </c>
      <c r="M1243">
        <v>327</v>
      </c>
      <c r="N1243">
        <v>432</v>
      </c>
      <c r="O1243">
        <v>10</v>
      </c>
      <c r="P1243">
        <v>432</v>
      </c>
      <c r="Q1243">
        <v>13</v>
      </c>
      <c r="R1243">
        <v>7</v>
      </c>
      <c r="S1243">
        <v>2</v>
      </c>
      <c r="T1243">
        <v>61</v>
      </c>
      <c r="U1243">
        <v>107</v>
      </c>
      <c r="V1243">
        <v>26</v>
      </c>
      <c r="X1243">
        <v>73</v>
      </c>
      <c r="Y1243">
        <v>2</v>
      </c>
      <c r="Z1243">
        <v>3</v>
      </c>
      <c r="AA1243">
        <v>2</v>
      </c>
      <c r="AB1243">
        <v>114</v>
      </c>
      <c r="AF1243">
        <v>0</v>
      </c>
      <c r="AG1243">
        <v>0</v>
      </c>
      <c r="AH1243">
        <v>0</v>
      </c>
      <c r="AI1243">
        <v>0</v>
      </c>
      <c r="AW1243">
        <v>0</v>
      </c>
      <c r="AX1243">
        <v>22</v>
      </c>
      <c r="AY1243">
        <v>432</v>
      </c>
      <c r="AZ1243">
        <v>432</v>
      </c>
      <c r="BA1243">
        <v>717</v>
      </c>
      <c r="BB1243">
        <v>44</v>
      </c>
      <c r="BD1243">
        <v>1</v>
      </c>
      <c r="BF1243" t="s">
        <v>1368</v>
      </c>
      <c r="BG1243" s="1">
        <v>44354.04011574074</v>
      </c>
      <c r="BH1243" s="1">
        <v>44354.048692129632</v>
      </c>
      <c r="BI1243" s="1">
        <v>44354.049270833333</v>
      </c>
      <c r="BJ1243" t="s">
        <v>197</v>
      </c>
      <c r="BK1243" t="s">
        <v>198</v>
      </c>
      <c r="BL1243" t="s">
        <v>87</v>
      </c>
    </row>
    <row r="1244" spans="1:64" x14ac:dyDescent="0.3">
      <c r="A1244" t="str">
        <f>"200625B0000"</f>
        <v>200625B0000</v>
      </c>
      <c r="B1244" t="str">
        <f>"200625B00003"</f>
        <v>200625B00003</v>
      </c>
      <c r="C1244" t="str">
        <f t="shared" si="72"/>
        <v>20</v>
      </c>
      <c r="D1244" t="s">
        <v>81</v>
      </c>
      <c r="E1244" t="str">
        <f t="shared" si="71"/>
        <v>067</v>
      </c>
      <c r="F1244" t="s">
        <v>1344</v>
      </c>
      <c r="G1244" t="str">
        <f>"0625"</f>
        <v>0625</v>
      </c>
      <c r="H1244" t="str">
        <f t="shared" si="73"/>
        <v>0000</v>
      </c>
      <c r="I1244" t="s">
        <v>83</v>
      </c>
      <c r="J1244">
        <v>0</v>
      </c>
      <c r="K1244">
        <v>1</v>
      </c>
      <c r="L1244">
        <v>3</v>
      </c>
      <c r="M1244">
        <v>199</v>
      </c>
      <c r="N1244">
        <v>374</v>
      </c>
      <c r="O1244">
        <v>7</v>
      </c>
      <c r="P1244" t="s">
        <v>92</v>
      </c>
      <c r="Q1244">
        <v>14</v>
      </c>
      <c r="R1244">
        <v>5</v>
      </c>
      <c r="S1244">
        <v>2</v>
      </c>
      <c r="T1244">
        <v>138</v>
      </c>
      <c r="U1244">
        <v>21</v>
      </c>
      <c r="V1244">
        <v>15</v>
      </c>
      <c r="X1244">
        <v>88</v>
      </c>
      <c r="Y1244">
        <v>2</v>
      </c>
      <c r="Z1244">
        <v>2</v>
      </c>
      <c r="AA1244">
        <v>3</v>
      </c>
      <c r="AB1244">
        <v>75</v>
      </c>
      <c r="AF1244">
        <v>1</v>
      </c>
      <c r="AG1244">
        <v>0</v>
      </c>
      <c r="AH1244">
        <v>0</v>
      </c>
      <c r="AI1244">
        <v>0</v>
      </c>
      <c r="AW1244">
        <v>0</v>
      </c>
      <c r="AX1244">
        <v>8</v>
      </c>
      <c r="AY1244">
        <v>374</v>
      </c>
      <c r="AZ1244">
        <v>374</v>
      </c>
      <c r="BA1244">
        <v>529</v>
      </c>
      <c r="BB1244">
        <v>44</v>
      </c>
      <c r="BD1244">
        <v>1</v>
      </c>
      <c r="BF1244" t="s">
        <v>1369</v>
      </c>
      <c r="BG1244" s="1">
        <v>44353.920682870368</v>
      </c>
      <c r="BH1244" s="1">
        <v>44353.922997685186</v>
      </c>
      <c r="BI1244" s="1">
        <v>44353.923530092594</v>
      </c>
      <c r="BJ1244" t="s">
        <v>197</v>
      </c>
      <c r="BK1244" t="s">
        <v>198</v>
      </c>
      <c r="BL1244" t="s">
        <v>87</v>
      </c>
    </row>
    <row r="1245" spans="1:64" x14ac:dyDescent="0.3">
      <c r="A1245" t="str">
        <f>"200626B0000"</f>
        <v>200626B0000</v>
      </c>
      <c r="B1245" t="str">
        <f>"200626B00003"</f>
        <v>200626B00003</v>
      </c>
      <c r="C1245" t="str">
        <f t="shared" si="72"/>
        <v>20</v>
      </c>
      <c r="D1245" t="s">
        <v>81</v>
      </c>
      <c r="E1245" t="str">
        <f t="shared" si="71"/>
        <v>067</v>
      </c>
      <c r="F1245" t="s">
        <v>1344</v>
      </c>
      <c r="G1245" t="str">
        <f>"0626"</f>
        <v>0626</v>
      </c>
      <c r="H1245" t="str">
        <f t="shared" si="73"/>
        <v>0000</v>
      </c>
      <c r="I1245" t="s">
        <v>83</v>
      </c>
      <c r="J1245">
        <v>0</v>
      </c>
      <c r="K1245">
        <v>1</v>
      </c>
      <c r="L1245">
        <v>3</v>
      </c>
      <c r="M1245">
        <v>221</v>
      </c>
      <c r="N1245">
        <v>285</v>
      </c>
      <c r="O1245">
        <v>6</v>
      </c>
      <c r="P1245">
        <v>285</v>
      </c>
      <c r="Q1245">
        <v>9</v>
      </c>
      <c r="R1245">
        <v>12</v>
      </c>
      <c r="S1245">
        <v>0</v>
      </c>
      <c r="T1245">
        <v>53</v>
      </c>
      <c r="U1245">
        <v>23</v>
      </c>
      <c r="V1245">
        <v>10</v>
      </c>
      <c r="X1245">
        <v>84</v>
      </c>
      <c r="Y1245">
        <v>3</v>
      </c>
      <c r="Z1245">
        <v>3</v>
      </c>
      <c r="AA1245">
        <v>7</v>
      </c>
      <c r="AB1245">
        <v>65</v>
      </c>
      <c r="AF1245">
        <v>0</v>
      </c>
      <c r="AG1245">
        <v>0</v>
      </c>
      <c r="AH1245">
        <v>0</v>
      </c>
      <c r="AI1245">
        <v>0</v>
      </c>
      <c r="AW1245">
        <v>0</v>
      </c>
      <c r="AX1245">
        <v>16</v>
      </c>
      <c r="AY1245" t="s">
        <v>95</v>
      </c>
      <c r="AZ1245">
        <v>285</v>
      </c>
      <c r="BA1245">
        <v>462</v>
      </c>
      <c r="BB1245">
        <v>44</v>
      </c>
      <c r="BD1245">
        <v>1</v>
      </c>
      <c r="BF1245" t="s">
        <v>1370</v>
      </c>
      <c r="BG1245" s="1">
        <v>44354.018090277779</v>
      </c>
      <c r="BH1245" s="1">
        <v>44354.026643518519</v>
      </c>
      <c r="BI1245" s="1">
        <v>44354.027280092596</v>
      </c>
      <c r="BJ1245" t="s">
        <v>197</v>
      </c>
      <c r="BK1245" t="s">
        <v>198</v>
      </c>
      <c r="BL1245" t="s">
        <v>87</v>
      </c>
    </row>
    <row r="1246" spans="1:64" x14ac:dyDescent="0.3">
      <c r="A1246" t="str">
        <f>"200627B0000"</f>
        <v>200627B0000</v>
      </c>
      <c r="B1246" t="str">
        <f>"200627B00003"</f>
        <v>200627B00003</v>
      </c>
      <c r="C1246" t="str">
        <f t="shared" si="72"/>
        <v>20</v>
      </c>
      <c r="D1246" t="s">
        <v>81</v>
      </c>
      <c r="E1246" t="str">
        <f t="shared" si="71"/>
        <v>067</v>
      </c>
      <c r="F1246" t="s">
        <v>1344</v>
      </c>
      <c r="G1246" t="str">
        <f>"0627"</f>
        <v>0627</v>
      </c>
      <c r="H1246" t="str">
        <f t="shared" si="73"/>
        <v>0000</v>
      </c>
      <c r="I1246" t="s">
        <v>83</v>
      </c>
      <c r="J1246">
        <v>0</v>
      </c>
      <c r="K1246">
        <v>1</v>
      </c>
      <c r="L1246">
        <v>3</v>
      </c>
      <c r="M1246">
        <v>112</v>
      </c>
      <c r="N1246">
        <v>143</v>
      </c>
      <c r="O1246">
        <v>3</v>
      </c>
      <c r="P1246">
        <v>143</v>
      </c>
      <c r="Q1246">
        <v>1</v>
      </c>
      <c r="R1246">
        <v>2</v>
      </c>
      <c r="S1246">
        <v>1</v>
      </c>
      <c r="T1246">
        <v>23</v>
      </c>
      <c r="U1246">
        <v>7</v>
      </c>
      <c r="V1246">
        <v>45</v>
      </c>
      <c r="X1246">
        <v>11</v>
      </c>
      <c r="Y1246">
        <v>1</v>
      </c>
      <c r="Z1246">
        <v>1</v>
      </c>
      <c r="AA1246">
        <v>0</v>
      </c>
      <c r="AB1246">
        <v>46</v>
      </c>
      <c r="AF1246">
        <v>1</v>
      </c>
      <c r="AG1246">
        <v>0</v>
      </c>
      <c r="AH1246">
        <v>0</v>
      </c>
      <c r="AI1246">
        <v>0</v>
      </c>
      <c r="AW1246">
        <v>0</v>
      </c>
      <c r="AX1246">
        <v>4</v>
      </c>
      <c r="AY1246">
        <v>143</v>
      </c>
      <c r="AZ1246">
        <v>143</v>
      </c>
      <c r="BA1246">
        <v>211</v>
      </c>
      <c r="BB1246">
        <v>44</v>
      </c>
      <c r="BD1246">
        <v>1</v>
      </c>
      <c r="BF1246" t="s">
        <v>1371</v>
      </c>
      <c r="BG1246" s="1">
        <v>44353.823611111111</v>
      </c>
      <c r="BH1246" s="1">
        <v>44354.081631944442</v>
      </c>
      <c r="BI1246" s="1">
        <v>44354.082199074073</v>
      </c>
      <c r="BJ1246" t="s">
        <v>85</v>
      </c>
      <c r="BK1246" t="s">
        <v>86</v>
      </c>
      <c r="BL1246" t="s">
        <v>87</v>
      </c>
    </row>
    <row r="1247" spans="1:64" x14ac:dyDescent="0.3">
      <c r="A1247" t="str">
        <f>"200628B0000"</f>
        <v>200628B0000</v>
      </c>
      <c r="B1247" t="str">
        <f>"200628B00003"</f>
        <v>200628B00003</v>
      </c>
      <c r="C1247" t="str">
        <f t="shared" si="72"/>
        <v>20</v>
      </c>
      <c r="D1247" t="s">
        <v>81</v>
      </c>
      <c r="E1247" t="str">
        <f t="shared" si="71"/>
        <v>067</v>
      </c>
      <c r="F1247" t="s">
        <v>1344</v>
      </c>
      <c r="G1247" t="str">
        <f>"0628"</f>
        <v>0628</v>
      </c>
      <c r="H1247" t="str">
        <f t="shared" si="73"/>
        <v>0000</v>
      </c>
      <c r="I1247" t="s">
        <v>83</v>
      </c>
      <c r="J1247">
        <v>0</v>
      </c>
      <c r="K1247">
        <v>1</v>
      </c>
      <c r="L1247">
        <v>3</v>
      </c>
      <c r="M1247">
        <v>302</v>
      </c>
      <c r="N1247">
        <v>317</v>
      </c>
      <c r="O1247">
        <v>2</v>
      </c>
      <c r="P1247">
        <v>317</v>
      </c>
      <c r="Q1247">
        <v>7</v>
      </c>
      <c r="R1247">
        <v>12</v>
      </c>
      <c r="S1247">
        <v>5</v>
      </c>
      <c r="T1247">
        <v>32</v>
      </c>
      <c r="U1247">
        <v>28</v>
      </c>
      <c r="V1247">
        <v>71</v>
      </c>
      <c r="X1247">
        <v>65</v>
      </c>
      <c r="Y1247">
        <v>3</v>
      </c>
      <c r="Z1247">
        <v>1</v>
      </c>
      <c r="AA1247">
        <v>5</v>
      </c>
      <c r="AB1247">
        <v>68</v>
      </c>
      <c r="AF1247">
        <v>0</v>
      </c>
      <c r="AG1247">
        <v>0</v>
      </c>
      <c r="AH1247">
        <v>0</v>
      </c>
      <c r="AI1247">
        <v>0</v>
      </c>
      <c r="AW1247">
        <v>0</v>
      </c>
      <c r="AX1247">
        <v>20</v>
      </c>
      <c r="AY1247">
        <v>317</v>
      </c>
      <c r="AZ1247">
        <v>317</v>
      </c>
      <c r="BA1247">
        <v>575</v>
      </c>
      <c r="BB1247">
        <v>44</v>
      </c>
      <c r="BD1247">
        <v>1</v>
      </c>
      <c r="BF1247" t="s">
        <v>1372</v>
      </c>
      <c r="BG1247" s="1">
        <v>44354.229166666664</v>
      </c>
      <c r="BH1247" s="1">
        <v>44354.231319444443</v>
      </c>
      <c r="BI1247" s="1">
        <v>44354.231724537036</v>
      </c>
      <c r="BJ1247" t="s">
        <v>85</v>
      </c>
      <c r="BK1247" t="s">
        <v>86</v>
      </c>
      <c r="BL1247" t="s">
        <v>87</v>
      </c>
    </row>
    <row r="1248" spans="1:64" x14ac:dyDescent="0.3">
      <c r="A1248" t="str">
        <f>"200629B0000"</f>
        <v>200629B0000</v>
      </c>
      <c r="B1248" t="str">
        <f>"200629B00003"</f>
        <v>200629B00003</v>
      </c>
      <c r="C1248" t="str">
        <f t="shared" si="72"/>
        <v>20</v>
      </c>
      <c r="D1248" t="s">
        <v>81</v>
      </c>
      <c r="E1248" t="str">
        <f t="shared" si="71"/>
        <v>067</v>
      </c>
      <c r="F1248" t="s">
        <v>1344</v>
      </c>
      <c r="G1248" t="str">
        <f>"0629"</f>
        <v>0629</v>
      </c>
      <c r="H1248" t="str">
        <f t="shared" si="73"/>
        <v>0000</v>
      </c>
      <c r="I1248" t="s">
        <v>83</v>
      </c>
      <c r="J1248">
        <v>0</v>
      </c>
      <c r="K1248">
        <v>1</v>
      </c>
      <c r="L1248">
        <v>3</v>
      </c>
      <c r="M1248">
        <v>102</v>
      </c>
      <c r="N1248">
        <v>122</v>
      </c>
      <c r="O1248">
        <v>4</v>
      </c>
      <c r="P1248">
        <v>122</v>
      </c>
      <c r="Q1248">
        <v>1</v>
      </c>
      <c r="R1248">
        <v>0</v>
      </c>
      <c r="S1248">
        <v>1</v>
      </c>
      <c r="T1248">
        <v>26</v>
      </c>
      <c r="U1248">
        <v>35</v>
      </c>
      <c r="V1248">
        <v>18</v>
      </c>
      <c r="X1248">
        <v>27</v>
      </c>
      <c r="Y1248">
        <v>1</v>
      </c>
      <c r="Z1248">
        <v>1</v>
      </c>
      <c r="AA1248">
        <v>1</v>
      </c>
      <c r="AB1248">
        <v>6</v>
      </c>
      <c r="AF1248">
        <v>0</v>
      </c>
      <c r="AG1248">
        <v>0</v>
      </c>
      <c r="AH1248">
        <v>0</v>
      </c>
      <c r="AI1248">
        <v>0</v>
      </c>
      <c r="AW1248">
        <v>0</v>
      </c>
      <c r="AX1248">
        <v>5</v>
      </c>
      <c r="AY1248">
        <v>122</v>
      </c>
      <c r="AZ1248">
        <v>122</v>
      </c>
      <c r="BA1248">
        <v>180</v>
      </c>
      <c r="BB1248">
        <v>44</v>
      </c>
      <c r="BD1248">
        <v>1</v>
      </c>
      <c r="BF1248" t="s">
        <v>1373</v>
      </c>
      <c r="BG1248" s="1">
        <v>44353.910300925927</v>
      </c>
      <c r="BH1248" s="1">
        <v>44353.912326388891</v>
      </c>
      <c r="BI1248" s="1">
        <v>44353.912777777776</v>
      </c>
      <c r="BJ1248" t="s">
        <v>197</v>
      </c>
      <c r="BK1248" t="s">
        <v>198</v>
      </c>
      <c r="BL1248" t="s">
        <v>87</v>
      </c>
    </row>
    <row r="1249" spans="1:64" x14ac:dyDescent="0.3">
      <c r="A1249" t="str">
        <f>"200630B0000"</f>
        <v>200630B0000</v>
      </c>
      <c r="B1249" t="str">
        <f>"200630B00003"</f>
        <v>200630B00003</v>
      </c>
      <c r="C1249" t="str">
        <f t="shared" si="72"/>
        <v>20</v>
      </c>
      <c r="D1249" t="s">
        <v>81</v>
      </c>
      <c r="E1249" t="str">
        <f t="shared" si="71"/>
        <v>067</v>
      </c>
      <c r="F1249" t="s">
        <v>1344</v>
      </c>
      <c r="G1249" t="str">
        <f>"0630"</f>
        <v>0630</v>
      </c>
      <c r="H1249" t="str">
        <f t="shared" si="73"/>
        <v>0000</v>
      </c>
      <c r="I1249" t="s">
        <v>83</v>
      </c>
      <c r="J1249">
        <v>0</v>
      </c>
      <c r="K1249">
        <v>1</v>
      </c>
      <c r="L1249">
        <v>3</v>
      </c>
      <c r="M1249">
        <v>253</v>
      </c>
      <c r="N1249">
        <v>345</v>
      </c>
      <c r="O1249">
        <v>3</v>
      </c>
      <c r="P1249">
        <v>345</v>
      </c>
      <c r="Q1249">
        <v>5</v>
      </c>
      <c r="R1249">
        <v>22</v>
      </c>
      <c r="S1249">
        <v>1</v>
      </c>
      <c r="T1249">
        <v>76</v>
      </c>
      <c r="U1249">
        <v>73</v>
      </c>
      <c r="V1249">
        <v>23</v>
      </c>
      <c r="X1249">
        <v>25</v>
      </c>
      <c r="Y1249">
        <v>1</v>
      </c>
      <c r="Z1249">
        <v>1</v>
      </c>
      <c r="AA1249">
        <v>6</v>
      </c>
      <c r="AB1249">
        <v>91</v>
      </c>
      <c r="AF1249">
        <v>0</v>
      </c>
      <c r="AG1249">
        <v>0</v>
      </c>
      <c r="AH1249">
        <v>0</v>
      </c>
      <c r="AI1249">
        <v>0</v>
      </c>
      <c r="AW1249">
        <v>0</v>
      </c>
      <c r="AX1249">
        <v>21</v>
      </c>
      <c r="AY1249">
        <v>345</v>
      </c>
      <c r="AZ1249">
        <v>345</v>
      </c>
      <c r="BA1249">
        <v>554</v>
      </c>
      <c r="BB1249">
        <v>44</v>
      </c>
      <c r="BD1249">
        <v>1</v>
      </c>
      <c r="BF1249" t="s">
        <v>1374</v>
      </c>
      <c r="BG1249" s="1">
        <v>44353.946898148148</v>
      </c>
      <c r="BH1249" s="1">
        <v>44353.948576388888</v>
      </c>
      <c r="BI1249" s="1">
        <v>44353.949444444443</v>
      </c>
      <c r="BJ1249" t="s">
        <v>197</v>
      </c>
      <c r="BK1249" t="s">
        <v>198</v>
      </c>
      <c r="BL1249" t="s">
        <v>87</v>
      </c>
    </row>
    <row r="1250" spans="1:64" x14ac:dyDescent="0.3">
      <c r="A1250" t="str">
        <f>"200630C0100"</f>
        <v>200630C0100</v>
      </c>
      <c r="B1250" t="str">
        <f>"200630C01003"</f>
        <v>200630C01003</v>
      </c>
      <c r="C1250" t="str">
        <f t="shared" si="72"/>
        <v>20</v>
      </c>
      <c r="D1250" t="s">
        <v>81</v>
      </c>
      <c r="E1250" t="str">
        <f t="shared" si="71"/>
        <v>067</v>
      </c>
      <c r="F1250" t="s">
        <v>1344</v>
      </c>
      <c r="G1250" t="str">
        <f>"0630"</f>
        <v>0630</v>
      </c>
      <c r="H1250" t="str">
        <f>"0001"</f>
        <v>0001</v>
      </c>
      <c r="I1250" t="s">
        <v>89</v>
      </c>
      <c r="J1250">
        <v>0</v>
      </c>
      <c r="K1250">
        <v>1</v>
      </c>
      <c r="L1250">
        <v>3</v>
      </c>
      <c r="M1250">
        <v>235</v>
      </c>
      <c r="N1250">
        <v>363</v>
      </c>
      <c r="O1250">
        <v>0</v>
      </c>
      <c r="P1250">
        <v>363</v>
      </c>
      <c r="Q1250">
        <v>6</v>
      </c>
      <c r="R1250">
        <v>28</v>
      </c>
      <c r="S1250">
        <v>2</v>
      </c>
      <c r="T1250">
        <v>82</v>
      </c>
      <c r="U1250">
        <v>83</v>
      </c>
      <c r="V1250">
        <v>27</v>
      </c>
      <c r="X1250">
        <v>12</v>
      </c>
      <c r="Y1250">
        <v>0</v>
      </c>
      <c r="Z1250">
        <v>0</v>
      </c>
      <c r="AA1250">
        <v>1</v>
      </c>
      <c r="AB1250">
        <v>101</v>
      </c>
      <c r="AF1250">
        <v>0</v>
      </c>
      <c r="AG1250">
        <v>0</v>
      </c>
      <c r="AH1250">
        <v>0</v>
      </c>
      <c r="AI1250">
        <v>0</v>
      </c>
      <c r="AW1250">
        <v>0</v>
      </c>
      <c r="AX1250">
        <v>20</v>
      </c>
      <c r="AY1250">
        <v>363</v>
      </c>
      <c r="AZ1250">
        <v>362</v>
      </c>
      <c r="BA1250">
        <v>554</v>
      </c>
      <c r="BB1250">
        <v>44</v>
      </c>
      <c r="BD1250">
        <v>1</v>
      </c>
      <c r="BF1250" t="s">
        <v>1375</v>
      </c>
      <c r="BG1250" s="1">
        <v>44353.951770833337</v>
      </c>
      <c r="BH1250" s="1">
        <v>44353.954155092593</v>
      </c>
      <c r="BI1250" s="1">
        <v>44353.955983796295</v>
      </c>
      <c r="BJ1250" t="s">
        <v>197</v>
      </c>
      <c r="BK1250" t="s">
        <v>198</v>
      </c>
      <c r="BL1250" t="s">
        <v>87</v>
      </c>
    </row>
    <row r="1251" spans="1:64" x14ac:dyDescent="0.3">
      <c r="A1251" t="str">
        <f>"200631B0000"</f>
        <v>200631B0000</v>
      </c>
      <c r="B1251" t="str">
        <f>"200631B00003"</f>
        <v>200631B00003</v>
      </c>
      <c r="C1251" t="str">
        <f t="shared" si="72"/>
        <v>20</v>
      </c>
      <c r="D1251" t="s">
        <v>81</v>
      </c>
      <c r="E1251" t="str">
        <f t="shared" si="71"/>
        <v>067</v>
      </c>
      <c r="F1251" t="s">
        <v>1344</v>
      </c>
      <c r="G1251" t="str">
        <f>"0631"</f>
        <v>0631</v>
      </c>
      <c r="H1251" t="str">
        <f>"0000"</f>
        <v>0000</v>
      </c>
      <c r="I1251" t="s">
        <v>83</v>
      </c>
      <c r="J1251">
        <v>0</v>
      </c>
      <c r="K1251">
        <v>1</v>
      </c>
      <c r="L1251">
        <v>3</v>
      </c>
      <c r="M1251">
        <v>179</v>
      </c>
      <c r="N1251">
        <v>234</v>
      </c>
      <c r="O1251">
        <v>2</v>
      </c>
      <c r="P1251">
        <v>234</v>
      </c>
      <c r="Q1251">
        <v>5</v>
      </c>
      <c r="R1251">
        <v>2</v>
      </c>
      <c r="S1251">
        <v>1</v>
      </c>
      <c r="T1251">
        <v>30</v>
      </c>
      <c r="U1251">
        <v>54</v>
      </c>
      <c r="V1251">
        <v>14</v>
      </c>
      <c r="X1251">
        <v>86</v>
      </c>
      <c r="Y1251">
        <v>1</v>
      </c>
      <c r="Z1251">
        <v>5</v>
      </c>
      <c r="AA1251">
        <v>1</v>
      </c>
      <c r="AB1251">
        <v>12</v>
      </c>
      <c r="AF1251">
        <v>0</v>
      </c>
      <c r="AG1251">
        <v>0</v>
      </c>
      <c r="AH1251">
        <v>0</v>
      </c>
      <c r="AI1251">
        <v>0</v>
      </c>
      <c r="AW1251">
        <v>0</v>
      </c>
      <c r="AX1251">
        <v>23</v>
      </c>
      <c r="AY1251">
        <v>234</v>
      </c>
      <c r="AZ1251">
        <v>234</v>
      </c>
      <c r="BA1251">
        <v>369</v>
      </c>
      <c r="BB1251">
        <v>44</v>
      </c>
      <c r="BD1251">
        <v>1</v>
      </c>
      <c r="BF1251" t="s">
        <v>1376</v>
      </c>
      <c r="BG1251" s="1">
        <v>44354.050868055558</v>
      </c>
      <c r="BH1251" s="1">
        <v>44354.057002314818</v>
      </c>
      <c r="BI1251" s="1">
        <v>44354.05736111111</v>
      </c>
      <c r="BJ1251" t="s">
        <v>197</v>
      </c>
      <c r="BK1251" t="s">
        <v>198</v>
      </c>
      <c r="BL1251" t="s">
        <v>87</v>
      </c>
    </row>
    <row r="1252" spans="1:64" x14ac:dyDescent="0.3">
      <c r="A1252" t="str">
        <f>"200633B0000"</f>
        <v>200633B0000</v>
      </c>
      <c r="B1252" t="str">
        <f>"200633B00003"</f>
        <v>200633B00003</v>
      </c>
      <c r="C1252" t="str">
        <f t="shared" si="72"/>
        <v>20</v>
      </c>
      <c r="D1252" t="s">
        <v>81</v>
      </c>
      <c r="E1252" t="str">
        <f t="shared" ref="E1252:E1260" si="74">"069"</f>
        <v>069</v>
      </c>
      <c r="F1252" t="s">
        <v>1377</v>
      </c>
      <c r="G1252" t="str">
        <f>"0633"</f>
        <v>0633</v>
      </c>
      <c r="H1252" t="str">
        <f>"0000"</f>
        <v>0000</v>
      </c>
      <c r="I1252" t="s">
        <v>83</v>
      </c>
      <c r="J1252">
        <v>0</v>
      </c>
      <c r="K1252">
        <v>1</v>
      </c>
      <c r="L1252">
        <v>3</v>
      </c>
      <c r="M1252">
        <v>192</v>
      </c>
      <c r="N1252">
        <v>452</v>
      </c>
      <c r="O1252">
        <v>0</v>
      </c>
      <c r="P1252">
        <v>452</v>
      </c>
      <c r="Q1252">
        <v>0</v>
      </c>
      <c r="R1252">
        <v>194</v>
      </c>
      <c r="S1252">
        <v>3</v>
      </c>
      <c r="T1252">
        <v>1</v>
      </c>
      <c r="U1252">
        <v>163</v>
      </c>
      <c r="X1252">
        <v>80</v>
      </c>
      <c r="Y1252">
        <v>1</v>
      </c>
      <c r="Z1252">
        <v>0</v>
      </c>
      <c r="AB1252">
        <v>0</v>
      </c>
      <c r="AF1252">
        <v>0</v>
      </c>
      <c r="AG1252">
        <v>0</v>
      </c>
      <c r="AH1252">
        <v>0</v>
      </c>
      <c r="AI1252">
        <v>0</v>
      </c>
      <c r="AU1252">
        <v>0</v>
      </c>
      <c r="AW1252">
        <v>0</v>
      </c>
      <c r="AX1252">
        <v>10</v>
      </c>
      <c r="AY1252">
        <v>452</v>
      </c>
      <c r="AZ1252">
        <v>452</v>
      </c>
      <c r="BA1252">
        <v>600</v>
      </c>
      <c r="BB1252">
        <v>44</v>
      </c>
      <c r="BD1252">
        <v>1</v>
      </c>
      <c r="BF1252" t="s">
        <v>1378</v>
      </c>
      <c r="BG1252" s="1">
        <v>44354.047222222223</v>
      </c>
      <c r="BH1252" s="1">
        <v>44354.054629629631</v>
      </c>
      <c r="BI1252" s="1">
        <v>44354.055173611108</v>
      </c>
      <c r="BJ1252" t="s">
        <v>85</v>
      </c>
      <c r="BK1252" t="s">
        <v>86</v>
      </c>
      <c r="BL1252" t="s">
        <v>87</v>
      </c>
    </row>
    <row r="1253" spans="1:64" x14ac:dyDescent="0.3">
      <c r="A1253" t="str">
        <f>"200633C0100"</f>
        <v>200633C0100</v>
      </c>
      <c r="B1253" t="str">
        <f>"200633C01003"</f>
        <v>200633C01003</v>
      </c>
      <c r="C1253" t="str">
        <f t="shared" si="72"/>
        <v>20</v>
      </c>
      <c r="D1253" t="s">
        <v>81</v>
      </c>
      <c r="E1253" t="str">
        <f t="shared" si="74"/>
        <v>069</v>
      </c>
      <c r="F1253" t="s">
        <v>1377</v>
      </c>
      <c r="G1253" t="str">
        <f>"0633"</f>
        <v>0633</v>
      </c>
      <c r="H1253" t="str">
        <f>"0001"</f>
        <v>0001</v>
      </c>
      <c r="I1253" t="s">
        <v>89</v>
      </c>
      <c r="J1253">
        <v>0</v>
      </c>
      <c r="K1253">
        <v>1</v>
      </c>
      <c r="L1253">
        <v>3</v>
      </c>
      <c r="M1253">
        <v>176</v>
      </c>
      <c r="N1253">
        <v>467</v>
      </c>
      <c r="O1253">
        <v>0</v>
      </c>
      <c r="P1253">
        <v>467</v>
      </c>
      <c r="Q1253">
        <v>0</v>
      </c>
      <c r="R1253">
        <v>205</v>
      </c>
      <c r="S1253">
        <v>3</v>
      </c>
      <c r="T1253">
        <v>0</v>
      </c>
      <c r="U1253">
        <v>168</v>
      </c>
      <c r="X1253">
        <v>79</v>
      </c>
      <c r="Y1253">
        <v>1</v>
      </c>
      <c r="Z1253">
        <v>1</v>
      </c>
      <c r="AB1253">
        <v>0</v>
      </c>
      <c r="AF1253">
        <v>0</v>
      </c>
      <c r="AG1253">
        <v>0</v>
      </c>
      <c r="AH1253">
        <v>0</v>
      </c>
      <c r="AI1253">
        <v>0</v>
      </c>
      <c r="AU1253">
        <v>1</v>
      </c>
      <c r="AW1253">
        <v>0</v>
      </c>
      <c r="AX1253">
        <v>9</v>
      </c>
      <c r="AY1253">
        <v>467</v>
      </c>
      <c r="AZ1253">
        <v>467</v>
      </c>
      <c r="BA1253">
        <v>599</v>
      </c>
      <c r="BB1253">
        <v>44</v>
      </c>
      <c r="BD1253">
        <v>1</v>
      </c>
      <c r="BF1253" t="s">
        <v>1379</v>
      </c>
      <c r="BG1253" s="1">
        <v>44354.04583333333</v>
      </c>
      <c r="BH1253" s="1">
        <v>44354.053240740737</v>
      </c>
      <c r="BI1253" s="1">
        <v>44354.054050925923</v>
      </c>
      <c r="BJ1253" t="s">
        <v>85</v>
      </c>
      <c r="BK1253" t="s">
        <v>86</v>
      </c>
      <c r="BL1253" t="s">
        <v>87</v>
      </c>
    </row>
    <row r="1254" spans="1:64" x14ac:dyDescent="0.3">
      <c r="A1254" t="str">
        <f>"200634B0000"</f>
        <v>200634B0000</v>
      </c>
      <c r="B1254" t="str">
        <f>"200634B00003"</f>
        <v>200634B00003</v>
      </c>
      <c r="C1254" t="str">
        <f t="shared" si="72"/>
        <v>20</v>
      </c>
      <c r="D1254" t="s">
        <v>81</v>
      </c>
      <c r="E1254" t="str">
        <f t="shared" si="74"/>
        <v>069</v>
      </c>
      <c r="F1254" t="s">
        <v>1377</v>
      </c>
      <c r="G1254" t="str">
        <f>"0634"</f>
        <v>0634</v>
      </c>
      <c r="H1254" t="str">
        <f>"0000"</f>
        <v>0000</v>
      </c>
      <c r="I1254" t="s">
        <v>83</v>
      </c>
      <c r="J1254">
        <v>0</v>
      </c>
      <c r="K1254">
        <v>1</v>
      </c>
      <c r="L1254">
        <v>3</v>
      </c>
      <c r="M1254">
        <v>156</v>
      </c>
      <c r="N1254">
        <v>387</v>
      </c>
      <c r="O1254">
        <v>0</v>
      </c>
      <c r="P1254">
        <v>387</v>
      </c>
      <c r="Q1254">
        <v>1</v>
      </c>
      <c r="R1254">
        <v>111</v>
      </c>
      <c r="S1254">
        <v>4</v>
      </c>
      <c r="T1254">
        <v>0</v>
      </c>
      <c r="U1254">
        <v>163</v>
      </c>
      <c r="X1254">
        <v>99</v>
      </c>
      <c r="Y1254">
        <v>0</v>
      </c>
      <c r="Z1254">
        <v>1</v>
      </c>
      <c r="AB1254">
        <v>2</v>
      </c>
      <c r="AF1254">
        <v>0</v>
      </c>
      <c r="AG1254">
        <v>0</v>
      </c>
      <c r="AH1254">
        <v>0</v>
      </c>
      <c r="AI1254">
        <v>0</v>
      </c>
      <c r="AU1254">
        <v>0</v>
      </c>
      <c r="AW1254">
        <v>0</v>
      </c>
      <c r="AX1254">
        <v>6</v>
      </c>
      <c r="AY1254">
        <v>387</v>
      </c>
      <c r="AZ1254">
        <v>387</v>
      </c>
      <c r="BA1254">
        <v>499</v>
      </c>
      <c r="BB1254">
        <v>44</v>
      </c>
      <c r="BD1254">
        <v>1</v>
      </c>
      <c r="BF1254" t="s">
        <v>1380</v>
      </c>
      <c r="BG1254" s="1">
        <v>44354.048611111109</v>
      </c>
      <c r="BH1254" s="1">
        <v>44354.05609953704</v>
      </c>
      <c r="BI1254" s="1">
        <v>44354.056712962964</v>
      </c>
      <c r="BJ1254" t="s">
        <v>85</v>
      </c>
      <c r="BK1254" t="s">
        <v>86</v>
      </c>
      <c r="BL1254" t="s">
        <v>87</v>
      </c>
    </row>
    <row r="1255" spans="1:64" x14ac:dyDescent="0.3">
      <c r="A1255" t="str">
        <f>"200634C0100"</f>
        <v>200634C0100</v>
      </c>
      <c r="B1255" t="str">
        <f>"200634C01003"</f>
        <v>200634C01003</v>
      </c>
      <c r="C1255" t="str">
        <f t="shared" si="72"/>
        <v>20</v>
      </c>
      <c r="D1255" t="s">
        <v>81</v>
      </c>
      <c r="E1255" t="str">
        <f t="shared" si="74"/>
        <v>069</v>
      </c>
      <c r="F1255" t="s">
        <v>1377</v>
      </c>
      <c r="G1255" t="str">
        <f>"0634"</f>
        <v>0634</v>
      </c>
      <c r="H1255" t="str">
        <f>"0001"</f>
        <v>0001</v>
      </c>
      <c r="I1255" t="s">
        <v>89</v>
      </c>
      <c r="J1255">
        <v>0</v>
      </c>
      <c r="K1255">
        <v>1</v>
      </c>
      <c r="L1255">
        <v>3</v>
      </c>
      <c r="M1255">
        <v>149</v>
      </c>
      <c r="N1255">
        <v>394</v>
      </c>
      <c r="O1255">
        <v>0</v>
      </c>
      <c r="P1255">
        <v>394</v>
      </c>
      <c r="Q1255">
        <v>3</v>
      </c>
      <c r="R1255">
        <v>135</v>
      </c>
      <c r="S1255">
        <v>3</v>
      </c>
      <c r="T1255">
        <v>0</v>
      </c>
      <c r="U1255">
        <v>126</v>
      </c>
      <c r="X1255">
        <v>114</v>
      </c>
      <c r="Y1255">
        <v>2</v>
      </c>
      <c r="Z1255">
        <v>2</v>
      </c>
      <c r="AB1255">
        <v>0</v>
      </c>
      <c r="AF1255">
        <v>0</v>
      </c>
      <c r="AG1255">
        <v>0</v>
      </c>
      <c r="AH1255">
        <v>0</v>
      </c>
      <c r="AI1255">
        <v>1</v>
      </c>
      <c r="AU1255">
        <v>0</v>
      </c>
      <c r="AW1255">
        <v>0</v>
      </c>
      <c r="AX1255">
        <v>8</v>
      </c>
      <c r="AY1255">
        <v>394</v>
      </c>
      <c r="AZ1255">
        <v>394</v>
      </c>
      <c r="BA1255">
        <v>499</v>
      </c>
      <c r="BB1255">
        <v>44</v>
      </c>
      <c r="BD1255">
        <v>1</v>
      </c>
      <c r="BF1255" t="s">
        <v>1381</v>
      </c>
      <c r="BG1255" s="1">
        <v>44354.042361111111</v>
      </c>
      <c r="BH1255" s="1">
        <v>44354.051261574074</v>
      </c>
      <c r="BI1255" s="1">
        <v>44354.051689814813</v>
      </c>
      <c r="BJ1255" t="s">
        <v>85</v>
      </c>
      <c r="BK1255" t="s">
        <v>86</v>
      </c>
      <c r="BL1255" t="s">
        <v>87</v>
      </c>
    </row>
    <row r="1256" spans="1:64" x14ac:dyDescent="0.3">
      <c r="A1256" t="str">
        <f>"200635B0000"</f>
        <v>200635B0000</v>
      </c>
      <c r="B1256" t="str">
        <f>"200635B00003"</f>
        <v>200635B00003</v>
      </c>
      <c r="C1256" t="str">
        <f t="shared" si="72"/>
        <v>20</v>
      </c>
      <c r="D1256" t="s">
        <v>81</v>
      </c>
      <c r="E1256" t="str">
        <f t="shared" si="74"/>
        <v>069</v>
      </c>
      <c r="F1256" t="s">
        <v>1377</v>
      </c>
      <c r="G1256" t="str">
        <f>"0635"</f>
        <v>0635</v>
      </c>
      <c r="H1256" t="str">
        <f>"0000"</f>
        <v>0000</v>
      </c>
      <c r="I1256" t="s">
        <v>83</v>
      </c>
      <c r="J1256">
        <v>0</v>
      </c>
      <c r="K1256">
        <v>1</v>
      </c>
      <c r="L1256">
        <v>3</v>
      </c>
      <c r="M1256">
        <v>236</v>
      </c>
      <c r="N1256">
        <v>462</v>
      </c>
      <c r="O1256">
        <v>2</v>
      </c>
      <c r="P1256">
        <v>462</v>
      </c>
      <c r="Q1256">
        <v>0</v>
      </c>
      <c r="R1256">
        <v>181</v>
      </c>
      <c r="S1256">
        <v>1</v>
      </c>
      <c r="T1256">
        <v>2</v>
      </c>
      <c r="U1256">
        <v>127</v>
      </c>
      <c r="X1256">
        <v>133</v>
      </c>
      <c r="Y1256">
        <v>2</v>
      </c>
      <c r="Z1256">
        <v>7</v>
      </c>
      <c r="AB1256">
        <v>2</v>
      </c>
      <c r="AF1256">
        <v>0</v>
      </c>
      <c r="AG1256">
        <v>0</v>
      </c>
      <c r="AH1256">
        <v>0</v>
      </c>
      <c r="AI1256">
        <v>0</v>
      </c>
      <c r="AU1256">
        <v>0</v>
      </c>
      <c r="AW1256">
        <v>0</v>
      </c>
      <c r="AX1256">
        <v>7</v>
      </c>
      <c r="AY1256">
        <v>462</v>
      </c>
      <c r="AZ1256">
        <v>462</v>
      </c>
      <c r="BA1256">
        <v>654</v>
      </c>
      <c r="BB1256">
        <v>44</v>
      </c>
      <c r="BD1256">
        <v>1</v>
      </c>
      <c r="BF1256" t="s">
        <v>1382</v>
      </c>
      <c r="BG1256" s="1">
        <v>44354.09097222222</v>
      </c>
      <c r="BH1256" s="1">
        <v>44354.097500000003</v>
      </c>
      <c r="BI1256" s="1">
        <v>44354.097800925927</v>
      </c>
      <c r="BJ1256" t="s">
        <v>85</v>
      </c>
      <c r="BK1256" t="s">
        <v>86</v>
      </c>
      <c r="BL1256" t="s">
        <v>87</v>
      </c>
    </row>
    <row r="1257" spans="1:64" x14ac:dyDescent="0.3">
      <c r="A1257" t="str">
        <f>"200636B0000"</f>
        <v>200636B0000</v>
      </c>
      <c r="B1257" t="str">
        <f>"200636B00003"</f>
        <v>200636B00003</v>
      </c>
      <c r="C1257" t="str">
        <f t="shared" si="72"/>
        <v>20</v>
      </c>
      <c r="D1257" t="s">
        <v>81</v>
      </c>
      <c r="E1257" t="str">
        <f t="shared" si="74"/>
        <v>069</v>
      </c>
      <c r="F1257" t="s">
        <v>1377</v>
      </c>
      <c r="G1257" t="str">
        <f>"0636"</f>
        <v>0636</v>
      </c>
      <c r="H1257" t="str">
        <f>"0000"</f>
        <v>0000</v>
      </c>
      <c r="I1257" t="s">
        <v>83</v>
      </c>
      <c r="J1257">
        <v>0</v>
      </c>
      <c r="K1257">
        <v>1</v>
      </c>
      <c r="L1257">
        <v>3</v>
      </c>
      <c r="M1257">
        <v>143</v>
      </c>
      <c r="N1257">
        <v>361</v>
      </c>
      <c r="O1257">
        <v>0</v>
      </c>
      <c r="P1257">
        <v>361</v>
      </c>
      <c r="Q1257" t="s">
        <v>95</v>
      </c>
      <c r="R1257">
        <v>114</v>
      </c>
      <c r="S1257">
        <v>4</v>
      </c>
      <c r="T1257">
        <v>1</v>
      </c>
      <c r="U1257">
        <v>115</v>
      </c>
      <c r="X1257">
        <v>107</v>
      </c>
      <c r="Y1257" t="s">
        <v>95</v>
      </c>
      <c r="Z1257">
        <v>4</v>
      </c>
      <c r="AB1257">
        <v>1</v>
      </c>
      <c r="AF1257">
        <v>3</v>
      </c>
      <c r="AG1257" t="s">
        <v>95</v>
      </c>
      <c r="AH1257" t="s">
        <v>95</v>
      </c>
      <c r="AI1257" t="s">
        <v>95</v>
      </c>
      <c r="AU1257" t="s">
        <v>95</v>
      </c>
      <c r="AW1257" t="s">
        <v>95</v>
      </c>
      <c r="AX1257">
        <v>12</v>
      </c>
      <c r="AY1257">
        <v>361</v>
      </c>
      <c r="AZ1257">
        <v>361</v>
      </c>
      <c r="BA1257">
        <v>460</v>
      </c>
      <c r="BB1257">
        <v>44</v>
      </c>
      <c r="BC1257" t="s">
        <v>96</v>
      </c>
      <c r="BD1257">
        <v>1</v>
      </c>
      <c r="BF1257" t="s">
        <v>1383</v>
      </c>
      <c r="BG1257" s="1">
        <v>44354.092361111114</v>
      </c>
      <c r="BH1257" s="1">
        <v>44354.098229166666</v>
      </c>
      <c r="BI1257" s="1">
        <v>44354.098622685182</v>
      </c>
      <c r="BJ1257" t="s">
        <v>85</v>
      </c>
      <c r="BK1257" t="s">
        <v>86</v>
      </c>
      <c r="BL1257" t="s">
        <v>87</v>
      </c>
    </row>
    <row r="1258" spans="1:64" x14ac:dyDescent="0.3">
      <c r="A1258" t="str">
        <f>"200636C0100"</f>
        <v>200636C0100</v>
      </c>
      <c r="B1258" t="str">
        <f>"200636C01003"</f>
        <v>200636C01003</v>
      </c>
      <c r="C1258" t="str">
        <f t="shared" si="72"/>
        <v>20</v>
      </c>
      <c r="D1258" t="s">
        <v>81</v>
      </c>
      <c r="E1258" t="str">
        <f t="shared" si="74"/>
        <v>069</v>
      </c>
      <c r="F1258" t="s">
        <v>1377</v>
      </c>
      <c r="G1258" t="str">
        <f>"0636"</f>
        <v>0636</v>
      </c>
      <c r="H1258" t="str">
        <f>"0001"</f>
        <v>0001</v>
      </c>
      <c r="I1258" t="s">
        <v>89</v>
      </c>
      <c r="J1258">
        <v>0</v>
      </c>
      <c r="K1258">
        <v>1</v>
      </c>
      <c r="L1258">
        <v>3</v>
      </c>
      <c r="M1258">
        <v>181</v>
      </c>
      <c r="N1258">
        <v>322</v>
      </c>
      <c r="O1258">
        <v>0</v>
      </c>
      <c r="P1258">
        <v>322</v>
      </c>
      <c r="Q1258">
        <v>0</v>
      </c>
      <c r="R1258">
        <v>130</v>
      </c>
      <c r="S1258">
        <v>4</v>
      </c>
      <c r="T1258">
        <v>2</v>
      </c>
      <c r="U1258">
        <v>115</v>
      </c>
      <c r="X1258">
        <v>61</v>
      </c>
      <c r="Y1258">
        <v>0</v>
      </c>
      <c r="Z1258">
        <v>1</v>
      </c>
      <c r="AB1258">
        <v>2</v>
      </c>
      <c r="AF1258">
        <v>2</v>
      </c>
      <c r="AG1258">
        <v>0</v>
      </c>
      <c r="AH1258">
        <v>0</v>
      </c>
      <c r="AI1258">
        <v>0</v>
      </c>
      <c r="AU1258">
        <v>1</v>
      </c>
      <c r="AW1258">
        <v>0</v>
      </c>
      <c r="AX1258">
        <v>4</v>
      </c>
      <c r="AY1258">
        <v>322</v>
      </c>
      <c r="AZ1258">
        <v>322</v>
      </c>
      <c r="BA1258">
        <v>459</v>
      </c>
      <c r="BB1258">
        <v>44</v>
      </c>
      <c r="BD1258">
        <v>1</v>
      </c>
      <c r="BF1258" t="s">
        <v>1384</v>
      </c>
      <c r="BG1258" s="1">
        <v>44354.088194444441</v>
      </c>
      <c r="BH1258" s="1">
        <v>44354.095543981479</v>
      </c>
      <c r="BI1258" s="1">
        <v>44354.096643518518</v>
      </c>
      <c r="BJ1258" t="s">
        <v>85</v>
      </c>
      <c r="BK1258" t="s">
        <v>86</v>
      </c>
      <c r="BL1258" t="s">
        <v>87</v>
      </c>
    </row>
    <row r="1259" spans="1:64" x14ac:dyDescent="0.3">
      <c r="A1259" t="str">
        <f>"200637B0000"</f>
        <v>200637B0000</v>
      </c>
      <c r="B1259" t="str">
        <f>"200637B00003"</f>
        <v>200637B00003</v>
      </c>
      <c r="C1259" t="str">
        <f t="shared" si="72"/>
        <v>20</v>
      </c>
      <c r="D1259" t="s">
        <v>81</v>
      </c>
      <c r="E1259" t="str">
        <f t="shared" si="74"/>
        <v>069</v>
      </c>
      <c r="F1259" t="s">
        <v>1377</v>
      </c>
      <c r="G1259" t="str">
        <f>"0637"</f>
        <v>0637</v>
      </c>
      <c r="H1259" t="str">
        <f>"0000"</f>
        <v>0000</v>
      </c>
      <c r="I1259" t="s">
        <v>83</v>
      </c>
      <c r="J1259">
        <v>0</v>
      </c>
      <c r="K1259">
        <v>1</v>
      </c>
      <c r="L1259">
        <v>3</v>
      </c>
      <c r="M1259">
        <v>216</v>
      </c>
      <c r="N1259">
        <v>558</v>
      </c>
      <c r="O1259">
        <v>0</v>
      </c>
      <c r="P1259">
        <v>558</v>
      </c>
      <c r="Q1259">
        <v>1</v>
      </c>
      <c r="R1259">
        <v>234</v>
      </c>
      <c r="S1259">
        <v>3</v>
      </c>
      <c r="T1259">
        <v>3</v>
      </c>
      <c r="U1259">
        <v>198</v>
      </c>
      <c r="X1259">
        <v>98</v>
      </c>
      <c r="Y1259">
        <v>0</v>
      </c>
      <c r="Z1259">
        <v>5</v>
      </c>
      <c r="AB1259">
        <v>3</v>
      </c>
      <c r="AF1259">
        <v>0</v>
      </c>
      <c r="AG1259">
        <v>0</v>
      </c>
      <c r="AH1259">
        <v>0</v>
      </c>
      <c r="AI1259">
        <v>0</v>
      </c>
      <c r="AU1259">
        <v>0</v>
      </c>
      <c r="AW1259">
        <v>0</v>
      </c>
      <c r="AX1259">
        <v>8</v>
      </c>
      <c r="AY1259">
        <v>558</v>
      </c>
      <c r="AZ1259">
        <v>553</v>
      </c>
      <c r="BA1259">
        <v>730</v>
      </c>
      <c r="BB1259">
        <v>44</v>
      </c>
      <c r="BD1259">
        <v>1</v>
      </c>
      <c r="BF1259" t="s">
        <v>1385</v>
      </c>
      <c r="BG1259" s="1">
        <v>44354.089583333334</v>
      </c>
      <c r="BH1259" s="1">
        <v>44354.095833333333</v>
      </c>
      <c r="BI1259" s="1">
        <v>44354.096307870372</v>
      </c>
      <c r="BJ1259" t="s">
        <v>85</v>
      </c>
      <c r="BK1259" t="s">
        <v>86</v>
      </c>
      <c r="BL1259" t="s">
        <v>87</v>
      </c>
    </row>
    <row r="1260" spans="1:64" x14ac:dyDescent="0.3">
      <c r="A1260" t="str">
        <f>"200637E0100"</f>
        <v>200637E0100</v>
      </c>
      <c r="B1260" t="str">
        <f>"200637E01003"</f>
        <v>200637E01003</v>
      </c>
      <c r="C1260" t="str">
        <f t="shared" si="72"/>
        <v>20</v>
      </c>
      <c r="D1260" t="s">
        <v>81</v>
      </c>
      <c r="E1260" t="str">
        <f t="shared" si="74"/>
        <v>069</v>
      </c>
      <c r="F1260" t="s">
        <v>1377</v>
      </c>
      <c r="G1260" t="str">
        <f>"0637"</f>
        <v>0637</v>
      </c>
      <c r="H1260" t="str">
        <f>"0001"</f>
        <v>0001</v>
      </c>
      <c r="I1260" t="s">
        <v>122</v>
      </c>
      <c r="J1260">
        <v>0</v>
      </c>
      <c r="K1260">
        <v>1</v>
      </c>
      <c r="L1260">
        <v>3</v>
      </c>
      <c r="M1260">
        <v>99</v>
      </c>
      <c r="N1260">
        <v>196</v>
      </c>
      <c r="O1260">
        <v>0</v>
      </c>
      <c r="P1260">
        <v>196</v>
      </c>
      <c r="Q1260">
        <v>0</v>
      </c>
      <c r="R1260">
        <v>114</v>
      </c>
      <c r="S1260">
        <v>0</v>
      </c>
      <c r="T1260">
        <v>0</v>
      </c>
      <c r="U1260">
        <v>69</v>
      </c>
      <c r="X1260">
        <v>9</v>
      </c>
      <c r="Y1260">
        <v>0</v>
      </c>
      <c r="Z1260">
        <v>0</v>
      </c>
      <c r="AB1260">
        <v>0</v>
      </c>
      <c r="AF1260">
        <v>0</v>
      </c>
      <c r="AG1260">
        <v>0</v>
      </c>
      <c r="AH1260">
        <v>0</v>
      </c>
      <c r="AI1260">
        <v>0</v>
      </c>
      <c r="AU1260">
        <v>0</v>
      </c>
      <c r="AW1260">
        <v>0</v>
      </c>
      <c r="AX1260">
        <v>4</v>
      </c>
      <c r="AY1260">
        <v>196</v>
      </c>
      <c r="AZ1260">
        <v>196</v>
      </c>
      <c r="BA1260">
        <v>251</v>
      </c>
      <c r="BB1260">
        <v>44</v>
      </c>
      <c r="BD1260">
        <v>1</v>
      </c>
      <c r="BF1260" t="s">
        <v>1386</v>
      </c>
      <c r="BG1260" s="1">
        <v>44353.833333333336</v>
      </c>
      <c r="BH1260" s="1">
        <v>44354.10292824074</v>
      </c>
      <c r="BI1260" s="1">
        <v>44354.103344907409</v>
      </c>
      <c r="BJ1260" t="s">
        <v>85</v>
      </c>
      <c r="BK1260" t="s">
        <v>86</v>
      </c>
      <c r="BL1260" t="s">
        <v>87</v>
      </c>
    </row>
    <row r="1261" spans="1:64" x14ac:dyDescent="0.3">
      <c r="A1261" t="str">
        <f>"200643B0000"</f>
        <v>200643B0000</v>
      </c>
      <c r="B1261" t="str">
        <f>"200643B00003"</f>
        <v>200643B00003</v>
      </c>
      <c r="C1261" t="str">
        <f t="shared" si="72"/>
        <v>20</v>
      </c>
      <c r="D1261" t="s">
        <v>81</v>
      </c>
      <c r="E1261" t="str">
        <f t="shared" ref="E1261:E1303" si="75">"071"</f>
        <v>071</v>
      </c>
      <c r="F1261" t="s">
        <v>1387</v>
      </c>
      <c r="G1261" t="str">
        <f>"0643"</f>
        <v>0643</v>
      </c>
      <c r="H1261" t="str">
        <f>"0000"</f>
        <v>0000</v>
      </c>
      <c r="I1261" t="s">
        <v>83</v>
      </c>
      <c r="J1261">
        <v>0</v>
      </c>
      <c r="K1261">
        <v>1</v>
      </c>
      <c r="L1261">
        <v>3</v>
      </c>
      <c r="M1261">
        <v>297</v>
      </c>
      <c r="N1261">
        <v>433</v>
      </c>
      <c r="O1261">
        <v>4</v>
      </c>
      <c r="P1261" t="s">
        <v>92</v>
      </c>
      <c r="Q1261">
        <v>2</v>
      </c>
      <c r="R1261">
        <v>8</v>
      </c>
      <c r="S1261">
        <v>4</v>
      </c>
      <c r="T1261">
        <v>55</v>
      </c>
      <c r="U1261">
        <v>80</v>
      </c>
      <c r="V1261">
        <v>2</v>
      </c>
      <c r="W1261">
        <v>0</v>
      </c>
      <c r="X1261">
        <v>63</v>
      </c>
      <c r="Y1261">
        <v>33</v>
      </c>
      <c r="Z1261">
        <v>1</v>
      </c>
      <c r="AA1261">
        <v>1</v>
      </c>
      <c r="AB1261">
        <v>35</v>
      </c>
      <c r="AC1261">
        <v>107</v>
      </c>
      <c r="AD1261">
        <v>22</v>
      </c>
      <c r="AF1261">
        <v>2</v>
      </c>
      <c r="AG1261">
        <v>0</v>
      </c>
      <c r="AH1261">
        <v>0</v>
      </c>
      <c r="AI1261">
        <v>0</v>
      </c>
      <c r="AW1261">
        <v>1</v>
      </c>
      <c r="AX1261">
        <v>17</v>
      </c>
      <c r="AY1261">
        <v>433</v>
      </c>
      <c r="AZ1261">
        <v>433</v>
      </c>
      <c r="BA1261">
        <v>680</v>
      </c>
      <c r="BB1261">
        <v>50</v>
      </c>
      <c r="BD1261">
        <v>1</v>
      </c>
      <c r="BF1261" t="s">
        <v>1388</v>
      </c>
      <c r="BG1261" s="1">
        <v>44354.094444444447</v>
      </c>
      <c r="BH1261" s="1">
        <v>44354.098819444444</v>
      </c>
      <c r="BI1261" s="1">
        <v>44354.100115740737</v>
      </c>
      <c r="BJ1261" t="s">
        <v>85</v>
      </c>
      <c r="BK1261" t="s">
        <v>86</v>
      </c>
      <c r="BL1261" t="s">
        <v>87</v>
      </c>
    </row>
    <row r="1262" spans="1:64" x14ac:dyDescent="0.3">
      <c r="A1262" t="str">
        <f>"200643C0100"</f>
        <v>200643C0100</v>
      </c>
      <c r="B1262" t="str">
        <f>"200643C01003"</f>
        <v>200643C01003</v>
      </c>
      <c r="C1262" t="str">
        <f t="shared" si="72"/>
        <v>20</v>
      </c>
      <c r="D1262" t="s">
        <v>81</v>
      </c>
      <c r="E1262" t="str">
        <f t="shared" si="75"/>
        <v>071</v>
      </c>
      <c r="F1262" t="s">
        <v>1387</v>
      </c>
      <c r="G1262" t="str">
        <f>"0643"</f>
        <v>0643</v>
      </c>
      <c r="H1262" t="str">
        <f>"0001"</f>
        <v>0001</v>
      </c>
      <c r="I1262" t="s">
        <v>89</v>
      </c>
      <c r="J1262">
        <v>0</v>
      </c>
      <c r="K1262">
        <v>1</v>
      </c>
      <c r="L1262">
        <v>3</v>
      </c>
      <c r="M1262">
        <v>301</v>
      </c>
      <c r="N1262">
        <v>429</v>
      </c>
      <c r="O1262">
        <v>1</v>
      </c>
      <c r="P1262">
        <v>429</v>
      </c>
      <c r="Q1262">
        <v>4</v>
      </c>
      <c r="R1262">
        <v>13</v>
      </c>
      <c r="S1262">
        <v>2</v>
      </c>
      <c r="T1262">
        <v>52</v>
      </c>
      <c r="U1262">
        <v>74</v>
      </c>
      <c r="V1262">
        <v>4</v>
      </c>
      <c r="W1262">
        <v>1</v>
      </c>
      <c r="X1262">
        <v>73</v>
      </c>
      <c r="Y1262">
        <v>11</v>
      </c>
      <c r="Z1262">
        <v>3</v>
      </c>
      <c r="AA1262">
        <v>0</v>
      </c>
      <c r="AB1262">
        <v>26</v>
      </c>
      <c r="AC1262">
        <v>141</v>
      </c>
      <c r="AD1262">
        <v>8</v>
      </c>
      <c r="AF1262">
        <v>0</v>
      </c>
      <c r="AG1262">
        <v>0</v>
      </c>
      <c r="AH1262">
        <v>0</v>
      </c>
      <c r="AI1262">
        <v>0</v>
      </c>
      <c r="AW1262">
        <v>0</v>
      </c>
      <c r="AX1262">
        <v>17</v>
      </c>
      <c r="AY1262">
        <v>429</v>
      </c>
      <c r="AZ1262">
        <v>429</v>
      </c>
      <c r="BA1262">
        <v>680</v>
      </c>
      <c r="BB1262">
        <v>50</v>
      </c>
      <c r="BD1262">
        <v>1</v>
      </c>
      <c r="BF1262" t="s">
        <v>1389</v>
      </c>
      <c r="BG1262" s="1">
        <v>44354.113194444442</v>
      </c>
      <c r="BH1262" s="1">
        <v>44354.116643518515</v>
      </c>
      <c r="BI1262" s="1">
        <v>44354.118437500001</v>
      </c>
      <c r="BJ1262" t="s">
        <v>85</v>
      </c>
      <c r="BK1262" t="s">
        <v>86</v>
      </c>
      <c r="BL1262" t="s">
        <v>1390</v>
      </c>
    </row>
    <row r="1263" spans="1:64" x14ac:dyDescent="0.3">
      <c r="A1263" t="str">
        <f>"200643C0200"</f>
        <v>200643C0200</v>
      </c>
      <c r="B1263" t="str">
        <f>"200643C02003"</f>
        <v>200643C02003</v>
      </c>
      <c r="C1263" t="str">
        <f t="shared" si="72"/>
        <v>20</v>
      </c>
      <c r="D1263" t="s">
        <v>81</v>
      </c>
      <c r="E1263" t="str">
        <f t="shared" si="75"/>
        <v>071</v>
      </c>
      <c r="F1263" t="s">
        <v>1387</v>
      </c>
      <c r="G1263" t="str">
        <f>"0643"</f>
        <v>0643</v>
      </c>
      <c r="H1263" t="str">
        <f>"0002"</f>
        <v>0002</v>
      </c>
      <c r="I1263" t="s">
        <v>89</v>
      </c>
      <c r="J1263">
        <v>0</v>
      </c>
      <c r="K1263">
        <v>1</v>
      </c>
      <c r="L1263">
        <v>3</v>
      </c>
      <c r="M1263">
        <v>323</v>
      </c>
      <c r="N1263">
        <v>407</v>
      </c>
      <c r="O1263">
        <v>7</v>
      </c>
      <c r="P1263">
        <v>407</v>
      </c>
      <c r="Q1263">
        <v>0</v>
      </c>
      <c r="R1263">
        <v>17</v>
      </c>
      <c r="S1263">
        <v>0</v>
      </c>
      <c r="T1263">
        <v>63</v>
      </c>
      <c r="U1263">
        <v>80</v>
      </c>
      <c r="V1263">
        <v>2</v>
      </c>
      <c r="W1263">
        <v>1</v>
      </c>
      <c r="X1263">
        <v>62</v>
      </c>
      <c r="Y1263">
        <v>16</v>
      </c>
      <c r="Z1263">
        <v>3</v>
      </c>
      <c r="AA1263">
        <v>1</v>
      </c>
      <c r="AB1263">
        <v>31</v>
      </c>
      <c r="AC1263">
        <v>108</v>
      </c>
      <c r="AD1263">
        <v>9</v>
      </c>
      <c r="AF1263">
        <v>2</v>
      </c>
      <c r="AG1263">
        <v>0</v>
      </c>
      <c r="AH1263">
        <v>0</v>
      </c>
      <c r="AI1263">
        <v>0</v>
      </c>
      <c r="AW1263">
        <v>0</v>
      </c>
      <c r="AX1263">
        <v>12</v>
      </c>
      <c r="AY1263">
        <v>407</v>
      </c>
      <c r="AZ1263">
        <v>407</v>
      </c>
      <c r="BA1263">
        <v>680</v>
      </c>
      <c r="BB1263">
        <v>50</v>
      </c>
      <c r="BD1263">
        <v>1</v>
      </c>
      <c r="BF1263" t="s">
        <v>1391</v>
      </c>
      <c r="BG1263" s="1">
        <v>44354.092361111114</v>
      </c>
      <c r="BH1263" s="1">
        <v>44354.097407407404</v>
      </c>
      <c r="BI1263" s="1">
        <v>44354.099293981482</v>
      </c>
      <c r="BJ1263" t="s">
        <v>85</v>
      </c>
      <c r="BK1263" t="s">
        <v>86</v>
      </c>
      <c r="BL1263" t="s">
        <v>87</v>
      </c>
    </row>
    <row r="1264" spans="1:64" x14ac:dyDescent="0.3">
      <c r="A1264" t="str">
        <f>"200643E0100"</f>
        <v>200643E0100</v>
      </c>
      <c r="B1264" t="str">
        <f>"200643E01003"</f>
        <v>200643E01003</v>
      </c>
      <c r="C1264" t="str">
        <f t="shared" si="72"/>
        <v>20</v>
      </c>
      <c r="D1264" t="s">
        <v>81</v>
      </c>
      <c r="E1264" t="str">
        <f t="shared" si="75"/>
        <v>071</v>
      </c>
      <c r="F1264" t="s">
        <v>1387</v>
      </c>
      <c r="G1264" t="str">
        <f>"0643"</f>
        <v>0643</v>
      </c>
      <c r="H1264" t="str">
        <f>"0001"</f>
        <v>0001</v>
      </c>
      <c r="I1264" t="s">
        <v>122</v>
      </c>
      <c r="J1264">
        <v>0</v>
      </c>
      <c r="K1264">
        <v>1</v>
      </c>
      <c r="L1264">
        <v>3</v>
      </c>
      <c r="M1264">
        <v>157</v>
      </c>
      <c r="N1264">
        <v>127</v>
      </c>
      <c r="O1264">
        <v>0</v>
      </c>
      <c r="P1264">
        <v>127</v>
      </c>
      <c r="Q1264">
        <v>1</v>
      </c>
      <c r="R1264">
        <v>4</v>
      </c>
      <c r="S1264">
        <v>1</v>
      </c>
      <c r="T1264">
        <v>1</v>
      </c>
      <c r="U1264">
        <v>1</v>
      </c>
      <c r="V1264">
        <v>0</v>
      </c>
      <c r="W1264">
        <v>1</v>
      </c>
      <c r="X1264">
        <v>2</v>
      </c>
      <c r="Y1264">
        <v>1</v>
      </c>
      <c r="Z1264">
        <v>1</v>
      </c>
      <c r="AA1264">
        <v>0</v>
      </c>
      <c r="AB1264">
        <v>7</v>
      </c>
      <c r="AC1264">
        <v>98</v>
      </c>
      <c r="AD1264">
        <v>1</v>
      </c>
      <c r="AF1264">
        <v>0</v>
      </c>
      <c r="AG1264">
        <v>0</v>
      </c>
      <c r="AH1264">
        <v>0</v>
      </c>
      <c r="AI1264">
        <v>0</v>
      </c>
      <c r="AW1264">
        <v>0</v>
      </c>
      <c r="AX1264">
        <v>8</v>
      </c>
      <c r="AY1264">
        <v>127</v>
      </c>
      <c r="AZ1264">
        <v>127</v>
      </c>
      <c r="BA1264">
        <v>234</v>
      </c>
      <c r="BB1264">
        <v>50</v>
      </c>
      <c r="BD1264">
        <v>1</v>
      </c>
      <c r="BF1264" t="s">
        <v>1392</v>
      </c>
      <c r="BG1264" s="1">
        <v>44354.271527777775</v>
      </c>
      <c r="BH1264" s="1">
        <v>44354.27621527778</v>
      </c>
      <c r="BI1264" s="1">
        <v>44354.276932870373</v>
      </c>
      <c r="BJ1264" t="s">
        <v>85</v>
      </c>
      <c r="BK1264" t="s">
        <v>86</v>
      </c>
      <c r="BL1264" t="s">
        <v>87</v>
      </c>
    </row>
    <row r="1265" spans="1:64" x14ac:dyDescent="0.3">
      <c r="A1265" t="str">
        <f>"200644B0000"</f>
        <v>200644B0000</v>
      </c>
      <c r="B1265" t="str">
        <f>"200644B00003"</f>
        <v>200644B00003</v>
      </c>
      <c r="C1265" t="str">
        <f t="shared" si="72"/>
        <v>20</v>
      </c>
      <c r="D1265" t="s">
        <v>81</v>
      </c>
      <c r="E1265" t="str">
        <f t="shared" si="75"/>
        <v>071</v>
      </c>
      <c r="F1265" t="s">
        <v>1387</v>
      </c>
      <c r="G1265" t="str">
        <f>"0644"</f>
        <v>0644</v>
      </c>
      <c r="H1265" t="str">
        <f>"0000"</f>
        <v>0000</v>
      </c>
      <c r="I1265" t="s">
        <v>83</v>
      </c>
      <c r="J1265">
        <v>0</v>
      </c>
      <c r="K1265">
        <v>1</v>
      </c>
      <c r="L1265">
        <v>3</v>
      </c>
      <c r="M1265">
        <v>290</v>
      </c>
      <c r="N1265">
        <v>366</v>
      </c>
      <c r="O1265">
        <v>5</v>
      </c>
      <c r="P1265">
        <v>366</v>
      </c>
      <c r="Q1265">
        <v>1</v>
      </c>
      <c r="R1265">
        <v>12</v>
      </c>
      <c r="S1265">
        <v>0</v>
      </c>
      <c r="T1265">
        <v>49</v>
      </c>
      <c r="U1265">
        <v>47</v>
      </c>
      <c r="V1265">
        <v>2</v>
      </c>
      <c r="W1265">
        <v>2</v>
      </c>
      <c r="X1265">
        <v>105</v>
      </c>
      <c r="Y1265">
        <v>7</v>
      </c>
      <c r="Z1265">
        <v>4</v>
      </c>
      <c r="AA1265">
        <v>1</v>
      </c>
      <c r="AB1265">
        <v>15</v>
      </c>
      <c r="AC1265">
        <v>96</v>
      </c>
      <c r="AD1265">
        <v>10</v>
      </c>
      <c r="AF1265">
        <v>0</v>
      </c>
      <c r="AG1265">
        <v>0</v>
      </c>
      <c r="AH1265">
        <v>0</v>
      </c>
      <c r="AI1265">
        <v>0</v>
      </c>
      <c r="AW1265">
        <v>0</v>
      </c>
      <c r="AX1265">
        <v>15</v>
      </c>
      <c r="AY1265">
        <v>366</v>
      </c>
      <c r="AZ1265">
        <v>366</v>
      </c>
      <c r="BA1265">
        <v>606</v>
      </c>
      <c r="BB1265">
        <v>50</v>
      </c>
      <c r="BD1265">
        <v>1</v>
      </c>
      <c r="BF1265" t="s">
        <v>1393</v>
      </c>
      <c r="BG1265" s="1">
        <v>44354.091666666667</v>
      </c>
      <c r="BH1265" s="1">
        <v>44354.097094907411</v>
      </c>
      <c r="BI1265" s="1">
        <v>44354.098356481481</v>
      </c>
      <c r="BJ1265" t="s">
        <v>85</v>
      </c>
      <c r="BK1265" t="s">
        <v>86</v>
      </c>
      <c r="BL1265" t="s">
        <v>87</v>
      </c>
    </row>
    <row r="1266" spans="1:64" x14ac:dyDescent="0.3">
      <c r="A1266" t="str">
        <f>"200644C0100"</f>
        <v>200644C0100</v>
      </c>
      <c r="B1266" t="str">
        <f>"200644C01003"</f>
        <v>200644C01003</v>
      </c>
      <c r="C1266" t="str">
        <f t="shared" si="72"/>
        <v>20</v>
      </c>
      <c r="D1266" t="s">
        <v>81</v>
      </c>
      <c r="E1266" t="str">
        <f t="shared" si="75"/>
        <v>071</v>
      </c>
      <c r="F1266" t="s">
        <v>1387</v>
      </c>
      <c r="G1266" t="str">
        <f>"0644"</f>
        <v>0644</v>
      </c>
      <c r="H1266" t="str">
        <f>"0001"</f>
        <v>0001</v>
      </c>
      <c r="I1266" t="s">
        <v>89</v>
      </c>
      <c r="J1266">
        <v>0</v>
      </c>
      <c r="K1266">
        <v>1</v>
      </c>
      <c r="L1266">
        <v>3</v>
      </c>
      <c r="M1266">
        <v>337</v>
      </c>
      <c r="N1266">
        <v>318</v>
      </c>
      <c r="O1266">
        <v>9</v>
      </c>
      <c r="P1266">
        <v>318</v>
      </c>
      <c r="Q1266">
        <v>1</v>
      </c>
      <c r="R1266">
        <v>9</v>
      </c>
      <c r="S1266">
        <v>4</v>
      </c>
      <c r="T1266">
        <v>49</v>
      </c>
      <c r="U1266">
        <v>34</v>
      </c>
      <c r="V1266">
        <v>5</v>
      </c>
      <c r="W1266">
        <v>1</v>
      </c>
      <c r="X1266">
        <v>82</v>
      </c>
      <c r="Y1266">
        <v>12</v>
      </c>
      <c r="Z1266">
        <v>2</v>
      </c>
      <c r="AA1266">
        <v>0</v>
      </c>
      <c r="AB1266">
        <v>18</v>
      </c>
      <c r="AC1266">
        <v>77</v>
      </c>
      <c r="AD1266">
        <v>13</v>
      </c>
      <c r="AF1266">
        <v>1</v>
      </c>
      <c r="AG1266">
        <v>0</v>
      </c>
      <c r="AH1266">
        <v>0</v>
      </c>
      <c r="AI1266">
        <v>0</v>
      </c>
      <c r="AW1266">
        <v>0</v>
      </c>
      <c r="AX1266">
        <v>10</v>
      </c>
      <c r="AY1266">
        <v>318</v>
      </c>
      <c r="AZ1266">
        <v>318</v>
      </c>
      <c r="BA1266">
        <v>605</v>
      </c>
      <c r="BB1266">
        <v>50</v>
      </c>
      <c r="BD1266">
        <v>1</v>
      </c>
      <c r="BF1266" t="s">
        <v>1394</v>
      </c>
      <c r="BG1266" s="1">
        <v>44354.09375</v>
      </c>
      <c r="BH1266" s="1">
        <v>44354.098923611113</v>
      </c>
      <c r="BI1266" s="1">
        <v>44354.099305555559</v>
      </c>
      <c r="BJ1266" t="s">
        <v>85</v>
      </c>
      <c r="BK1266" t="s">
        <v>86</v>
      </c>
      <c r="BL1266" t="s">
        <v>87</v>
      </c>
    </row>
    <row r="1267" spans="1:64" x14ac:dyDescent="0.3">
      <c r="A1267" t="str">
        <f>"200644C0200"</f>
        <v>200644C0200</v>
      </c>
      <c r="B1267" t="str">
        <f>"200644C02003"</f>
        <v>200644C02003</v>
      </c>
      <c r="C1267" t="str">
        <f t="shared" si="72"/>
        <v>20</v>
      </c>
      <c r="D1267" t="s">
        <v>81</v>
      </c>
      <c r="E1267" t="str">
        <f t="shared" si="75"/>
        <v>071</v>
      </c>
      <c r="F1267" t="s">
        <v>1387</v>
      </c>
      <c r="G1267" t="str">
        <f>"0644"</f>
        <v>0644</v>
      </c>
      <c r="H1267" t="str">
        <f>"0002"</f>
        <v>0002</v>
      </c>
      <c r="I1267" t="s">
        <v>89</v>
      </c>
      <c r="J1267">
        <v>0</v>
      </c>
      <c r="K1267">
        <v>1</v>
      </c>
      <c r="L1267">
        <v>3</v>
      </c>
      <c r="M1267">
        <v>323</v>
      </c>
      <c r="N1267">
        <v>332</v>
      </c>
      <c r="O1267">
        <v>9</v>
      </c>
      <c r="P1267">
        <v>332</v>
      </c>
      <c r="Q1267">
        <v>0</v>
      </c>
      <c r="R1267">
        <v>19</v>
      </c>
      <c r="S1267">
        <v>3</v>
      </c>
      <c r="T1267">
        <v>41</v>
      </c>
      <c r="U1267">
        <v>39</v>
      </c>
      <c r="V1267">
        <v>4</v>
      </c>
      <c r="W1267">
        <v>3</v>
      </c>
      <c r="X1267">
        <v>85</v>
      </c>
      <c r="Y1267">
        <v>9</v>
      </c>
      <c r="Z1267">
        <v>4</v>
      </c>
      <c r="AA1267">
        <v>3</v>
      </c>
      <c r="AB1267">
        <v>19</v>
      </c>
      <c r="AC1267">
        <v>81</v>
      </c>
      <c r="AD1267">
        <v>6</v>
      </c>
      <c r="AF1267">
        <v>3</v>
      </c>
      <c r="AG1267">
        <v>0</v>
      </c>
      <c r="AH1267">
        <v>0</v>
      </c>
      <c r="AI1267">
        <v>0</v>
      </c>
      <c r="AW1267">
        <v>0</v>
      </c>
      <c r="AX1267">
        <v>13</v>
      </c>
      <c r="AY1267">
        <v>332</v>
      </c>
      <c r="AZ1267">
        <v>332</v>
      </c>
      <c r="BA1267">
        <v>605</v>
      </c>
      <c r="BB1267">
        <v>50</v>
      </c>
      <c r="BD1267">
        <v>1</v>
      </c>
      <c r="BF1267" t="s">
        <v>1395</v>
      </c>
      <c r="BG1267" s="1">
        <v>44354.099305555559</v>
      </c>
      <c r="BH1267" s="1">
        <v>44354.103090277778</v>
      </c>
      <c r="BI1267" s="1">
        <v>44354.103819444441</v>
      </c>
      <c r="BJ1267" t="s">
        <v>85</v>
      </c>
      <c r="BK1267" t="s">
        <v>86</v>
      </c>
      <c r="BL1267" t="s">
        <v>87</v>
      </c>
    </row>
    <row r="1268" spans="1:64" x14ac:dyDescent="0.3">
      <c r="A1268" t="str">
        <f>"200645B0000"</f>
        <v>200645B0000</v>
      </c>
      <c r="B1268" t="str">
        <f>"200645B00003"</f>
        <v>200645B00003</v>
      </c>
      <c r="C1268" t="str">
        <f t="shared" si="72"/>
        <v>20</v>
      </c>
      <c r="D1268" t="s">
        <v>81</v>
      </c>
      <c r="E1268" t="str">
        <f t="shared" si="75"/>
        <v>071</v>
      </c>
      <c r="F1268" t="s">
        <v>1387</v>
      </c>
      <c r="G1268" t="str">
        <f>"0645"</f>
        <v>0645</v>
      </c>
      <c r="H1268" t="str">
        <f>"0000"</f>
        <v>0000</v>
      </c>
      <c r="I1268" t="s">
        <v>83</v>
      </c>
      <c r="J1268">
        <v>0</v>
      </c>
      <c r="K1268">
        <v>1</v>
      </c>
      <c r="L1268">
        <v>3</v>
      </c>
      <c r="M1268">
        <v>317</v>
      </c>
      <c r="N1268">
        <v>389</v>
      </c>
      <c r="O1268">
        <v>0</v>
      </c>
      <c r="P1268">
        <v>391</v>
      </c>
      <c r="Q1268">
        <v>3</v>
      </c>
      <c r="R1268">
        <v>22</v>
      </c>
      <c r="S1268">
        <v>4</v>
      </c>
      <c r="T1268">
        <v>55</v>
      </c>
      <c r="U1268">
        <v>47</v>
      </c>
      <c r="V1268">
        <v>6</v>
      </c>
      <c r="W1268">
        <v>2</v>
      </c>
      <c r="X1268">
        <v>61</v>
      </c>
      <c r="Y1268">
        <v>25</v>
      </c>
      <c r="Z1268">
        <v>3</v>
      </c>
      <c r="AA1268">
        <v>0</v>
      </c>
      <c r="AB1268">
        <v>18</v>
      </c>
      <c r="AC1268">
        <v>133</v>
      </c>
      <c r="AD1268">
        <v>10</v>
      </c>
      <c r="AF1268">
        <v>0</v>
      </c>
      <c r="AG1268">
        <v>0</v>
      </c>
      <c r="AH1268">
        <v>0</v>
      </c>
      <c r="AI1268">
        <v>0</v>
      </c>
      <c r="AW1268">
        <v>0</v>
      </c>
      <c r="AX1268">
        <v>2</v>
      </c>
      <c r="AY1268">
        <v>391</v>
      </c>
      <c r="AZ1268">
        <v>391</v>
      </c>
      <c r="BA1268">
        <v>656</v>
      </c>
      <c r="BB1268">
        <v>50</v>
      </c>
      <c r="BD1268">
        <v>1</v>
      </c>
      <c r="BF1268" t="s">
        <v>1396</v>
      </c>
      <c r="BG1268" s="1">
        <v>44354.157638888886</v>
      </c>
      <c r="BH1268" s="1">
        <v>44354.161469907405</v>
      </c>
      <c r="BI1268" s="1">
        <v>44354.161921296298</v>
      </c>
      <c r="BJ1268" t="s">
        <v>85</v>
      </c>
      <c r="BK1268" t="s">
        <v>86</v>
      </c>
      <c r="BL1268" t="s">
        <v>87</v>
      </c>
    </row>
    <row r="1269" spans="1:64" x14ac:dyDescent="0.3">
      <c r="A1269" t="str">
        <f>"200645C0100"</f>
        <v>200645C0100</v>
      </c>
      <c r="B1269" t="str">
        <f>"200645C01003"</f>
        <v>200645C01003</v>
      </c>
      <c r="C1269" t="str">
        <f t="shared" si="72"/>
        <v>20</v>
      </c>
      <c r="D1269" t="s">
        <v>81</v>
      </c>
      <c r="E1269" t="str">
        <f t="shared" si="75"/>
        <v>071</v>
      </c>
      <c r="F1269" t="s">
        <v>1387</v>
      </c>
      <c r="G1269" t="str">
        <f>"0645"</f>
        <v>0645</v>
      </c>
      <c r="H1269" t="str">
        <f>"0001"</f>
        <v>0001</v>
      </c>
      <c r="I1269" t="s">
        <v>89</v>
      </c>
      <c r="J1269">
        <v>0</v>
      </c>
      <c r="K1269">
        <v>1</v>
      </c>
      <c r="L1269">
        <v>3</v>
      </c>
      <c r="M1269">
        <v>299</v>
      </c>
      <c r="N1269">
        <v>407</v>
      </c>
      <c r="O1269">
        <v>4</v>
      </c>
      <c r="P1269">
        <v>404</v>
      </c>
      <c r="Q1269">
        <v>0</v>
      </c>
      <c r="R1269">
        <v>17</v>
      </c>
      <c r="S1269">
        <v>1</v>
      </c>
      <c r="T1269">
        <v>90</v>
      </c>
      <c r="U1269">
        <v>48</v>
      </c>
      <c r="V1269">
        <v>5</v>
      </c>
      <c r="W1269">
        <v>0</v>
      </c>
      <c r="X1269">
        <v>62</v>
      </c>
      <c r="Y1269">
        <v>38</v>
      </c>
      <c r="Z1269">
        <v>4</v>
      </c>
      <c r="AA1269">
        <v>1</v>
      </c>
      <c r="AB1269">
        <v>22</v>
      </c>
      <c r="AC1269">
        <v>95</v>
      </c>
      <c r="AD1269">
        <v>10</v>
      </c>
      <c r="AF1269">
        <v>0</v>
      </c>
      <c r="AG1269">
        <v>0</v>
      </c>
      <c r="AH1269">
        <v>0</v>
      </c>
      <c r="AI1269">
        <v>0</v>
      </c>
      <c r="AW1269">
        <v>0</v>
      </c>
      <c r="AX1269">
        <v>11</v>
      </c>
      <c r="AY1269">
        <v>404</v>
      </c>
      <c r="AZ1269">
        <v>404</v>
      </c>
      <c r="BA1269">
        <v>656</v>
      </c>
      <c r="BB1269">
        <v>50</v>
      </c>
      <c r="BD1269">
        <v>1</v>
      </c>
      <c r="BF1269" t="s">
        <v>1397</v>
      </c>
      <c r="BG1269" s="1">
        <v>44354.156944444447</v>
      </c>
      <c r="BH1269" s="1">
        <v>44354.163298611114</v>
      </c>
      <c r="BI1269" s="1">
        <v>44354.1640625</v>
      </c>
      <c r="BJ1269" t="s">
        <v>85</v>
      </c>
      <c r="BK1269" t="s">
        <v>86</v>
      </c>
      <c r="BL1269" t="s">
        <v>87</v>
      </c>
    </row>
    <row r="1270" spans="1:64" x14ac:dyDescent="0.3">
      <c r="A1270" t="str">
        <f>"200645C0200"</f>
        <v>200645C0200</v>
      </c>
      <c r="B1270" t="str">
        <f>"200645C02003"</f>
        <v>200645C02003</v>
      </c>
      <c r="C1270" t="str">
        <f t="shared" si="72"/>
        <v>20</v>
      </c>
      <c r="D1270" t="s">
        <v>81</v>
      </c>
      <c r="E1270" t="str">
        <f t="shared" si="75"/>
        <v>071</v>
      </c>
      <c r="F1270" t="s">
        <v>1387</v>
      </c>
      <c r="G1270" t="str">
        <f>"0645"</f>
        <v>0645</v>
      </c>
      <c r="H1270" t="str">
        <f>"0002"</f>
        <v>0002</v>
      </c>
      <c r="I1270" t="s">
        <v>89</v>
      </c>
      <c r="J1270">
        <v>0</v>
      </c>
      <c r="K1270">
        <v>1</v>
      </c>
      <c r="L1270">
        <v>3</v>
      </c>
      <c r="M1270">
        <v>323</v>
      </c>
      <c r="N1270">
        <v>373</v>
      </c>
      <c r="O1270">
        <v>0</v>
      </c>
      <c r="P1270">
        <v>373</v>
      </c>
      <c r="Q1270">
        <v>1</v>
      </c>
      <c r="R1270">
        <v>11</v>
      </c>
      <c r="S1270">
        <v>6</v>
      </c>
      <c r="T1270">
        <v>56</v>
      </c>
      <c r="U1270">
        <v>49</v>
      </c>
      <c r="V1270">
        <v>5</v>
      </c>
      <c r="W1270">
        <v>0</v>
      </c>
      <c r="X1270">
        <v>69</v>
      </c>
      <c r="Y1270">
        <v>31</v>
      </c>
      <c r="Z1270">
        <v>3</v>
      </c>
      <c r="AA1270">
        <v>0</v>
      </c>
      <c r="AB1270">
        <v>26</v>
      </c>
      <c r="AC1270">
        <v>99</v>
      </c>
      <c r="AD1270">
        <v>7</v>
      </c>
      <c r="AF1270">
        <v>0</v>
      </c>
      <c r="AG1270">
        <v>0</v>
      </c>
      <c r="AH1270">
        <v>0</v>
      </c>
      <c r="AI1270">
        <v>0</v>
      </c>
      <c r="AW1270">
        <v>0</v>
      </c>
      <c r="AX1270">
        <v>10</v>
      </c>
      <c r="AY1270">
        <v>373</v>
      </c>
      <c r="AZ1270">
        <v>373</v>
      </c>
      <c r="BA1270">
        <v>656</v>
      </c>
      <c r="BB1270">
        <v>50</v>
      </c>
      <c r="BD1270">
        <v>1</v>
      </c>
      <c r="BF1270" t="s">
        <v>1398</v>
      </c>
      <c r="BG1270" s="1">
        <v>44354.158333333333</v>
      </c>
      <c r="BH1270" s="1">
        <v>44354.161087962966</v>
      </c>
      <c r="BI1270" s="1">
        <v>44354.161666666667</v>
      </c>
      <c r="BJ1270" t="s">
        <v>85</v>
      </c>
      <c r="BK1270" t="s">
        <v>86</v>
      </c>
      <c r="BL1270" t="s">
        <v>87</v>
      </c>
    </row>
    <row r="1271" spans="1:64" x14ac:dyDescent="0.3">
      <c r="A1271" t="str">
        <f>"200645E0100"</f>
        <v>200645E0100</v>
      </c>
      <c r="B1271" t="str">
        <f>"200645E01003"</f>
        <v>200645E01003</v>
      </c>
      <c r="C1271" t="str">
        <f t="shared" si="72"/>
        <v>20</v>
      </c>
      <c r="D1271" t="s">
        <v>81</v>
      </c>
      <c r="E1271" t="str">
        <f t="shared" si="75"/>
        <v>071</v>
      </c>
      <c r="F1271" t="s">
        <v>1387</v>
      </c>
      <c r="G1271" t="str">
        <f>"0645"</f>
        <v>0645</v>
      </c>
      <c r="H1271" t="str">
        <f>"0001"</f>
        <v>0001</v>
      </c>
      <c r="I1271" t="s">
        <v>122</v>
      </c>
      <c r="J1271">
        <v>0</v>
      </c>
      <c r="K1271">
        <v>1</v>
      </c>
      <c r="L1271">
        <v>3</v>
      </c>
      <c r="M1271">
        <v>412</v>
      </c>
      <c r="N1271">
        <v>287</v>
      </c>
      <c r="O1271">
        <v>0</v>
      </c>
      <c r="P1271">
        <v>287</v>
      </c>
      <c r="Q1271">
        <v>1</v>
      </c>
      <c r="R1271">
        <v>11</v>
      </c>
      <c r="S1271">
        <v>5</v>
      </c>
      <c r="T1271">
        <v>29</v>
      </c>
      <c r="U1271">
        <v>30</v>
      </c>
      <c r="V1271">
        <v>7</v>
      </c>
      <c r="W1271">
        <v>9</v>
      </c>
      <c r="X1271">
        <v>59</v>
      </c>
      <c r="Y1271">
        <v>30</v>
      </c>
      <c r="Z1271">
        <v>7</v>
      </c>
      <c r="AA1271">
        <v>2</v>
      </c>
      <c r="AB1271">
        <v>14</v>
      </c>
      <c r="AC1271">
        <v>73</v>
      </c>
      <c r="AD1271">
        <v>2</v>
      </c>
      <c r="AF1271">
        <v>2</v>
      </c>
      <c r="AG1271">
        <v>0</v>
      </c>
      <c r="AH1271">
        <v>0</v>
      </c>
      <c r="AI1271">
        <v>0</v>
      </c>
      <c r="AW1271">
        <v>0</v>
      </c>
      <c r="AX1271">
        <v>6</v>
      </c>
      <c r="AY1271">
        <v>287</v>
      </c>
      <c r="AZ1271">
        <v>287</v>
      </c>
      <c r="BA1271">
        <v>649</v>
      </c>
      <c r="BB1271">
        <v>50</v>
      </c>
      <c r="BD1271">
        <v>1</v>
      </c>
      <c r="BF1271" t="s">
        <v>1399</v>
      </c>
      <c r="BG1271" s="1">
        <v>44354.103472222225</v>
      </c>
      <c r="BH1271" s="1">
        <v>44354.107187499998</v>
      </c>
      <c r="BI1271" s="1">
        <v>44354.10765046296</v>
      </c>
      <c r="BJ1271" t="s">
        <v>85</v>
      </c>
      <c r="BK1271" t="s">
        <v>86</v>
      </c>
      <c r="BL1271" t="s">
        <v>87</v>
      </c>
    </row>
    <row r="1272" spans="1:64" x14ac:dyDescent="0.3">
      <c r="A1272" t="str">
        <f>"200646B0000"</f>
        <v>200646B0000</v>
      </c>
      <c r="B1272" t="str">
        <f>"200646B00003"</f>
        <v>200646B00003</v>
      </c>
      <c r="C1272" t="str">
        <f t="shared" si="72"/>
        <v>20</v>
      </c>
      <c r="D1272" t="s">
        <v>81</v>
      </c>
      <c r="E1272" t="str">
        <f t="shared" si="75"/>
        <v>071</v>
      </c>
      <c r="F1272" t="s">
        <v>1387</v>
      </c>
      <c r="G1272" t="str">
        <f>"0646"</f>
        <v>0646</v>
      </c>
      <c r="H1272" t="str">
        <f>"0000"</f>
        <v>0000</v>
      </c>
      <c r="I1272" t="s">
        <v>83</v>
      </c>
      <c r="J1272">
        <v>0</v>
      </c>
      <c r="K1272">
        <v>1</v>
      </c>
      <c r="L1272">
        <v>3</v>
      </c>
      <c r="M1272" t="s">
        <v>92</v>
      </c>
      <c r="N1272" t="s">
        <v>92</v>
      </c>
      <c r="O1272" t="s">
        <v>92</v>
      </c>
      <c r="P1272" t="s">
        <v>92</v>
      </c>
      <c r="Q1272" t="s">
        <v>95</v>
      </c>
      <c r="R1272" t="s">
        <v>95</v>
      </c>
      <c r="S1272" t="s">
        <v>95</v>
      </c>
      <c r="T1272" t="s">
        <v>95</v>
      </c>
      <c r="U1272" t="s">
        <v>95</v>
      </c>
      <c r="V1272" t="s">
        <v>95</v>
      </c>
      <c r="W1272" t="s">
        <v>95</v>
      </c>
      <c r="X1272" t="s">
        <v>95</v>
      </c>
      <c r="Y1272" t="s">
        <v>95</v>
      </c>
      <c r="Z1272" t="s">
        <v>95</v>
      </c>
      <c r="AA1272" t="s">
        <v>95</v>
      </c>
      <c r="AB1272" t="s">
        <v>95</v>
      </c>
      <c r="AC1272" t="s">
        <v>95</v>
      </c>
      <c r="AD1272" t="s">
        <v>95</v>
      </c>
      <c r="AF1272" t="s">
        <v>95</v>
      </c>
      <c r="AG1272" t="s">
        <v>95</v>
      </c>
      <c r="AH1272" t="s">
        <v>95</v>
      </c>
      <c r="AI1272" t="s">
        <v>95</v>
      </c>
      <c r="AW1272" t="s">
        <v>95</v>
      </c>
      <c r="AX1272" t="s">
        <v>95</v>
      </c>
      <c r="BA1272">
        <v>663</v>
      </c>
      <c r="BB1272">
        <v>50</v>
      </c>
      <c r="BC1272" t="s">
        <v>712</v>
      </c>
      <c r="BD1272">
        <v>0</v>
      </c>
      <c r="BF1272" t="s">
        <v>1400</v>
      </c>
      <c r="BG1272" s="1">
        <v>44354.222916666666</v>
      </c>
      <c r="BH1272" s="1">
        <v>44354.243784722225</v>
      </c>
      <c r="BI1272" s="1">
        <v>44354.243784722225</v>
      </c>
      <c r="BJ1272" t="s">
        <v>85</v>
      </c>
      <c r="BK1272" t="s">
        <v>86</v>
      </c>
      <c r="BL1272" t="s">
        <v>87</v>
      </c>
    </row>
    <row r="1273" spans="1:64" x14ac:dyDescent="0.3">
      <c r="A1273" t="str">
        <f>"200646C0100"</f>
        <v>200646C0100</v>
      </c>
      <c r="B1273" t="str">
        <f>"200646C01003"</f>
        <v>200646C01003</v>
      </c>
      <c r="C1273" t="str">
        <f t="shared" si="72"/>
        <v>20</v>
      </c>
      <c r="D1273" t="s">
        <v>81</v>
      </c>
      <c r="E1273" t="str">
        <f t="shared" si="75"/>
        <v>071</v>
      </c>
      <c r="F1273" t="s">
        <v>1387</v>
      </c>
      <c r="G1273" t="str">
        <f>"0646"</f>
        <v>0646</v>
      </c>
      <c r="H1273" t="str">
        <f>"0001"</f>
        <v>0001</v>
      </c>
      <c r="I1273" t="s">
        <v>89</v>
      </c>
      <c r="J1273">
        <v>0</v>
      </c>
      <c r="K1273">
        <v>1</v>
      </c>
      <c r="L1273">
        <v>3</v>
      </c>
      <c r="M1273">
        <v>333</v>
      </c>
      <c r="N1273">
        <v>379</v>
      </c>
      <c r="O1273">
        <v>6</v>
      </c>
      <c r="P1273" t="s">
        <v>92</v>
      </c>
      <c r="Q1273">
        <v>1</v>
      </c>
      <c r="R1273">
        <v>14</v>
      </c>
      <c r="S1273">
        <v>1</v>
      </c>
      <c r="T1273">
        <v>99</v>
      </c>
      <c r="U1273">
        <v>38</v>
      </c>
      <c r="V1273">
        <v>6</v>
      </c>
      <c r="W1273">
        <v>1</v>
      </c>
      <c r="X1273">
        <v>36</v>
      </c>
      <c r="Y1273">
        <v>17</v>
      </c>
      <c r="Z1273">
        <v>5</v>
      </c>
      <c r="AA1273">
        <v>1</v>
      </c>
      <c r="AB1273">
        <v>18</v>
      </c>
      <c r="AC1273">
        <v>111</v>
      </c>
      <c r="AD1273">
        <v>15</v>
      </c>
      <c r="AF1273">
        <v>2</v>
      </c>
      <c r="AG1273">
        <v>0</v>
      </c>
      <c r="AH1273">
        <v>0</v>
      </c>
      <c r="AI1273">
        <v>0</v>
      </c>
      <c r="AW1273">
        <v>0</v>
      </c>
      <c r="AX1273">
        <v>14</v>
      </c>
      <c r="AY1273">
        <v>379</v>
      </c>
      <c r="AZ1273">
        <v>379</v>
      </c>
      <c r="BA1273">
        <v>662</v>
      </c>
      <c r="BB1273">
        <v>50</v>
      </c>
      <c r="BD1273">
        <v>1</v>
      </c>
      <c r="BF1273" t="s">
        <v>1401</v>
      </c>
      <c r="BG1273" s="1">
        <v>44354.154861111114</v>
      </c>
      <c r="BH1273" s="1">
        <v>44354.165243055555</v>
      </c>
      <c r="BI1273" s="1">
        <v>44354.165833333333</v>
      </c>
      <c r="BJ1273" t="s">
        <v>85</v>
      </c>
      <c r="BK1273" t="s">
        <v>86</v>
      </c>
      <c r="BL1273" t="s">
        <v>87</v>
      </c>
    </row>
    <row r="1274" spans="1:64" x14ac:dyDescent="0.3">
      <c r="A1274" t="str">
        <f>"200646C0200"</f>
        <v>200646C0200</v>
      </c>
      <c r="B1274" t="str">
        <f>"200646C02003"</f>
        <v>200646C02003</v>
      </c>
      <c r="C1274" t="str">
        <f t="shared" si="72"/>
        <v>20</v>
      </c>
      <c r="D1274" t="s">
        <v>81</v>
      </c>
      <c r="E1274" t="str">
        <f t="shared" si="75"/>
        <v>071</v>
      </c>
      <c r="F1274" t="s">
        <v>1387</v>
      </c>
      <c r="G1274" t="str">
        <f>"0646"</f>
        <v>0646</v>
      </c>
      <c r="H1274" t="str">
        <f>"0002"</f>
        <v>0002</v>
      </c>
      <c r="I1274" t="s">
        <v>89</v>
      </c>
      <c r="J1274">
        <v>0</v>
      </c>
      <c r="K1274">
        <v>1</v>
      </c>
      <c r="L1274">
        <v>3</v>
      </c>
      <c r="M1274">
        <v>361</v>
      </c>
      <c r="N1274">
        <v>351</v>
      </c>
      <c r="O1274">
        <v>3</v>
      </c>
      <c r="P1274">
        <v>351</v>
      </c>
      <c r="Q1274">
        <v>2</v>
      </c>
      <c r="R1274">
        <v>11</v>
      </c>
      <c r="S1274">
        <v>5</v>
      </c>
      <c r="T1274">
        <v>61</v>
      </c>
      <c r="U1274">
        <v>34</v>
      </c>
      <c r="V1274">
        <v>3</v>
      </c>
      <c r="W1274">
        <v>3</v>
      </c>
      <c r="X1274">
        <v>55</v>
      </c>
      <c r="Y1274">
        <v>25</v>
      </c>
      <c r="Z1274">
        <v>3</v>
      </c>
      <c r="AA1274">
        <v>1</v>
      </c>
      <c r="AB1274">
        <v>22</v>
      </c>
      <c r="AC1274">
        <v>104</v>
      </c>
      <c r="AD1274">
        <v>10</v>
      </c>
      <c r="AF1274">
        <v>1</v>
      </c>
      <c r="AG1274">
        <v>0</v>
      </c>
      <c r="AH1274">
        <v>0</v>
      </c>
      <c r="AI1274">
        <v>0</v>
      </c>
      <c r="AW1274">
        <v>0</v>
      </c>
      <c r="AX1274">
        <v>11</v>
      </c>
      <c r="AY1274">
        <v>351</v>
      </c>
      <c r="AZ1274">
        <v>351</v>
      </c>
      <c r="BA1274">
        <v>662</v>
      </c>
      <c r="BB1274">
        <v>50</v>
      </c>
      <c r="BD1274">
        <v>1</v>
      </c>
      <c r="BF1274" t="s">
        <v>1402</v>
      </c>
      <c r="BG1274" s="1">
        <v>44354.15625</v>
      </c>
      <c r="BH1274" s="1">
        <v>44354.164606481485</v>
      </c>
      <c r="BI1274" s="1">
        <v>44354.165150462963</v>
      </c>
      <c r="BJ1274" t="s">
        <v>85</v>
      </c>
      <c r="BK1274" t="s">
        <v>86</v>
      </c>
      <c r="BL1274" t="s">
        <v>87</v>
      </c>
    </row>
    <row r="1275" spans="1:64" x14ac:dyDescent="0.3">
      <c r="A1275" t="str">
        <f>"200646S0100"</f>
        <v>200646S0100</v>
      </c>
      <c r="B1275" t="str">
        <f>"200646S01003E"</f>
        <v>200646S01003E</v>
      </c>
      <c r="C1275" t="str">
        <f t="shared" si="72"/>
        <v>20</v>
      </c>
      <c r="D1275" t="s">
        <v>81</v>
      </c>
      <c r="E1275" t="str">
        <f t="shared" si="75"/>
        <v>071</v>
      </c>
      <c r="F1275" t="s">
        <v>1387</v>
      </c>
      <c r="G1275" t="str">
        <f>"0646"</f>
        <v>0646</v>
      </c>
      <c r="H1275" t="str">
        <f>"0001"</f>
        <v>0001</v>
      </c>
      <c r="I1275" t="s">
        <v>99</v>
      </c>
      <c r="J1275">
        <v>0</v>
      </c>
      <c r="K1275">
        <v>1</v>
      </c>
      <c r="L1275" t="s">
        <v>100</v>
      </c>
      <c r="M1275">
        <v>851</v>
      </c>
      <c r="N1275">
        <v>149</v>
      </c>
      <c r="O1275">
        <v>0</v>
      </c>
      <c r="P1275">
        <v>149</v>
      </c>
      <c r="Q1275">
        <v>0</v>
      </c>
      <c r="R1275">
        <v>5</v>
      </c>
      <c r="S1275">
        <v>1</v>
      </c>
      <c r="T1275">
        <v>7</v>
      </c>
      <c r="U1275">
        <v>9</v>
      </c>
      <c r="V1275">
        <v>1</v>
      </c>
      <c r="W1275">
        <v>2</v>
      </c>
      <c r="X1275">
        <v>19</v>
      </c>
      <c r="Y1275">
        <v>6</v>
      </c>
      <c r="Z1275">
        <v>1</v>
      </c>
      <c r="AA1275">
        <v>0</v>
      </c>
      <c r="AB1275">
        <v>10</v>
      </c>
      <c r="AC1275">
        <v>71</v>
      </c>
      <c r="AD1275">
        <v>11</v>
      </c>
      <c r="AF1275">
        <v>1</v>
      </c>
      <c r="AG1275">
        <v>0</v>
      </c>
      <c r="AH1275">
        <v>0</v>
      </c>
      <c r="AI1275">
        <v>0</v>
      </c>
      <c r="AW1275">
        <v>0</v>
      </c>
      <c r="AX1275">
        <v>5</v>
      </c>
      <c r="AY1275">
        <v>149</v>
      </c>
      <c r="AZ1275">
        <v>149</v>
      </c>
      <c r="BA1275">
        <v>0</v>
      </c>
      <c r="BB1275">
        <v>50</v>
      </c>
      <c r="BD1275">
        <v>1</v>
      </c>
      <c r="BF1275" t="s">
        <v>1403</v>
      </c>
      <c r="BG1275" s="1">
        <v>44354.097916666666</v>
      </c>
      <c r="BH1275" s="1">
        <v>44354.100543981483</v>
      </c>
      <c r="BI1275" s="1">
        <v>44354.100983796299</v>
      </c>
      <c r="BJ1275" t="s">
        <v>85</v>
      </c>
      <c r="BK1275" t="s">
        <v>86</v>
      </c>
      <c r="BL1275" t="s">
        <v>87</v>
      </c>
    </row>
    <row r="1276" spans="1:64" x14ac:dyDescent="0.3">
      <c r="A1276" t="str">
        <f>"200647B0000"</f>
        <v>200647B0000</v>
      </c>
      <c r="B1276" t="str">
        <f>"200647B00003"</f>
        <v>200647B00003</v>
      </c>
      <c r="C1276" t="str">
        <f t="shared" si="72"/>
        <v>20</v>
      </c>
      <c r="D1276" t="s">
        <v>81</v>
      </c>
      <c r="E1276" t="str">
        <f t="shared" si="75"/>
        <v>071</v>
      </c>
      <c r="F1276" t="s">
        <v>1387</v>
      </c>
      <c r="G1276" t="str">
        <f>"0647"</f>
        <v>0647</v>
      </c>
      <c r="H1276" t="str">
        <f>"0000"</f>
        <v>0000</v>
      </c>
      <c r="I1276" t="s">
        <v>83</v>
      </c>
      <c r="J1276">
        <v>0</v>
      </c>
      <c r="K1276">
        <v>1</v>
      </c>
      <c r="L1276">
        <v>3</v>
      </c>
      <c r="M1276">
        <v>258</v>
      </c>
      <c r="N1276">
        <v>337</v>
      </c>
      <c r="O1276">
        <v>3</v>
      </c>
      <c r="P1276">
        <v>337</v>
      </c>
      <c r="Q1276">
        <v>2</v>
      </c>
      <c r="R1276">
        <v>18</v>
      </c>
      <c r="S1276">
        <v>4</v>
      </c>
      <c r="T1276">
        <v>62</v>
      </c>
      <c r="U1276">
        <v>54</v>
      </c>
      <c r="V1276">
        <v>4</v>
      </c>
      <c r="W1276">
        <v>0</v>
      </c>
      <c r="X1276">
        <v>25</v>
      </c>
      <c r="Y1276">
        <v>21</v>
      </c>
      <c r="Z1276">
        <v>1</v>
      </c>
      <c r="AA1276">
        <v>0</v>
      </c>
      <c r="AB1276">
        <v>12</v>
      </c>
      <c r="AC1276">
        <v>109</v>
      </c>
      <c r="AD1276">
        <v>13</v>
      </c>
      <c r="AF1276">
        <v>3</v>
      </c>
      <c r="AG1276">
        <v>0</v>
      </c>
      <c r="AH1276">
        <v>0</v>
      </c>
      <c r="AI1276">
        <v>0</v>
      </c>
      <c r="AW1276">
        <v>0</v>
      </c>
      <c r="AX1276">
        <v>9</v>
      </c>
      <c r="AY1276">
        <v>337</v>
      </c>
      <c r="AZ1276">
        <v>337</v>
      </c>
      <c r="BA1276">
        <v>545</v>
      </c>
      <c r="BB1276">
        <v>50</v>
      </c>
      <c r="BD1276">
        <v>1</v>
      </c>
      <c r="BF1276" t="s">
        <v>1404</v>
      </c>
      <c r="BG1276" s="1">
        <v>44354.158333333333</v>
      </c>
      <c r="BH1276" s="1">
        <v>44354.161354166667</v>
      </c>
      <c r="BI1276" s="1">
        <v>44354.161863425928</v>
      </c>
      <c r="BJ1276" t="s">
        <v>85</v>
      </c>
      <c r="BK1276" t="s">
        <v>86</v>
      </c>
      <c r="BL1276" t="s">
        <v>87</v>
      </c>
    </row>
    <row r="1277" spans="1:64" x14ac:dyDescent="0.3">
      <c r="A1277" t="str">
        <f>"200647C0100"</f>
        <v>200647C0100</v>
      </c>
      <c r="B1277" t="str">
        <f>"200647C01003"</f>
        <v>200647C01003</v>
      </c>
      <c r="C1277" t="str">
        <f t="shared" si="72"/>
        <v>20</v>
      </c>
      <c r="D1277" t="s">
        <v>81</v>
      </c>
      <c r="E1277" t="str">
        <f t="shared" si="75"/>
        <v>071</v>
      </c>
      <c r="F1277" t="s">
        <v>1387</v>
      </c>
      <c r="G1277" t="str">
        <f>"0647"</f>
        <v>0647</v>
      </c>
      <c r="H1277" t="str">
        <f>"0001"</f>
        <v>0001</v>
      </c>
      <c r="I1277" t="s">
        <v>89</v>
      </c>
      <c r="J1277">
        <v>0</v>
      </c>
      <c r="K1277">
        <v>1</v>
      </c>
      <c r="L1277">
        <v>3</v>
      </c>
      <c r="M1277">
        <v>251</v>
      </c>
      <c r="N1277">
        <v>344</v>
      </c>
      <c r="O1277">
        <v>5</v>
      </c>
      <c r="P1277">
        <v>344</v>
      </c>
      <c r="Q1277">
        <v>0</v>
      </c>
      <c r="R1277">
        <v>22</v>
      </c>
      <c r="S1277">
        <v>1</v>
      </c>
      <c r="T1277">
        <v>66</v>
      </c>
      <c r="U1277">
        <v>35</v>
      </c>
      <c r="V1277">
        <v>4</v>
      </c>
      <c r="W1277">
        <v>35</v>
      </c>
      <c r="X1277">
        <v>4</v>
      </c>
      <c r="Y1277">
        <v>13</v>
      </c>
      <c r="Z1277">
        <v>2</v>
      </c>
      <c r="AA1277">
        <v>1</v>
      </c>
      <c r="AB1277">
        <v>17</v>
      </c>
      <c r="AC1277">
        <v>115</v>
      </c>
      <c r="AD1277">
        <v>8</v>
      </c>
      <c r="AF1277">
        <v>3</v>
      </c>
      <c r="AG1277">
        <v>1</v>
      </c>
      <c r="AH1277">
        <v>0</v>
      </c>
      <c r="AI1277">
        <v>0</v>
      </c>
      <c r="AW1277">
        <v>0</v>
      </c>
      <c r="AX1277">
        <v>11</v>
      </c>
      <c r="AY1277">
        <v>344</v>
      </c>
      <c r="AZ1277">
        <v>338</v>
      </c>
      <c r="BA1277">
        <v>545</v>
      </c>
      <c r="BB1277">
        <v>50</v>
      </c>
      <c r="BD1277">
        <v>1</v>
      </c>
      <c r="BF1277" t="s">
        <v>1405</v>
      </c>
      <c r="BG1277" s="1">
        <v>44354.15902777778</v>
      </c>
      <c r="BH1277" s="1">
        <v>44354.16202546296</v>
      </c>
      <c r="BI1277" s="1">
        <v>44354.162754629629</v>
      </c>
      <c r="BJ1277" t="s">
        <v>85</v>
      </c>
      <c r="BK1277" t="s">
        <v>86</v>
      </c>
      <c r="BL1277" t="s">
        <v>87</v>
      </c>
    </row>
    <row r="1278" spans="1:64" x14ac:dyDescent="0.3">
      <c r="A1278" t="str">
        <f>"200647C0200"</f>
        <v>200647C0200</v>
      </c>
      <c r="B1278" t="str">
        <f>"200647C02003"</f>
        <v>200647C02003</v>
      </c>
      <c r="C1278" t="str">
        <f t="shared" si="72"/>
        <v>20</v>
      </c>
      <c r="D1278" t="s">
        <v>81</v>
      </c>
      <c r="E1278" t="str">
        <f t="shared" si="75"/>
        <v>071</v>
      </c>
      <c r="F1278" t="s">
        <v>1387</v>
      </c>
      <c r="G1278" t="str">
        <f>"0647"</f>
        <v>0647</v>
      </c>
      <c r="H1278" t="str">
        <f>"0002"</f>
        <v>0002</v>
      </c>
      <c r="I1278" t="s">
        <v>89</v>
      </c>
      <c r="J1278">
        <v>0</v>
      </c>
      <c r="K1278">
        <v>1</v>
      </c>
      <c r="L1278">
        <v>3</v>
      </c>
      <c r="M1278">
        <v>222</v>
      </c>
      <c r="N1278">
        <v>372</v>
      </c>
      <c r="O1278">
        <v>12</v>
      </c>
      <c r="P1278">
        <v>372</v>
      </c>
      <c r="Q1278">
        <v>5</v>
      </c>
      <c r="R1278">
        <v>22</v>
      </c>
      <c r="S1278">
        <v>3</v>
      </c>
      <c r="T1278">
        <v>79</v>
      </c>
      <c r="U1278">
        <v>50</v>
      </c>
      <c r="V1278">
        <v>4</v>
      </c>
      <c r="W1278">
        <v>7</v>
      </c>
      <c r="X1278">
        <v>37</v>
      </c>
      <c r="Y1278">
        <v>18</v>
      </c>
      <c r="Z1278">
        <v>1</v>
      </c>
      <c r="AA1278">
        <v>0</v>
      </c>
      <c r="AB1278">
        <v>14</v>
      </c>
      <c r="AC1278">
        <v>114</v>
      </c>
      <c r="AD1278">
        <v>5</v>
      </c>
      <c r="AF1278">
        <v>1</v>
      </c>
      <c r="AG1278">
        <v>0</v>
      </c>
      <c r="AH1278">
        <v>0</v>
      </c>
      <c r="AI1278">
        <v>0</v>
      </c>
      <c r="AW1278">
        <v>0</v>
      </c>
      <c r="AX1278">
        <v>11</v>
      </c>
      <c r="AY1278">
        <v>372</v>
      </c>
      <c r="AZ1278">
        <v>371</v>
      </c>
      <c r="BA1278">
        <v>544</v>
      </c>
      <c r="BB1278">
        <v>50</v>
      </c>
      <c r="BD1278">
        <v>1</v>
      </c>
      <c r="BF1278" t="s">
        <v>1406</v>
      </c>
      <c r="BG1278" s="1">
        <v>44354.157638888886</v>
      </c>
      <c r="BH1278" s="1">
        <v>44354.159756944442</v>
      </c>
      <c r="BI1278" s="1">
        <v>44354.160370370373</v>
      </c>
      <c r="BJ1278" t="s">
        <v>85</v>
      </c>
      <c r="BK1278" t="s">
        <v>86</v>
      </c>
      <c r="BL1278" t="s">
        <v>1390</v>
      </c>
    </row>
    <row r="1279" spans="1:64" x14ac:dyDescent="0.3">
      <c r="A1279" t="str">
        <f>"200648B0000"</f>
        <v>200648B0000</v>
      </c>
      <c r="B1279" t="str">
        <f>"200648B00003"</f>
        <v>200648B00003</v>
      </c>
      <c r="C1279" t="str">
        <f t="shared" si="72"/>
        <v>20</v>
      </c>
      <c r="D1279" t="s">
        <v>81</v>
      </c>
      <c r="E1279" t="str">
        <f t="shared" si="75"/>
        <v>071</v>
      </c>
      <c r="F1279" t="s">
        <v>1387</v>
      </c>
      <c r="G1279" t="str">
        <f>"0648"</f>
        <v>0648</v>
      </c>
      <c r="H1279" t="str">
        <f>"0000"</f>
        <v>0000</v>
      </c>
      <c r="I1279" t="s">
        <v>83</v>
      </c>
      <c r="J1279">
        <v>0</v>
      </c>
      <c r="K1279">
        <v>1</v>
      </c>
      <c r="L1279">
        <v>3</v>
      </c>
      <c r="M1279">
        <v>288</v>
      </c>
      <c r="N1279">
        <v>374</v>
      </c>
      <c r="O1279">
        <v>4</v>
      </c>
      <c r="P1279">
        <v>374</v>
      </c>
      <c r="Q1279">
        <v>0</v>
      </c>
      <c r="R1279">
        <v>18</v>
      </c>
      <c r="S1279">
        <v>4</v>
      </c>
      <c r="T1279">
        <v>66</v>
      </c>
      <c r="U1279">
        <v>69</v>
      </c>
      <c r="V1279">
        <v>5</v>
      </c>
      <c r="W1279">
        <v>2</v>
      </c>
      <c r="X1279">
        <v>46</v>
      </c>
      <c r="Y1279">
        <v>22</v>
      </c>
      <c r="Z1279">
        <v>5</v>
      </c>
      <c r="AA1279">
        <v>0</v>
      </c>
      <c r="AB1279">
        <v>19</v>
      </c>
      <c r="AC1279">
        <v>99</v>
      </c>
      <c r="AD1279">
        <v>7</v>
      </c>
      <c r="AF1279">
        <v>3</v>
      </c>
      <c r="AG1279">
        <v>0</v>
      </c>
      <c r="AH1279">
        <v>0</v>
      </c>
      <c r="AI1279">
        <v>0</v>
      </c>
      <c r="AW1279">
        <v>0</v>
      </c>
      <c r="AX1279">
        <v>9</v>
      </c>
      <c r="AY1279">
        <v>374</v>
      </c>
      <c r="AZ1279">
        <v>374</v>
      </c>
      <c r="BA1279">
        <v>612</v>
      </c>
      <c r="BB1279">
        <v>50</v>
      </c>
      <c r="BD1279">
        <v>1</v>
      </c>
      <c r="BF1279" t="s">
        <v>1407</v>
      </c>
      <c r="BG1279" s="1">
        <v>44354.09652777778</v>
      </c>
      <c r="BH1279" s="1">
        <v>44354.09988425926</v>
      </c>
      <c r="BI1279" s="1">
        <v>44354.100277777776</v>
      </c>
      <c r="BJ1279" t="s">
        <v>85</v>
      </c>
      <c r="BK1279" t="s">
        <v>86</v>
      </c>
      <c r="BL1279" t="s">
        <v>87</v>
      </c>
    </row>
    <row r="1280" spans="1:64" x14ac:dyDescent="0.3">
      <c r="A1280" t="str">
        <f>"200648C0100"</f>
        <v>200648C0100</v>
      </c>
      <c r="B1280" t="str">
        <f>"200648C01003"</f>
        <v>200648C01003</v>
      </c>
      <c r="C1280" t="str">
        <f t="shared" si="72"/>
        <v>20</v>
      </c>
      <c r="D1280" t="s">
        <v>81</v>
      </c>
      <c r="E1280" t="str">
        <f t="shared" si="75"/>
        <v>071</v>
      </c>
      <c r="F1280" t="s">
        <v>1387</v>
      </c>
      <c r="G1280" t="str">
        <f>"0648"</f>
        <v>0648</v>
      </c>
      <c r="H1280" t="str">
        <f>"0001"</f>
        <v>0001</v>
      </c>
      <c r="I1280" t="s">
        <v>89</v>
      </c>
      <c r="J1280">
        <v>0</v>
      </c>
      <c r="K1280">
        <v>1</v>
      </c>
      <c r="L1280">
        <v>3</v>
      </c>
      <c r="M1280">
        <v>284</v>
      </c>
      <c r="N1280">
        <v>378</v>
      </c>
      <c r="O1280">
        <v>9</v>
      </c>
      <c r="P1280">
        <v>378</v>
      </c>
      <c r="Q1280">
        <v>4</v>
      </c>
      <c r="R1280">
        <v>12</v>
      </c>
      <c r="S1280">
        <v>2</v>
      </c>
      <c r="T1280">
        <v>79</v>
      </c>
      <c r="U1280">
        <v>59</v>
      </c>
      <c r="V1280">
        <v>8</v>
      </c>
      <c r="W1280">
        <v>4</v>
      </c>
      <c r="X1280">
        <v>45</v>
      </c>
      <c r="Y1280">
        <v>25</v>
      </c>
      <c r="Z1280">
        <v>1</v>
      </c>
      <c r="AA1280">
        <v>1</v>
      </c>
      <c r="AB1280">
        <v>33</v>
      </c>
      <c r="AC1280">
        <v>90</v>
      </c>
      <c r="AD1280">
        <v>3</v>
      </c>
      <c r="AF1280">
        <v>1</v>
      </c>
      <c r="AG1280">
        <v>0</v>
      </c>
      <c r="AH1280">
        <v>0</v>
      </c>
      <c r="AI1280">
        <v>0</v>
      </c>
      <c r="AW1280">
        <v>0</v>
      </c>
      <c r="AX1280">
        <v>11</v>
      </c>
      <c r="AY1280">
        <v>378</v>
      </c>
      <c r="AZ1280">
        <v>378</v>
      </c>
      <c r="BA1280">
        <v>612</v>
      </c>
      <c r="BB1280">
        <v>50</v>
      </c>
      <c r="BD1280">
        <v>1</v>
      </c>
      <c r="BF1280" t="s">
        <v>1408</v>
      </c>
      <c r="BG1280" s="1">
        <v>44354.160416666666</v>
      </c>
      <c r="BH1280" s="1">
        <v>44354.164131944446</v>
      </c>
      <c r="BI1280" s="1">
        <v>44354.165023148147</v>
      </c>
      <c r="BJ1280" t="s">
        <v>85</v>
      </c>
      <c r="BK1280" t="s">
        <v>86</v>
      </c>
      <c r="BL1280" t="s">
        <v>87</v>
      </c>
    </row>
    <row r="1281" spans="1:64" x14ac:dyDescent="0.3">
      <c r="A1281" t="str">
        <f>"200648E0100"</f>
        <v>200648E0100</v>
      </c>
      <c r="B1281" t="str">
        <f>"200648E01003"</f>
        <v>200648E01003</v>
      </c>
      <c r="C1281" t="str">
        <f t="shared" si="72"/>
        <v>20</v>
      </c>
      <c r="D1281" t="s">
        <v>81</v>
      </c>
      <c r="E1281" t="str">
        <f t="shared" si="75"/>
        <v>071</v>
      </c>
      <c r="F1281" t="s">
        <v>1387</v>
      </c>
      <c r="G1281" t="str">
        <f>"0648"</f>
        <v>0648</v>
      </c>
      <c r="H1281" t="str">
        <f>"0001"</f>
        <v>0001</v>
      </c>
      <c r="I1281" t="s">
        <v>122</v>
      </c>
      <c r="J1281">
        <v>0</v>
      </c>
      <c r="K1281">
        <v>1</v>
      </c>
      <c r="L1281">
        <v>3</v>
      </c>
      <c r="M1281">
        <v>271</v>
      </c>
      <c r="N1281">
        <v>381</v>
      </c>
      <c r="O1281">
        <v>5</v>
      </c>
      <c r="P1281">
        <v>381</v>
      </c>
      <c r="Q1281">
        <v>2</v>
      </c>
      <c r="R1281">
        <v>22</v>
      </c>
      <c r="S1281">
        <v>6</v>
      </c>
      <c r="T1281">
        <v>11</v>
      </c>
      <c r="U1281">
        <v>20</v>
      </c>
      <c r="V1281">
        <v>4</v>
      </c>
      <c r="W1281">
        <v>2</v>
      </c>
      <c r="X1281">
        <v>119</v>
      </c>
      <c r="Y1281">
        <v>11</v>
      </c>
      <c r="Z1281">
        <v>48</v>
      </c>
      <c r="AA1281">
        <v>0</v>
      </c>
      <c r="AB1281">
        <v>37</v>
      </c>
      <c r="AC1281">
        <v>91</v>
      </c>
      <c r="AD1281">
        <v>3</v>
      </c>
      <c r="AF1281">
        <v>1</v>
      </c>
      <c r="AG1281">
        <v>0</v>
      </c>
      <c r="AH1281">
        <v>0</v>
      </c>
      <c r="AI1281">
        <v>0</v>
      </c>
      <c r="AW1281">
        <v>0</v>
      </c>
      <c r="AX1281">
        <v>4</v>
      </c>
      <c r="AY1281">
        <v>381</v>
      </c>
      <c r="AZ1281">
        <v>381</v>
      </c>
      <c r="BA1281">
        <v>602</v>
      </c>
      <c r="BB1281">
        <v>50</v>
      </c>
      <c r="BD1281">
        <v>1</v>
      </c>
      <c r="BF1281" t="s">
        <v>1409</v>
      </c>
      <c r="BG1281" s="1">
        <v>44354.104861111111</v>
      </c>
      <c r="BH1281" s="1">
        <v>44354.108171296299</v>
      </c>
      <c r="BI1281" s="1">
        <v>44354.108576388891</v>
      </c>
      <c r="BJ1281" t="s">
        <v>85</v>
      </c>
      <c r="BK1281" t="s">
        <v>86</v>
      </c>
      <c r="BL1281" t="s">
        <v>87</v>
      </c>
    </row>
    <row r="1282" spans="1:64" x14ac:dyDescent="0.3">
      <c r="A1282" t="str">
        <f>"200648E0101"</f>
        <v>200648E0101</v>
      </c>
      <c r="B1282" t="str">
        <f>"200648E01013"</f>
        <v>200648E01013</v>
      </c>
      <c r="C1282" t="str">
        <f t="shared" si="72"/>
        <v>20</v>
      </c>
      <c r="D1282" t="s">
        <v>81</v>
      </c>
      <c r="E1282" t="str">
        <f t="shared" si="75"/>
        <v>071</v>
      </c>
      <c r="F1282" t="s">
        <v>1387</v>
      </c>
      <c r="G1282" t="str">
        <f>"0648"</f>
        <v>0648</v>
      </c>
      <c r="H1282" t="str">
        <f>"0001"</f>
        <v>0001</v>
      </c>
      <c r="I1282" t="s">
        <v>122</v>
      </c>
      <c r="J1282">
        <v>1</v>
      </c>
      <c r="K1282">
        <v>1</v>
      </c>
      <c r="L1282">
        <v>3</v>
      </c>
      <c r="M1282">
        <v>317</v>
      </c>
      <c r="N1282">
        <v>335</v>
      </c>
      <c r="O1282">
        <v>1</v>
      </c>
      <c r="P1282">
        <v>335</v>
      </c>
      <c r="Q1282">
        <v>1</v>
      </c>
      <c r="R1282">
        <v>16</v>
      </c>
      <c r="S1282">
        <v>7</v>
      </c>
      <c r="T1282">
        <v>17</v>
      </c>
      <c r="U1282">
        <v>6</v>
      </c>
      <c r="V1282">
        <v>17</v>
      </c>
      <c r="W1282">
        <v>2</v>
      </c>
      <c r="X1282">
        <v>114</v>
      </c>
      <c r="Y1282">
        <v>17</v>
      </c>
      <c r="Z1282">
        <v>23</v>
      </c>
      <c r="AA1282">
        <v>1</v>
      </c>
      <c r="AB1282">
        <v>27</v>
      </c>
      <c r="AC1282">
        <v>68</v>
      </c>
      <c r="AD1282">
        <v>5</v>
      </c>
      <c r="AF1282">
        <v>3</v>
      </c>
      <c r="AG1282">
        <v>0</v>
      </c>
      <c r="AH1282">
        <v>0</v>
      </c>
      <c r="AI1282">
        <v>0</v>
      </c>
      <c r="AW1282">
        <v>0</v>
      </c>
      <c r="AX1282">
        <v>15</v>
      </c>
      <c r="AY1282">
        <v>335</v>
      </c>
      <c r="AZ1282">
        <v>339</v>
      </c>
      <c r="BA1282">
        <v>602</v>
      </c>
      <c r="BB1282">
        <v>50</v>
      </c>
      <c r="BD1282">
        <v>1</v>
      </c>
      <c r="BF1282" t="s">
        <v>1410</v>
      </c>
      <c r="BG1282" s="1">
        <v>44354.105555555558</v>
      </c>
      <c r="BH1282" s="1">
        <v>44354.112314814818</v>
      </c>
      <c r="BI1282" s="1">
        <v>44354.113159722219</v>
      </c>
      <c r="BJ1282" t="s">
        <v>85</v>
      </c>
      <c r="BK1282" t="s">
        <v>86</v>
      </c>
      <c r="BL1282" t="s">
        <v>87</v>
      </c>
    </row>
    <row r="1283" spans="1:64" x14ac:dyDescent="0.3">
      <c r="A1283" t="str">
        <f>"200649B0000"</f>
        <v>200649B0000</v>
      </c>
      <c r="B1283" t="str">
        <f>"200649B00003"</f>
        <v>200649B00003</v>
      </c>
      <c r="C1283" t="str">
        <f t="shared" si="72"/>
        <v>20</v>
      </c>
      <c r="D1283" t="s">
        <v>81</v>
      </c>
      <c r="E1283" t="str">
        <f t="shared" si="75"/>
        <v>071</v>
      </c>
      <c r="F1283" t="s">
        <v>1387</v>
      </c>
      <c r="G1283" t="str">
        <f>"0649"</f>
        <v>0649</v>
      </c>
      <c r="H1283" t="str">
        <f>"0000"</f>
        <v>0000</v>
      </c>
      <c r="I1283" t="s">
        <v>83</v>
      </c>
      <c r="J1283">
        <v>0</v>
      </c>
      <c r="K1283">
        <v>1</v>
      </c>
      <c r="L1283">
        <v>3</v>
      </c>
      <c r="M1283">
        <v>98</v>
      </c>
      <c r="N1283">
        <v>185</v>
      </c>
      <c r="O1283">
        <v>4</v>
      </c>
      <c r="P1283" t="s">
        <v>92</v>
      </c>
      <c r="Q1283">
        <v>2</v>
      </c>
      <c r="R1283">
        <v>8</v>
      </c>
      <c r="S1283">
        <v>3</v>
      </c>
      <c r="T1283">
        <v>3</v>
      </c>
      <c r="U1283">
        <v>7</v>
      </c>
      <c r="V1283">
        <v>1</v>
      </c>
      <c r="W1283">
        <v>0</v>
      </c>
      <c r="X1283">
        <v>69</v>
      </c>
      <c r="Y1283">
        <v>25</v>
      </c>
      <c r="Z1283">
        <v>1</v>
      </c>
      <c r="AA1283">
        <v>1</v>
      </c>
      <c r="AB1283">
        <v>4</v>
      </c>
      <c r="AC1283">
        <v>11</v>
      </c>
      <c r="AD1283">
        <v>38</v>
      </c>
      <c r="AF1283">
        <v>0</v>
      </c>
      <c r="AG1283">
        <v>0</v>
      </c>
      <c r="AH1283">
        <v>0</v>
      </c>
      <c r="AI1283">
        <v>0</v>
      </c>
      <c r="AW1283">
        <v>0</v>
      </c>
      <c r="AX1283">
        <v>16</v>
      </c>
      <c r="AY1283">
        <v>189</v>
      </c>
      <c r="AZ1283">
        <v>189</v>
      </c>
      <c r="BA1283">
        <v>237</v>
      </c>
      <c r="BB1283">
        <v>50</v>
      </c>
      <c r="BD1283">
        <v>1</v>
      </c>
      <c r="BF1283" t="s">
        <v>1411</v>
      </c>
      <c r="BG1283" s="1">
        <v>44354.272916666669</v>
      </c>
      <c r="BH1283" s="1">
        <v>44354.276631944442</v>
      </c>
      <c r="BI1283" s="1">
        <v>44354.277499999997</v>
      </c>
      <c r="BJ1283" t="s">
        <v>85</v>
      </c>
      <c r="BK1283" t="s">
        <v>86</v>
      </c>
      <c r="BL1283" t="s">
        <v>87</v>
      </c>
    </row>
    <row r="1284" spans="1:64" x14ac:dyDescent="0.3">
      <c r="A1284" t="str">
        <f>"200649E0100"</f>
        <v>200649E0100</v>
      </c>
      <c r="B1284" t="str">
        <f>"200649E01003"</f>
        <v>200649E01003</v>
      </c>
      <c r="C1284" t="str">
        <f t="shared" si="72"/>
        <v>20</v>
      </c>
      <c r="D1284" t="s">
        <v>81</v>
      </c>
      <c r="E1284" t="str">
        <f t="shared" si="75"/>
        <v>071</v>
      </c>
      <c r="F1284" t="s">
        <v>1387</v>
      </c>
      <c r="G1284" t="str">
        <f>"0649"</f>
        <v>0649</v>
      </c>
      <c r="H1284" t="str">
        <f>"0001"</f>
        <v>0001</v>
      </c>
      <c r="I1284" t="s">
        <v>122</v>
      </c>
      <c r="J1284">
        <v>0</v>
      </c>
      <c r="K1284">
        <v>1</v>
      </c>
      <c r="L1284">
        <v>3</v>
      </c>
      <c r="M1284">
        <v>283</v>
      </c>
      <c r="N1284">
        <v>427</v>
      </c>
      <c r="O1284">
        <v>1</v>
      </c>
      <c r="P1284">
        <v>427</v>
      </c>
      <c r="Q1284" t="s">
        <v>95</v>
      </c>
      <c r="R1284">
        <v>16</v>
      </c>
      <c r="S1284">
        <v>3</v>
      </c>
      <c r="T1284">
        <v>5</v>
      </c>
      <c r="U1284">
        <v>58</v>
      </c>
      <c r="V1284">
        <v>1</v>
      </c>
      <c r="W1284">
        <v>3</v>
      </c>
      <c r="X1284">
        <v>101</v>
      </c>
      <c r="Y1284">
        <v>52</v>
      </c>
      <c r="Z1284">
        <v>4</v>
      </c>
      <c r="AA1284">
        <v>4</v>
      </c>
      <c r="AB1284">
        <v>11</v>
      </c>
      <c r="AC1284">
        <v>55</v>
      </c>
      <c r="AD1284">
        <v>82</v>
      </c>
      <c r="AF1284">
        <v>0</v>
      </c>
      <c r="AG1284">
        <v>0</v>
      </c>
      <c r="AH1284">
        <v>1</v>
      </c>
      <c r="AI1284">
        <v>1</v>
      </c>
      <c r="AW1284">
        <v>0</v>
      </c>
      <c r="AX1284">
        <v>30</v>
      </c>
      <c r="AY1284">
        <v>427</v>
      </c>
      <c r="AZ1284">
        <v>427</v>
      </c>
      <c r="BA1284">
        <v>661</v>
      </c>
      <c r="BB1284">
        <v>50</v>
      </c>
      <c r="BC1284" t="s">
        <v>96</v>
      </c>
      <c r="BD1284">
        <v>1</v>
      </c>
      <c r="BF1284" t="s">
        <v>1412</v>
      </c>
      <c r="BG1284" s="1">
        <v>44354.274305555555</v>
      </c>
      <c r="BH1284" s="1">
        <v>44354.279664351852</v>
      </c>
      <c r="BI1284" s="1">
        <v>44354.280740740738</v>
      </c>
      <c r="BJ1284" t="s">
        <v>85</v>
      </c>
      <c r="BK1284" t="s">
        <v>86</v>
      </c>
      <c r="BL1284" t="s">
        <v>87</v>
      </c>
    </row>
    <row r="1285" spans="1:64" x14ac:dyDescent="0.3">
      <c r="A1285" t="str">
        <f>"200650B0000"</f>
        <v>200650B0000</v>
      </c>
      <c r="B1285" t="str">
        <f>"200650B00003"</f>
        <v>200650B00003</v>
      </c>
      <c r="C1285" t="str">
        <f t="shared" si="72"/>
        <v>20</v>
      </c>
      <c r="D1285" t="s">
        <v>81</v>
      </c>
      <c r="E1285" t="str">
        <f t="shared" si="75"/>
        <v>071</v>
      </c>
      <c r="F1285" t="s">
        <v>1387</v>
      </c>
      <c r="G1285" t="str">
        <f>"0650"</f>
        <v>0650</v>
      </c>
      <c r="H1285" t="str">
        <f>"0000"</f>
        <v>0000</v>
      </c>
      <c r="I1285" t="s">
        <v>83</v>
      </c>
      <c r="J1285">
        <v>0</v>
      </c>
      <c r="K1285">
        <v>1</v>
      </c>
      <c r="L1285">
        <v>3</v>
      </c>
      <c r="M1285">
        <v>185</v>
      </c>
      <c r="N1285">
        <v>345</v>
      </c>
      <c r="O1285">
        <v>0</v>
      </c>
      <c r="P1285">
        <v>345</v>
      </c>
      <c r="Q1285">
        <v>3</v>
      </c>
      <c r="R1285">
        <v>18</v>
      </c>
      <c r="S1285">
        <v>1</v>
      </c>
      <c r="T1285">
        <v>3</v>
      </c>
      <c r="U1285">
        <v>26</v>
      </c>
      <c r="V1285">
        <v>4</v>
      </c>
      <c r="W1285">
        <v>1</v>
      </c>
      <c r="X1285">
        <v>74</v>
      </c>
      <c r="Y1285">
        <v>41</v>
      </c>
      <c r="Z1285">
        <v>0</v>
      </c>
      <c r="AA1285">
        <v>2</v>
      </c>
      <c r="AB1285">
        <v>16</v>
      </c>
      <c r="AC1285">
        <v>42</v>
      </c>
      <c r="AD1285">
        <v>91</v>
      </c>
      <c r="AF1285">
        <v>0</v>
      </c>
      <c r="AG1285">
        <v>0</v>
      </c>
      <c r="AH1285">
        <v>0</v>
      </c>
      <c r="AI1285">
        <v>0</v>
      </c>
      <c r="AW1285">
        <v>0</v>
      </c>
      <c r="AX1285">
        <v>23</v>
      </c>
      <c r="AY1285">
        <v>345</v>
      </c>
      <c r="AZ1285">
        <v>345</v>
      </c>
      <c r="BA1285">
        <v>480</v>
      </c>
      <c r="BB1285">
        <v>50</v>
      </c>
      <c r="BD1285">
        <v>1</v>
      </c>
      <c r="BF1285" t="s">
        <v>1413</v>
      </c>
      <c r="BG1285" s="1">
        <v>44354.273611111108</v>
      </c>
      <c r="BH1285" s="1">
        <v>44354.278333333335</v>
      </c>
      <c r="BI1285" s="1">
        <v>44354.278761574074</v>
      </c>
      <c r="BJ1285" t="s">
        <v>85</v>
      </c>
      <c r="BK1285" t="s">
        <v>86</v>
      </c>
      <c r="BL1285" t="s">
        <v>87</v>
      </c>
    </row>
    <row r="1286" spans="1:64" x14ac:dyDescent="0.3">
      <c r="A1286" t="str">
        <f>"200650C0100"</f>
        <v>200650C0100</v>
      </c>
      <c r="B1286" t="str">
        <f>"200650C01003"</f>
        <v>200650C01003</v>
      </c>
      <c r="C1286" t="str">
        <f t="shared" si="72"/>
        <v>20</v>
      </c>
      <c r="D1286" t="s">
        <v>81</v>
      </c>
      <c r="E1286" t="str">
        <f t="shared" si="75"/>
        <v>071</v>
      </c>
      <c r="F1286" t="s">
        <v>1387</v>
      </c>
      <c r="G1286" t="str">
        <f>"0650"</f>
        <v>0650</v>
      </c>
      <c r="H1286" t="str">
        <f>"0001"</f>
        <v>0001</v>
      </c>
      <c r="I1286" t="s">
        <v>89</v>
      </c>
      <c r="J1286">
        <v>0</v>
      </c>
      <c r="K1286">
        <v>1</v>
      </c>
      <c r="L1286">
        <v>3</v>
      </c>
      <c r="M1286">
        <v>180</v>
      </c>
      <c r="N1286">
        <v>350</v>
      </c>
      <c r="O1286">
        <v>1</v>
      </c>
      <c r="P1286">
        <v>350</v>
      </c>
      <c r="Q1286">
        <v>1</v>
      </c>
      <c r="R1286">
        <v>10</v>
      </c>
      <c r="S1286">
        <v>2</v>
      </c>
      <c r="T1286">
        <v>2</v>
      </c>
      <c r="U1286">
        <v>28</v>
      </c>
      <c r="V1286">
        <v>5</v>
      </c>
      <c r="W1286">
        <v>3</v>
      </c>
      <c r="X1286">
        <v>83</v>
      </c>
      <c r="Y1286">
        <v>35</v>
      </c>
      <c r="Z1286">
        <v>1</v>
      </c>
      <c r="AA1286">
        <v>3</v>
      </c>
      <c r="AB1286">
        <v>32</v>
      </c>
      <c r="AC1286">
        <v>47</v>
      </c>
      <c r="AD1286">
        <v>75</v>
      </c>
      <c r="AF1286">
        <v>0</v>
      </c>
      <c r="AG1286">
        <v>0</v>
      </c>
      <c r="AH1286">
        <v>0</v>
      </c>
      <c r="AI1286">
        <v>0</v>
      </c>
      <c r="AW1286">
        <v>0</v>
      </c>
      <c r="AX1286">
        <v>23</v>
      </c>
      <c r="AY1286">
        <v>350</v>
      </c>
      <c r="AZ1286">
        <v>350</v>
      </c>
      <c r="BA1286">
        <v>480</v>
      </c>
      <c r="BB1286">
        <v>50</v>
      </c>
      <c r="BD1286">
        <v>1</v>
      </c>
      <c r="BF1286" t="s">
        <v>1414</v>
      </c>
      <c r="BG1286" s="1">
        <v>44354.274305555555</v>
      </c>
      <c r="BH1286" s="1">
        <v>44354.279097222221</v>
      </c>
      <c r="BI1286" s="1">
        <v>44354.279687499999</v>
      </c>
      <c r="BJ1286" t="s">
        <v>85</v>
      </c>
      <c r="BK1286" t="s">
        <v>86</v>
      </c>
      <c r="BL1286" t="s">
        <v>87</v>
      </c>
    </row>
    <row r="1287" spans="1:64" x14ac:dyDescent="0.3">
      <c r="A1287" t="str">
        <f>"200651B0000"</f>
        <v>200651B0000</v>
      </c>
      <c r="B1287" t="str">
        <f>"200651B00003"</f>
        <v>200651B00003</v>
      </c>
      <c r="C1287" t="str">
        <f t="shared" ref="C1287:C1350" si="76">"20"</f>
        <v>20</v>
      </c>
      <c r="D1287" t="s">
        <v>81</v>
      </c>
      <c r="E1287" t="str">
        <f t="shared" si="75"/>
        <v>071</v>
      </c>
      <c r="F1287" t="s">
        <v>1387</v>
      </c>
      <c r="G1287" t="str">
        <f>"0651"</f>
        <v>0651</v>
      </c>
      <c r="H1287" t="str">
        <f>"0000"</f>
        <v>0000</v>
      </c>
      <c r="I1287" t="s">
        <v>83</v>
      </c>
      <c r="J1287">
        <v>0</v>
      </c>
      <c r="K1287">
        <v>1</v>
      </c>
      <c r="L1287">
        <v>3</v>
      </c>
      <c r="M1287">
        <v>162</v>
      </c>
      <c r="N1287">
        <v>310</v>
      </c>
      <c r="O1287">
        <v>5</v>
      </c>
      <c r="P1287">
        <v>310</v>
      </c>
      <c r="Q1287">
        <v>2</v>
      </c>
      <c r="R1287">
        <v>8</v>
      </c>
      <c r="S1287">
        <v>8</v>
      </c>
      <c r="T1287">
        <v>10</v>
      </c>
      <c r="U1287">
        <v>34</v>
      </c>
      <c r="V1287">
        <v>2</v>
      </c>
      <c r="W1287">
        <v>2</v>
      </c>
      <c r="X1287">
        <v>109</v>
      </c>
      <c r="Y1287">
        <v>16</v>
      </c>
      <c r="Z1287">
        <v>3</v>
      </c>
      <c r="AA1287">
        <v>5</v>
      </c>
      <c r="AB1287">
        <v>18</v>
      </c>
      <c r="AC1287">
        <v>26</v>
      </c>
      <c r="AD1287">
        <v>48</v>
      </c>
      <c r="AF1287">
        <v>0</v>
      </c>
      <c r="AG1287">
        <v>0</v>
      </c>
      <c r="AH1287">
        <v>0</v>
      </c>
      <c r="AI1287">
        <v>0</v>
      </c>
      <c r="AW1287">
        <v>0</v>
      </c>
      <c r="AX1287">
        <v>19</v>
      </c>
      <c r="AY1287">
        <v>310</v>
      </c>
      <c r="AZ1287">
        <v>310</v>
      </c>
      <c r="BA1287">
        <v>422</v>
      </c>
      <c r="BB1287">
        <v>50</v>
      </c>
      <c r="BD1287">
        <v>1</v>
      </c>
      <c r="BF1287" t="s">
        <v>1415</v>
      </c>
      <c r="BG1287" s="1">
        <v>44354.273611111108</v>
      </c>
      <c r="BH1287" s="1">
        <v>44354.278020833335</v>
      </c>
      <c r="BI1287" s="1">
        <v>44354.278831018521</v>
      </c>
      <c r="BJ1287" t="s">
        <v>85</v>
      </c>
      <c r="BK1287" t="s">
        <v>86</v>
      </c>
      <c r="BL1287" t="s">
        <v>87</v>
      </c>
    </row>
    <row r="1288" spans="1:64" x14ac:dyDescent="0.3">
      <c r="A1288" t="str">
        <f>"200652B0000"</f>
        <v>200652B0000</v>
      </c>
      <c r="B1288" t="str">
        <f>"200652B00003"</f>
        <v>200652B00003</v>
      </c>
      <c r="C1288" t="str">
        <f t="shared" si="76"/>
        <v>20</v>
      </c>
      <c r="D1288" t="s">
        <v>81</v>
      </c>
      <c r="E1288" t="str">
        <f t="shared" si="75"/>
        <v>071</v>
      </c>
      <c r="F1288" t="s">
        <v>1387</v>
      </c>
      <c r="G1288" t="str">
        <f>"0652"</f>
        <v>0652</v>
      </c>
      <c r="H1288" t="str">
        <f>"0000"</f>
        <v>0000</v>
      </c>
      <c r="I1288" t="s">
        <v>83</v>
      </c>
      <c r="J1288">
        <v>0</v>
      </c>
      <c r="K1288">
        <v>1</v>
      </c>
      <c r="L1288">
        <v>3</v>
      </c>
      <c r="M1288">
        <v>348</v>
      </c>
      <c r="N1288">
        <v>342</v>
      </c>
      <c r="O1288">
        <v>10</v>
      </c>
      <c r="P1288">
        <v>342</v>
      </c>
      <c r="Q1288">
        <v>1</v>
      </c>
      <c r="R1288">
        <v>23</v>
      </c>
      <c r="S1288">
        <v>5</v>
      </c>
      <c r="T1288">
        <v>20</v>
      </c>
      <c r="U1288">
        <v>52</v>
      </c>
      <c r="V1288">
        <v>1</v>
      </c>
      <c r="W1288">
        <v>3</v>
      </c>
      <c r="X1288">
        <v>52</v>
      </c>
      <c r="Y1288">
        <v>32</v>
      </c>
      <c r="Z1288">
        <v>5</v>
      </c>
      <c r="AA1288">
        <v>1</v>
      </c>
      <c r="AB1288">
        <v>46</v>
      </c>
      <c r="AC1288">
        <v>39</v>
      </c>
      <c r="AD1288">
        <v>58</v>
      </c>
      <c r="AF1288">
        <v>0</v>
      </c>
      <c r="AG1288">
        <v>0</v>
      </c>
      <c r="AH1288">
        <v>0</v>
      </c>
      <c r="AI1288">
        <v>0</v>
      </c>
      <c r="AW1288">
        <v>0</v>
      </c>
      <c r="AX1288">
        <v>14</v>
      </c>
      <c r="AY1288">
        <v>342</v>
      </c>
      <c r="AZ1288">
        <v>352</v>
      </c>
      <c r="BA1288">
        <v>640</v>
      </c>
      <c r="BB1288">
        <v>50</v>
      </c>
      <c r="BD1288">
        <v>1</v>
      </c>
      <c r="BF1288" t="s">
        <v>1416</v>
      </c>
      <c r="BG1288" s="1">
        <v>44354.26666666667</v>
      </c>
      <c r="BH1288" s="1">
        <v>44354.270277777781</v>
      </c>
      <c r="BI1288" s="1">
        <v>44354.27134259259</v>
      </c>
      <c r="BJ1288" t="s">
        <v>85</v>
      </c>
      <c r="BK1288" t="s">
        <v>86</v>
      </c>
      <c r="BL1288" t="s">
        <v>87</v>
      </c>
    </row>
    <row r="1289" spans="1:64" x14ac:dyDescent="0.3">
      <c r="A1289" t="str">
        <f>"200653B0000"</f>
        <v>200653B0000</v>
      </c>
      <c r="B1289" t="str">
        <f>"200653B00003"</f>
        <v>200653B00003</v>
      </c>
      <c r="C1289" t="str">
        <f t="shared" si="76"/>
        <v>20</v>
      </c>
      <c r="D1289" t="s">
        <v>81</v>
      </c>
      <c r="E1289" t="str">
        <f t="shared" si="75"/>
        <v>071</v>
      </c>
      <c r="F1289" t="s">
        <v>1387</v>
      </c>
      <c r="G1289" t="str">
        <f>"0653"</f>
        <v>0653</v>
      </c>
      <c r="H1289" t="str">
        <f>"0000"</f>
        <v>0000</v>
      </c>
      <c r="I1289" t="s">
        <v>83</v>
      </c>
      <c r="J1289">
        <v>0</v>
      </c>
      <c r="K1289">
        <v>1</v>
      </c>
      <c r="L1289">
        <v>3</v>
      </c>
      <c r="M1289">
        <v>253</v>
      </c>
      <c r="N1289">
        <v>416</v>
      </c>
      <c r="O1289">
        <v>0</v>
      </c>
      <c r="P1289">
        <v>416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28</v>
      </c>
      <c r="Y1289">
        <v>1</v>
      </c>
      <c r="Z1289">
        <v>0</v>
      </c>
      <c r="AA1289">
        <v>1</v>
      </c>
      <c r="AB1289">
        <v>1</v>
      </c>
      <c r="AC1289">
        <v>368</v>
      </c>
      <c r="AD1289">
        <v>0</v>
      </c>
      <c r="AF1289">
        <v>0</v>
      </c>
      <c r="AG1289">
        <v>0</v>
      </c>
      <c r="AH1289">
        <v>0</v>
      </c>
      <c r="AI1289">
        <v>0</v>
      </c>
      <c r="AW1289">
        <v>0</v>
      </c>
      <c r="AX1289">
        <v>16</v>
      </c>
      <c r="AY1289">
        <v>416</v>
      </c>
      <c r="AZ1289">
        <v>416</v>
      </c>
      <c r="BA1289">
        <v>619</v>
      </c>
      <c r="BB1289">
        <v>50</v>
      </c>
      <c r="BD1289">
        <v>1</v>
      </c>
      <c r="BF1289" t="s">
        <v>1417</v>
      </c>
      <c r="BG1289" s="1">
        <v>44354.097916666666</v>
      </c>
      <c r="BH1289" s="1">
        <v>44354.102824074071</v>
      </c>
      <c r="BI1289" s="1">
        <v>44354.103564814817</v>
      </c>
      <c r="BJ1289" t="s">
        <v>85</v>
      </c>
      <c r="BK1289" t="s">
        <v>86</v>
      </c>
      <c r="BL1289" t="s">
        <v>87</v>
      </c>
    </row>
    <row r="1290" spans="1:64" x14ac:dyDescent="0.3">
      <c r="A1290" t="str">
        <f>"200654B0000"</f>
        <v>200654B0000</v>
      </c>
      <c r="B1290" t="str">
        <f>"200654B00003"</f>
        <v>200654B00003</v>
      </c>
      <c r="C1290" t="str">
        <f t="shared" si="76"/>
        <v>20</v>
      </c>
      <c r="D1290" t="s">
        <v>81</v>
      </c>
      <c r="E1290" t="str">
        <f t="shared" si="75"/>
        <v>071</v>
      </c>
      <c r="F1290" t="s">
        <v>1387</v>
      </c>
      <c r="G1290" t="str">
        <f>"0654"</f>
        <v>0654</v>
      </c>
      <c r="H1290" t="str">
        <f>"0000"</f>
        <v>0000</v>
      </c>
      <c r="I1290" t="s">
        <v>83</v>
      </c>
      <c r="J1290">
        <v>0</v>
      </c>
      <c r="K1290">
        <v>1</v>
      </c>
      <c r="L1290">
        <v>3</v>
      </c>
      <c r="M1290">
        <v>308</v>
      </c>
      <c r="N1290">
        <v>307</v>
      </c>
      <c r="O1290">
        <v>11</v>
      </c>
      <c r="P1290">
        <v>307</v>
      </c>
      <c r="Q1290">
        <v>4</v>
      </c>
      <c r="R1290">
        <v>26</v>
      </c>
      <c r="S1290">
        <v>4</v>
      </c>
      <c r="T1290">
        <v>39</v>
      </c>
      <c r="U1290">
        <v>23</v>
      </c>
      <c r="V1290">
        <v>9</v>
      </c>
      <c r="W1290">
        <v>5</v>
      </c>
      <c r="X1290">
        <v>49</v>
      </c>
      <c r="Y1290">
        <v>5</v>
      </c>
      <c r="Z1290">
        <v>3</v>
      </c>
      <c r="AA1290">
        <v>0</v>
      </c>
      <c r="AB1290">
        <v>6</v>
      </c>
      <c r="AC1290">
        <v>116</v>
      </c>
      <c r="AD1290">
        <v>4</v>
      </c>
      <c r="AF1290">
        <v>4</v>
      </c>
      <c r="AG1290">
        <v>0</v>
      </c>
      <c r="AH1290">
        <v>0</v>
      </c>
      <c r="AI1290">
        <v>0</v>
      </c>
      <c r="AW1290" t="s">
        <v>95</v>
      </c>
      <c r="AX1290" t="s">
        <v>95</v>
      </c>
      <c r="AY1290" t="s">
        <v>95</v>
      </c>
      <c r="AZ1290">
        <v>297</v>
      </c>
      <c r="BA1290">
        <v>565</v>
      </c>
      <c r="BB1290">
        <v>50</v>
      </c>
      <c r="BC1290" t="s">
        <v>96</v>
      </c>
      <c r="BD1290">
        <v>1</v>
      </c>
      <c r="BF1290" t="s">
        <v>1418</v>
      </c>
      <c r="BG1290" s="1">
        <v>44354.269444444442</v>
      </c>
      <c r="BH1290" s="1">
        <v>44354.272372685184</v>
      </c>
      <c r="BI1290" s="1">
        <v>44354.272685185184</v>
      </c>
      <c r="BJ1290" t="s">
        <v>85</v>
      </c>
      <c r="BK1290" t="s">
        <v>86</v>
      </c>
      <c r="BL1290" t="s">
        <v>87</v>
      </c>
    </row>
    <row r="1291" spans="1:64" x14ac:dyDescent="0.3">
      <c r="A1291" t="str">
        <f>"200654E0100"</f>
        <v>200654E0100</v>
      </c>
      <c r="B1291" t="str">
        <f>"200654E01003"</f>
        <v>200654E01003</v>
      </c>
      <c r="C1291" t="str">
        <f t="shared" si="76"/>
        <v>20</v>
      </c>
      <c r="D1291" t="s">
        <v>81</v>
      </c>
      <c r="E1291" t="str">
        <f t="shared" si="75"/>
        <v>071</v>
      </c>
      <c r="F1291" t="s">
        <v>1387</v>
      </c>
      <c r="G1291" t="str">
        <f>"0654"</f>
        <v>0654</v>
      </c>
      <c r="H1291" t="str">
        <f>"0001"</f>
        <v>0001</v>
      </c>
      <c r="I1291" t="s">
        <v>122</v>
      </c>
      <c r="J1291">
        <v>0</v>
      </c>
      <c r="K1291">
        <v>1</v>
      </c>
      <c r="L1291">
        <v>3</v>
      </c>
      <c r="M1291">
        <v>328</v>
      </c>
      <c r="N1291">
        <v>468</v>
      </c>
      <c r="O1291">
        <v>16</v>
      </c>
      <c r="P1291">
        <v>468</v>
      </c>
      <c r="Q1291">
        <v>0</v>
      </c>
      <c r="R1291">
        <v>18</v>
      </c>
      <c r="S1291">
        <v>1</v>
      </c>
      <c r="T1291">
        <v>62</v>
      </c>
      <c r="U1291">
        <v>13</v>
      </c>
      <c r="V1291">
        <v>4</v>
      </c>
      <c r="W1291">
        <v>3</v>
      </c>
      <c r="X1291">
        <v>58</v>
      </c>
      <c r="Y1291">
        <v>10</v>
      </c>
      <c r="Z1291">
        <v>8</v>
      </c>
      <c r="AA1291">
        <v>1</v>
      </c>
      <c r="AB1291">
        <v>25</v>
      </c>
      <c r="AC1291">
        <v>245</v>
      </c>
      <c r="AD1291">
        <v>10</v>
      </c>
      <c r="AF1291">
        <v>0</v>
      </c>
      <c r="AG1291">
        <v>0</v>
      </c>
      <c r="AH1291">
        <v>0</v>
      </c>
      <c r="AI1291">
        <v>1</v>
      </c>
      <c r="AW1291">
        <v>0</v>
      </c>
      <c r="AX1291">
        <v>8</v>
      </c>
      <c r="AY1291">
        <v>468</v>
      </c>
      <c r="AZ1291">
        <v>467</v>
      </c>
      <c r="BA1291">
        <v>742</v>
      </c>
      <c r="BB1291">
        <v>50</v>
      </c>
      <c r="BD1291">
        <v>1</v>
      </c>
      <c r="BF1291" s="2" t="s">
        <v>1419</v>
      </c>
      <c r="BG1291" s="1">
        <v>44354.268750000003</v>
      </c>
      <c r="BH1291" s="1">
        <v>44354.272129629629</v>
      </c>
      <c r="BI1291" s="1">
        <v>44354.273125</v>
      </c>
      <c r="BJ1291" t="s">
        <v>85</v>
      </c>
      <c r="BK1291" t="s">
        <v>86</v>
      </c>
      <c r="BL1291" t="s">
        <v>87</v>
      </c>
    </row>
    <row r="1292" spans="1:64" x14ac:dyDescent="0.3">
      <c r="A1292" t="str">
        <f>"200655B0000"</f>
        <v>200655B0000</v>
      </c>
      <c r="B1292" t="str">
        <f>"200655B00003"</f>
        <v>200655B00003</v>
      </c>
      <c r="C1292" t="str">
        <f t="shared" si="76"/>
        <v>20</v>
      </c>
      <c r="D1292" t="s">
        <v>81</v>
      </c>
      <c r="E1292" t="str">
        <f t="shared" si="75"/>
        <v>071</v>
      </c>
      <c r="F1292" t="s">
        <v>1387</v>
      </c>
      <c r="G1292" t="str">
        <f>"0655"</f>
        <v>0655</v>
      </c>
      <c r="H1292" t="str">
        <f>"0000"</f>
        <v>0000</v>
      </c>
      <c r="I1292" t="s">
        <v>83</v>
      </c>
      <c r="J1292">
        <v>0</v>
      </c>
      <c r="K1292">
        <v>1</v>
      </c>
      <c r="L1292">
        <v>3</v>
      </c>
      <c r="M1292">
        <v>339</v>
      </c>
      <c r="N1292">
        <v>389</v>
      </c>
      <c r="O1292">
        <v>4</v>
      </c>
      <c r="P1292">
        <v>389</v>
      </c>
      <c r="Q1292">
        <v>5</v>
      </c>
      <c r="R1292">
        <v>11</v>
      </c>
      <c r="S1292">
        <v>6</v>
      </c>
      <c r="T1292">
        <v>41</v>
      </c>
      <c r="U1292">
        <v>34</v>
      </c>
      <c r="V1292">
        <v>2</v>
      </c>
      <c r="W1292">
        <v>3</v>
      </c>
      <c r="X1292">
        <v>54</v>
      </c>
      <c r="Y1292">
        <v>6</v>
      </c>
      <c r="Z1292">
        <v>5</v>
      </c>
      <c r="AA1292">
        <v>1</v>
      </c>
      <c r="AB1292">
        <v>15</v>
      </c>
      <c r="AC1292">
        <v>163</v>
      </c>
      <c r="AD1292">
        <v>24</v>
      </c>
      <c r="AF1292">
        <v>1</v>
      </c>
      <c r="AG1292">
        <v>0</v>
      </c>
      <c r="AH1292">
        <v>0</v>
      </c>
      <c r="AI1292">
        <v>0</v>
      </c>
      <c r="AW1292">
        <v>0</v>
      </c>
      <c r="AX1292">
        <v>18</v>
      </c>
      <c r="AY1292">
        <v>389</v>
      </c>
      <c r="AZ1292">
        <v>389</v>
      </c>
      <c r="BA1292">
        <v>678</v>
      </c>
      <c r="BB1292">
        <v>50</v>
      </c>
      <c r="BD1292">
        <v>1</v>
      </c>
      <c r="BF1292" t="s">
        <v>1420</v>
      </c>
      <c r="BG1292" s="1">
        <v>44354.270833333336</v>
      </c>
      <c r="BH1292" s="1">
        <v>44354.275173611109</v>
      </c>
      <c r="BI1292" s="1">
        <v>44354.276053240741</v>
      </c>
      <c r="BJ1292" t="s">
        <v>85</v>
      </c>
      <c r="BK1292" t="s">
        <v>86</v>
      </c>
      <c r="BL1292" t="s">
        <v>87</v>
      </c>
    </row>
    <row r="1293" spans="1:64" x14ac:dyDescent="0.3">
      <c r="A1293" t="str">
        <f>"200655C0100"</f>
        <v>200655C0100</v>
      </c>
      <c r="B1293" t="str">
        <f>"200655C01003"</f>
        <v>200655C01003</v>
      </c>
      <c r="C1293" t="str">
        <f t="shared" si="76"/>
        <v>20</v>
      </c>
      <c r="D1293" t="s">
        <v>81</v>
      </c>
      <c r="E1293" t="str">
        <f t="shared" si="75"/>
        <v>071</v>
      </c>
      <c r="F1293" t="s">
        <v>1387</v>
      </c>
      <c r="G1293" t="str">
        <f>"0655"</f>
        <v>0655</v>
      </c>
      <c r="H1293" t="str">
        <f>"0001"</f>
        <v>0001</v>
      </c>
      <c r="I1293" t="s">
        <v>89</v>
      </c>
      <c r="J1293">
        <v>0</v>
      </c>
      <c r="K1293">
        <v>1</v>
      </c>
      <c r="L1293">
        <v>3</v>
      </c>
      <c r="M1293">
        <v>359</v>
      </c>
      <c r="N1293">
        <v>369</v>
      </c>
      <c r="O1293">
        <v>3</v>
      </c>
      <c r="P1293">
        <v>369</v>
      </c>
      <c r="Q1293">
        <v>1</v>
      </c>
      <c r="R1293">
        <v>19</v>
      </c>
      <c r="S1293">
        <v>4</v>
      </c>
      <c r="T1293">
        <v>34</v>
      </c>
      <c r="U1293">
        <v>44</v>
      </c>
      <c r="V1293">
        <v>2</v>
      </c>
      <c r="W1293">
        <v>1</v>
      </c>
      <c r="X1293">
        <v>53</v>
      </c>
      <c r="Y1293">
        <v>4</v>
      </c>
      <c r="Z1293">
        <v>5</v>
      </c>
      <c r="AA1293">
        <v>3</v>
      </c>
      <c r="AB1293">
        <v>10</v>
      </c>
      <c r="AC1293">
        <v>155</v>
      </c>
      <c r="AD1293">
        <v>18</v>
      </c>
      <c r="AF1293">
        <v>1</v>
      </c>
      <c r="AG1293">
        <v>0</v>
      </c>
      <c r="AH1293">
        <v>0</v>
      </c>
      <c r="AI1293">
        <v>0</v>
      </c>
      <c r="AW1293">
        <v>0</v>
      </c>
      <c r="AX1293">
        <v>15</v>
      </c>
      <c r="AY1293">
        <v>369</v>
      </c>
      <c r="AZ1293">
        <v>369</v>
      </c>
      <c r="BA1293">
        <v>678</v>
      </c>
      <c r="BB1293">
        <v>50</v>
      </c>
      <c r="BD1293">
        <v>1</v>
      </c>
      <c r="BF1293" t="s">
        <v>1421</v>
      </c>
      <c r="BG1293" s="1">
        <v>44354.270833333336</v>
      </c>
      <c r="BH1293" s="1">
        <v>44354.274409722224</v>
      </c>
      <c r="BI1293" s="1">
        <v>44354.275208333333</v>
      </c>
      <c r="BJ1293" t="s">
        <v>85</v>
      </c>
      <c r="BK1293" t="s">
        <v>86</v>
      </c>
      <c r="BL1293" t="s">
        <v>87</v>
      </c>
    </row>
    <row r="1294" spans="1:64" x14ac:dyDescent="0.3">
      <c r="A1294" t="str">
        <f>"200656B0000"</f>
        <v>200656B0000</v>
      </c>
      <c r="B1294" t="str">
        <f>"200656B00003"</f>
        <v>200656B00003</v>
      </c>
      <c r="C1294" t="str">
        <f t="shared" si="76"/>
        <v>20</v>
      </c>
      <c r="D1294" t="s">
        <v>81</v>
      </c>
      <c r="E1294" t="str">
        <f t="shared" si="75"/>
        <v>071</v>
      </c>
      <c r="F1294" t="s">
        <v>1387</v>
      </c>
      <c r="G1294" t="str">
        <f>"0656"</f>
        <v>0656</v>
      </c>
      <c r="H1294" t="str">
        <f>"0000"</f>
        <v>0000</v>
      </c>
      <c r="I1294" t="s">
        <v>83</v>
      </c>
      <c r="J1294">
        <v>0</v>
      </c>
      <c r="K1294">
        <v>1</v>
      </c>
      <c r="L1294">
        <v>3</v>
      </c>
      <c r="M1294">
        <v>306</v>
      </c>
      <c r="N1294">
        <v>350</v>
      </c>
      <c r="O1294">
        <v>7</v>
      </c>
      <c r="P1294">
        <v>350</v>
      </c>
      <c r="Q1294">
        <v>0</v>
      </c>
      <c r="R1294">
        <v>10</v>
      </c>
      <c r="S1294">
        <v>4</v>
      </c>
      <c r="T1294">
        <v>17</v>
      </c>
      <c r="U1294">
        <v>62</v>
      </c>
      <c r="V1294">
        <v>3</v>
      </c>
      <c r="W1294">
        <v>2</v>
      </c>
      <c r="X1294">
        <v>105</v>
      </c>
      <c r="Y1294">
        <v>10</v>
      </c>
      <c r="Z1294">
        <v>1</v>
      </c>
      <c r="AA1294">
        <v>0</v>
      </c>
      <c r="AB1294">
        <v>6</v>
      </c>
      <c r="AC1294">
        <v>104</v>
      </c>
      <c r="AD1294">
        <v>9</v>
      </c>
      <c r="AF1294">
        <v>1</v>
      </c>
      <c r="AG1294">
        <v>0</v>
      </c>
      <c r="AH1294">
        <v>0</v>
      </c>
      <c r="AI1294">
        <v>0</v>
      </c>
      <c r="AW1294">
        <v>0</v>
      </c>
      <c r="AX1294">
        <v>16</v>
      </c>
      <c r="AY1294">
        <v>350</v>
      </c>
      <c r="AZ1294">
        <v>350</v>
      </c>
      <c r="BA1294">
        <v>606</v>
      </c>
      <c r="BB1294">
        <v>50</v>
      </c>
      <c r="BD1294">
        <v>1</v>
      </c>
      <c r="BF1294" t="s">
        <v>1422</v>
      </c>
      <c r="BG1294" s="1">
        <v>44354.270138888889</v>
      </c>
      <c r="BH1294" s="1">
        <v>44354.274085648147</v>
      </c>
      <c r="BI1294" s="1">
        <v>44354.274884259263</v>
      </c>
      <c r="BJ1294" t="s">
        <v>85</v>
      </c>
      <c r="BK1294" t="s">
        <v>86</v>
      </c>
      <c r="BL1294" t="s">
        <v>87</v>
      </c>
    </row>
    <row r="1295" spans="1:64" x14ac:dyDescent="0.3">
      <c r="A1295" t="str">
        <f>"200656C0100"</f>
        <v>200656C0100</v>
      </c>
      <c r="B1295" t="str">
        <f>"200656C01003"</f>
        <v>200656C01003</v>
      </c>
      <c r="C1295" t="str">
        <f t="shared" si="76"/>
        <v>20</v>
      </c>
      <c r="D1295" t="s">
        <v>81</v>
      </c>
      <c r="E1295" t="str">
        <f t="shared" si="75"/>
        <v>071</v>
      </c>
      <c r="F1295" t="s">
        <v>1387</v>
      </c>
      <c r="G1295" t="str">
        <f>"0656"</f>
        <v>0656</v>
      </c>
      <c r="H1295" t="str">
        <f>"0001"</f>
        <v>0001</v>
      </c>
      <c r="I1295" t="s">
        <v>89</v>
      </c>
      <c r="J1295">
        <v>0</v>
      </c>
      <c r="K1295">
        <v>1</v>
      </c>
      <c r="L1295">
        <v>3</v>
      </c>
      <c r="M1295">
        <v>344</v>
      </c>
      <c r="N1295">
        <v>311</v>
      </c>
      <c r="O1295">
        <v>5</v>
      </c>
      <c r="P1295">
        <v>311</v>
      </c>
      <c r="Q1295">
        <v>3</v>
      </c>
      <c r="R1295">
        <v>9</v>
      </c>
      <c r="S1295">
        <v>3</v>
      </c>
      <c r="T1295">
        <v>12</v>
      </c>
      <c r="U1295">
        <v>78</v>
      </c>
      <c r="V1295">
        <v>3</v>
      </c>
      <c r="W1295">
        <v>1</v>
      </c>
      <c r="X1295">
        <v>79</v>
      </c>
      <c r="Y1295">
        <v>6</v>
      </c>
      <c r="Z1295">
        <v>3</v>
      </c>
      <c r="AA1295">
        <v>0</v>
      </c>
      <c r="AB1295">
        <v>5</v>
      </c>
      <c r="AC1295">
        <v>88</v>
      </c>
      <c r="AD1295">
        <v>11</v>
      </c>
      <c r="AF1295">
        <v>1</v>
      </c>
      <c r="AG1295">
        <v>0</v>
      </c>
      <c r="AH1295">
        <v>0</v>
      </c>
      <c r="AI1295">
        <v>0</v>
      </c>
      <c r="AW1295">
        <v>0</v>
      </c>
      <c r="AX1295">
        <v>9</v>
      </c>
      <c r="AY1295">
        <v>311</v>
      </c>
      <c r="AZ1295">
        <v>311</v>
      </c>
      <c r="BA1295">
        <v>605</v>
      </c>
      <c r="BB1295">
        <v>50</v>
      </c>
      <c r="BD1295">
        <v>1</v>
      </c>
      <c r="BF1295" t="s">
        <v>1423</v>
      </c>
      <c r="BG1295" s="1">
        <v>44354.270138888889</v>
      </c>
      <c r="BH1295" s="1">
        <v>44354.273310185185</v>
      </c>
      <c r="BI1295" s="1">
        <v>44354.273634259262</v>
      </c>
      <c r="BJ1295" t="s">
        <v>85</v>
      </c>
      <c r="BK1295" t="s">
        <v>86</v>
      </c>
      <c r="BL1295" t="s">
        <v>87</v>
      </c>
    </row>
    <row r="1296" spans="1:64" x14ac:dyDescent="0.3">
      <c r="A1296" t="str">
        <f>"200657B0000"</f>
        <v>200657B0000</v>
      </c>
      <c r="B1296" t="str">
        <f>"200657B00003"</f>
        <v>200657B00003</v>
      </c>
      <c r="C1296" t="str">
        <f t="shared" si="76"/>
        <v>20</v>
      </c>
      <c r="D1296" t="s">
        <v>81</v>
      </c>
      <c r="E1296" t="str">
        <f t="shared" si="75"/>
        <v>071</v>
      </c>
      <c r="F1296" t="s">
        <v>1387</v>
      </c>
      <c r="G1296" t="str">
        <f>"0657"</f>
        <v>0657</v>
      </c>
      <c r="H1296" t="str">
        <f>"0000"</f>
        <v>0000</v>
      </c>
      <c r="I1296" t="s">
        <v>83</v>
      </c>
      <c r="J1296">
        <v>0</v>
      </c>
      <c r="K1296">
        <v>1</v>
      </c>
      <c r="L1296">
        <v>3</v>
      </c>
      <c r="M1296">
        <v>361</v>
      </c>
      <c r="N1296">
        <v>395</v>
      </c>
      <c r="O1296">
        <v>6</v>
      </c>
      <c r="P1296">
        <v>395</v>
      </c>
      <c r="Q1296">
        <v>6</v>
      </c>
      <c r="R1296">
        <v>8</v>
      </c>
      <c r="S1296">
        <v>3</v>
      </c>
      <c r="T1296">
        <v>90</v>
      </c>
      <c r="U1296">
        <v>60</v>
      </c>
      <c r="V1296">
        <v>8</v>
      </c>
      <c r="W1296">
        <v>2</v>
      </c>
      <c r="X1296">
        <v>91</v>
      </c>
      <c r="Y1296">
        <v>8</v>
      </c>
      <c r="Z1296">
        <v>9</v>
      </c>
      <c r="AA1296">
        <v>1</v>
      </c>
      <c r="AB1296">
        <v>23</v>
      </c>
      <c r="AC1296">
        <v>68</v>
      </c>
      <c r="AD1296">
        <v>8</v>
      </c>
      <c r="AF1296">
        <v>0</v>
      </c>
      <c r="AG1296">
        <v>0</v>
      </c>
      <c r="AH1296">
        <v>0</v>
      </c>
      <c r="AI1296">
        <v>0</v>
      </c>
      <c r="AW1296">
        <v>0</v>
      </c>
      <c r="AX1296">
        <v>10</v>
      </c>
      <c r="AY1296">
        <v>395</v>
      </c>
      <c r="AZ1296">
        <v>395</v>
      </c>
      <c r="BA1296">
        <v>706</v>
      </c>
      <c r="BB1296">
        <v>50</v>
      </c>
      <c r="BD1296">
        <v>1</v>
      </c>
      <c r="BF1296" t="s">
        <v>1424</v>
      </c>
      <c r="BG1296" s="1">
        <v>44354.263194444444</v>
      </c>
      <c r="BH1296" s="1">
        <v>44354.265763888892</v>
      </c>
      <c r="BI1296" s="1">
        <v>44354.266469907408</v>
      </c>
      <c r="BJ1296" t="s">
        <v>85</v>
      </c>
      <c r="BK1296" t="s">
        <v>86</v>
      </c>
      <c r="BL1296" t="s">
        <v>87</v>
      </c>
    </row>
    <row r="1297" spans="1:64" x14ac:dyDescent="0.3">
      <c r="A1297" t="str">
        <f>"200657C0100"</f>
        <v>200657C0100</v>
      </c>
      <c r="B1297" t="str">
        <f>"200657C01003"</f>
        <v>200657C01003</v>
      </c>
      <c r="C1297" t="str">
        <f t="shared" si="76"/>
        <v>20</v>
      </c>
      <c r="D1297" t="s">
        <v>81</v>
      </c>
      <c r="E1297" t="str">
        <f t="shared" si="75"/>
        <v>071</v>
      </c>
      <c r="F1297" t="s">
        <v>1387</v>
      </c>
      <c r="G1297" t="str">
        <f>"0657"</f>
        <v>0657</v>
      </c>
      <c r="H1297" t="str">
        <f>"0001"</f>
        <v>0001</v>
      </c>
      <c r="I1297" t="s">
        <v>89</v>
      </c>
      <c r="J1297">
        <v>0</v>
      </c>
      <c r="K1297">
        <v>1</v>
      </c>
      <c r="L1297">
        <v>3</v>
      </c>
      <c r="M1297">
        <v>404</v>
      </c>
      <c r="N1297">
        <v>352</v>
      </c>
      <c r="O1297">
        <v>4</v>
      </c>
      <c r="P1297">
        <v>352</v>
      </c>
      <c r="Q1297">
        <v>1</v>
      </c>
      <c r="R1297">
        <v>10</v>
      </c>
      <c r="S1297">
        <v>3</v>
      </c>
      <c r="T1297">
        <v>88</v>
      </c>
      <c r="U1297">
        <v>51</v>
      </c>
      <c r="V1297">
        <v>10</v>
      </c>
      <c r="W1297">
        <v>4</v>
      </c>
      <c r="X1297">
        <v>69</v>
      </c>
      <c r="Y1297">
        <v>12</v>
      </c>
      <c r="Z1297">
        <v>2</v>
      </c>
      <c r="AA1297">
        <v>1</v>
      </c>
      <c r="AB1297">
        <v>13</v>
      </c>
      <c r="AC1297">
        <v>57</v>
      </c>
      <c r="AD1297">
        <v>10</v>
      </c>
      <c r="AF1297">
        <v>2</v>
      </c>
      <c r="AG1297">
        <v>0</v>
      </c>
      <c r="AH1297">
        <v>0</v>
      </c>
      <c r="AI1297">
        <v>0</v>
      </c>
      <c r="AW1297">
        <v>0</v>
      </c>
      <c r="AX1297">
        <v>19</v>
      </c>
      <c r="AY1297">
        <v>352</v>
      </c>
      <c r="AZ1297">
        <v>352</v>
      </c>
      <c r="BA1297">
        <v>706</v>
      </c>
      <c r="BB1297">
        <v>50</v>
      </c>
      <c r="BD1297">
        <v>1</v>
      </c>
      <c r="BF1297" t="s">
        <v>1425</v>
      </c>
      <c r="BG1297" s="1">
        <v>44354.263888888891</v>
      </c>
      <c r="BH1297" s="1">
        <v>44354.268148148149</v>
      </c>
      <c r="BI1297" s="1">
        <v>44354.268923611111</v>
      </c>
      <c r="BJ1297" t="s">
        <v>85</v>
      </c>
      <c r="BK1297" t="s">
        <v>86</v>
      </c>
      <c r="BL1297" t="s">
        <v>87</v>
      </c>
    </row>
    <row r="1298" spans="1:64" x14ac:dyDescent="0.3">
      <c r="A1298" t="str">
        <f>"200658B0000"</f>
        <v>200658B0000</v>
      </c>
      <c r="B1298" t="str">
        <f>"200658B00003"</f>
        <v>200658B00003</v>
      </c>
      <c r="C1298" t="str">
        <f t="shared" si="76"/>
        <v>20</v>
      </c>
      <c r="D1298" t="s">
        <v>81</v>
      </c>
      <c r="E1298" t="str">
        <f t="shared" si="75"/>
        <v>071</v>
      </c>
      <c r="F1298" t="s">
        <v>1387</v>
      </c>
      <c r="G1298" t="str">
        <f>"0658"</f>
        <v>0658</v>
      </c>
      <c r="H1298" t="str">
        <f>"0000"</f>
        <v>0000</v>
      </c>
      <c r="I1298" t="s">
        <v>83</v>
      </c>
      <c r="J1298">
        <v>0</v>
      </c>
      <c r="K1298">
        <v>1</v>
      </c>
      <c r="L1298">
        <v>3</v>
      </c>
      <c r="M1298">
        <v>235</v>
      </c>
      <c r="N1298">
        <v>261</v>
      </c>
      <c r="O1298">
        <v>2</v>
      </c>
      <c r="P1298">
        <v>261</v>
      </c>
      <c r="Q1298">
        <v>1</v>
      </c>
      <c r="R1298">
        <v>12</v>
      </c>
      <c r="S1298">
        <v>4</v>
      </c>
      <c r="T1298">
        <v>10</v>
      </c>
      <c r="U1298">
        <v>4</v>
      </c>
      <c r="V1298">
        <v>1</v>
      </c>
      <c r="W1298">
        <v>0</v>
      </c>
      <c r="X1298">
        <v>52</v>
      </c>
      <c r="Y1298">
        <v>17</v>
      </c>
      <c r="Z1298">
        <v>0</v>
      </c>
      <c r="AA1298">
        <v>6</v>
      </c>
      <c r="AB1298">
        <v>5</v>
      </c>
      <c r="AC1298">
        <v>124</v>
      </c>
      <c r="AD1298">
        <v>11</v>
      </c>
      <c r="AF1298">
        <v>0</v>
      </c>
      <c r="AG1298">
        <v>0</v>
      </c>
      <c r="AH1298">
        <v>0</v>
      </c>
      <c r="AI1298">
        <v>0</v>
      </c>
      <c r="AW1298">
        <v>0</v>
      </c>
      <c r="AX1298">
        <v>14</v>
      </c>
      <c r="AY1298">
        <v>261</v>
      </c>
      <c r="AZ1298">
        <v>261</v>
      </c>
      <c r="BA1298">
        <v>446</v>
      </c>
      <c r="BB1298">
        <v>50</v>
      </c>
      <c r="BD1298">
        <v>1</v>
      </c>
      <c r="BF1298" t="s">
        <v>1426</v>
      </c>
      <c r="BG1298" s="1">
        <v>44354.26666666667</v>
      </c>
      <c r="BH1298" s="1">
        <v>44354.270324074074</v>
      </c>
      <c r="BI1298" s="1">
        <v>44354.271215277775</v>
      </c>
      <c r="BJ1298" t="s">
        <v>85</v>
      </c>
      <c r="BK1298" t="s">
        <v>86</v>
      </c>
      <c r="BL1298" t="s">
        <v>87</v>
      </c>
    </row>
    <row r="1299" spans="1:64" x14ac:dyDescent="0.3">
      <c r="A1299" t="str">
        <f>"200659B0000"</f>
        <v>200659B0000</v>
      </c>
      <c r="B1299" t="str">
        <f>"200659B00003"</f>
        <v>200659B00003</v>
      </c>
      <c r="C1299" t="str">
        <f t="shared" si="76"/>
        <v>20</v>
      </c>
      <c r="D1299" t="s">
        <v>81</v>
      </c>
      <c r="E1299" t="str">
        <f t="shared" si="75"/>
        <v>071</v>
      </c>
      <c r="F1299" t="s">
        <v>1387</v>
      </c>
      <c r="G1299" t="str">
        <f>"0659"</f>
        <v>0659</v>
      </c>
      <c r="H1299" t="str">
        <f>"0000"</f>
        <v>0000</v>
      </c>
      <c r="I1299" t="s">
        <v>83</v>
      </c>
      <c r="J1299">
        <v>0</v>
      </c>
      <c r="K1299">
        <v>1</v>
      </c>
      <c r="L1299">
        <v>3</v>
      </c>
      <c r="M1299">
        <v>238</v>
      </c>
      <c r="N1299">
        <v>307</v>
      </c>
      <c r="O1299">
        <v>0</v>
      </c>
      <c r="P1299">
        <v>307</v>
      </c>
      <c r="Q1299">
        <v>1</v>
      </c>
      <c r="R1299">
        <v>7</v>
      </c>
      <c r="S1299">
        <v>2</v>
      </c>
      <c r="T1299">
        <v>21</v>
      </c>
      <c r="U1299">
        <v>99</v>
      </c>
      <c r="V1299">
        <v>3</v>
      </c>
      <c r="W1299">
        <v>2</v>
      </c>
      <c r="X1299">
        <v>73</v>
      </c>
      <c r="Y1299">
        <v>13</v>
      </c>
      <c r="Z1299">
        <v>7</v>
      </c>
      <c r="AA1299">
        <v>0</v>
      </c>
      <c r="AB1299">
        <v>8</v>
      </c>
      <c r="AC1299">
        <v>55</v>
      </c>
      <c r="AD1299">
        <v>8</v>
      </c>
      <c r="AF1299">
        <v>0</v>
      </c>
      <c r="AG1299">
        <v>0</v>
      </c>
      <c r="AH1299">
        <v>0</v>
      </c>
      <c r="AI1299">
        <v>0</v>
      </c>
      <c r="AW1299">
        <v>0</v>
      </c>
      <c r="AX1299">
        <v>8</v>
      </c>
      <c r="AY1299">
        <v>307</v>
      </c>
      <c r="AZ1299">
        <v>307</v>
      </c>
      <c r="BA1299">
        <v>495</v>
      </c>
      <c r="BB1299">
        <v>50</v>
      </c>
      <c r="BD1299">
        <v>1</v>
      </c>
      <c r="BF1299" t="s">
        <v>1427</v>
      </c>
      <c r="BG1299" s="1">
        <v>44354.265972222223</v>
      </c>
      <c r="BH1299" s="1">
        <v>44354.269884259258</v>
      </c>
      <c r="BI1299" s="1">
        <v>44354.271412037036</v>
      </c>
      <c r="BJ1299" t="s">
        <v>85</v>
      </c>
      <c r="BK1299" t="s">
        <v>86</v>
      </c>
      <c r="BL1299" t="s">
        <v>87</v>
      </c>
    </row>
    <row r="1300" spans="1:64" x14ac:dyDescent="0.3">
      <c r="A1300" t="str">
        <f>"200659C0100"</f>
        <v>200659C0100</v>
      </c>
      <c r="B1300" t="str">
        <f>"200659C01003"</f>
        <v>200659C01003</v>
      </c>
      <c r="C1300" t="str">
        <f t="shared" si="76"/>
        <v>20</v>
      </c>
      <c r="D1300" t="s">
        <v>81</v>
      </c>
      <c r="E1300" t="str">
        <f t="shared" si="75"/>
        <v>071</v>
      </c>
      <c r="F1300" t="s">
        <v>1387</v>
      </c>
      <c r="G1300" t="str">
        <f>"0659"</f>
        <v>0659</v>
      </c>
      <c r="H1300" t="str">
        <f>"0001"</f>
        <v>0001</v>
      </c>
      <c r="I1300" t="s">
        <v>89</v>
      </c>
      <c r="J1300">
        <v>0</v>
      </c>
      <c r="K1300">
        <v>1</v>
      </c>
      <c r="L1300">
        <v>3</v>
      </c>
      <c r="M1300">
        <v>223</v>
      </c>
      <c r="N1300">
        <v>322</v>
      </c>
      <c r="O1300">
        <v>2</v>
      </c>
      <c r="P1300">
        <v>322</v>
      </c>
      <c r="Q1300">
        <v>0</v>
      </c>
      <c r="R1300">
        <v>3</v>
      </c>
      <c r="S1300">
        <v>1</v>
      </c>
      <c r="T1300">
        <v>15</v>
      </c>
      <c r="U1300">
        <v>130</v>
      </c>
      <c r="V1300">
        <v>1</v>
      </c>
      <c r="W1300">
        <v>2</v>
      </c>
      <c r="X1300">
        <v>72</v>
      </c>
      <c r="Y1300">
        <v>5</v>
      </c>
      <c r="Z1300">
        <v>1</v>
      </c>
      <c r="AA1300">
        <v>0</v>
      </c>
      <c r="AB1300">
        <v>9</v>
      </c>
      <c r="AC1300">
        <v>62</v>
      </c>
      <c r="AD1300">
        <v>7</v>
      </c>
      <c r="AF1300">
        <v>0</v>
      </c>
      <c r="AG1300">
        <v>1</v>
      </c>
      <c r="AH1300">
        <v>0</v>
      </c>
      <c r="AI1300">
        <v>0</v>
      </c>
      <c r="AW1300">
        <v>0</v>
      </c>
      <c r="AX1300">
        <v>13</v>
      </c>
      <c r="AY1300">
        <v>322</v>
      </c>
      <c r="AZ1300">
        <v>322</v>
      </c>
      <c r="BA1300">
        <v>495</v>
      </c>
      <c r="BB1300">
        <v>50</v>
      </c>
      <c r="BD1300">
        <v>1</v>
      </c>
      <c r="BF1300" t="s">
        <v>1428</v>
      </c>
      <c r="BG1300" s="1">
        <v>44354.265277777777</v>
      </c>
      <c r="BH1300" s="1">
        <v>44354.267685185187</v>
      </c>
      <c r="BI1300" s="1">
        <v>44354.268611111111</v>
      </c>
      <c r="BJ1300" t="s">
        <v>85</v>
      </c>
      <c r="BK1300" t="s">
        <v>86</v>
      </c>
      <c r="BL1300" t="s">
        <v>87</v>
      </c>
    </row>
    <row r="1301" spans="1:64" x14ac:dyDescent="0.3">
      <c r="A1301" t="str">
        <f>"200659E0100"</f>
        <v>200659E0100</v>
      </c>
      <c r="B1301" t="str">
        <f>"200659E01003"</f>
        <v>200659E01003</v>
      </c>
      <c r="C1301" t="str">
        <f t="shared" si="76"/>
        <v>20</v>
      </c>
      <c r="D1301" t="s">
        <v>81</v>
      </c>
      <c r="E1301" t="str">
        <f t="shared" si="75"/>
        <v>071</v>
      </c>
      <c r="F1301" t="s">
        <v>1387</v>
      </c>
      <c r="G1301" t="str">
        <f>"0659"</f>
        <v>0659</v>
      </c>
      <c r="H1301" t="str">
        <f>"0001"</f>
        <v>0001</v>
      </c>
      <c r="I1301" t="s">
        <v>122</v>
      </c>
      <c r="J1301">
        <v>0</v>
      </c>
      <c r="K1301">
        <v>1</v>
      </c>
      <c r="L1301">
        <v>3</v>
      </c>
      <c r="M1301">
        <v>289</v>
      </c>
      <c r="N1301">
        <v>300</v>
      </c>
      <c r="O1301">
        <v>6</v>
      </c>
      <c r="P1301">
        <v>300</v>
      </c>
      <c r="Q1301">
        <v>2</v>
      </c>
      <c r="R1301">
        <v>7</v>
      </c>
      <c r="S1301">
        <v>5</v>
      </c>
      <c r="T1301">
        <v>23</v>
      </c>
      <c r="U1301">
        <v>15</v>
      </c>
      <c r="V1301">
        <v>2</v>
      </c>
      <c r="W1301">
        <v>6</v>
      </c>
      <c r="X1301">
        <v>64</v>
      </c>
      <c r="Y1301">
        <v>11</v>
      </c>
      <c r="Z1301">
        <v>3</v>
      </c>
      <c r="AA1301">
        <v>0</v>
      </c>
      <c r="AB1301">
        <v>13</v>
      </c>
      <c r="AC1301">
        <v>95</v>
      </c>
      <c r="AD1301">
        <v>32</v>
      </c>
      <c r="AF1301">
        <v>0</v>
      </c>
      <c r="AG1301">
        <v>0</v>
      </c>
      <c r="AH1301">
        <v>1</v>
      </c>
      <c r="AI1301">
        <v>0</v>
      </c>
      <c r="AW1301">
        <v>0</v>
      </c>
      <c r="AX1301">
        <v>21</v>
      </c>
      <c r="AY1301">
        <v>300</v>
      </c>
      <c r="AZ1301">
        <v>300</v>
      </c>
      <c r="BA1301">
        <v>539</v>
      </c>
      <c r="BB1301">
        <v>50</v>
      </c>
      <c r="BD1301">
        <v>1</v>
      </c>
      <c r="BF1301" t="s">
        <v>1429</v>
      </c>
      <c r="BG1301" s="1">
        <v>44354.095833333333</v>
      </c>
      <c r="BH1301" s="1">
        <v>44354.099861111114</v>
      </c>
      <c r="BI1301" s="1">
        <v>44354.10125</v>
      </c>
      <c r="BJ1301" t="s">
        <v>85</v>
      </c>
      <c r="BK1301" t="s">
        <v>86</v>
      </c>
      <c r="BL1301" t="s">
        <v>87</v>
      </c>
    </row>
    <row r="1302" spans="1:64" x14ac:dyDescent="0.3">
      <c r="A1302" t="str">
        <f>"200660B0000"</f>
        <v>200660B0000</v>
      </c>
      <c r="B1302" t="str">
        <f>"200660B00003"</f>
        <v>200660B00003</v>
      </c>
      <c r="C1302" t="str">
        <f t="shared" si="76"/>
        <v>20</v>
      </c>
      <c r="D1302" t="s">
        <v>81</v>
      </c>
      <c r="E1302" t="str">
        <f t="shared" si="75"/>
        <v>071</v>
      </c>
      <c r="F1302" t="s">
        <v>1387</v>
      </c>
      <c r="G1302" t="str">
        <f>"0660"</f>
        <v>0660</v>
      </c>
      <c r="H1302" t="str">
        <f>"0000"</f>
        <v>0000</v>
      </c>
      <c r="I1302" t="s">
        <v>83</v>
      </c>
      <c r="J1302">
        <v>0</v>
      </c>
      <c r="K1302">
        <v>1</v>
      </c>
      <c r="L1302">
        <v>3</v>
      </c>
      <c r="M1302">
        <v>271</v>
      </c>
      <c r="N1302">
        <v>305</v>
      </c>
      <c r="O1302">
        <v>0</v>
      </c>
      <c r="P1302">
        <v>305</v>
      </c>
      <c r="Q1302">
        <v>5</v>
      </c>
      <c r="R1302">
        <v>27</v>
      </c>
      <c r="S1302">
        <v>3</v>
      </c>
      <c r="T1302">
        <v>9</v>
      </c>
      <c r="U1302">
        <v>57</v>
      </c>
      <c r="V1302">
        <v>5</v>
      </c>
      <c r="W1302">
        <v>0</v>
      </c>
      <c r="X1302">
        <v>48</v>
      </c>
      <c r="Y1302">
        <v>3</v>
      </c>
      <c r="Z1302">
        <v>3</v>
      </c>
      <c r="AA1302">
        <v>2</v>
      </c>
      <c r="AB1302">
        <v>4</v>
      </c>
      <c r="AC1302">
        <v>114</v>
      </c>
      <c r="AD1302">
        <v>8</v>
      </c>
      <c r="AF1302">
        <v>4</v>
      </c>
      <c r="AG1302">
        <v>0</v>
      </c>
      <c r="AH1302">
        <v>0</v>
      </c>
      <c r="AI1302">
        <v>0</v>
      </c>
      <c r="AW1302">
        <v>0</v>
      </c>
      <c r="AX1302">
        <v>13</v>
      </c>
      <c r="AY1302">
        <v>305</v>
      </c>
      <c r="AZ1302">
        <v>305</v>
      </c>
      <c r="BA1302">
        <v>526</v>
      </c>
      <c r="BB1302">
        <v>50</v>
      </c>
      <c r="BD1302">
        <v>1</v>
      </c>
      <c r="BF1302" t="s">
        <v>1430</v>
      </c>
      <c r="BG1302" s="1">
        <v>44354.115972222222</v>
      </c>
      <c r="BH1302" s="1">
        <v>44354.118587962963</v>
      </c>
      <c r="BI1302" s="1">
        <v>44354.119120370371</v>
      </c>
      <c r="BJ1302" t="s">
        <v>85</v>
      </c>
      <c r="BK1302" t="s">
        <v>86</v>
      </c>
      <c r="BL1302" t="s">
        <v>1390</v>
      </c>
    </row>
    <row r="1303" spans="1:64" x14ac:dyDescent="0.3">
      <c r="A1303" t="str">
        <f>"200660C0100"</f>
        <v>200660C0100</v>
      </c>
      <c r="B1303" t="str">
        <f>"200660C01003"</f>
        <v>200660C01003</v>
      </c>
      <c r="C1303" t="str">
        <f t="shared" si="76"/>
        <v>20</v>
      </c>
      <c r="D1303" t="s">
        <v>81</v>
      </c>
      <c r="E1303" t="str">
        <f t="shared" si="75"/>
        <v>071</v>
      </c>
      <c r="F1303" t="s">
        <v>1387</v>
      </c>
      <c r="G1303" t="str">
        <f>"0660"</f>
        <v>0660</v>
      </c>
      <c r="H1303" t="str">
        <f>"0001"</f>
        <v>0001</v>
      </c>
      <c r="I1303" t="s">
        <v>89</v>
      </c>
      <c r="J1303">
        <v>0</v>
      </c>
      <c r="K1303">
        <v>1</v>
      </c>
      <c r="L1303">
        <v>3</v>
      </c>
      <c r="M1303">
        <v>293</v>
      </c>
      <c r="N1303">
        <v>283</v>
      </c>
      <c r="O1303">
        <v>0</v>
      </c>
      <c r="P1303">
        <v>283</v>
      </c>
      <c r="Q1303">
        <v>5</v>
      </c>
      <c r="R1303">
        <v>49</v>
      </c>
      <c r="S1303">
        <v>3</v>
      </c>
      <c r="T1303">
        <v>14</v>
      </c>
      <c r="U1303">
        <v>57</v>
      </c>
      <c r="V1303">
        <v>5</v>
      </c>
      <c r="W1303">
        <v>2</v>
      </c>
      <c r="X1303">
        <v>24</v>
      </c>
      <c r="Y1303">
        <v>3</v>
      </c>
      <c r="Z1303">
        <v>3</v>
      </c>
      <c r="AA1303">
        <v>0</v>
      </c>
      <c r="AB1303">
        <v>3</v>
      </c>
      <c r="AC1303">
        <v>83</v>
      </c>
      <c r="AD1303">
        <v>8</v>
      </c>
      <c r="AF1303">
        <v>3</v>
      </c>
      <c r="AG1303">
        <v>0</v>
      </c>
      <c r="AH1303">
        <v>0</v>
      </c>
      <c r="AI1303">
        <v>0</v>
      </c>
      <c r="AW1303">
        <v>0</v>
      </c>
      <c r="AX1303">
        <v>21</v>
      </c>
      <c r="AY1303">
        <v>283</v>
      </c>
      <c r="AZ1303">
        <v>283</v>
      </c>
      <c r="BA1303">
        <v>526</v>
      </c>
      <c r="BB1303">
        <v>50</v>
      </c>
      <c r="BD1303">
        <v>1</v>
      </c>
      <c r="BF1303" t="s">
        <v>1431</v>
      </c>
      <c r="BG1303" s="1">
        <v>44354.114583333336</v>
      </c>
      <c r="BH1303" s="1">
        <v>44354.118692129632</v>
      </c>
      <c r="BI1303" s="1">
        <v>44354.119247685187</v>
      </c>
      <c r="BJ1303" t="s">
        <v>85</v>
      </c>
      <c r="BK1303" t="s">
        <v>86</v>
      </c>
      <c r="BL1303" t="s">
        <v>1390</v>
      </c>
    </row>
    <row r="1304" spans="1:64" x14ac:dyDescent="0.3">
      <c r="A1304" t="str">
        <f>"200661B0000"</f>
        <v>200661B0000</v>
      </c>
      <c r="B1304" t="str">
        <f>"200661B00003"</f>
        <v>200661B00003</v>
      </c>
      <c r="C1304" t="str">
        <f t="shared" si="76"/>
        <v>20</v>
      </c>
      <c r="D1304" t="s">
        <v>81</v>
      </c>
      <c r="E1304" t="str">
        <f>"072"</f>
        <v>072</v>
      </c>
      <c r="F1304" t="s">
        <v>1432</v>
      </c>
      <c r="G1304" t="str">
        <f>"0661"</f>
        <v>0661</v>
      </c>
      <c r="H1304" t="str">
        <f>"0000"</f>
        <v>0000</v>
      </c>
      <c r="I1304" t="s">
        <v>83</v>
      </c>
      <c r="J1304">
        <v>0</v>
      </c>
      <c r="K1304">
        <v>1</v>
      </c>
      <c r="L1304">
        <v>3</v>
      </c>
      <c r="BA1304">
        <v>556</v>
      </c>
      <c r="BB1304">
        <v>44</v>
      </c>
      <c r="BC1304" t="s">
        <v>161</v>
      </c>
      <c r="BD1304">
        <v>0</v>
      </c>
      <c r="BF1304" t="s">
        <v>1433</v>
      </c>
      <c r="BG1304" s="1">
        <v>44354.447916666664</v>
      </c>
      <c r="BH1304" s="1">
        <v>44354.470208333332</v>
      </c>
      <c r="BI1304" s="1">
        <v>44354.470208333332</v>
      </c>
      <c r="BJ1304" t="s">
        <v>85</v>
      </c>
      <c r="BK1304" t="s">
        <v>86</v>
      </c>
      <c r="BL1304" t="s">
        <v>87</v>
      </c>
    </row>
    <row r="1305" spans="1:64" x14ac:dyDescent="0.3">
      <c r="A1305" t="str">
        <f>"200661C0100"</f>
        <v>200661C0100</v>
      </c>
      <c r="B1305" t="str">
        <f>"200661C01003"</f>
        <v>200661C01003</v>
      </c>
      <c r="C1305" t="str">
        <f t="shared" si="76"/>
        <v>20</v>
      </c>
      <c r="D1305" t="s">
        <v>81</v>
      </c>
      <c r="E1305" t="str">
        <f>"072"</f>
        <v>072</v>
      </c>
      <c r="F1305" t="s">
        <v>1432</v>
      </c>
      <c r="G1305" t="str">
        <f>"0661"</f>
        <v>0661</v>
      </c>
      <c r="H1305" t="str">
        <f>"0001"</f>
        <v>0001</v>
      </c>
      <c r="I1305" t="s">
        <v>89</v>
      </c>
      <c r="J1305">
        <v>0</v>
      </c>
      <c r="K1305">
        <v>1</v>
      </c>
      <c r="L1305">
        <v>3</v>
      </c>
      <c r="BA1305">
        <v>556</v>
      </c>
      <c r="BB1305">
        <v>44</v>
      </c>
      <c r="BC1305" t="s">
        <v>161</v>
      </c>
      <c r="BD1305">
        <v>0</v>
      </c>
      <c r="BF1305" t="s">
        <v>1434</v>
      </c>
      <c r="BG1305" s="1">
        <v>44354.447916666664</v>
      </c>
      <c r="BH1305" s="1">
        <v>44354.470671296294</v>
      </c>
      <c r="BI1305" s="1">
        <v>44354.470671296294</v>
      </c>
      <c r="BJ1305" t="s">
        <v>85</v>
      </c>
      <c r="BK1305" t="s">
        <v>86</v>
      </c>
      <c r="BL1305" t="s">
        <v>87</v>
      </c>
    </row>
    <row r="1306" spans="1:64" x14ac:dyDescent="0.3">
      <c r="A1306" t="str">
        <f>"200662B0000"</f>
        <v>200662B0000</v>
      </c>
      <c r="B1306" t="str">
        <f>"200662B00003"</f>
        <v>200662B00003</v>
      </c>
      <c r="C1306" t="str">
        <f t="shared" si="76"/>
        <v>20</v>
      </c>
      <c r="D1306" t="s">
        <v>81</v>
      </c>
      <c r="E1306" t="str">
        <f>"072"</f>
        <v>072</v>
      </c>
      <c r="F1306" t="s">
        <v>1432</v>
      </c>
      <c r="G1306" t="str">
        <f>"0662"</f>
        <v>0662</v>
      </c>
      <c r="H1306" t="str">
        <f>"0000"</f>
        <v>0000</v>
      </c>
      <c r="I1306" t="s">
        <v>83</v>
      </c>
      <c r="J1306">
        <v>0</v>
      </c>
      <c r="K1306">
        <v>1</v>
      </c>
      <c r="L1306">
        <v>3</v>
      </c>
      <c r="BA1306">
        <v>598</v>
      </c>
      <c r="BB1306">
        <v>44</v>
      </c>
      <c r="BC1306" t="s">
        <v>161</v>
      </c>
      <c r="BD1306">
        <v>0</v>
      </c>
      <c r="BF1306" t="s">
        <v>1435</v>
      </c>
      <c r="BG1306" s="1">
        <v>44354.447916666664</v>
      </c>
      <c r="BH1306" s="1">
        <v>44354.469849537039</v>
      </c>
      <c r="BI1306" s="1">
        <v>44354.469849537039</v>
      </c>
      <c r="BJ1306" t="s">
        <v>85</v>
      </c>
      <c r="BK1306" t="s">
        <v>86</v>
      </c>
      <c r="BL1306" t="s">
        <v>87</v>
      </c>
    </row>
    <row r="1307" spans="1:64" x14ac:dyDescent="0.3">
      <c r="A1307" t="str">
        <f>"200662C0100"</f>
        <v>200662C0100</v>
      </c>
      <c r="B1307" t="str">
        <f>"200662C01003"</f>
        <v>200662C01003</v>
      </c>
      <c r="C1307" t="str">
        <f t="shared" si="76"/>
        <v>20</v>
      </c>
      <c r="D1307" t="s">
        <v>81</v>
      </c>
      <c r="E1307" t="str">
        <f>"072"</f>
        <v>072</v>
      </c>
      <c r="F1307" t="s">
        <v>1432</v>
      </c>
      <c r="G1307" t="str">
        <f>"0662"</f>
        <v>0662</v>
      </c>
      <c r="H1307" t="str">
        <f>"0001"</f>
        <v>0001</v>
      </c>
      <c r="I1307" t="s">
        <v>89</v>
      </c>
      <c r="J1307">
        <v>0</v>
      </c>
      <c r="K1307">
        <v>1</v>
      </c>
      <c r="L1307">
        <v>3</v>
      </c>
      <c r="BA1307">
        <v>598</v>
      </c>
      <c r="BB1307">
        <v>44</v>
      </c>
      <c r="BC1307" t="s">
        <v>161</v>
      </c>
      <c r="BD1307">
        <v>0</v>
      </c>
      <c r="BF1307" t="s">
        <v>1436</v>
      </c>
      <c r="BG1307" s="1">
        <v>44354.447916666664</v>
      </c>
      <c r="BH1307" s="1">
        <v>44354.470046296294</v>
      </c>
      <c r="BI1307" s="1">
        <v>44354.470046296294</v>
      </c>
      <c r="BJ1307" t="s">
        <v>85</v>
      </c>
      <c r="BK1307" t="s">
        <v>86</v>
      </c>
      <c r="BL1307" t="s">
        <v>87</v>
      </c>
    </row>
    <row r="1308" spans="1:64" x14ac:dyDescent="0.3">
      <c r="A1308" t="str">
        <f>"200670B0000"</f>
        <v>200670B0000</v>
      </c>
      <c r="B1308" t="str">
        <f>"200670B00003"</f>
        <v>200670B00003</v>
      </c>
      <c r="C1308" t="str">
        <f t="shared" si="76"/>
        <v>20</v>
      </c>
      <c r="D1308" t="s">
        <v>81</v>
      </c>
      <c r="E1308" t="str">
        <f t="shared" ref="E1308:E1339" si="77">"076"</f>
        <v>076</v>
      </c>
      <c r="F1308" t="s">
        <v>1437</v>
      </c>
      <c r="G1308" t="str">
        <f>"0670"</f>
        <v>0670</v>
      </c>
      <c r="H1308" t="str">
        <f>"0000"</f>
        <v>0000</v>
      </c>
      <c r="I1308" t="s">
        <v>83</v>
      </c>
      <c r="J1308">
        <v>0</v>
      </c>
      <c r="K1308">
        <v>1</v>
      </c>
      <c r="L1308">
        <v>3</v>
      </c>
      <c r="M1308" t="s">
        <v>92</v>
      </c>
      <c r="N1308" t="s">
        <v>92</v>
      </c>
      <c r="O1308" t="s">
        <v>92</v>
      </c>
      <c r="P1308" t="s">
        <v>92</v>
      </c>
      <c r="Q1308" t="s">
        <v>95</v>
      </c>
      <c r="R1308" t="s">
        <v>95</v>
      </c>
      <c r="S1308" t="s">
        <v>95</v>
      </c>
      <c r="T1308" t="s">
        <v>95</v>
      </c>
      <c r="U1308" t="s">
        <v>95</v>
      </c>
      <c r="V1308" t="s">
        <v>95</v>
      </c>
      <c r="W1308" t="s">
        <v>95</v>
      </c>
      <c r="X1308" t="s">
        <v>95</v>
      </c>
      <c r="Y1308" t="s">
        <v>95</v>
      </c>
      <c r="Z1308" t="s">
        <v>95</v>
      </c>
      <c r="AA1308" t="s">
        <v>95</v>
      </c>
      <c r="AB1308" t="s">
        <v>95</v>
      </c>
      <c r="AF1308" t="s">
        <v>95</v>
      </c>
      <c r="AG1308" t="s">
        <v>95</v>
      </c>
      <c r="AH1308" t="s">
        <v>95</v>
      </c>
      <c r="AI1308" t="s">
        <v>95</v>
      </c>
      <c r="AW1308" t="s">
        <v>95</v>
      </c>
      <c r="AX1308" t="s">
        <v>95</v>
      </c>
      <c r="BA1308">
        <v>621</v>
      </c>
      <c r="BB1308">
        <v>44</v>
      </c>
      <c r="BC1308" t="s">
        <v>712</v>
      </c>
      <c r="BD1308">
        <v>0</v>
      </c>
      <c r="BF1308" t="s">
        <v>1438</v>
      </c>
      <c r="BG1308" s="1">
        <v>44354.216666666667</v>
      </c>
      <c r="BH1308" s="1">
        <v>44354.219201388885</v>
      </c>
      <c r="BI1308" s="1">
        <v>44354.243668981479</v>
      </c>
      <c r="BJ1308" t="s">
        <v>85</v>
      </c>
      <c r="BK1308" t="s">
        <v>86</v>
      </c>
      <c r="BL1308" t="s">
        <v>87</v>
      </c>
    </row>
    <row r="1309" spans="1:64" x14ac:dyDescent="0.3">
      <c r="A1309" t="str">
        <f>"200670C0100"</f>
        <v>200670C0100</v>
      </c>
      <c r="B1309" t="str">
        <f>"200670C01003"</f>
        <v>200670C01003</v>
      </c>
      <c r="C1309" t="str">
        <f t="shared" si="76"/>
        <v>20</v>
      </c>
      <c r="D1309" t="s">
        <v>81</v>
      </c>
      <c r="E1309" t="str">
        <f t="shared" si="77"/>
        <v>076</v>
      </c>
      <c r="F1309" t="s">
        <v>1437</v>
      </c>
      <c r="G1309" t="str">
        <f>"0670"</f>
        <v>0670</v>
      </c>
      <c r="H1309" t="str">
        <f>"0001"</f>
        <v>0001</v>
      </c>
      <c r="I1309" t="s">
        <v>89</v>
      </c>
      <c r="J1309">
        <v>0</v>
      </c>
      <c r="K1309">
        <v>1</v>
      </c>
      <c r="L1309">
        <v>3</v>
      </c>
      <c r="M1309">
        <v>327</v>
      </c>
      <c r="N1309">
        <v>337</v>
      </c>
      <c r="O1309">
        <v>2</v>
      </c>
      <c r="P1309">
        <v>336</v>
      </c>
      <c r="Q1309">
        <v>6</v>
      </c>
      <c r="R1309">
        <v>80</v>
      </c>
      <c r="S1309">
        <v>4</v>
      </c>
      <c r="T1309">
        <v>10</v>
      </c>
      <c r="U1309">
        <v>6</v>
      </c>
      <c r="V1309">
        <v>25</v>
      </c>
      <c r="W1309">
        <v>45</v>
      </c>
      <c r="X1309">
        <v>135</v>
      </c>
      <c r="Y1309">
        <v>3</v>
      </c>
      <c r="Z1309">
        <v>3</v>
      </c>
      <c r="AA1309">
        <v>1</v>
      </c>
      <c r="AB1309">
        <v>7</v>
      </c>
      <c r="AF1309">
        <v>2</v>
      </c>
      <c r="AG1309">
        <v>0</v>
      </c>
      <c r="AH1309">
        <v>0</v>
      </c>
      <c r="AI1309">
        <v>0</v>
      </c>
      <c r="AW1309">
        <v>0</v>
      </c>
      <c r="AX1309">
        <v>9</v>
      </c>
      <c r="AY1309">
        <v>336</v>
      </c>
      <c r="AZ1309">
        <v>336</v>
      </c>
      <c r="BA1309">
        <v>621</v>
      </c>
      <c r="BB1309">
        <v>44</v>
      </c>
      <c r="BD1309">
        <v>1</v>
      </c>
      <c r="BF1309" t="s">
        <v>1439</v>
      </c>
      <c r="BG1309" s="1">
        <v>44354.217361111114</v>
      </c>
      <c r="BH1309" s="1">
        <v>44354.219548611109</v>
      </c>
      <c r="BI1309" s="1">
        <v>44354.220196759263</v>
      </c>
      <c r="BJ1309" t="s">
        <v>85</v>
      </c>
      <c r="BK1309" t="s">
        <v>86</v>
      </c>
      <c r="BL1309" t="s">
        <v>87</v>
      </c>
    </row>
    <row r="1310" spans="1:64" x14ac:dyDescent="0.3">
      <c r="A1310" t="str">
        <f>"200670C0200"</f>
        <v>200670C0200</v>
      </c>
      <c r="B1310" t="str">
        <f>"200670C02003"</f>
        <v>200670C02003</v>
      </c>
      <c r="C1310" t="str">
        <f t="shared" si="76"/>
        <v>20</v>
      </c>
      <c r="D1310" t="s">
        <v>81</v>
      </c>
      <c r="E1310" t="str">
        <f t="shared" si="77"/>
        <v>076</v>
      </c>
      <c r="F1310" t="s">
        <v>1437</v>
      </c>
      <c r="G1310" t="str">
        <f>"0670"</f>
        <v>0670</v>
      </c>
      <c r="H1310" t="str">
        <f>"0002"</f>
        <v>0002</v>
      </c>
      <c r="I1310" t="s">
        <v>89</v>
      </c>
      <c r="J1310">
        <v>0</v>
      </c>
      <c r="K1310">
        <v>1</v>
      </c>
      <c r="L1310">
        <v>3</v>
      </c>
      <c r="M1310">
        <v>314</v>
      </c>
      <c r="N1310">
        <v>349</v>
      </c>
      <c r="O1310">
        <v>5</v>
      </c>
      <c r="P1310" t="s">
        <v>92</v>
      </c>
      <c r="Q1310">
        <v>3</v>
      </c>
      <c r="R1310">
        <v>68</v>
      </c>
      <c r="S1310">
        <v>1</v>
      </c>
      <c r="T1310">
        <v>18</v>
      </c>
      <c r="U1310">
        <v>10</v>
      </c>
      <c r="V1310">
        <v>27</v>
      </c>
      <c r="W1310">
        <v>45</v>
      </c>
      <c r="X1310">
        <v>142</v>
      </c>
      <c r="Y1310">
        <v>3</v>
      </c>
      <c r="Z1310">
        <v>3</v>
      </c>
      <c r="AA1310">
        <v>2</v>
      </c>
      <c r="AB1310">
        <v>19</v>
      </c>
      <c r="AF1310">
        <v>2</v>
      </c>
      <c r="AG1310">
        <v>0</v>
      </c>
      <c r="AH1310">
        <v>0</v>
      </c>
      <c r="AI1310">
        <v>0</v>
      </c>
      <c r="AW1310">
        <v>0</v>
      </c>
      <c r="AX1310">
        <v>7</v>
      </c>
      <c r="AY1310">
        <v>350</v>
      </c>
      <c r="AZ1310">
        <v>350</v>
      </c>
      <c r="BA1310">
        <v>621</v>
      </c>
      <c r="BB1310">
        <v>44</v>
      </c>
      <c r="BD1310">
        <v>1</v>
      </c>
      <c r="BF1310" t="s">
        <v>1440</v>
      </c>
      <c r="BG1310" s="1">
        <v>44354.21597222222</v>
      </c>
      <c r="BH1310" s="1">
        <v>44354.217928240738</v>
      </c>
      <c r="BI1310" s="1">
        <v>44354.218252314815</v>
      </c>
      <c r="BJ1310" t="s">
        <v>85</v>
      </c>
      <c r="BK1310" t="s">
        <v>86</v>
      </c>
      <c r="BL1310" t="s">
        <v>87</v>
      </c>
    </row>
    <row r="1311" spans="1:64" x14ac:dyDescent="0.3">
      <c r="A1311" t="str">
        <f>"200670C0300"</f>
        <v>200670C0300</v>
      </c>
      <c r="B1311" t="str">
        <f>"200670C03003"</f>
        <v>200670C03003</v>
      </c>
      <c r="C1311" t="str">
        <f t="shared" si="76"/>
        <v>20</v>
      </c>
      <c r="D1311" t="s">
        <v>81</v>
      </c>
      <c r="E1311" t="str">
        <f t="shared" si="77"/>
        <v>076</v>
      </c>
      <c r="F1311" t="s">
        <v>1437</v>
      </c>
      <c r="G1311" t="str">
        <f>"0670"</f>
        <v>0670</v>
      </c>
      <c r="H1311" t="str">
        <f>"0003"</f>
        <v>0003</v>
      </c>
      <c r="I1311" t="s">
        <v>89</v>
      </c>
      <c r="J1311">
        <v>0</v>
      </c>
      <c r="K1311">
        <v>1</v>
      </c>
      <c r="L1311">
        <v>3</v>
      </c>
      <c r="M1311">
        <v>349</v>
      </c>
      <c r="N1311">
        <v>316</v>
      </c>
      <c r="O1311">
        <v>3</v>
      </c>
      <c r="P1311" t="s">
        <v>92</v>
      </c>
      <c r="Q1311">
        <v>8</v>
      </c>
      <c r="R1311">
        <v>89</v>
      </c>
      <c r="S1311">
        <v>4</v>
      </c>
      <c r="T1311">
        <v>12</v>
      </c>
      <c r="U1311">
        <v>4</v>
      </c>
      <c r="V1311">
        <v>19</v>
      </c>
      <c r="W1311">
        <v>28</v>
      </c>
      <c r="X1311">
        <v>126</v>
      </c>
      <c r="Y1311">
        <v>5</v>
      </c>
      <c r="Z1311">
        <v>4</v>
      </c>
      <c r="AA1311">
        <v>0</v>
      </c>
      <c r="AB1311">
        <v>5</v>
      </c>
      <c r="AF1311">
        <v>6</v>
      </c>
      <c r="AG1311" t="s">
        <v>95</v>
      </c>
      <c r="AH1311" t="s">
        <v>95</v>
      </c>
      <c r="AI1311" t="s">
        <v>95</v>
      </c>
      <c r="AW1311" t="s">
        <v>95</v>
      </c>
      <c r="AX1311" t="s">
        <v>95</v>
      </c>
      <c r="AY1311">
        <v>316</v>
      </c>
      <c r="AZ1311">
        <v>310</v>
      </c>
      <c r="BA1311">
        <v>621</v>
      </c>
      <c r="BB1311">
        <v>44</v>
      </c>
      <c r="BC1311" t="s">
        <v>96</v>
      </c>
      <c r="BD1311">
        <v>1</v>
      </c>
      <c r="BF1311" t="s">
        <v>1441</v>
      </c>
      <c r="BG1311" s="1">
        <v>44354.219444444447</v>
      </c>
      <c r="BH1311" s="1">
        <v>44354.222210648149</v>
      </c>
      <c r="BI1311" s="1">
        <v>44354.222951388889</v>
      </c>
      <c r="BJ1311" t="s">
        <v>85</v>
      </c>
      <c r="BK1311" t="s">
        <v>86</v>
      </c>
      <c r="BL1311" t="s">
        <v>87</v>
      </c>
    </row>
    <row r="1312" spans="1:64" x14ac:dyDescent="0.3">
      <c r="A1312" t="str">
        <f>"200670C0400"</f>
        <v>200670C0400</v>
      </c>
      <c r="B1312" t="str">
        <f>"200670C04003"</f>
        <v>200670C04003</v>
      </c>
      <c r="C1312" t="str">
        <f t="shared" si="76"/>
        <v>20</v>
      </c>
      <c r="D1312" t="s">
        <v>81</v>
      </c>
      <c r="E1312" t="str">
        <f t="shared" si="77"/>
        <v>076</v>
      </c>
      <c r="F1312" t="s">
        <v>1437</v>
      </c>
      <c r="G1312" t="str">
        <f>"0670"</f>
        <v>0670</v>
      </c>
      <c r="H1312" t="str">
        <f>"0004"</f>
        <v>0004</v>
      </c>
      <c r="I1312" t="s">
        <v>89</v>
      </c>
      <c r="J1312">
        <v>0</v>
      </c>
      <c r="K1312">
        <v>1</v>
      </c>
      <c r="L1312">
        <v>3</v>
      </c>
      <c r="M1312">
        <v>317</v>
      </c>
      <c r="N1312">
        <v>348</v>
      </c>
      <c r="O1312">
        <v>5</v>
      </c>
      <c r="P1312">
        <v>348</v>
      </c>
      <c r="Q1312">
        <v>7</v>
      </c>
      <c r="R1312">
        <v>86</v>
      </c>
      <c r="S1312">
        <v>2</v>
      </c>
      <c r="T1312">
        <v>16</v>
      </c>
      <c r="U1312">
        <v>8</v>
      </c>
      <c r="V1312">
        <v>29</v>
      </c>
      <c r="W1312">
        <v>26</v>
      </c>
      <c r="X1312">
        <v>133</v>
      </c>
      <c r="Y1312">
        <v>6</v>
      </c>
      <c r="Z1312">
        <v>10</v>
      </c>
      <c r="AA1312">
        <v>0</v>
      </c>
      <c r="AB1312">
        <v>13</v>
      </c>
      <c r="AF1312">
        <v>6</v>
      </c>
      <c r="AG1312">
        <v>0</v>
      </c>
      <c r="AH1312">
        <v>0</v>
      </c>
      <c r="AI1312">
        <v>0</v>
      </c>
      <c r="AW1312" t="s">
        <v>95</v>
      </c>
      <c r="AX1312">
        <v>6</v>
      </c>
      <c r="AY1312">
        <v>348</v>
      </c>
      <c r="AZ1312">
        <v>348</v>
      </c>
      <c r="BA1312">
        <v>621</v>
      </c>
      <c r="BB1312">
        <v>44</v>
      </c>
      <c r="BC1312" t="s">
        <v>96</v>
      </c>
      <c r="BD1312">
        <v>1</v>
      </c>
      <c r="BF1312" t="s">
        <v>1442</v>
      </c>
      <c r="BG1312" s="1">
        <v>44354.2</v>
      </c>
      <c r="BH1312" s="1">
        <v>44354.202928240738</v>
      </c>
      <c r="BI1312" s="1">
        <v>44354.203935185185</v>
      </c>
      <c r="BJ1312" t="s">
        <v>85</v>
      </c>
      <c r="BK1312" t="s">
        <v>86</v>
      </c>
      <c r="BL1312" t="s">
        <v>87</v>
      </c>
    </row>
    <row r="1313" spans="1:64" x14ac:dyDescent="0.3">
      <c r="A1313" t="str">
        <f>"200671B0000"</f>
        <v>200671B0000</v>
      </c>
      <c r="B1313" t="str">
        <f>"200671B00003"</f>
        <v>200671B00003</v>
      </c>
      <c r="C1313" t="str">
        <f t="shared" si="76"/>
        <v>20</v>
      </c>
      <c r="D1313" t="s">
        <v>81</v>
      </c>
      <c r="E1313" t="str">
        <f t="shared" si="77"/>
        <v>076</v>
      </c>
      <c r="F1313" t="s">
        <v>1437</v>
      </c>
      <c r="G1313" t="str">
        <f>"0671"</f>
        <v>0671</v>
      </c>
      <c r="H1313" t="str">
        <f>"0000"</f>
        <v>0000</v>
      </c>
      <c r="I1313" t="s">
        <v>83</v>
      </c>
      <c r="J1313">
        <v>0</v>
      </c>
      <c r="K1313">
        <v>1</v>
      </c>
      <c r="L1313">
        <v>3</v>
      </c>
      <c r="M1313">
        <v>256</v>
      </c>
      <c r="N1313">
        <v>301</v>
      </c>
      <c r="O1313">
        <v>5</v>
      </c>
      <c r="P1313">
        <v>302</v>
      </c>
      <c r="Q1313">
        <v>3</v>
      </c>
      <c r="R1313">
        <v>82</v>
      </c>
      <c r="S1313">
        <v>2</v>
      </c>
      <c r="T1313">
        <v>3</v>
      </c>
      <c r="U1313">
        <v>8</v>
      </c>
      <c r="V1313">
        <v>11</v>
      </c>
      <c r="W1313">
        <v>33</v>
      </c>
      <c r="X1313">
        <v>127</v>
      </c>
      <c r="Y1313">
        <v>6</v>
      </c>
      <c r="Z1313">
        <v>18</v>
      </c>
      <c r="AA1313">
        <v>2</v>
      </c>
      <c r="AB1313">
        <v>1</v>
      </c>
      <c r="AF1313" t="s">
        <v>95</v>
      </c>
      <c r="AG1313">
        <v>1</v>
      </c>
      <c r="AH1313" t="s">
        <v>95</v>
      </c>
      <c r="AI1313" t="s">
        <v>95</v>
      </c>
      <c r="AW1313" t="s">
        <v>95</v>
      </c>
      <c r="AX1313">
        <v>5</v>
      </c>
      <c r="AY1313">
        <v>302</v>
      </c>
      <c r="AZ1313">
        <v>302</v>
      </c>
      <c r="BA1313">
        <v>514</v>
      </c>
      <c r="BB1313">
        <v>44</v>
      </c>
      <c r="BC1313" t="s">
        <v>96</v>
      </c>
      <c r="BD1313">
        <v>1</v>
      </c>
      <c r="BF1313" t="s">
        <v>1443</v>
      </c>
      <c r="BG1313" s="1">
        <v>44354.14166666667</v>
      </c>
      <c r="BH1313" s="1">
        <v>44354.143090277779</v>
      </c>
      <c r="BI1313" s="1">
        <v>44354.14366898148</v>
      </c>
      <c r="BJ1313" t="s">
        <v>85</v>
      </c>
      <c r="BK1313" t="s">
        <v>86</v>
      </c>
      <c r="BL1313" t="s">
        <v>87</v>
      </c>
    </row>
    <row r="1314" spans="1:64" x14ac:dyDescent="0.3">
      <c r="A1314" t="str">
        <f>"200671C0100"</f>
        <v>200671C0100</v>
      </c>
      <c r="B1314" t="str">
        <f>"200671C01003"</f>
        <v>200671C01003</v>
      </c>
      <c r="C1314" t="str">
        <f t="shared" si="76"/>
        <v>20</v>
      </c>
      <c r="D1314" t="s">
        <v>81</v>
      </c>
      <c r="E1314" t="str">
        <f t="shared" si="77"/>
        <v>076</v>
      </c>
      <c r="F1314" t="s">
        <v>1437</v>
      </c>
      <c r="G1314" t="str">
        <f>"0671"</f>
        <v>0671</v>
      </c>
      <c r="H1314" t="str">
        <f>"0001"</f>
        <v>0001</v>
      </c>
      <c r="I1314" t="s">
        <v>89</v>
      </c>
      <c r="J1314">
        <v>0</v>
      </c>
      <c r="K1314">
        <v>1</v>
      </c>
      <c r="L1314">
        <v>3</v>
      </c>
      <c r="M1314">
        <v>250</v>
      </c>
      <c r="N1314">
        <v>308</v>
      </c>
      <c r="O1314">
        <v>6</v>
      </c>
      <c r="P1314">
        <v>306</v>
      </c>
      <c r="Q1314">
        <v>10</v>
      </c>
      <c r="R1314">
        <v>68</v>
      </c>
      <c r="S1314">
        <v>3</v>
      </c>
      <c r="T1314">
        <v>3</v>
      </c>
      <c r="U1314">
        <v>11</v>
      </c>
      <c r="V1314">
        <v>10</v>
      </c>
      <c r="W1314">
        <v>28</v>
      </c>
      <c r="X1314">
        <v>129</v>
      </c>
      <c r="Y1314">
        <v>2</v>
      </c>
      <c r="Z1314">
        <v>10</v>
      </c>
      <c r="AA1314">
        <v>2</v>
      </c>
      <c r="AB1314">
        <v>13</v>
      </c>
      <c r="AF1314">
        <v>7</v>
      </c>
      <c r="AG1314">
        <v>2</v>
      </c>
      <c r="AH1314">
        <v>0</v>
      </c>
      <c r="AI1314">
        <v>0</v>
      </c>
      <c r="AW1314">
        <v>0</v>
      </c>
      <c r="AX1314">
        <v>8</v>
      </c>
      <c r="AY1314">
        <v>306</v>
      </c>
      <c r="AZ1314">
        <v>306</v>
      </c>
      <c r="BA1314">
        <v>514</v>
      </c>
      <c r="BB1314">
        <v>44</v>
      </c>
      <c r="BD1314">
        <v>1</v>
      </c>
      <c r="BF1314" t="s">
        <v>1444</v>
      </c>
      <c r="BG1314" s="1">
        <v>44354.14166666667</v>
      </c>
      <c r="BH1314" s="1">
        <v>44354.14329861111</v>
      </c>
      <c r="BI1314" s="1">
        <v>44354.145740740743</v>
      </c>
      <c r="BJ1314" t="s">
        <v>85</v>
      </c>
      <c r="BK1314" t="s">
        <v>86</v>
      </c>
      <c r="BL1314" t="s">
        <v>87</v>
      </c>
    </row>
    <row r="1315" spans="1:64" x14ac:dyDescent="0.3">
      <c r="A1315" t="str">
        <f>"200671C0200"</f>
        <v>200671C0200</v>
      </c>
      <c r="B1315" t="str">
        <f>"200671C02003"</f>
        <v>200671C02003</v>
      </c>
      <c r="C1315" t="str">
        <f t="shared" si="76"/>
        <v>20</v>
      </c>
      <c r="D1315" t="s">
        <v>81</v>
      </c>
      <c r="E1315" t="str">
        <f t="shared" si="77"/>
        <v>076</v>
      </c>
      <c r="F1315" t="s">
        <v>1437</v>
      </c>
      <c r="G1315" t="str">
        <f>"0671"</f>
        <v>0671</v>
      </c>
      <c r="H1315" t="str">
        <f>"0002"</f>
        <v>0002</v>
      </c>
      <c r="I1315" t="s">
        <v>89</v>
      </c>
      <c r="J1315">
        <v>0</v>
      </c>
      <c r="K1315">
        <v>1</v>
      </c>
      <c r="L1315">
        <v>3</v>
      </c>
      <c r="M1315" t="s">
        <v>92</v>
      </c>
      <c r="N1315" t="s">
        <v>92</v>
      </c>
      <c r="O1315" t="s">
        <v>92</v>
      </c>
      <c r="P1315">
        <v>301</v>
      </c>
      <c r="Q1315">
        <v>5</v>
      </c>
      <c r="R1315">
        <v>89</v>
      </c>
      <c r="S1315">
        <v>2</v>
      </c>
      <c r="T1315">
        <v>5</v>
      </c>
      <c r="U1315">
        <v>8</v>
      </c>
      <c r="V1315">
        <v>10</v>
      </c>
      <c r="W1315">
        <v>41</v>
      </c>
      <c r="X1315">
        <v>120</v>
      </c>
      <c r="Y1315">
        <v>2</v>
      </c>
      <c r="Z1315">
        <v>6</v>
      </c>
      <c r="AA1315">
        <v>0</v>
      </c>
      <c r="AB1315">
        <v>7</v>
      </c>
      <c r="AF1315">
        <v>1</v>
      </c>
      <c r="AG1315" t="s">
        <v>95</v>
      </c>
      <c r="AH1315" t="s">
        <v>95</v>
      </c>
      <c r="AI1315" t="s">
        <v>95</v>
      </c>
      <c r="AW1315" t="s">
        <v>95</v>
      </c>
      <c r="AX1315">
        <v>4</v>
      </c>
      <c r="AY1315">
        <v>301</v>
      </c>
      <c r="AZ1315">
        <v>300</v>
      </c>
      <c r="BA1315">
        <v>513</v>
      </c>
      <c r="BB1315">
        <v>44</v>
      </c>
      <c r="BC1315" t="s">
        <v>96</v>
      </c>
      <c r="BD1315">
        <v>1</v>
      </c>
      <c r="BF1315" t="s">
        <v>1445</v>
      </c>
      <c r="BG1315" s="1">
        <v>44354.145833333336</v>
      </c>
      <c r="BH1315" s="1">
        <v>44354.150254629632</v>
      </c>
      <c r="BI1315" s="1">
        <v>44354.15079861111</v>
      </c>
      <c r="BJ1315" t="s">
        <v>85</v>
      </c>
      <c r="BK1315" t="s">
        <v>86</v>
      </c>
      <c r="BL1315" t="s">
        <v>87</v>
      </c>
    </row>
    <row r="1316" spans="1:64" x14ac:dyDescent="0.3">
      <c r="A1316" t="str">
        <f>"200672B0000"</f>
        <v>200672B0000</v>
      </c>
      <c r="B1316" t="str">
        <f>"200672B00003"</f>
        <v>200672B00003</v>
      </c>
      <c r="C1316" t="str">
        <f t="shared" si="76"/>
        <v>20</v>
      </c>
      <c r="D1316" t="s">
        <v>81</v>
      </c>
      <c r="E1316" t="str">
        <f t="shared" si="77"/>
        <v>076</v>
      </c>
      <c r="F1316" t="s">
        <v>1437</v>
      </c>
      <c r="G1316" t="str">
        <f>"0672"</f>
        <v>0672</v>
      </c>
      <c r="H1316" t="str">
        <f>"0000"</f>
        <v>0000</v>
      </c>
      <c r="I1316" t="s">
        <v>83</v>
      </c>
      <c r="J1316">
        <v>0</v>
      </c>
      <c r="K1316">
        <v>1</v>
      </c>
      <c r="L1316">
        <v>3</v>
      </c>
      <c r="M1316">
        <v>326</v>
      </c>
      <c r="N1316">
        <v>332</v>
      </c>
      <c r="O1316">
        <v>6</v>
      </c>
      <c r="P1316">
        <v>332</v>
      </c>
      <c r="Q1316">
        <v>13</v>
      </c>
      <c r="R1316">
        <v>90</v>
      </c>
      <c r="S1316">
        <v>5</v>
      </c>
      <c r="T1316">
        <v>11</v>
      </c>
      <c r="U1316">
        <v>11</v>
      </c>
      <c r="V1316">
        <v>15</v>
      </c>
      <c r="W1316">
        <v>31</v>
      </c>
      <c r="X1316">
        <v>128</v>
      </c>
      <c r="Y1316">
        <v>3</v>
      </c>
      <c r="Z1316">
        <v>1</v>
      </c>
      <c r="AA1316">
        <v>1</v>
      </c>
      <c r="AB1316">
        <v>9</v>
      </c>
      <c r="AF1316">
        <v>4</v>
      </c>
      <c r="AG1316">
        <v>2</v>
      </c>
      <c r="AH1316">
        <v>0</v>
      </c>
      <c r="AI1316">
        <v>1</v>
      </c>
      <c r="AW1316">
        <v>0</v>
      </c>
      <c r="AX1316">
        <v>7</v>
      </c>
      <c r="AY1316">
        <v>332</v>
      </c>
      <c r="AZ1316">
        <v>332</v>
      </c>
      <c r="BA1316">
        <v>614</v>
      </c>
      <c r="BB1316">
        <v>44</v>
      </c>
      <c r="BD1316">
        <v>1</v>
      </c>
      <c r="BF1316" t="s">
        <v>1446</v>
      </c>
      <c r="BG1316" s="1">
        <v>44354.243055555555</v>
      </c>
      <c r="BH1316" s="1">
        <v>44354.244733796295</v>
      </c>
      <c r="BI1316" s="1">
        <v>44354.24559027778</v>
      </c>
      <c r="BJ1316" t="s">
        <v>85</v>
      </c>
      <c r="BK1316" t="s">
        <v>86</v>
      </c>
      <c r="BL1316" t="s">
        <v>87</v>
      </c>
    </row>
    <row r="1317" spans="1:64" x14ac:dyDescent="0.3">
      <c r="A1317" t="str">
        <f>"200672C0100"</f>
        <v>200672C0100</v>
      </c>
      <c r="B1317" t="str">
        <f>"200672C01003"</f>
        <v>200672C01003</v>
      </c>
      <c r="C1317" t="str">
        <f t="shared" si="76"/>
        <v>20</v>
      </c>
      <c r="D1317" t="s">
        <v>81</v>
      </c>
      <c r="E1317" t="str">
        <f t="shared" si="77"/>
        <v>076</v>
      </c>
      <c r="F1317" t="s">
        <v>1437</v>
      </c>
      <c r="G1317" t="str">
        <f>"0672"</f>
        <v>0672</v>
      </c>
      <c r="H1317" t="str">
        <f>"0001"</f>
        <v>0001</v>
      </c>
      <c r="I1317" t="s">
        <v>89</v>
      </c>
      <c r="J1317">
        <v>0</v>
      </c>
      <c r="K1317">
        <v>1</v>
      </c>
      <c r="L1317">
        <v>3</v>
      </c>
      <c r="M1317">
        <v>325</v>
      </c>
      <c r="N1317">
        <v>355</v>
      </c>
      <c r="O1317">
        <v>3</v>
      </c>
      <c r="P1317">
        <v>355</v>
      </c>
      <c r="Q1317">
        <v>10</v>
      </c>
      <c r="R1317">
        <v>67</v>
      </c>
      <c r="S1317">
        <v>1</v>
      </c>
      <c r="T1317">
        <v>4</v>
      </c>
      <c r="U1317">
        <v>13</v>
      </c>
      <c r="V1317">
        <v>19</v>
      </c>
      <c r="W1317">
        <v>43</v>
      </c>
      <c r="X1317">
        <v>160</v>
      </c>
      <c r="Y1317">
        <v>6</v>
      </c>
      <c r="Z1317" t="s">
        <v>95</v>
      </c>
      <c r="AA1317" t="s">
        <v>95</v>
      </c>
      <c r="AB1317">
        <v>20</v>
      </c>
      <c r="AF1317">
        <v>2</v>
      </c>
      <c r="AG1317">
        <v>1</v>
      </c>
      <c r="AH1317" t="s">
        <v>95</v>
      </c>
      <c r="AI1317" t="s">
        <v>95</v>
      </c>
      <c r="AW1317" t="s">
        <v>95</v>
      </c>
      <c r="AX1317">
        <v>9</v>
      </c>
      <c r="AY1317">
        <v>355</v>
      </c>
      <c r="AZ1317">
        <v>355</v>
      </c>
      <c r="BA1317">
        <v>613</v>
      </c>
      <c r="BB1317">
        <v>44</v>
      </c>
      <c r="BC1317" t="s">
        <v>96</v>
      </c>
      <c r="BD1317">
        <v>1</v>
      </c>
      <c r="BF1317" t="s">
        <v>1447</v>
      </c>
      <c r="BG1317" s="1">
        <v>44354.156944444447</v>
      </c>
      <c r="BH1317" s="1">
        <v>44354.162465277775</v>
      </c>
      <c r="BI1317" s="1">
        <v>44354.16337962963</v>
      </c>
      <c r="BJ1317" t="s">
        <v>85</v>
      </c>
      <c r="BK1317" t="s">
        <v>86</v>
      </c>
      <c r="BL1317" t="s">
        <v>87</v>
      </c>
    </row>
    <row r="1318" spans="1:64" x14ac:dyDescent="0.3">
      <c r="A1318" t="str">
        <f>"200672C0200"</f>
        <v>200672C0200</v>
      </c>
      <c r="B1318" t="str">
        <f>"200672C02003"</f>
        <v>200672C02003</v>
      </c>
      <c r="C1318" t="str">
        <f t="shared" si="76"/>
        <v>20</v>
      </c>
      <c r="D1318" t="s">
        <v>81</v>
      </c>
      <c r="E1318" t="str">
        <f t="shared" si="77"/>
        <v>076</v>
      </c>
      <c r="F1318" t="s">
        <v>1437</v>
      </c>
      <c r="G1318" t="str">
        <f>"0672"</f>
        <v>0672</v>
      </c>
      <c r="H1318" t="str">
        <f>"0002"</f>
        <v>0002</v>
      </c>
      <c r="I1318" t="s">
        <v>89</v>
      </c>
      <c r="J1318">
        <v>0</v>
      </c>
      <c r="K1318">
        <v>1</v>
      </c>
      <c r="L1318">
        <v>3</v>
      </c>
      <c r="M1318">
        <v>300</v>
      </c>
      <c r="N1318">
        <v>357</v>
      </c>
      <c r="O1318">
        <v>4</v>
      </c>
      <c r="P1318">
        <v>357</v>
      </c>
      <c r="Q1318">
        <v>5</v>
      </c>
      <c r="R1318">
        <v>96</v>
      </c>
      <c r="S1318">
        <v>6</v>
      </c>
      <c r="T1318">
        <v>2</v>
      </c>
      <c r="U1318">
        <v>11</v>
      </c>
      <c r="V1318">
        <v>32</v>
      </c>
      <c r="W1318">
        <v>29</v>
      </c>
      <c r="X1318">
        <v>136</v>
      </c>
      <c r="Y1318">
        <v>4</v>
      </c>
      <c r="Z1318">
        <v>3</v>
      </c>
      <c r="AA1318">
        <v>2</v>
      </c>
      <c r="AB1318">
        <v>10</v>
      </c>
      <c r="AF1318">
        <v>4</v>
      </c>
      <c r="AG1318" t="s">
        <v>95</v>
      </c>
      <c r="AH1318">
        <v>1</v>
      </c>
      <c r="AI1318" t="s">
        <v>95</v>
      </c>
      <c r="AW1318" t="s">
        <v>95</v>
      </c>
      <c r="AX1318" t="s">
        <v>95</v>
      </c>
      <c r="AY1318" t="s">
        <v>95</v>
      </c>
      <c r="AZ1318">
        <v>341</v>
      </c>
      <c r="BA1318">
        <v>613</v>
      </c>
      <c r="BB1318">
        <v>44</v>
      </c>
      <c r="BC1318" t="s">
        <v>96</v>
      </c>
      <c r="BD1318">
        <v>1</v>
      </c>
      <c r="BF1318" t="s">
        <v>1448</v>
      </c>
      <c r="BG1318" s="1">
        <v>44354.15625</v>
      </c>
      <c r="BH1318" s="1">
        <v>44354.16065972222</v>
      </c>
      <c r="BI1318" s="1">
        <v>44354.161377314813</v>
      </c>
      <c r="BJ1318" t="s">
        <v>85</v>
      </c>
      <c r="BK1318" t="s">
        <v>86</v>
      </c>
      <c r="BL1318" t="s">
        <v>87</v>
      </c>
    </row>
    <row r="1319" spans="1:64" x14ac:dyDescent="0.3">
      <c r="A1319" t="str">
        <f>"200674B0000"</f>
        <v>200674B0000</v>
      </c>
      <c r="B1319" t="str">
        <f>"200674B00003"</f>
        <v>200674B00003</v>
      </c>
      <c r="C1319" t="str">
        <f t="shared" si="76"/>
        <v>20</v>
      </c>
      <c r="D1319" t="s">
        <v>81</v>
      </c>
      <c r="E1319" t="str">
        <f t="shared" si="77"/>
        <v>076</v>
      </c>
      <c r="F1319" t="s">
        <v>1437</v>
      </c>
      <c r="G1319" t="str">
        <f>"0674"</f>
        <v>0674</v>
      </c>
      <c r="H1319" t="str">
        <f>"0000"</f>
        <v>0000</v>
      </c>
      <c r="I1319" t="s">
        <v>83</v>
      </c>
      <c r="J1319">
        <v>0</v>
      </c>
      <c r="K1319">
        <v>1</v>
      </c>
      <c r="L1319">
        <v>3</v>
      </c>
      <c r="M1319">
        <v>360</v>
      </c>
      <c r="N1319">
        <v>438</v>
      </c>
      <c r="O1319">
        <v>8</v>
      </c>
      <c r="P1319">
        <v>431</v>
      </c>
      <c r="Q1319">
        <v>14</v>
      </c>
      <c r="R1319">
        <v>104</v>
      </c>
      <c r="S1319">
        <v>3</v>
      </c>
      <c r="T1319">
        <v>13</v>
      </c>
      <c r="U1319">
        <v>2</v>
      </c>
      <c r="V1319">
        <v>23</v>
      </c>
      <c r="W1319">
        <v>61</v>
      </c>
      <c r="X1319">
        <v>165</v>
      </c>
      <c r="Y1319">
        <v>1</v>
      </c>
      <c r="Z1319">
        <v>6</v>
      </c>
      <c r="AA1319">
        <v>5</v>
      </c>
      <c r="AB1319">
        <v>12</v>
      </c>
      <c r="AF1319">
        <v>6</v>
      </c>
      <c r="AG1319">
        <v>2</v>
      </c>
      <c r="AH1319">
        <v>0</v>
      </c>
      <c r="AI1319">
        <v>0</v>
      </c>
      <c r="AW1319">
        <v>0</v>
      </c>
      <c r="AX1319">
        <v>14</v>
      </c>
      <c r="AY1319">
        <v>431</v>
      </c>
      <c r="AZ1319">
        <v>431</v>
      </c>
      <c r="BA1319">
        <v>747</v>
      </c>
      <c r="BB1319">
        <v>44</v>
      </c>
      <c r="BD1319">
        <v>1</v>
      </c>
      <c r="BF1319" t="s">
        <v>1449</v>
      </c>
      <c r="BG1319" s="1">
        <v>44354.17291666667</v>
      </c>
      <c r="BH1319" s="1">
        <v>44354.175868055558</v>
      </c>
      <c r="BI1319" s="1">
        <v>44354.176759259259</v>
      </c>
      <c r="BJ1319" t="s">
        <v>85</v>
      </c>
      <c r="BK1319" t="s">
        <v>86</v>
      </c>
      <c r="BL1319" t="s">
        <v>87</v>
      </c>
    </row>
    <row r="1320" spans="1:64" x14ac:dyDescent="0.3">
      <c r="A1320" t="str">
        <f>"200674C0100"</f>
        <v>200674C0100</v>
      </c>
      <c r="B1320" t="str">
        <f>"200674C01003"</f>
        <v>200674C01003</v>
      </c>
      <c r="C1320" t="str">
        <f t="shared" si="76"/>
        <v>20</v>
      </c>
      <c r="D1320" t="s">
        <v>81</v>
      </c>
      <c r="E1320" t="str">
        <f t="shared" si="77"/>
        <v>076</v>
      </c>
      <c r="F1320" t="s">
        <v>1437</v>
      </c>
      <c r="G1320" t="str">
        <f>"0674"</f>
        <v>0674</v>
      </c>
      <c r="H1320" t="str">
        <f>"0001"</f>
        <v>0001</v>
      </c>
      <c r="I1320" t="s">
        <v>89</v>
      </c>
      <c r="J1320">
        <v>0</v>
      </c>
      <c r="K1320">
        <v>1</v>
      </c>
      <c r="L1320">
        <v>3</v>
      </c>
      <c r="M1320">
        <v>337</v>
      </c>
      <c r="N1320">
        <v>453</v>
      </c>
      <c r="O1320">
        <v>6</v>
      </c>
      <c r="P1320" t="s">
        <v>92</v>
      </c>
      <c r="Q1320">
        <v>17</v>
      </c>
      <c r="R1320">
        <v>112</v>
      </c>
      <c r="S1320">
        <v>5</v>
      </c>
      <c r="T1320">
        <v>11</v>
      </c>
      <c r="U1320">
        <v>12</v>
      </c>
      <c r="V1320">
        <v>32</v>
      </c>
      <c r="W1320">
        <v>50</v>
      </c>
      <c r="X1320">
        <v>170</v>
      </c>
      <c r="Y1320">
        <v>2</v>
      </c>
      <c r="Z1320">
        <v>0</v>
      </c>
      <c r="AA1320">
        <v>7</v>
      </c>
      <c r="AB1320">
        <v>21</v>
      </c>
      <c r="AF1320">
        <v>7</v>
      </c>
      <c r="AG1320">
        <v>2</v>
      </c>
      <c r="AH1320">
        <v>0</v>
      </c>
      <c r="AI1320">
        <v>0</v>
      </c>
      <c r="AW1320">
        <v>0</v>
      </c>
      <c r="AX1320">
        <v>5</v>
      </c>
      <c r="AY1320">
        <v>453</v>
      </c>
      <c r="AZ1320">
        <v>453</v>
      </c>
      <c r="BA1320">
        <v>746</v>
      </c>
      <c r="BB1320">
        <v>44</v>
      </c>
      <c r="BD1320">
        <v>1</v>
      </c>
      <c r="BF1320" t="s">
        <v>1450</v>
      </c>
      <c r="BG1320" s="1">
        <v>44354.171527777777</v>
      </c>
      <c r="BH1320" s="1">
        <v>44354.173310185186</v>
      </c>
      <c r="BI1320" s="1">
        <v>44354.173877314817</v>
      </c>
      <c r="BJ1320" t="s">
        <v>85</v>
      </c>
      <c r="BK1320" t="s">
        <v>86</v>
      </c>
      <c r="BL1320" t="s">
        <v>87</v>
      </c>
    </row>
    <row r="1321" spans="1:64" x14ac:dyDescent="0.3">
      <c r="A1321" t="str">
        <f>"200675B0000"</f>
        <v>200675B0000</v>
      </c>
      <c r="B1321" t="str">
        <f>"200675B00003"</f>
        <v>200675B00003</v>
      </c>
      <c r="C1321" t="str">
        <f t="shared" si="76"/>
        <v>20</v>
      </c>
      <c r="D1321" t="s">
        <v>81</v>
      </c>
      <c r="E1321" t="str">
        <f t="shared" si="77"/>
        <v>076</v>
      </c>
      <c r="F1321" t="s">
        <v>1437</v>
      </c>
      <c r="G1321" t="str">
        <f>"0675"</f>
        <v>0675</v>
      </c>
      <c r="H1321" t="str">
        <f>"0000"</f>
        <v>0000</v>
      </c>
      <c r="I1321" t="s">
        <v>83</v>
      </c>
      <c r="J1321">
        <v>0</v>
      </c>
      <c r="K1321">
        <v>1</v>
      </c>
      <c r="L1321">
        <v>3</v>
      </c>
      <c r="M1321">
        <v>272</v>
      </c>
      <c r="N1321">
        <v>297</v>
      </c>
      <c r="O1321">
        <v>5</v>
      </c>
      <c r="P1321">
        <v>293</v>
      </c>
      <c r="Q1321">
        <v>13</v>
      </c>
      <c r="R1321">
        <v>74</v>
      </c>
      <c r="S1321">
        <v>1</v>
      </c>
      <c r="T1321">
        <v>13</v>
      </c>
      <c r="U1321">
        <v>7</v>
      </c>
      <c r="V1321">
        <v>13</v>
      </c>
      <c r="W1321">
        <v>30</v>
      </c>
      <c r="X1321">
        <v>123</v>
      </c>
      <c r="Y1321">
        <v>1</v>
      </c>
      <c r="Z1321">
        <v>1</v>
      </c>
      <c r="AA1321">
        <v>4</v>
      </c>
      <c r="AB1321">
        <v>11</v>
      </c>
      <c r="AF1321">
        <v>1</v>
      </c>
      <c r="AG1321">
        <v>0</v>
      </c>
      <c r="AH1321">
        <v>1</v>
      </c>
      <c r="AI1321">
        <v>0</v>
      </c>
      <c r="AW1321">
        <v>0</v>
      </c>
      <c r="AX1321">
        <v>4</v>
      </c>
      <c r="AY1321">
        <v>297</v>
      </c>
      <c r="AZ1321">
        <v>297</v>
      </c>
      <c r="BA1321">
        <v>528</v>
      </c>
      <c r="BB1321">
        <v>44</v>
      </c>
      <c r="BD1321">
        <v>1</v>
      </c>
      <c r="BF1321" t="s">
        <v>1451</v>
      </c>
      <c r="BG1321" s="1">
        <v>44354.3125</v>
      </c>
      <c r="BH1321" s="1">
        <v>44354.451655092591</v>
      </c>
      <c r="BI1321" s="1">
        <v>44354.452534722222</v>
      </c>
      <c r="BJ1321" t="s">
        <v>85</v>
      </c>
      <c r="BK1321" t="s">
        <v>86</v>
      </c>
      <c r="BL1321" t="s">
        <v>87</v>
      </c>
    </row>
    <row r="1322" spans="1:64" x14ac:dyDescent="0.3">
      <c r="A1322" t="str">
        <f>"200675C0100"</f>
        <v>200675C0100</v>
      </c>
      <c r="B1322" t="str">
        <f>"200675C01003"</f>
        <v>200675C01003</v>
      </c>
      <c r="C1322" t="str">
        <f t="shared" si="76"/>
        <v>20</v>
      </c>
      <c r="D1322" t="s">
        <v>81</v>
      </c>
      <c r="E1322" t="str">
        <f t="shared" si="77"/>
        <v>076</v>
      </c>
      <c r="F1322" t="s">
        <v>1437</v>
      </c>
      <c r="G1322" t="str">
        <f>"0675"</f>
        <v>0675</v>
      </c>
      <c r="H1322" t="str">
        <f>"0001"</f>
        <v>0001</v>
      </c>
      <c r="I1322" t="s">
        <v>89</v>
      </c>
      <c r="J1322">
        <v>0</v>
      </c>
      <c r="K1322">
        <v>1</v>
      </c>
      <c r="L1322">
        <v>3</v>
      </c>
      <c r="M1322" t="s">
        <v>92</v>
      </c>
      <c r="N1322" t="s">
        <v>92</v>
      </c>
      <c r="O1322" t="s">
        <v>92</v>
      </c>
      <c r="P1322" t="s">
        <v>92</v>
      </c>
      <c r="Q1322" t="s">
        <v>131</v>
      </c>
      <c r="R1322">
        <v>35</v>
      </c>
      <c r="S1322">
        <v>8</v>
      </c>
      <c r="T1322">
        <v>5</v>
      </c>
      <c r="U1322">
        <v>1</v>
      </c>
      <c r="V1322">
        <v>13</v>
      </c>
      <c r="W1322">
        <v>4</v>
      </c>
      <c r="X1322">
        <v>119</v>
      </c>
      <c r="Y1322">
        <v>1</v>
      </c>
      <c r="Z1322" t="s">
        <v>95</v>
      </c>
      <c r="AA1322">
        <v>7</v>
      </c>
      <c r="AB1322">
        <v>13</v>
      </c>
      <c r="AF1322">
        <v>3</v>
      </c>
      <c r="AG1322">
        <v>21</v>
      </c>
      <c r="AH1322" t="s">
        <v>131</v>
      </c>
      <c r="AI1322">
        <v>0</v>
      </c>
      <c r="AW1322">
        <v>0</v>
      </c>
      <c r="AX1322">
        <v>3</v>
      </c>
      <c r="AY1322" t="s">
        <v>131</v>
      </c>
      <c r="AZ1322">
        <v>233</v>
      </c>
      <c r="BA1322">
        <v>528</v>
      </c>
      <c r="BB1322">
        <v>44</v>
      </c>
      <c r="BC1322" t="s">
        <v>96</v>
      </c>
      <c r="BD1322">
        <v>1</v>
      </c>
      <c r="BF1322" t="s">
        <v>1452</v>
      </c>
      <c r="BG1322" s="1">
        <v>44354.172222222223</v>
      </c>
      <c r="BH1322" s="1">
        <v>44354.18986111111</v>
      </c>
      <c r="BI1322" s="1">
        <v>44354.191666666666</v>
      </c>
      <c r="BJ1322" t="s">
        <v>85</v>
      </c>
      <c r="BK1322" t="s">
        <v>86</v>
      </c>
      <c r="BL1322" t="s">
        <v>87</v>
      </c>
    </row>
    <row r="1323" spans="1:64" x14ac:dyDescent="0.3">
      <c r="A1323" t="str">
        <f>"200675C0200"</f>
        <v>200675C0200</v>
      </c>
      <c r="B1323" t="str">
        <f>"200675C02003"</f>
        <v>200675C02003</v>
      </c>
      <c r="C1323" t="str">
        <f t="shared" si="76"/>
        <v>20</v>
      </c>
      <c r="D1323" t="s">
        <v>81</v>
      </c>
      <c r="E1323" t="str">
        <f t="shared" si="77"/>
        <v>076</v>
      </c>
      <c r="F1323" t="s">
        <v>1437</v>
      </c>
      <c r="G1323" t="str">
        <f>"0675"</f>
        <v>0675</v>
      </c>
      <c r="H1323" t="str">
        <f>"0002"</f>
        <v>0002</v>
      </c>
      <c r="I1323" t="s">
        <v>89</v>
      </c>
      <c r="J1323">
        <v>0</v>
      </c>
      <c r="K1323">
        <v>1</v>
      </c>
      <c r="L1323">
        <v>3</v>
      </c>
      <c r="M1323">
        <v>262</v>
      </c>
      <c r="N1323">
        <v>309</v>
      </c>
      <c r="O1323">
        <v>7</v>
      </c>
      <c r="P1323">
        <v>309</v>
      </c>
      <c r="Q1323">
        <v>16</v>
      </c>
      <c r="R1323">
        <v>81</v>
      </c>
      <c r="S1323">
        <v>2</v>
      </c>
      <c r="T1323">
        <v>7</v>
      </c>
      <c r="U1323">
        <v>10</v>
      </c>
      <c r="V1323">
        <v>19</v>
      </c>
      <c r="W1323">
        <v>27</v>
      </c>
      <c r="X1323">
        <v>125</v>
      </c>
      <c r="Y1323">
        <v>2</v>
      </c>
      <c r="Z1323">
        <v>3</v>
      </c>
      <c r="AA1323">
        <v>2</v>
      </c>
      <c r="AB1323">
        <v>9</v>
      </c>
      <c r="AF1323">
        <v>2</v>
      </c>
      <c r="AG1323">
        <v>2</v>
      </c>
      <c r="AH1323">
        <v>0</v>
      </c>
      <c r="AI1323">
        <v>0</v>
      </c>
      <c r="AW1323">
        <v>0</v>
      </c>
      <c r="AX1323">
        <v>4</v>
      </c>
      <c r="AY1323">
        <v>309</v>
      </c>
      <c r="AZ1323">
        <v>311</v>
      </c>
      <c r="BA1323">
        <v>528</v>
      </c>
      <c r="BB1323">
        <v>44</v>
      </c>
      <c r="BD1323">
        <v>1</v>
      </c>
      <c r="BF1323" s="2" t="s">
        <v>1453</v>
      </c>
      <c r="BG1323" s="1">
        <v>44354.185416666667</v>
      </c>
      <c r="BH1323" s="1">
        <v>44354.187060185184</v>
      </c>
      <c r="BI1323" s="1">
        <v>44354.188032407408</v>
      </c>
      <c r="BJ1323" t="s">
        <v>85</v>
      </c>
      <c r="BK1323" t="s">
        <v>86</v>
      </c>
      <c r="BL1323" t="s">
        <v>87</v>
      </c>
    </row>
    <row r="1324" spans="1:64" x14ac:dyDescent="0.3">
      <c r="A1324" t="str">
        <f>"200676B0000"</f>
        <v>200676B0000</v>
      </c>
      <c r="B1324" t="str">
        <f>"200676B00003"</f>
        <v>200676B00003</v>
      </c>
      <c r="C1324" t="str">
        <f t="shared" si="76"/>
        <v>20</v>
      </c>
      <c r="D1324" t="s">
        <v>81</v>
      </c>
      <c r="E1324" t="str">
        <f t="shared" si="77"/>
        <v>076</v>
      </c>
      <c r="F1324" t="s">
        <v>1437</v>
      </c>
      <c r="G1324" t="str">
        <f>"0676"</f>
        <v>0676</v>
      </c>
      <c r="H1324" t="str">
        <f>"0000"</f>
        <v>0000</v>
      </c>
      <c r="I1324" t="s">
        <v>83</v>
      </c>
      <c r="J1324">
        <v>0</v>
      </c>
      <c r="K1324">
        <v>1</v>
      </c>
      <c r="L1324">
        <v>3</v>
      </c>
      <c r="M1324">
        <v>250</v>
      </c>
      <c r="N1324">
        <v>616</v>
      </c>
      <c r="O1324">
        <v>14</v>
      </c>
      <c r="P1324" t="s">
        <v>92</v>
      </c>
      <c r="Q1324">
        <v>10</v>
      </c>
      <c r="R1324">
        <v>128</v>
      </c>
      <c r="S1324">
        <v>3</v>
      </c>
      <c r="T1324">
        <v>10</v>
      </c>
      <c r="U1324">
        <v>16</v>
      </c>
      <c r="V1324">
        <v>30</v>
      </c>
      <c r="W1324">
        <v>30</v>
      </c>
      <c r="X1324">
        <v>116</v>
      </c>
      <c r="Y1324">
        <v>12</v>
      </c>
      <c r="Z1324">
        <v>4</v>
      </c>
      <c r="AA1324">
        <v>0</v>
      </c>
      <c r="AB1324">
        <v>18</v>
      </c>
      <c r="AF1324">
        <v>2</v>
      </c>
      <c r="AG1324">
        <v>0</v>
      </c>
      <c r="AH1324">
        <v>0</v>
      </c>
      <c r="AI1324">
        <v>0</v>
      </c>
      <c r="AW1324">
        <v>0</v>
      </c>
      <c r="AX1324">
        <v>4</v>
      </c>
      <c r="AY1324">
        <v>366</v>
      </c>
      <c r="AZ1324">
        <v>383</v>
      </c>
      <c r="BA1324">
        <v>572</v>
      </c>
      <c r="BB1324">
        <v>44</v>
      </c>
      <c r="BD1324">
        <v>1</v>
      </c>
      <c r="BF1324" t="s">
        <v>1454</v>
      </c>
      <c r="BG1324" s="1">
        <v>44354.323611111111</v>
      </c>
      <c r="BH1324" s="1">
        <v>44354.32707175926</v>
      </c>
      <c r="BI1324" s="1">
        <v>44354.3284375</v>
      </c>
      <c r="BJ1324" t="s">
        <v>85</v>
      </c>
      <c r="BK1324" t="s">
        <v>86</v>
      </c>
      <c r="BL1324" t="s">
        <v>1390</v>
      </c>
    </row>
    <row r="1325" spans="1:64" x14ac:dyDescent="0.3">
      <c r="A1325" t="str">
        <f>"200676C0100"</f>
        <v>200676C0100</v>
      </c>
      <c r="B1325" t="str">
        <f>"200676C01003"</f>
        <v>200676C01003</v>
      </c>
      <c r="C1325" t="str">
        <f t="shared" si="76"/>
        <v>20</v>
      </c>
      <c r="D1325" t="s">
        <v>81</v>
      </c>
      <c r="E1325" t="str">
        <f t="shared" si="77"/>
        <v>076</v>
      </c>
      <c r="F1325" t="s">
        <v>1437</v>
      </c>
      <c r="G1325" t="str">
        <f>"0676"</f>
        <v>0676</v>
      </c>
      <c r="H1325" t="str">
        <f>"0001"</f>
        <v>0001</v>
      </c>
      <c r="I1325" t="s">
        <v>89</v>
      </c>
      <c r="J1325">
        <v>0</v>
      </c>
      <c r="K1325">
        <v>1</v>
      </c>
      <c r="L1325">
        <v>3</v>
      </c>
      <c r="M1325" t="s">
        <v>92</v>
      </c>
      <c r="N1325" t="s">
        <v>92</v>
      </c>
      <c r="O1325" t="s">
        <v>92</v>
      </c>
      <c r="P1325" t="s">
        <v>92</v>
      </c>
      <c r="Q1325">
        <v>24</v>
      </c>
      <c r="R1325">
        <v>111</v>
      </c>
      <c r="S1325" t="s">
        <v>131</v>
      </c>
      <c r="T1325">
        <v>3</v>
      </c>
      <c r="U1325">
        <v>14</v>
      </c>
      <c r="V1325" t="s">
        <v>131</v>
      </c>
      <c r="W1325" t="s">
        <v>131</v>
      </c>
      <c r="X1325">
        <v>121</v>
      </c>
      <c r="Y1325">
        <v>10</v>
      </c>
      <c r="Z1325">
        <v>7</v>
      </c>
      <c r="AA1325">
        <v>0</v>
      </c>
      <c r="AB1325">
        <v>16</v>
      </c>
      <c r="AF1325" t="s">
        <v>131</v>
      </c>
      <c r="AG1325">
        <v>0</v>
      </c>
      <c r="AH1325" t="s">
        <v>131</v>
      </c>
      <c r="AI1325">
        <v>1</v>
      </c>
      <c r="AW1325">
        <v>0</v>
      </c>
      <c r="AX1325" t="s">
        <v>131</v>
      </c>
      <c r="AY1325" t="s">
        <v>131</v>
      </c>
      <c r="AZ1325">
        <v>307</v>
      </c>
      <c r="BA1325">
        <v>571</v>
      </c>
      <c r="BB1325">
        <v>44</v>
      </c>
      <c r="BC1325" t="s">
        <v>96</v>
      </c>
      <c r="BD1325">
        <v>1</v>
      </c>
      <c r="BF1325" t="s">
        <v>1455</v>
      </c>
      <c r="BG1325" s="1">
        <v>44354.09375</v>
      </c>
      <c r="BH1325" s="1">
        <v>44354.111631944441</v>
      </c>
      <c r="BI1325" s="1">
        <v>44354.113391203704</v>
      </c>
      <c r="BJ1325" t="s">
        <v>85</v>
      </c>
      <c r="BK1325" t="s">
        <v>86</v>
      </c>
      <c r="BL1325" t="s">
        <v>87</v>
      </c>
    </row>
    <row r="1326" spans="1:64" x14ac:dyDescent="0.3">
      <c r="A1326" t="str">
        <f>"200677B0000"</f>
        <v>200677B0000</v>
      </c>
      <c r="B1326" t="str">
        <f>"200677B00003"</f>
        <v>200677B00003</v>
      </c>
      <c r="C1326" t="str">
        <f t="shared" si="76"/>
        <v>20</v>
      </c>
      <c r="D1326" t="s">
        <v>81</v>
      </c>
      <c r="E1326" t="str">
        <f t="shared" si="77"/>
        <v>076</v>
      </c>
      <c r="F1326" t="s">
        <v>1437</v>
      </c>
      <c r="G1326" t="str">
        <f>"0677"</f>
        <v>0677</v>
      </c>
      <c r="H1326" t="str">
        <f>"0000"</f>
        <v>0000</v>
      </c>
      <c r="I1326" t="s">
        <v>83</v>
      </c>
      <c r="J1326">
        <v>0</v>
      </c>
      <c r="K1326">
        <v>1</v>
      </c>
      <c r="L1326">
        <v>3</v>
      </c>
      <c r="M1326">
        <v>334</v>
      </c>
      <c r="N1326">
        <v>458</v>
      </c>
      <c r="O1326">
        <v>6</v>
      </c>
      <c r="P1326" t="s">
        <v>92</v>
      </c>
      <c r="Q1326">
        <v>18</v>
      </c>
      <c r="R1326">
        <v>186</v>
      </c>
      <c r="S1326">
        <v>4</v>
      </c>
      <c r="T1326">
        <v>3</v>
      </c>
      <c r="U1326">
        <v>16</v>
      </c>
      <c r="V1326">
        <v>23</v>
      </c>
      <c r="W1326">
        <v>38</v>
      </c>
      <c r="X1326">
        <v>128</v>
      </c>
      <c r="Y1326">
        <v>9</v>
      </c>
      <c r="Z1326">
        <v>8</v>
      </c>
      <c r="AA1326">
        <v>1</v>
      </c>
      <c r="AB1326">
        <v>14</v>
      </c>
      <c r="AF1326">
        <v>6</v>
      </c>
      <c r="AG1326">
        <v>0</v>
      </c>
      <c r="AH1326">
        <v>0</v>
      </c>
      <c r="AI1326">
        <v>0</v>
      </c>
      <c r="AW1326">
        <v>0</v>
      </c>
      <c r="AX1326">
        <v>4</v>
      </c>
      <c r="AY1326">
        <v>457</v>
      </c>
      <c r="AZ1326">
        <v>458</v>
      </c>
      <c r="BA1326">
        <v>748</v>
      </c>
      <c r="BB1326">
        <v>44</v>
      </c>
      <c r="BD1326">
        <v>1</v>
      </c>
      <c r="BF1326" t="s">
        <v>1456</v>
      </c>
      <c r="BG1326" s="1">
        <v>44354.063194444447</v>
      </c>
      <c r="BH1326" s="1">
        <v>44354.068657407406</v>
      </c>
      <c r="BI1326" s="1">
        <v>44354.069988425923</v>
      </c>
      <c r="BJ1326" t="s">
        <v>85</v>
      </c>
      <c r="BK1326" t="s">
        <v>86</v>
      </c>
      <c r="BL1326" t="s">
        <v>87</v>
      </c>
    </row>
    <row r="1327" spans="1:64" x14ac:dyDescent="0.3">
      <c r="A1327" t="str">
        <f>"200677C0100"</f>
        <v>200677C0100</v>
      </c>
      <c r="B1327" t="str">
        <f>"200677C01003"</f>
        <v>200677C01003</v>
      </c>
      <c r="C1327" t="str">
        <f t="shared" si="76"/>
        <v>20</v>
      </c>
      <c r="D1327" t="s">
        <v>81</v>
      </c>
      <c r="E1327" t="str">
        <f t="shared" si="77"/>
        <v>076</v>
      </c>
      <c r="F1327" t="s">
        <v>1437</v>
      </c>
      <c r="G1327" t="str">
        <f>"0677"</f>
        <v>0677</v>
      </c>
      <c r="H1327" t="str">
        <f>"0001"</f>
        <v>0001</v>
      </c>
      <c r="I1327" t="s">
        <v>89</v>
      </c>
      <c r="J1327">
        <v>0</v>
      </c>
      <c r="K1327">
        <v>1</v>
      </c>
      <c r="L1327">
        <v>3</v>
      </c>
      <c r="M1327">
        <v>319</v>
      </c>
      <c r="N1327">
        <v>473</v>
      </c>
      <c r="O1327">
        <v>8</v>
      </c>
      <c r="P1327">
        <v>474</v>
      </c>
      <c r="Q1327">
        <v>19</v>
      </c>
      <c r="R1327">
        <v>168</v>
      </c>
      <c r="S1327">
        <v>7</v>
      </c>
      <c r="T1327">
        <v>10</v>
      </c>
      <c r="U1327">
        <v>17</v>
      </c>
      <c r="V1327">
        <v>21</v>
      </c>
      <c r="W1327">
        <v>30</v>
      </c>
      <c r="X1327">
        <v>165</v>
      </c>
      <c r="Y1327">
        <v>8</v>
      </c>
      <c r="Z1327">
        <v>5</v>
      </c>
      <c r="AA1327">
        <v>4</v>
      </c>
      <c r="AB1327">
        <v>18</v>
      </c>
      <c r="AF1327">
        <v>0</v>
      </c>
      <c r="AG1327">
        <v>0</v>
      </c>
      <c r="AH1327">
        <v>0</v>
      </c>
      <c r="AI1327">
        <v>0</v>
      </c>
      <c r="AW1327">
        <v>1</v>
      </c>
      <c r="AX1327">
        <v>1</v>
      </c>
      <c r="AY1327">
        <v>474</v>
      </c>
      <c r="AZ1327">
        <v>474</v>
      </c>
      <c r="BA1327">
        <v>748</v>
      </c>
      <c r="BB1327">
        <v>44</v>
      </c>
      <c r="BD1327">
        <v>1</v>
      </c>
      <c r="BF1327" t="s">
        <v>1457</v>
      </c>
      <c r="BG1327" s="1">
        <v>44354.063194444447</v>
      </c>
      <c r="BH1327" s="1">
        <v>44354.072326388887</v>
      </c>
      <c r="BI1327" s="1">
        <v>44354.073275462964</v>
      </c>
      <c r="BJ1327" t="s">
        <v>85</v>
      </c>
      <c r="BK1327" t="s">
        <v>86</v>
      </c>
      <c r="BL1327" t="s">
        <v>87</v>
      </c>
    </row>
    <row r="1328" spans="1:64" x14ac:dyDescent="0.3">
      <c r="A1328" t="str">
        <f>"200678B0000"</f>
        <v>200678B0000</v>
      </c>
      <c r="B1328" t="str">
        <f>"200678B00003"</f>
        <v>200678B00003</v>
      </c>
      <c r="C1328" t="str">
        <f t="shared" si="76"/>
        <v>20</v>
      </c>
      <c r="D1328" t="s">
        <v>81</v>
      </c>
      <c r="E1328" t="str">
        <f t="shared" si="77"/>
        <v>076</v>
      </c>
      <c r="F1328" t="s">
        <v>1437</v>
      </c>
      <c r="G1328" t="str">
        <f>"0678"</f>
        <v>0678</v>
      </c>
      <c r="H1328" t="str">
        <f>"0000"</f>
        <v>0000</v>
      </c>
      <c r="I1328" t="s">
        <v>83</v>
      </c>
      <c r="J1328">
        <v>0</v>
      </c>
      <c r="K1328">
        <v>1</v>
      </c>
      <c r="L1328">
        <v>3</v>
      </c>
      <c r="M1328">
        <v>318</v>
      </c>
      <c r="N1328">
        <v>318</v>
      </c>
      <c r="O1328">
        <v>5</v>
      </c>
      <c r="P1328">
        <v>318</v>
      </c>
      <c r="Q1328">
        <v>8</v>
      </c>
      <c r="R1328">
        <v>92</v>
      </c>
      <c r="S1328">
        <v>4</v>
      </c>
      <c r="T1328">
        <v>14</v>
      </c>
      <c r="U1328">
        <v>7</v>
      </c>
      <c r="V1328">
        <v>21</v>
      </c>
      <c r="W1328">
        <v>24</v>
      </c>
      <c r="X1328">
        <v>120</v>
      </c>
      <c r="Y1328">
        <v>6</v>
      </c>
      <c r="Z1328">
        <v>2</v>
      </c>
      <c r="AA1328">
        <v>4</v>
      </c>
      <c r="AB1328">
        <v>7</v>
      </c>
      <c r="AF1328">
        <v>2</v>
      </c>
      <c r="AG1328">
        <v>1</v>
      </c>
      <c r="AH1328" t="s">
        <v>95</v>
      </c>
      <c r="AI1328">
        <v>1</v>
      </c>
      <c r="AW1328" t="s">
        <v>95</v>
      </c>
      <c r="AX1328">
        <v>5</v>
      </c>
      <c r="AY1328">
        <v>318</v>
      </c>
      <c r="AZ1328">
        <v>318</v>
      </c>
      <c r="BA1328">
        <v>592</v>
      </c>
      <c r="BB1328">
        <v>44</v>
      </c>
      <c r="BC1328" t="s">
        <v>96</v>
      </c>
      <c r="BD1328">
        <v>1</v>
      </c>
      <c r="BF1328" t="s">
        <v>1458</v>
      </c>
      <c r="BG1328" s="1">
        <v>44354.209027777775</v>
      </c>
      <c r="BH1328" s="1">
        <v>44354.211030092592</v>
      </c>
      <c r="BI1328" s="1">
        <v>44354.211817129632</v>
      </c>
      <c r="BJ1328" t="s">
        <v>85</v>
      </c>
      <c r="BK1328" t="s">
        <v>86</v>
      </c>
      <c r="BL1328" t="s">
        <v>87</v>
      </c>
    </row>
    <row r="1329" spans="1:64" x14ac:dyDescent="0.3">
      <c r="A1329" t="str">
        <f>"200678C0100"</f>
        <v>200678C0100</v>
      </c>
      <c r="B1329" t="str">
        <f>"200678C01003"</f>
        <v>200678C01003</v>
      </c>
      <c r="C1329" t="str">
        <f t="shared" si="76"/>
        <v>20</v>
      </c>
      <c r="D1329" t="s">
        <v>81</v>
      </c>
      <c r="E1329" t="str">
        <f t="shared" si="77"/>
        <v>076</v>
      </c>
      <c r="F1329" t="s">
        <v>1437</v>
      </c>
      <c r="G1329" t="str">
        <f>"0678"</f>
        <v>0678</v>
      </c>
      <c r="H1329" t="str">
        <f>"0001"</f>
        <v>0001</v>
      </c>
      <c r="I1329" t="s">
        <v>89</v>
      </c>
      <c r="J1329">
        <v>0</v>
      </c>
      <c r="K1329">
        <v>1</v>
      </c>
      <c r="L1329">
        <v>3</v>
      </c>
      <c r="M1329">
        <v>336</v>
      </c>
      <c r="N1329">
        <v>300</v>
      </c>
      <c r="O1329">
        <v>1</v>
      </c>
      <c r="P1329">
        <v>300</v>
      </c>
      <c r="Q1329">
        <v>9</v>
      </c>
      <c r="R1329">
        <v>76</v>
      </c>
      <c r="S1329">
        <v>2</v>
      </c>
      <c r="T1329">
        <v>14</v>
      </c>
      <c r="U1329">
        <v>3</v>
      </c>
      <c r="V1329">
        <v>16</v>
      </c>
      <c r="W1329">
        <v>26</v>
      </c>
      <c r="X1329">
        <v>133</v>
      </c>
      <c r="Y1329">
        <v>0</v>
      </c>
      <c r="Z1329">
        <v>3</v>
      </c>
      <c r="AA1329">
        <v>0</v>
      </c>
      <c r="AB1329">
        <v>7</v>
      </c>
      <c r="AF1329">
        <v>2</v>
      </c>
      <c r="AG1329">
        <v>0</v>
      </c>
      <c r="AH1329">
        <v>1</v>
      </c>
      <c r="AI1329">
        <v>0</v>
      </c>
      <c r="AW1329">
        <v>0</v>
      </c>
      <c r="AX1329">
        <v>9</v>
      </c>
      <c r="AY1329">
        <v>300</v>
      </c>
      <c r="AZ1329">
        <v>301</v>
      </c>
      <c r="BA1329">
        <v>592</v>
      </c>
      <c r="BB1329">
        <v>44</v>
      </c>
      <c r="BD1329">
        <v>1</v>
      </c>
      <c r="BF1329" t="s">
        <v>1459</v>
      </c>
      <c r="BG1329" s="1">
        <v>44354.243750000001</v>
      </c>
      <c r="BH1329" s="1">
        <v>44354.245254629626</v>
      </c>
      <c r="BI1329" s="1">
        <v>44354.245891203704</v>
      </c>
      <c r="BJ1329" t="s">
        <v>85</v>
      </c>
      <c r="BK1329" t="s">
        <v>86</v>
      </c>
      <c r="BL1329" t="s">
        <v>87</v>
      </c>
    </row>
    <row r="1330" spans="1:64" x14ac:dyDescent="0.3">
      <c r="A1330" t="str">
        <f>"200678C0200"</f>
        <v>200678C0200</v>
      </c>
      <c r="B1330" t="str">
        <f>"200678C02003"</f>
        <v>200678C02003</v>
      </c>
      <c r="C1330" t="str">
        <f t="shared" si="76"/>
        <v>20</v>
      </c>
      <c r="D1330" t="s">
        <v>81</v>
      </c>
      <c r="E1330" t="str">
        <f t="shared" si="77"/>
        <v>076</v>
      </c>
      <c r="F1330" t="s">
        <v>1437</v>
      </c>
      <c r="G1330" t="str">
        <f>"0678"</f>
        <v>0678</v>
      </c>
      <c r="H1330" t="str">
        <f>"0002"</f>
        <v>0002</v>
      </c>
      <c r="I1330" t="s">
        <v>89</v>
      </c>
      <c r="J1330">
        <v>0</v>
      </c>
      <c r="K1330">
        <v>1</v>
      </c>
      <c r="L1330">
        <v>3</v>
      </c>
      <c r="M1330">
        <v>310</v>
      </c>
      <c r="N1330">
        <v>326</v>
      </c>
      <c r="O1330">
        <v>6</v>
      </c>
      <c r="P1330">
        <v>326</v>
      </c>
      <c r="Q1330">
        <v>7</v>
      </c>
      <c r="R1330">
        <v>81</v>
      </c>
      <c r="S1330">
        <v>3</v>
      </c>
      <c r="T1330">
        <v>11</v>
      </c>
      <c r="U1330">
        <v>13</v>
      </c>
      <c r="V1330">
        <v>32</v>
      </c>
      <c r="W1330">
        <v>21</v>
      </c>
      <c r="X1330">
        <v>122</v>
      </c>
      <c r="Y1330">
        <v>2</v>
      </c>
      <c r="Z1330">
        <v>4</v>
      </c>
      <c r="AA1330">
        <v>0</v>
      </c>
      <c r="AB1330">
        <v>16</v>
      </c>
      <c r="AF1330">
        <v>7</v>
      </c>
      <c r="AG1330">
        <v>2</v>
      </c>
      <c r="AH1330">
        <v>0</v>
      </c>
      <c r="AI1330">
        <v>0</v>
      </c>
      <c r="AW1330">
        <v>0</v>
      </c>
      <c r="AX1330">
        <v>5</v>
      </c>
      <c r="AY1330">
        <v>326</v>
      </c>
      <c r="AZ1330">
        <v>326</v>
      </c>
      <c r="BA1330">
        <v>592</v>
      </c>
      <c r="BB1330">
        <v>44</v>
      </c>
      <c r="BD1330">
        <v>1</v>
      </c>
      <c r="BF1330" t="s">
        <v>1460</v>
      </c>
      <c r="BG1330" s="1">
        <v>44354.077777777777</v>
      </c>
      <c r="BH1330" s="1">
        <v>44354.08388888889</v>
      </c>
      <c r="BI1330" s="1">
        <v>44354.084444444445</v>
      </c>
      <c r="BJ1330" t="s">
        <v>85</v>
      </c>
      <c r="BK1330" t="s">
        <v>86</v>
      </c>
      <c r="BL1330" t="s">
        <v>87</v>
      </c>
    </row>
    <row r="1331" spans="1:64" x14ac:dyDescent="0.3">
      <c r="A1331" t="str">
        <f>"200679B0000"</f>
        <v>200679B0000</v>
      </c>
      <c r="B1331" t="str">
        <f>"200679B00003"</f>
        <v>200679B00003</v>
      </c>
      <c r="C1331" t="str">
        <f t="shared" si="76"/>
        <v>20</v>
      </c>
      <c r="D1331" t="s">
        <v>81</v>
      </c>
      <c r="E1331" t="str">
        <f t="shared" si="77"/>
        <v>076</v>
      </c>
      <c r="F1331" t="s">
        <v>1437</v>
      </c>
      <c r="G1331" t="str">
        <f>"0679"</f>
        <v>0679</v>
      </c>
      <c r="H1331" t="str">
        <f>"0000"</f>
        <v>0000</v>
      </c>
      <c r="I1331" t="s">
        <v>83</v>
      </c>
      <c r="J1331">
        <v>0</v>
      </c>
      <c r="K1331">
        <v>1</v>
      </c>
      <c r="L1331">
        <v>3</v>
      </c>
      <c r="M1331">
        <v>302</v>
      </c>
      <c r="N1331">
        <v>346</v>
      </c>
      <c r="O1331">
        <v>3</v>
      </c>
      <c r="P1331">
        <v>347</v>
      </c>
      <c r="Q1331">
        <v>4</v>
      </c>
      <c r="R1331">
        <v>77</v>
      </c>
      <c r="S1331">
        <v>4</v>
      </c>
      <c r="T1331">
        <v>17</v>
      </c>
      <c r="U1331">
        <v>4</v>
      </c>
      <c r="V1331">
        <v>14</v>
      </c>
      <c r="W1331">
        <v>55</v>
      </c>
      <c r="X1331">
        <v>137</v>
      </c>
      <c r="Y1331">
        <v>0</v>
      </c>
      <c r="Z1331">
        <v>0</v>
      </c>
      <c r="AA1331">
        <v>8</v>
      </c>
      <c r="AB1331">
        <v>7</v>
      </c>
      <c r="AF1331">
        <v>0</v>
      </c>
      <c r="AG1331">
        <v>3</v>
      </c>
      <c r="AH1331">
        <v>2</v>
      </c>
      <c r="AI1331">
        <v>0</v>
      </c>
      <c r="AW1331">
        <v>0</v>
      </c>
      <c r="AX1331">
        <v>10</v>
      </c>
      <c r="AY1331">
        <v>347</v>
      </c>
      <c r="AZ1331">
        <v>342</v>
      </c>
      <c r="BA1331">
        <v>615</v>
      </c>
      <c r="BB1331">
        <v>44</v>
      </c>
      <c r="BD1331">
        <v>1</v>
      </c>
      <c r="BF1331" t="s">
        <v>1461</v>
      </c>
      <c r="BG1331" s="1">
        <v>44354.052083333336</v>
      </c>
      <c r="BH1331" s="1">
        <v>44354.057743055557</v>
      </c>
      <c r="BI1331" s="1">
        <v>44354.058217592596</v>
      </c>
      <c r="BJ1331" t="s">
        <v>85</v>
      </c>
      <c r="BK1331" t="s">
        <v>86</v>
      </c>
      <c r="BL1331" t="s">
        <v>87</v>
      </c>
    </row>
    <row r="1332" spans="1:64" x14ac:dyDescent="0.3">
      <c r="A1332" t="str">
        <f>"200679C0100"</f>
        <v>200679C0100</v>
      </c>
      <c r="B1332" t="str">
        <f>"200679C01003"</f>
        <v>200679C01003</v>
      </c>
      <c r="C1332" t="str">
        <f t="shared" si="76"/>
        <v>20</v>
      </c>
      <c r="D1332" t="s">
        <v>81</v>
      </c>
      <c r="E1332" t="str">
        <f t="shared" si="77"/>
        <v>076</v>
      </c>
      <c r="F1332" t="s">
        <v>1437</v>
      </c>
      <c r="G1332" t="str">
        <f>"0679"</f>
        <v>0679</v>
      </c>
      <c r="H1332" t="str">
        <f>"0001"</f>
        <v>0001</v>
      </c>
      <c r="I1332" t="s">
        <v>89</v>
      </c>
      <c r="J1332">
        <v>0</v>
      </c>
      <c r="K1332">
        <v>1</v>
      </c>
      <c r="L1332">
        <v>3</v>
      </c>
      <c r="M1332">
        <v>322</v>
      </c>
      <c r="N1332">
        <v>337</v>
      </c>
      <c r="O1332">
        <v>7</v>
      </c>
      <c r="P1332">
        <v>337</v>
      </c>
      <c r="Q1332">
        <v>3</v>
      </c>
      <c r="R1332">
        <v>74</v>
      </c>
      <c r="S1332">
        <v>6</v>
      </c>
      <c r="T1332">
        <v>9</v>
      </c>
      <c r="U1332">
        <v>8</v>
      </c>
      <c r="V1332">
        <v>12</v>
      </c>
      <c r="W1332">
        <v>66</v>
      </c>
      <c r="X1332">
        <v>122</v>
      </c>
      <c r="Y1332">
        <v>2</v>
      </c>
      <c r="Z1332">
        <v>1</v>
      </c>
      <c r="AA1332">
        <v>11</v>
      </c>
      <c r="AB1332">
        <v>13</v>
      </c>
      <c r="AF1332">
        <v>0</v>
      </c>
      <c r="AG1332">
        <v>0</v>
      </c>
      <c r="AH1332">
        <v>1</v>
      </c>
      <c r="AI1332">
        <v>2</v>
      </c>
      <c r="AW1332">
        <v>0</v>
      </c>
      <c r="AX1332">
        <v>7</v>
      </c>
      <c r="AY1332">
        <v>337</v>
      </c>
      <c r="AZ1332">
        <v>337</v>
      </c>
      <c r="BA1332">
        <v>615</v>
      </c>
      <c r="BB1332">
        <v>44</v>
      </c>
      <c r="BD1332">
        <v>1</v>
      </c>
      <c r="BF1332" t="s">
        <v>1462</v>
      </c>
      <c r="BG1332" s="1">
        <v>44354.056250000001</v>
      </c>
      <c r="BH1332" s="1">
        <v>44354.062094907407</v>
      </c>
      <c r="BI1332" s="1">
        <v>44354.06318287037</v>
      </c>
      <c r="BJ1332" t="s">
        <v>85</v>
      </c>
      <c r="BK1332" t="s">
        <v>86</v>
      </c>
      <c r="BL1332" t="s">
        <v>87</v>
      </c>
    </row>
    <row r="1333" spans="1:64" x14ac:dyDescent="0.3">
      <c r="A1333" t="str">
        <f>"200679C0200"</f>
        <v>200679C0200</v>
      </c>
      <c r="B1333" t="str">
        <f>"200679C02003"</f>
        <v>200679C02003</v>
      </c>
      <c r="C1333" t="str">
        <f t="shared" si="76"/>
        <v>20</v>
      </c>
      <c r="D1333" t="s">
        <v>81</v>
      </c>
      <c r="E1333" t="str">
        <f t="shared" si="77"/>
        <v>076</v>
      </c>
      <c r="F1333" t="s">
        <v>1437</v>
      </c>
      <c r="G1333" t="str">
        <f>"0679"</f>
        <v>0679</v>
      </c>
      <c r="H1333" t="str">
        <f>"0002"</f>
        <v>0002</v>
      </c>
      <c r="I1333" t="s">
        <v>89</v>
      </c>
      <c r="J1333">
        <v>0</v>
      </c>
      <c r="K1333">
        <v>1</v>
      </c>
      <c r="L1333">
        <v>3</v>
      </c>
      <c r="M1333">
        <v>297</v>
      </c>
      <c r="N1333">
        <v>361</v>
      </c>
      <c r="O1333">
        <v>8</v>
      </c>
      <c r="P1333">
        <v>362</v>
      </c>
      <c r="Q1333">
        <v>7</v>
      </c>
      <c r="R1333">
        <v>88</v>
      </c>
      <c r="S1333">
        <v>1</v>
      </c>
      <c r="T1333">
        <v>16</v>
      </c>
      <c r="U1333">
        <v>4</v>
      </c>
      <c r="V1333">
        <v>13</v>
      </c>
      <c r="W1333">
        <v>56</v>
      </c>
      <c r="X1333">
        <v>128</v>
      </c>
      <c r="Y1333">
        <v>5</v>
      </c>
      <c r="Z1333">
        <v>1</v>
      </c>
      <c r="AA1333">
        <v>12</v>
      </c>
      <c r="AB1333">
        <v>18</v>
      </c>
      <c r="AF1333">
        <v>2</v>
      </c>
      <c r="AG1333">
        <v>0</v>
      </c>
      <c r="AH1333">
        <v>0</v>
      </c>
      <c r="AI1333">
        <v>0</v>
      </c>
      <c r="AW1333">
        <v>0</v>
      </c>
      <c r="AX1333">
        <v>11</v>
      </c>
      <c r="AY1333">
        <v>362</v>
      </c>
      <c r="AZ1333">
        <v>362</v>
      </c>
      <c r="BA1333">
        <v>615</v>
      </c>
      <c r="BB1333">
        <v>44</v>
      </c>
      <c r="BD1333">
        <v>1</v>
      </c>
      <c r="BF1333" t="s">
        <v>1463</v>
      </c>
      <c r="BG1333" s="1">
        <v>44354.055555555555</v>
      </c>
      <c r="BH1333" s="1">
        <v>44354.060358796298</v>
      </c>
      <c r="BI1333" s="1">
        <v>44354.060914351852</v>
      </c>
      <c r="BJ1333" t="s">
        <v>85</v>
      </c>
      <c r="BK1333" t="s">
        <v>86</v>
      </c>
      <c r="BL1333" t="s">
        <v>87</v>
      </c>
    </row>
    <row r="1334" spans="1:64" x14ac:dyDescent="0.3">
      <c r="A1334" t="str">
        <f>"200679C0300"</f>
        <v>200679C0300</v>
      </c>
      <c r="B1334" t="str">
        <f>"200679C03003"</f>
        <v>200679C03003</v>
      </c>
      <c r="C1334" t="str">
        <f t="shared" si="76"/>
        <v>20</v>
      </c>
      <c r="D1334" t="s">
        <v>81</v>
      </c>
      <c r="E1334" t="str">
        <f t="shared" si="77"/>
        <v>076</v>
      </c>
      <c r="F1334" t="s">
        <v>1437</v>
      </c>
      <c r="G1334" t="str">
        <f>"0679"</f>
        <v>0679</v>
      </c>
      <c r="H1334" t="str">
        <f>"0003"</f>
        <v>0003</v>
      </c>
      <c r="I1334" t="s">
        <v>89</v>
      </c>
      <c r="J1334">
        <v>0</v>
      </c>
      <c r="K1334">
        <v>1</v>
      </c>
      <c r="L1334">
        <v>3</v>
      </c>
      <c r="M1334">
        <v>295</v>
      </c>
      <c r="N1334">
        <v>363</v>
      </c>
      <c r="O1334">
        <v>2</v>
      </c>
      <c r="P1334">
        <v>363</v>
      </c>
      <c r="Q1334">
        <v>8</v>
      </c>
      <c r="R1334">
        <v>85</v>
      </c>
      <c r="S1334">
        <v>2</v>
      </c>
      <c r="T1334">
        <v>4</v>
      </c>
      <c r="U1334">
        <v>6</v>
      </c>
      <c r="V1334">
        <v>16</v>
      </c>
      <c r="W1334">
        <v>60</v>
      </c>
      <c r="X1334">
        <v>148</v>
      </c>
      <c r="Y1334">
        <v>2</v>
      </c>
      <c r="Z1334">
        <v>4</v>
      </c>
      <c r="AA1334">
        <v>8</v>
      </c>
      <c r="AB1334">
        <v>9</v>
      </c>
      <c r="AF1334">
        <v>3</v>
      </c>
      <c r="AG1334">
        <v>0</v>
      </c>
      <c r="AH1334">
        <v>0</v>
      </c>
      <c r="AI1334">
        <v>0</v>
      </c>
      <c r="AW1334">
        <v>0</v>
      </c>
      <c r="AX1334">
        <v>7</v>
      </c>
      <c r="AY1334">
        <v>363</v>
      </c>
      <c r="AZ1334">
        <v>362</v>
      </c>
      <c r="BA1334">
        <v>614</v>
      </c>
      <c r="BB1334">
        <v>44</v>
      </c>
      <c r="BD1334">
        <v>1</v>
      </c>
      <c r="BF1334" t="s">
        <v>1464</v>
      </c>
      <c r="BG1334" s="1">
        <v>44354.058333333334</v>
      </c>
      <c r="BH1334" s="1">
        <v>44354.063518518517</v>
      </c>
      <c r="BI1334" s="1">
        <v>44354.063900462963</v>
      </c>
      <c r="BJ1334" t="s">
        <v>85</v>
      </c>
      <c r="BK1334" t="s">
        <v>86</v>
      </c>
      <c r="BL1334" t="s">
        <v>87</v>
      </c>
    </row>
    <row r="1335" spans="1:64" x14ac:dyDescent="0.3">
      <c r="A1335" t="str">
        <f>"200680B0000"</f>
        <v>200680B0000</v>
      </c>
      <c r="B1335" t="str">
        <f>"200680B00003"</f>
        <v>200680B00003</v>
      </c>
      <c r="C1335" t="str">
        <f t="shared" si="76"/>
        <v>20</v>
      </c>
      <c r="D1335" t="s">
        <v>81</v>
      </c>
      <c r="E1335" t="str">
        <f t="shared" si="77"/>
        <v>076</v>
      </c>
      <c r="F1335" t="s">
        <v>1437</v>
      </c>
      <c r="G1335" t="str">
        <f>"0680"</f>
        <v>0680</v>
      </c>
      <c r="H1335" t="str">
        <f>"0000"</f>
        <v>0000</v>
      </c>
      <c r="I1335" t="s">
        <v>83</v>
      </c>
      <c r="J1335">
        <v>0</v>
      </c>
      <c r="K1335">
        <v>1</v>
      </c>
      <c r="L1335">
        <v>3</v>
      </c>
      <c r="M1335">
        <v>363</v>
      </c>
      <c r="N1335">
        <v>424</v>
      </c>
      <c r="O1335">
        <v>0</v>
      </c>
      <c r="P1335">
        <v>424</v>
      </c>
      <c r="Q1335">
        <v>9</v>
      </c>
      <c r="R1335">
        <v>100</v>
      </c>
      <c r="S1335">
        <v>2</v>
      </c>
      <c r="T1335">
        <v>13</v>
      </c>
      <c r="U1335">
        <v>10</v>
      </c>
      <c r="V1335">
        <v>11</v>
      </c>
      <c r="W1335">
        <v>60</v>
      </c>
      <c r="X1335">
        <v>179</v>
      </c>
      <c r="Y1335">
        <v>6</v>
      </c>
      <c r="Z1335">
        <v>3</v>
      </c>
      <c r="AA1335">
        <v>0</v>
      </c>
      <c r="AB1335">
        <v>20</v>
      </c>
      <c r="AF1335">
        <v>6</v>
      </c>
      <c r="AG1335">
        <v>0</v>
      </c>
      <c r="AH1335">
        <v>0</v>
      </c>
      <c r="AI1335">
        <v>0</v>
      </c>
      <c r="AW1335" t="s">
        <v>95</v>
      </c>
      <c r="AX1335">
        <v>5</v>
      </c>
      <c r="AY1335">
        <v>424</v>
      </c>
      <c r="AZ1335">
        <v>424</v>
      </c>
      <c r="BA1335">
        <v>741</v>
      </c>
      <c r="BB1335">
        <v>44</v>
      </c>
      <c r="BC1335" t="s">
        <v>96</v>
      </c>
      <c r="BD1335">
        <v>1</v>
      </c>
      <c r="BF1335" t="s">
        <v>1465</v>
      </c>
      <c r="BG1335" s="1">
        <v>44353.76458333333</v>
      </c>
      <c r="BH1335" s="1">
        <v>44354.087233796294</v>
      </c>
      <c r="BI1335" s="1">
        <v>44354.087696759256</v>
      </c>
      <c r="BJ1335" t="s">
        <v>85</v>
      </c>
      <c r="BK1335" t="s">
        <v>86</v>
      </c>
      <c r="BL1335" t="s">
        <v>87</v>
      </c>
    </row>
    <row r="1336" spans="1:64" x14ac:dyDescent="0.3">
      <c r="A1336" t="str">
        <f>"200680C0100"</f>
        <v>200680C0100</v>
      </c>
      <c r="B1336" t="str">
        <f>"200680C01003"</f>
        <v>200680C01003</v>
      </c>
      <c r="C1336" t="str">
        <f t="shared" si="76"/>
        <v>20</v>
      </c>
      <c r="D1336" t="s">
        <v>81</v>
      </c>
      <c r="E1336" t="str">
        <f t="shared" si="77"/>
        <v>076</v>
      </c>
      <c r="F1336" t="s">
        <v>1437</v>
      </c>
      <c r="G1336" t="str">
        <f>"0680"</f>
        <v>0680</v>
      </c>
      <c r="H1336" t="str">
        <f>"0001"</f>
        <v>0001</v>
      </c>
      <c r="I1336" t="s">
        <v>89</v>
      </c>
      <c r="J1336">
        <v>0</v>
      </c>
      <c r="K1336">
        <v>1</v>
      </c>
      <c r="L1336">
        <v>3</v>
      </c>
      <c r="M1336">
        <v>400</v>
      </c>
      <c r="N1336">
        <v>785</v>
      </c>
      <c r="O1336">
        <v>6</v>
      </c>
      <c r="P1336">
        <v>381</v>
      </c>
      <c r="Q1336">
        <v>4</v>
      </c>
      <c r="R1336">
        <v>107</v>
      </c>
      <c r="S1336">
        <v>6</v>
      </c>
      <c r="T1336">
        <v>15</v>
      </c>
      <c r="U1336">
        <v>3</v>
      </c>
      <c r="V1336">
        <v>17</v>
      </c>
      <c r="W1336">
        <v>38</v>
      </c>
      <c r="X1336">
        <v>166</v>
      </c>
      <c r="Y1336">
        <v>1</v>
      </c>
      <c r="Z1336">
        <v>1</v>
      </c>
      <c r="AA1336">
        <v>2</v>
      </c>
      <c r="AB1336">
        <v>8</v>
      </c>
      <c r="AF1336">
        <v>4</v>
      </c>
      <c r="AG1336" t="s">
        <v>95</v>
      </c>
      <c r="AH1336" t="s">
        <v>95</v>
      </c>
      <c r="AI1336" t="s">
        <v>95</v>
      </c>
      <c r="AW1336">
        <v>1</v>
      </c>
      <c r="AX1336">
        <v>8</v>
      </c>
      <c r="AY1336">
        <v>381</v>
      </c>
      <c r="AZ1336">
        <v>381</v>
      </c>
      <c r="BA1336">
        <v>741</v>
      </c>
      <c r="BB1336">
        <v>44</v>
      </c>
      <c r="BC1336" t="s">
        <v>96</v>
      </c>
      <c r="BD1336">
        <v>1</v>
      </c>
      <c r="BF1336" t="s">
        <v>1466</v>
      </c>
      <c r="BG1336" s="1">
        <v>44354.076388888891</v>
      </c>
      <c r="BH1336" s="1">
        <v>44354.356782407405</v>
      </c>
      <c r="BI1336" s="1">
        <v>44354.357546296298</v>
      </c>
      <c r="BJ1336" t="s">
        <v>85</v>
      </c>
      <c r="BK1336" t="s">
        <v>86</v>
      </c>
      <c r="BL1336" t="s">
        <v>87</v>
      </c>
    </row>
    <row r="1337" spans="1:64" x14ac:dyDescent="0.3">
      <c r="A1337" t="str">
        <f>"200680S0100"</f>
        <v>200680S0100</v>
      </c>
      <c r="B1337" t="str">
        <f>"200680S01003E"</f>
        <v>200680S01003E</v>
      </c>
      <c r="C1337" t="str">
        <f t="shared" si="76"/>
        <v>20</v>
      </c>
      <c r="D1337" t="s">
        <v>81</v>
      </c>
      <c r="E1337" t="str">
        <f t="shared" si="77"/>
        <v>076</v>
      </c>
      <c r="F1337" t="s">
        <v>1437</v>
      </c>
      <c r="G1337" t="str">
        <f>"0680"</f>
        <v>0680</v>
      </c>
      <c r="H1337" t="str">
        <f>"0001"</f>
        <v>0001</v>
      </c>
      <c r="I1337" t="s">
        <v>99</v>
      </c>
      <c r="J1337">
        <v>0</v>
      </c>
      <c r="K1337">
        <v>1</v>
      </c>
      <c r="L1337" t="s">
        <v>100</v>
      </c>
      <c r="M1337">
        <v>978</v>
      </c>
      <c r="N1337">
        <v>22</v>
      </c>
      <c r="O1337">
        <v>0</v>
      </c>
      <c r="P1337">
        <v>22</v>
      </c>
      <c r="Q1337">
        <v>0</v>
      </c>
      <c r="R1337">
        <v>6</v>
      </c>
      <c r="S1337">
        <v>0</v>
      </c>
      <c r="T1337">
        <v>1</v>
      </c>
      <c r="U1337">
        <v>0</v>
      </c>
      <c r="V1337">
        <v>1</v>
      </c>
      <c r="W1337">
        <v>4</v>
      </c>
      <c r="X1337">
        <v>8</v>
      </c>
      <c r="Y1337">
        <v>0</v>
      </c>
      <c r="Z1337">
        <v>0</v>
      </c>
      <c r="AA1337">
        <v>0</v>
      </c>
      <c r="AB1337">
        <v>2</v>
      </c>
      <c r="AF1337">
        <v>0</v>
      </c>
      <c r="AG1337">
        <v>0</v>
      </c>
      <c r="AH1337">
        <v>0</v>
      </c>
      <c r="AI1337">
        <v>0</v>
      </c>
      <c r="AW1337">
        <v>0</v>
      </c>
      <c r="AX1337">
        <v>0</v>
      </c>
      <c r="AY1337">
        <v>22</v>
      </c>
      <c r="AZ1337">
        <v>22</v>
      </c>
      <c r="BA1337">
        <v>0</v>
      </c>
      <c r="BB1337">
        <v>44</v>
      </c>
      <c r="BD1337">
        <v>1</v>
      </c>
      <c r="BF1337" t="s">
        <v>1467</v>
      </c>
      <c r="BG1337" s="1">
        <v>44354.286805555559</v>
      </c>
      <c r="BH1337" s="1">
        <v>44354.289305555554</v>
      </c>
      <c r="BI1337" s="1">
        <v>44354.289710648147</v>
      </c>
      <c r="BJ1337" t="s">
        <v>85</v>
      </c>
      <c r="BK1337" t="s">
        <v>86</v>
      </c>
      <c r="BL1337" t="s">
        <v>87</v>
      </c>
    </row>
    <row r="1338" spans="1:64" x14ac:dyDescent="0.3">
      <c r="A1338" t="str">
        <f>"200681B0000"</f>
        <v>200681B0000</v>
      </c>
      <c r="B1338" t="str">
        <f>"200681B00003"</f>
        <v>200681B00003</v>
      </c>
      <c r="C1338" t="str">
        <f t="shared" si="76"/>
        <v>20</v>
      </c>
      <c r="D1338" t="s">
        <v>81</v>
      </c>
      <c r="E1338" t="str">
        <f t="shared" si="77"/>
        <v>076</v>
      </c>
      <c r="F1338" t="s">
        <v>1437</v>
      </c>
      <c r="G1338" t="str">
        <f>"0681"</f>
        <v>0681</v>
      </c>
      <c r="H1338" t="str">
        <f>"0000"</f>
        <v>0000</v>
      </c>
      <c r="I1338" t="s">
        <v>83</v>
      </c>
      <c r="J1338">
        <v>0</v>
      </c>
      <c r="K1338">
        <v>1</v>
      </c>
      <c r="L1338">
        <v>3</v>
      </c>
      <c r="M1338">
        <v>360</v>
      </c>
      <c r="N1338">
        <v>318</v>
      </c>
      <c r="O1338">
        <v>5</v>
      </c>
      <c r="P1338">
        <v>320</v>
      </c>
      <c r="Q1338">
        <v>4</v>
      </c>
      <c r="R1338">
        <v>85</v>
      </c>
      <c r="S1338">
        <v>4</v>
      </c>
      <c r="T1338">
        <v>12</v>
      </c>
      <c r="U1338">
        <v>2</v>
      </c>
      <c r="V1338">
        <v>8</v>
      </c>
      <c r="W1338">
        <v>54</v>
      </c>
      <c r="X1338">
        <v>126</v>
      </c>
      <c r="Y1338">
        <v>3</v>
      </c>
      <c r="Z1338">
        <v>2</v>
      </c>
      <c r="AA1338">
        <v>1</v>
      </c>
      <c r="AB1338">
        <v>5</v>
      </c>
      <c r="AF1338">
        <v>3</v>
      </c>
      <c r="AG1338">
        <v>1</v>
      </c>
      <c r="AH1338">
        <v>0</v>
      </c>
      <c r="AI1338">
        <v>0</v>
      </c>
      <c r="AW1338">
        <v>0</v>
      </c>
      <c r="AX1338">
        <v>10</v>
      </c>
      <c r="AY1338">
        <v>320</v>
      </c>
      <c r="AZ1338">
        <v>320</v>
      </c>
      <c r="BA1338">
        <v>636</v>
      </c>
      <c r="BB1338">
        <v>44</v>
      </c>
      <c r="BD1338">
        <v>1</v>
      </c>
      <c r="BF1338" t="s">
        <v>1468</v>
      </c>
      <c r="BG1338" s="1">
        <v>44354.103472222225</v>
      </c>
      <c r="BH1338" s="1">
        <v>44354.105219907404</v>
      </c>
      <c r="BI1338" s="1">
        <v>44354.105462962965</v>
      </c>
      <c r="BJ1338" t="s">
        <v>85</v>
      </c>
      <c r="BK1338" t="s">
        <v>86</v>
      </c>
      <c r="BL1338" t="s">
        <v>87</v>
      </c>
    </row>
    <row r="1339" spans="1:64" x14ac:dyDescent="0.3">
      <c r="A1339" t="str">
        <f>"200681C0100"</f>
        <v>200681C0100</v>
      </c>
      <c r="B1339" t="str">
        <f>"200681C01003"</f>
        <v>200681C01003</v>
      </c>
      <c r="C1339" t="str">
        <f t="shared" si="76"/>
        <v>20</v>
      </c>
      <c r="D1339" t="s">
        <v>81</v>
      </c>
      <c r="E1339" t="str">
        <f t="shared" si="77"/>
        <v>076</v>
      </c>
      <c r="F1339" t="s">
        <v>1437</v>
      </c>
      <c r="G1339" t="str">
        <f>"0681"</f>
        <v>0681</v>
      </c>
      <c r="H1339" t="str">
        <f>"0001"</f>
        <v>0001</v>
      </c>
      <c r="I1339" t="s">
        <v>89</v>
      </c>
      <c r="J1339">
        <v>0</v>
      </c>
      <c r="K1339">
        <v>1</v>
      </c>
      <c r="L1339">
        <v>3</v>
      </c>
      <c r="M1339">
        <v>321</v>
      </c>
      <c r="N1339">
        <v>359</v>
      </c>
      <c r="O1339">
        <v>4</v>
      </c>
      <c r="P1339">
        <v>359</v>
      </c>
      <c r="Q1339">
        <v>11</v>
      </c>
      <c r="R1339">
        <v>93</v>
      </c>
      <c r="S1339">
        <v>3</v>
      </c>
      <c r="T1339">
        <v>17</v>
      </c>
      <c r="U1339">
        <v>3</v>
      </c>
      <c r="V1339">
        <v>15</v>
      </c>
      <c r="W1339">
        <v>21</v>
      </c>
      <c r="X1339">
        <v>169</v>
      </c>
      <c r="Y1339">
        <v>4</v>
      </c>
      <c r="Z1339">
        <v>0</v>
      </c>
      <c r="AA1339">
        <v>0</v>
      </c>
      <c r="AB1339">
        <v>7</v>
      </c>
      <c r="AF1339">
        <v>2</v>
      </c>
      <c r="AG1339">
        <v>2</v>
      </c>
      <c r="AH1339">
        <v>0</v>
      </c>
      <c r="AI1339">
        <v>0</v>
      </c>
      <c r="AW1339">
        <v>0</v>
      </c>
      <c r="AX1339">
        <v>10</v>
      </c>
      <c r="AY1339">
        <v>359</v>
      </c>
      <c r="AZ1339">
        <v>357</v>
      </c>
      <c r="BA1339">
        <v>636</v>
      </c>
      <c r="BB1339">
        <v>44</v>
      </c>
      <c r="BD1339">
        <v>1</v>
      </c>
      <c r="BF1339" t="s">
        <v>1469</v>
      </c>
      <c r="BG1339" s="1">
        <v>44354.101388888892</v>
      </c>
      <c r="BH1339" s="1">
        <v>44354.10292824074</v>
      </c>
      <c r="BI1339" s="1">
        <v>44354.103530092594</v>
      </c>
      <c r="BJ1339" t="s">
        <v>85</v>
      </c>
      <c r="BK1339" t="s">
        <v>86</v>
      </c>
      <c r="BL1339" t="s">
        <v>87</v>
      </c>
    </row>
    <row r="1340" spans="1:64" x14ac:dyDescent="0.3">
      <c r="A1340" t="str">
        <f>"200682B0000"</f>
        <v>200682B0000</v>
      </c>
      <c r="B1340" t="str">
        <f>"200682B00003"</f>
        <v>200682B00003</v>
      </c>
      <c r="C1340" t="str">
        <f t="shared" si="76"/>
        <v>20</v>
      </c>
      <c r="D1340" t="s">
        <v>81</v>
      </c>
      <c r="E1340" t="str">
        <f t="shared" ref="E1340:E1371" si="78">"076"</f>
        <v>076</v>
      </c>
      <c r="F1340" t="s">
        <v>1437</v>
      </c>
      <c r="G1340" t="str">
        <f>"0682"</f>
        <v>0682</v>
      </c>
      <c r="H1340" t="str">
        <f>"0000"</f>
        <v>0000</v>
      </c>
      <c r="I1340" t="s">
        <v>83</v>
      </c>
      <c r="J1340">
        <v>0</v>
      </c>
      <c r="K1340">
        <v>1</v>
      </c>
      <c r="L1340">
        <v>3</v>
      </c>
      <c r="M1340">
        <v>259</v>
      </c>
      <c r="N1340">
        <v>297</v>
      </c>
      <c r="O1340">
        <v>10</v>
      </c>
      <c r="P1340">
        <v>297</v>
      </c>
      <c r="Q1340">
        <v>5</v>
      </c>
      <c r="R1340">
        <v>61</v>
      </c>
      <c r="S1340">
        <v>0</v>
      </c>
      <c r="T1340">
        <v>12</v>
      </c>
      <c r="U1340">
        <v>14</v>
      </c>
      <c r="V1340">
        <v>9</v>
      </c>
      <c r="W1340">
        <v>49</v>
      </c>
      <c r="X1340">
        <v>120</v>
      </c>
      <c r="Y1340">
        <v>4</v>
      </c>
      <c r="Z1340">
        <v>2</v>
      </c>
      <c r="AA1340">
        <v>0</v>
      </c>
      <c r="AB1340">
        <v>9</v>
      </c>
      <c r="AF1340">
        <v>2</v>
      </c>
      <c r="AG1340">
        <v>1</v>
      </c>
      <c r="AH1340">
        <v>1</v>
      </c>
      <c r="AI1340">
        <v>1</v>
      </c>
      <c r="AW1340" t="s">
        <v>95</v>
      </c>
      <c r="AX1340">
        <v>7</v>
      </c>
      <c r="AY1340">
        <v>297</v>
      </c>
      <c r="AZ1340">
        <v>297</v>
      </c>
      <c r="BA1340">
        <v>512</v>
      </c>
      <c r="BB1340">
        <v>44</v>
      </c>
      <c r="BC1340" t="s">
        <v>96</v>
      </c>
      <c r="BD1340">
        <v>1</v>
      </c>
      <c r="BF1340" t="s">
        <v>1470</v>
      </c>
      <c r="BG1340" s="1">
        <v>44354.210416666669</v>
      </c>
      <c r="BH1340" s="1">
        <v>44354.212025462963</v>
      </c>
      <c r="BI1340" s="1">
        <v>44354.212523148148</v>
      </c>
      <c r="BJ1340" t="s">
        <v>85</v>
      </c>
      <c r="BK1340" t="s">
        <v>86</v>
      </c>
      <c r="BL1340" t="s">
        <v>87</v>
      </c>
    </row>
    <row r="1341" spans="1:64" x14ac:dyDescent="0.3">
      <c r="A1341" t="str">
        <f>"200682C0100"</f>
        <v>200682C0100</v>
      </c>
      <c r="B1341" t="str">
        <f>"200682C01003"</f>
        <v>200682C01003</v>
      </c>
      <c r="C1341" t="str">
        <f t="shared" si="76"/>
        <v>20</v>
      </c>
      <c r="D1341" t="s">
        <v>81</v>
      </c>
      <c r="E1341" t="str">
        <f t="shared" si="78"/>
        <v>076</v>
      </c>
      <c r="F1341" t="s">
        <v>1437</v>
      </c>
      <c r="G1341" t="str">
        <f>"0682"</f>
        <v>0682</v>
      </c>
      <c r="H1341" t="str">
        <f>"0001"</f>
        <v>0001</v>
      </c>
      <c r="I1341" t="s">
        <v>89</v>
      </c>
      <c r="J1341">
        <v>0</v>
      </c>
      <c r="K1341">
        <v>1</v>
      </c>
      <c r="L1341">
        <v>3</v>
      </c>
      <c r="M1341">
        <v>253</v>
      </c>
      <c r="N1341">
        <v>297</v>
      </c>
      <c r="O1341">
        <v>10</v>
      </c>
      <c r="P1341">
        <v>300</v>
      </c>
      <c r="Q1341">
        <v>3</v>
      </c>
      <c r="R1341">
        <v>68</v>
      </c>
      <c r="S1341">
        <v>2</v>
      </c>
      <c r="T1341">
        <v>16</v>
      </c>
      <c r="U1341">
        <v>18</v>
      </c>
      <c r="V1341">
        <v>12</v>
      </c>
      <c r="W1341">
        <v>29</v>
      </c>
      <c r="X1341">
        <v>127</v>
      </c>
      <c r="Y1341">
        <v>7</v>
      </c>
      <c r="Z1341">
        <v>2</v>
      </c>
      <c r="AA1341">
        <v>2</v>
      </c>
      <c r="AB1341">
        <v>9</v>
      </c>
      <c r="AF1341">
        <v>2</v>
      </c>
      <c r="AG1341" t="s">
        <v>95</v>
      </c>
      <c r="AH1341" t="s">
        <v>95</v>
      </c>
      <c r="AI1341" t="s">
        <v>95</v>
      </c>
      <c r="AW1341" t="s">
        <v>95</v>
      </c>
      <c r="AX1341">
        <v>3</v>
      </c>
      <c r="AY1341">
        <v>300</v>
      </c>
      <c r="AZ1341">
        <v>300</v>
      </c>
      <c r="BA1341">
        <v>512</v>
      </c>
      <c r="BB1341">
        <v>44</v>
      </c>
      <c r="BC1341" t="s">
        <v>96</v>
      </c>
      <c r="BD1341">
        <v>1</v>
      </c>
      <c r="BF1341" t="s">
        <v>1471</v>
      </c>
      <c r="BG1341" s="1">
        <v>44354.197916666664</v>
      </c>
      <c r="BH1341" s="1">
        <v>44354.453842592593</v>
      </c>
      <c r="BI1341" s="1">
        <v>44354.454606481479</v>
      </c>
      <c r="BJ1341" t="s">
        <v>85</v>
      </c>
      <c r="BK1341" t="s">
        <v>86</v>
      </c>
      <c r="BL1341" t="s">
        <v>87</v>
      </c>
    </row>
    <row r="1342" spans="1:64" x14ac:dyDescent="0.3">
      <c r="A1342" t="str">
        <f>"200682C0200"</f>
        <v>200682C0200</v>
      </c>
      <c r="B1342" t="str">
        <f>"200682C02003"</f>
        <v>200682C02003</v>
      </c>
      <c r="C1342" t="str">
        <f t="shared" si="76"/>
        <v>20</v>
      </c>
      <c r="D1342" t="s">
        <v>81</v>
      </c>
      <c r="E1342" t="str">
        <f t="shared" si="78"/>
        <v>076</v>
      </c>
      <c r="F1342" t="s">
        <v>1437</v>
      </c>
      <c r="G1342" t="str">
        <f>"0682"</f>
        <v>0682</v>
      </c>
      <c r="H1342" t="str">
        <f>"0002"</f>
        <v>0002</v>
      </c>
      <c r="I1342" t="s">
        <v>89</v>
      </c>
      <c r="J1342">
        <v>0</v>
      </c>
      <c r="K1342">
        <v>1</v>
      </c>
      <c r="L1342">
        <v>3</v>
      </c>
      <c r="M1342">
        <v>272</v>
      </c>
      <c r="N1342">
        <v>284</v>
      </c>
      <c r="O1342">
        <v>4</v>
      </c>
      <c r="P1342">
        <v>285</v>
      </c>
      <c r="Q1342">
        <v>6</v>
      </c>
      <c r="R1342">
        <v>59</v>
      </c>
      <c r="S1342">
        <v>1</v>
      </c>
      <c r="T1342">
        <v>18</v>
      </c>
      <c r="U1342">
        <v>20</v>
      </c>
      <c r="V1342">
        <v>11</v>
      </c>
      <c r="W1342">
        <v>52</v>
      </c>
      <c r="X1342">
        <v>98</v>
      </c>
      <c r="Y1342">
        <v>5</v>
      </c>
      <c r="Z1342">
        <v>2</v>
      </c>
      <c r="AA1342">
        <v>2</v>
      </c>
      <c r="AB1342">
        <v>3</v>
      </c>
      <c r="AF1342">
        <v>0</v>
      </c>
      <c r="AG1342">
        <v>0</v>
      </c>
      <c r="AH1342">
        <v>0</v>
      </c>
      <c r="AI1342">
        <v>0</v>
      </c>
      <c r="AW1342">
        <v>0</v>
      </c>
      <c r="AX1342">
        <v>8</v>
      </c>
      <c r="AY1342">
        <v>285</v>
      </c>
      <c r="AZ1342">
        <v>285</v>
      </c>
      <c r="BA1342">
        <v>512</v>
      </c>
      <c r="BB1342">
        <v>44</v>
      </c>
      <c r="BD1342">
        <v>1</v>
      </c>
      <c r="BF1342" t="s">
        <v>1472</v>
      </c>
      <c r="BG1342" s="1">
        <v>44354.195138888892</v>
      </c>
      <c r="BH1342" s="1">
        <v>44354.196527777778</v>
      </c>
      <c r="BI1342" s="1">
        <v>44354.196956018517</v>
      </c>
      <c r="BJ1342" t="s">
        <v>85</v>
      </c>
      <c r="BK1342" t="s">
        <v>86</v>
      </c>
      <c r="BL1342" t="s">
        <v>87</v>
      </c>
    </row>
    <row r="1343" spans="1:64" x14ac:dyDescent="0.3">
      <c r="A1343" t="str">
        <f>"200683B0000"</f>
        <v>200683B0000</v>
      </c>
      <c r="B1343" t="str">
        <f>"200683B00003"</f>
        <v>200683B00003</v>
      </c>
      <c r="C1343" t="str">
        <f t="shared" si="76"/>
        <v>20</v>
      </c>
      <c r="D1343" t="s">
        <v>81</v>
      </c>
      <c r="E1343" t="str">
        <f t="shared" si="78"/>
        <v>076</v>
      </c>
      <c r="F1343" t="s">
        <v>1437</v>
      </c>
      <c r="G1343" t="str">
        <f>"0683"</f>
        <v>0683</v>
      </c>
      <c r="H1343" t="str">
        <f>"0000"</f>
        <v>0000</v>
      </c>
      <c r="I1343" t="s">
        <v>83</v>
      </c>
      <c r="J1343">
        <v>0</v>
      </c>
      <c r="K1343">
        <v>1</v>
      </c>
      <c r="L1343">
        <v>3</v>
      </c>
      <c r="M1343">
        <v>322</v>
      </c>
      <c r="N1343">
        <v>290</v>
      </c>
      <c r="O1343">
        <v>3</v>
      </c>
      <c r="P1343">
        <v>289</v>
      </c>
      <c r="Q1343">
        <v>5</v>
      </c>
      <c r="R1343">
        <v>75</v>
      </c>
      <c r="S1343">
        <v>3</v>
      </c>
      <c r="T1343">
        <v>6</v>
      </c>
      <c r="U1343">
        <v>6</v>
      </c>
      <c r="V1343">
        <v>5</v>
      </c>
      <c r="W1343">
        <v>51</v>
      </c>
      <c r="X1343">
        <v>114</v>
      </c>
      <c r="Y1343">
        <v>5</v>
      </c>
      <c r="Z1343">
        <v>3</v>
      </c>
      <c r="AA1343">
        <v>2</v>
      </c>
      <c r="AB1343">
        <v>8</v>
      </c>
      <c r="AF1343">
        <v>0</v>
      </c>
      <c r="AG1343">
        <v>0</v>
      </c>
      <c r="AH1343">
        <v>0</v>
      </c>
      <c r="AI1343">
        <v>0</v>
      </c>
      <c r="AW1343">
        <v>0</v>
      </c>
      <c r="AX1343">
        <v>6</v>
      </c>
      <c r="AY1343">
        <v>289</v>
      </c>
      <c r="AZ1343">
        <v>289</v>
      </c>
      <c r="BA1343">
        <v>568</v>
      </c>
      <c r="BB1343">
        <v>44</v>
      </c>
      <c r="BD1343">
        <v>1</v>
      </c>
      <c r="BF1343" t="s">
        <v>1473</v>
      </c>
      <c r="BG1343" s="1">
        <v>44354.100694444445</v>
      </c>
      <c r="BH1343" s="1">
        <v>44354.101979166669</v>
      </c>
      <c r="BI1343" s="1">
        <v>44354.102800925924</v>
      </c>
      <c r="BJ1343" t="s">
        <v>85</v>
      </c>
      <c r="BK1343" t="s">
        <v>86</v>
      </c>
      <c r="BL1343" t="s">
        <v>87</v>
      </c>
    </row>
    <row r="1344" spans="1:64" x14ac:dyDescent="0.3">
      <c r="A1344" t="str">
        <f>"200683C0100"</f>
        <v>200683C0100</v>
      </c>
      <c r="B1344" t="str">
        <f>"200683C01003"</f>
        <v>200683C01003</v>
      </c>
      <c r="C1344" t="str">
        <f t="shared" si="76"/>
        <v>20</v>
      </c>
      <c r="D1344" t="s">
        <v>81</v>
      </c>
      <c r="E1344" t="str">
        <f t="shared" si="78"/>
        <v>076</v>
      </c>
      <c r="F1344" t="s">
        <v>1437</v>
      </c>
      <c r="G1344" t="str">
        <f>"0683"</f>
        <v>0683</v>
      </c>
      <c r="H1344" t="str">
        <f>"0001"</f>
        <v>0001</v>
      </c>
      <c r="I1344" t="s">
        <v>89</v>
      </c>
      <c r="J1344">
        <v>0</v>
      </c>
      <c r="K1344">
        <v>1</v>
      </c>
      <c r="L1344">
        <v>3</v>
      </c>
      <c r="M1344">
        <v>317</v>
      </c>
      <c r="N1344">
        <v>295</v>
      </c>
      <c r="O1344">
        <v>1</v>
      </c>
      <c r="P1344">
        <v>295</v>
      </c>
      <c r="Q1344">
        <v>2</v>
      </c>
      <c r="R1344">
        <v>56</v>
      </c>
      <c r="S1344">
        <v>4</v>
      </c>
      <c r="T1344">
        <v>10</v>
      </c>
      <c r="U1344">
        <v>11</v>
      </c>
      <c r="V1344">
        <v>11</v>
      </c>
      <c r="W1344">
        <v>43</v>
      </c>
      <c r="X1344">
        <v>122</v>
      </c>
      <c r="Y1344">
        <v>4</v>
      </c>
      <c r="Z1344">
        <v>2</v>
      </c>
      <c r="AA1344">
        <v>1</v>
      </c>
      <c r="AB1344">
        <v>16</v>
      </c>
      <c r="AF1344">
        <v>3</v>
      </c>
      <c r="AG1344">
        <v>0</v>
      </c>
      <c r="AH1344">
        <v>0</v>
      </c>
      <c r="AI1344">
        <v>0</v>
      </c>
      <c r="AW1344">
        <v>0</v>
      </c>
      <c r="AX1344">
        <v>10</v>
      </c>
      <c r="AY1344">
        <v>295</v>
      </c>
      <c r="AZ1344">
        <v>295</v>
      </c>
      <c r="BA1344">
        <v>568</v>
      </c>
      <c r="BB1344">
        <v>44</v>
      </c>
      <c r="BD1344">
        <v>1</v>
      </c>
      <c r="BF1344" t="s">
        <v>1474</v>
      </c>
      <c r="BG1344" s="1">
        <v>44354.097222222219</v>
      </c>
      <c r="BH1344" s="1">
        <v>44354.102152777778</v>
      </c>
      <c r="BI1344" s="1">
        <v>44354.102743055555</v>
      </c>
      <c r="BJ1344" t="s">
        <v>85</v>
      </c>
      <c r="BK1344" t="s">
        <v>86</v>
      </c>
      <c r="BL1344" t="s">
        <v>87</v>
      </c>
    </row>
    <row r="1345" spans="1:64" x14ac:dyDescent="0.3">
      <c r="A1345" t="str">
        <f>"200683C0200"</f>
        <v>200683C0200</v>
      </c>
      <c r="B1345" t="str">
        <f>"200683C02003"</f>
        <v>200683C02003</v>
      </c>
      <c r="C1345" t="str">
        <f t="shared" si="76"/>
        <v>20</v>
      </c>
      <c r="D1345" t="s">
        <v>81</v>
      </c>
      <c r="E1345" t="str">
        <f t="shared" si="78"/>
        <v>076</v>
      </c>
      <c r="F1345" t="s">
        <v>1437</v>
      </c>
      <c r="G1345" t="str">
        <f>"0683"</f>
        <v>0683</v>
      </c>
      <c r="H1345" t="str">
        <f>"0002"</f>
        <v>0002</v>
      </c>
      <c r="I1345" t="s">
        <v>89</v>
      </c>
      <c r="J1345">
        <v>0</v>
      </c>
      <c r="K1345">
        <v>1</v>
      </c>
      <c r="L1345">
        <v>3</v>
      </c>
      <c r="M1345">
        <v>274</v>
      </c>
      <c r="N1345">
        <v>336</v>
      </c>
      <c r="O1345">
        <v>4</v>
      </c>
      <c r="P1345">
        <v>337</v>
      </c>
      <c r="Q1345">
        <v>4</v>
      </c>
      <c r="R1345">
        <v>67</v>
      </c>
      <c r="S1345">
        <v>2</v>
      </c>
      <c r="T1345">
        <v>9</v>
      </c>
      <c r="U1345">
        <v>8</v>
      </c>
      <c r="V1345">
        <v>16</v>
      </c>
      <c r="W1345">
        <v>65</v>
      </c>
      <c r="X1345">
        <v>131</v>
      </c>
      <c r="Y1345">
        <v>5</v>
      </c>
      <c r="Z1345">
        <v>2</v>
      </c>
      <c r="AA1345">
        <v>1</v>
      </c>
      <c r="AB1345">
        <v>16</v>
      </c>
      <c r="AF1345">
        <v>4</v>
      </c>
      <c r="AG1345">
        <v>0</v>
      </c>
      <c r="AH1345">
        <v>0</v>
      </c>
      <c r="AI1345">
        <v>0</v>
      </c>
      <c r="AW1345">
        <v>0</v>
      </c>
      <c r="AX1345">
        <v>7</v>
      </c>
      <c r="AY1345">
        <v>337</v>
      </c>
      <c r="AZ1345">
        <v>337</v>
      </c>
      <c r="BA1345">
        <v>568</v>
      </c>
      <c r="BB1345">
        <v>44</v>
      </c>
      <c r="BD1345">
        <v>1</v>
      </c>
      <c r="BF1345" t="s">
        <v>1475</v>
      </c>
      <c r="BG1345" s="1">
        <v>44354.091666666667</v>
      </c>
      <c r="BH1345" s="1">
        <v>44354.09642361111</v>
      </c>
      <c r="BI1345" s="1">
        <v>44354.097002314818</v>
      </c>
      <c r="BJ1345" t="s">
        <v>85</v>
      </c>
      <c r="BK1345" t="s">
        <v>86</v>
      </c>
      <c r="BL1345" t="s">
        <v>87</v>
      </c>
    </row>
    <row r="1346" spans="1:64" x14ac:dyDescent="0.3">
      <c r="A1346" t="str">
        <f>"200683C0300"</f>
        <v>200683C0300</v>
      </c>
      <c r="B1346" t="str">
        <f>"200683C03003"</f>
        <v>200683C03003</v>
      </c>
      <c r="C1346" t="str">
        <f t="shared" si="76"/>
        <v>20</v>
      </c>
      <c r="D1346" t="s">
        <v>81</v>
      </c>
      <c r="E1346" t="str">
        <f t="shared" si="78"/>
        <v>076</v>
      </c>
      <c r="F1346" t="s">
        <v>1437</v>
      </c>
      <c r="G1346" t="str">
        <f>"0683"</f>
        <v>0683</v>
      </c>
      <c r="H1346" t="str">
        <f>"0003"</f>
        <v>0003</v>
      </c>
      <c r="I1346" t="s">
        <v>89</v>
      </c>
      <c r="J1346">
        <v>0</v>
      </c>
      <c r="K1346">
        <v>1</v>
      </c>
      <c r="L1346">
        <v>3</v>
      </c>
      <c r="M1346">
        <v>297</v>
      </c>
      <c r="N1346">
        <v>304</v>
      </c>
      <c r="O1346">
        <v>4</v>
      </c>
      <c r="P1346">
        <v>303</v>
      </c>
      <c r="Q1346">
        <v>3</v>
      </c>
      <c r="R1346">
        <v>86</v>
      </c>
      <c r="S1346">
        <v>1</v>
      </c>
      <c r="T1346">
        <v>12</v>
      </c>
      <c r="U1346">
        <v>5</v>
      </c>
      <c r="V1346">
        <v>6</v>
      </c>
      <c r="W1346">
        <v>48</v>
      </c>
      <c r="X1346">
        <v>108</v>
      </c>
      <c r="Y1346">
        <v>3</v>
      </c>
      <c r="Z1346">
        <v>1</v>
      </c>
      <c r="AA1346">
        <v>3</v>
      </c>
      <c r="AB1346">
        <v>17</v>
      </c>
      <c r="AF1346" t="s">
        <v>95</v>
      </c>
      <c r="AG1346" t="s">
        <v>95</v>
      </c>
      <c r="AH1346" t="s">
        <v>95</v>
      </c>
      <c r="AI1346" t="s">
        <v>95</v>
      </c>
      <c r="AW1346" t="s">
        <v>95</v>
      </c>
      <c r="AX1346" t="s">
        <v>95</v>
      </c>
      <c r="AY1346">
        <v>10</v>
      </c>
      <c r="AZ1346">
        <v>293</v>
      </c>
      <c r="BA1346">
        <v>567</v>
      </c>
      <c r="BB1346">
        <v>44</v>
      </c>
      <c r="BC1346" t="s">
        <v>96</v>
      </c>
      <c r="BD1346">
        <v>1</v>
      </c>
      <c r="BF1346" t="s">
        <v>1476</v>
      </c>
      <c r="BG1346" s="1">
        <v>44354.020833333336</v>
      </c>
      <c r="BH1346" s="1">
        <v>44354.029062499998</v>
      </c>
      <c r="BI1346" s="1">
        <v>44354.029502314814</v>
      </c>
      <c r="BJ1346" t="s">
        <v>85</v>
      </c>
      <c r="BK1346" t="s">
        <v>86</v>
      </c>
      <c r="BL1346" t="s">
        <v>87</v>
      </c>
    </row>
    <row r="1347" spans="1:64" x14ac:dyDescent="0.3">
      <c r="A1347" t="str">
        <f>"200684B0000"</f>
        <v>200684B0000</v>
      </c>
      <c r="B1347" t="str">
        <f>"200684B00003"</f>
        <v>200684B00003</v>
      </c>
      <c r="C1347" t="str">
        <f t="shared" si="76"/>
        <v>20</v>
      </c>
      <c r="D1347" t="s">
        <v>81</v>
      </c>
      <c r="E1347" t="str">
        <f t="shared" si="78"/>
        <v>076</v>
      </c>
      <c r="F1347" t="s">
        <v>1437</v>
      </c>
      <c r="G1347" t="str">
        <f>"0684"</f>
        <v>0684</v>
      </c>
      <c r="H1347" t="str">
        <f>"0000"</f>
        <v>0000</v>
      </c>
      <c r="I1347" t="s">
        <v>83</v>
      </c>
      <c r="J1347">
        <v>0</v>
      </c>
      <c r="K1347">
        <v>1</v>
      </c>
      <c r="L1347">
        <v>3</v>
      </c>
      <c r="M1347">
        <v>320</v>
      </c>
      <c r="N1347">
        <v>370</v>
      </c>
      <c r="O1347">
        <v>1</v>
      </c>
      <c r="P1347">
        <v>362</v>
      </c>
      <c r="Q1347">
        <v>5</v>
      </c>
      <c r="R1347">
        <v>86</v>
      </c>
      <c r="S1347">
        <v>1</v>
      </c>
      <c r="T1347">
        <v>28</v>
      </c>
      <c r="U1347">
        <v>8</v>
      </c>
      <c r="V1347">
        <v>13</v>
      </c>
      <c r="W1347">
        <v>73</v>
      </c>
      <c r="X1347">
        <v>118</v>
      </c>
      <c r="Y1347">
        <v>7</v>
      </c>
      <c r="Z1347">
        <v>0</v>
      </c>
      <c r="AA1347">
        <v>2</v>
      </c>
      <c r="AB1347">
        <v>7</v>
      </c>
      <c r="AF1347">
        <v>3</v>
      </c>
      <c r="AG1347">
        <v>0</v>
      </c>
      <c r="AH1347">
        <v>0</v>
      </c>
      <c r="AI1347">
        <v>0</v>
      </c>
      <c r="AW1347">
        <v>0</v>
      </c>
      <c r="AX1347">
        <v>10</v>
      </c>
      <c r="AY1347">
        <v>362</v>
      </c>
      <c r="AZ1347">
        <v>361</v>
      </c>
      <c r="BA1347">
        <v>646</v>
      </c>
      <c r="BB1347">
        <v>44</v>
      </c>
      <c r="BD1347">
        <v>1</v>
      </c>
      <c r="BF1347" t="s">
        <v>1477</v>
      </c>
      <c r="BG1347" s="1">
        <v>44353.802083333336</v>
      </c>
      <c r="BH1347" s="1">
        <v>44354.462488425925</v>
      </c>
      <c r="BI1347" s="1">
        <v>44354.462916666664</v>
      </c>
      <c r="BJ1347" t="s">
        <v>85</v>
      </c>
      <c r="BK1347" t="s">
        <v>86</v>
      </c>
      <c r="BL1347" t="s">
        <v>87</v>
      </c>
    </row>
    <row r="1348" spans="1:64" x14ac:dyDescent="0.3">
      <c r="A1348" t="str">
        <f>"200684C0100"</f>
        <v>200684C0100</v>
      </c>
      <c r="B1348" t="str">
        <f>"200684C01003"</f>
        <v>200684C01003</v>
      </c>
      <c r="C1348" t="str">
        <f t="shared" si="76"/>
        <v>20</v>
      </c>
      <c r="D1348" t="s">
        <v>81</v>
      </c>
      <c r="E1348" t="str">
        <f t="shared" si="78"/>
        <v>076</v>
      </c>
      <c r="F1348" t="s">
        <v>1437</v>
      </c>
      <c r="G1348" t="str">
        <f>"0684"</f>
        <v>0684</v>
      </c>
      <c r="H1348" t="str">
        <f>"0001"</f>
        <v>0001</v>
      </c>
      <c r="I1348" t="s">
        <v>89</v>
      </c>
      <c r="J1348">
        <v>0</v>
      </c>
      <c r="K1348">
        <v>1</v>
      </c>
      <c r="L1348">
        <v>3</v>
      </c>
      <c r="M1348" t="s">
        <v>92</v>
      </c>
      <c r="N1348" t="s">
        <v>92</v>
      </c>
      <c r="O1348" t="s">
        <v>92</v>
      </c>
      <c r="P1348" t="s">
        <v>92</v>
      </c>
      <c r="Q1348" t="s">
        <v>95</v>
      </c>
      <c r="R1348" t="s">
        <v>95</v>
      </c>
      <c r="S1348" t="s">
        <v>95</v>
      </c>
      <c r="T1348" t="s">
        <v>95</v>
      </c>
      <c r="U1348" t="s">
        <v>95</v>
      </c>
      <c r="V1348" t="s">
        <v>95</v>
      </c>
      <c r="W1348" t="s">
        <v>95</v>
      </c>
      <c r="X1348" t="s">
        <v>95</v>
      </c>
      <c r="Y1348" t="s">
        <v>95</v>
      </c>
      <c r="Z1348" t="s">
        <v>95</v>
      </c>
      <c r="AA1348" t="s">
        <v>95</v>
      </c>
      <c r="AB1348" t="s">
        <v>95</v>
      </c>
      <c r="AF1348" t="s">
        <v>95</v>
      </c>
      <c r="AG1348" t="s">
        <v>95</v>
      </c>
      <c r="AH1348" t="s">
        <v>95</v>
      </c>
      <c r="AI1348" t="s">
        <v>95</v>
      </c>
      <c r="AW1348" t="s">
        <v>95</v>
      </c>
      <c r="AX1348" t="s">
        <v>95</v>
      </c>
      <c r="BA1348">
        <v>646</v>
      </c>
      <c r="BB1348">
        <v>44</v>
      </c>
      <c r="BC1348" t="s">
        <v>712</v>
      </c>
      <c r="BD1348">
        <v>0</v>
      </c>
      <c r="BF1348" t="s">
        <v>1478</v>
      </c>
      <c r="BG1348" s="1">
        <v>44354.193055555559</v>
      </c>
      <c r="BH1348" s="1">
        <v>44354.195648148147</v>
      </c>
      <c r="BI1348" s="1">
        <v>44354.19866898148</v>
      </c>
      <c r="BJ1348" t="s">
        <v>85</v>
      </c>
      <c r="BK1348" t="s">
        <v>86</v>
      </c>
      <c r="BL1348" t="s">
        <v>87</v>
      </c>
    </row>
    <row r="1349" spans="1:64" x14ac:dyDescent="0.3">
      <c r="A1349" t="str">
        <f>"200684C0200"</f>
        <v>200684C0200</v>
      </c>
      <c r="B1349" t="str">
        <f>"200684C02003"</f>
        <v>200684C02003</v>
      </c>
      <c r="C1349" t="str">
        <f t="shared" si="76"/>
        <v>20</v>
      </c>
      <c r="D1349" t="s">
        <v>81</v>
      </c>
      <c r="E1349" t="str">
        <f t="shared" si="78"/>
        <v>076</v>
      </c>
      <c r="F1349" t="s">
        <v>1437</v>
      </c>
      <c r="G1349" t="str">
        <f>"0684"</f>
        <v>0684</v>
      </c>
      <c r="H1349" t="str">
        <f>"0002"</f>
        <v>0002</v>
      </c>
      <c r="I1349" t="s">
        <v>89</v>
      </c>
      <c r="J1349">
        <v>0</v>
      </c>
      <c r="K1349">
        <v>1</v>
      </c>
      <c r="L1349">
        <v>3</v>
      </c>
      <c r="M1349">
        <v>313</v>
      </c>
      <c r="N1349">
        <v>372</v>
      </c>
      <c r="O1349">
        <v>5</v>
      </c>
      <c r="P1349">
        <v>377</v>
      </c>
      <c r="Q1349">
        <v>8</v>
      </c>
      <c r="R1349">
        <v>116</v>
      </c>
      <c r="S1349">
        <v>1</v>
      </c>
      <c r="T1349">
        <v>10</v>
      </c>
      <c r="U1349">
        <v>2</v>
      </c>
      <c r="V1349">
        <v>17</v>
      </c>
      <c r="W1349">
        <v>62</v>
      </c>
      <c r="X1349">
        <v>132</v>
      </c>
      <c r="Y1349">
        <v>4</v>
      </c>
      <c r="Z1349">
        <v>0</v>
      </c>
      <c r="AA1349">
        <v>6</v>
      </c>
      <c r="AB1349">
        <v>10</v>
      </c>
      <c r="AF1349">
        <v>2</v>
      </c>
      <c r="AG1349">
        <v>0</v>
      </c>
      <c r="AH1349">
        <v>1</v>
      </c>
      <c r="AI1349">
        <v>0</v>
      </c>
      <c r="AW1349">
        <v>1</v>
      </c>
      <c r="AX1349">
        <v>6</v>
      </c>
      <c r="AY1349">
        <v>377</v>
      </c>
      <c r="AZ1349">
        <v>378</v>
      </c>
      <c r="BA1349">
        <v>645</v>
      </c>
      <c r="BB1349">
        <v>44</v>
      </c>
      <c r="BD1349">
        <v>1</v>
      </c>
      <c r="BF1349" t="s">
        <v>1479</v>
      </c>
      <c r="BG1349" s="1">
        <v>44354.195833333331</v>
      </c>
      <c r="BH1349" s="1">
        <v>44354.19809027778</v>
      </c>
      <c r="BI1349" s="1">
        <v>44354.198854166665</v>
      </c>
      <c r="BJ1349" t="s">
        <v>85</v>
      </c>
      <c r="BK1349" t="s">
        <v>86</v>
      </c>
      <c r="BL1349" t="s">
        <v>87</v>
      </c>
    </row>
    <row r="1350" spans="1:64" x14ac:dyDescent="0.3">
      <c r="A1350" t="str">
        <f>"200685B0000"</f>
        <v>200685B0000</v>
      </c>
      <c r="B1350" t="str">
        <f>"200685B00003"</f>
        <v>200685B00003</v>
      </c>
      <c r="C1350" t="str">
        <f t="shared" si="76"/>
        <v>20</v>
      </c>
      <c r="D1350" t="s">
        <v>81</v>
      </c>
      <c r="E1350" t="str">
        <f t="shared" si="78"/>
        <v>076</v>
      </c>
      <c r="F1350" t="s">
        <v>1437</v>
      </c>
      <c r="G1350" t="str">
        <f>"0685"</f>
        <v>0685</v>
      </c>
      <c r="H1350" t="str">
        <f>"0000"</f>
        <v>0000</v>
      </c>
      <c r="I1350" t="s">
        <v>83</v>
      </c>
      <c r="J1350">
        <v>0</v>
      </c>
      <c r="K1350">
        <v>1</v>
      </c>
      <c r="L1350">
        <v>3</v>
      </c>
      <c r="M1350" t="s">
        <v>92</v>
      </c>
      <c r="N1350" t="s">
        <v>92</v>
      </c>
      <c r="O1350" t="s">
        <v>92</v>
      </c>
      <c r="P1350" t="s">
        <v>92</v>
      </c>
      <c r="Q1350" t="s">
        <v>95</v>
      </c>
      <c r="R1350" t="s">
        <v>95</v>
      </c>
      <c r="S1350" t="s">
        <v>95</v>
      </c>
      <c r="T1350" t="s">
        <v>95</v>
      </c>
      <c r="U1350" t="s">
        <v>95</v>
      </c>
      <c r="V1350" t="s">
        <v>95</v>
      </c>
      <c r="W1350" t="s">
        <v>95</v>
      </c>
      <c r="X1350" t="s">
        <v>95</v>
      </c>
      <c r="Y1350" t="s">
        <v>95</v>
      </c>
      <c r="Z1350" t="s">
        <v>95</v>
      </c>
      <c r="AA1350" t="s">
        <v>95</v>
      </c>
      <c r="AB1350" t="s">
        <v>95</v>
      </c>
      <c r="AF1350" t="s">
        <v>95</v>
      </c>
      <c r="AG1350" t="s">
        <v>95</v>
      </c>
      <c r="AH1350" t="s">
        <v>95</v>
      </c>
      <c r="AI1350" t="s">
        <v>95</v>
      </c>
      <c r="AW1350" t="s">
        <v>95</v>
      </c>
      <c r="AX1350" t="s">
        <v>95</v>
      </c>
      <c r="BA1350">
        <v>521</v>
      </c>
      <c r="BB1350">
        <v>44</v>
      </c>
      <c r="BC1350" t="s">
        <v>712</v>
      </c>
      <c r="BD1350">
        <v>0</v>
      </c>
      <c r="BF1350" t="s">
        <v>1480</v>
      </c>
      <c r="BG1350" s="1">
        <v>44354.111805555556</v>
      </c>
      <c r="BH1350" s="1">
        <v>44354.116238425922</v>
      </c>
      <c r="BI1350" s="1">
        <v>44354.123032407406</v>
      </c>
      <c r="BJ1350" t="s">
        <v>85</v>
      </c>
      <c r="BK1350" t="s">
        <v>86</v>
      </c>
      <c r="BL1350" t="s">
        <v>87</v>
      </c>
    </row>
    <row r="1351" spans="1:64" x14ac:dyDescent="0.3">
      <c r="A1351" t="str">
        <f>"200685C0100"</f>
        <v>200685C0100</v>
      </c>
      <c r="B1351" t="str">
        <f>"200685C01003"</f>
        <v>200685C01003</v>
      </c>
      <c r="C1351" t="str">
        <f t="shared" ref="C1351:C1414" si="79">"20"</f>
        <v>20</v>
      </c>
      <c r="D1351" t="s">
        <v>81</v>
      </c>
      <c r="E1351" t="str">
        <f t="shared" si="78"/>
        <v>076</v>
      </c>
      <c r="F1351" t="s">
        <v>1437</v>
      </c>
      <c r="G1351" t="str">
        <f>"0685"</f>
        <v>0685</v>
      </c>
      <c r="H1351" t="str">
        <f>"0001"</f>
        <v>0001</v>
      </c>
      <c r="I1351" t="s">
        <v>89</v>
      </c>
      <c r="J1351">
        <v>0</v>
      </c>
      <c r="K1351">
        <v>1</v>
      </c>
      <c r="L1351">
        <v>3</v>
      </c>
      <c r="M1351">
        <v>255</v>
      </c>
      <c r="N1351">
        <v>309</v>
      </c>
      <c r="O1351">
        <v>9</v>
      </c>
      <c r="P1351">
        <v>311</v>
      </c>
      <c r="Q1351">
        <v>6</v>
      </c>
      <c r="R1351">
        <v>91</v>
      </c>
      <c r="S1351">
        <v>1</v>
      </c>
      <c r="T1351">
        <v>4</v>
      </c>
      <c r="U1351">
        <v>13</v>
      </c>
      <c r="V1351">
        <v>12</v>
      </c>
      <c r="W1351">
        <v>41</v>
      </c>
      <c r="X1351">
        <v>106</v>
      </c>
      <c r="Y1351">
        <v>3</v>
      </c>
      <c r="Z1351">
        <v>3</v>
      </c>
      <c r="AA1351">
        <v>3</v>
      </c>
      <c r="AB1351">
        <v>13</v>
      </c>
      <c r="AF1351">
        <v>5</v>
      </c>
      <c r="AG1351">
        <v>0</v>
      </c>
      <c r="AH1351">
        <v>0</v>
      </c>
      <c r="AI1351">
        <v>0</v>
      </c>
      <c r="AW1351">
        <v>0</v>
      </c>
      <c r="AX1351">
        <v>10</v>
      </c>
      <c r="AY1351">
        <v>311</v>
      </c>
      <c r="AZ1351">
        <v>311</v>
      </c>
      <c r="BA1351">
        <v>520</v>
      </c>
      <c r="BB1351">
        <v>44</v>
      </c>
      <c r="BD1351">
        <v>1</v>
      </c>
      <c r="BF1351" t="s">
        <v>1481</v>
      </c>
      <c r="BG1351" s="1">
        <v>44353.996527777781</v>
      </c>
      <c r="BH1351" s="1">
        <v>44354.002083333333</v>
      </c>
      <c r="BI1351" s="1">
        <v>44354.003113425926</v>
      </c>
      <c r="BJ1351" t="s">
        <v>85</v>
      </c>
      <c r="BK1351" t="s">
        <v>86</v>
      </c>
      <c r="BL1351" t="s">
        <v>87</v>
      </c>
    </row>
    <row r="1352" spans="1:64" x14ac:dyDescent="0.3">
      <c r="A1352" t="str">
        <f>"200685C0200"</f>
        <v>200685C0200</v>
      </c>
      <c r="B1352" t="str">
        <f>"200685C02003"</f>
        <v>200685C02003</v>
      </c>
      <c r="C1352" t="str">
        <f t="shared" si="79"/>
        <v>20</v>
      </c>
      <c r="D1352" t="s">
        <v>81</v>
      </c>
      <c r="E1352" t="str">
        <f t="shared" si="78"/>
        <v>076</v>
      </c>
      <c r="F1352" t="s">
        <v>1437</v>
      </c>
      <c r="G1352" t="str">
        <f>"0685"</f>
        <v>0685</v>
      </c>
      <c r="H1352" t="str">
        <f>"0002"</f>
        <v>0002</v>
      </c>
      <c r="I1352" t="s">
        <v>89</v>
      </c>
      <c r="J1352">
        <v>0</v>
      </c>
      <c r="K1352">
        <v>1</v>
      </c>
      <c r="L1352">
        <v>3</v>
      </c>
      <c r="M1352" t="s">
        <v>131</v>
      </c>
      <c r="N1352" t="s">
        <v>131</v>
      </c>
      <c r="O1352" t="s">
        <v>131</v>
      </c>
      <c r="P1352" t="s">
        <v>131</v>
      </c>
      <c r="Q1352" t="s">
        <v>131</v>
      </c>
      <c r="R1352" t="s">
        <v>131</v>
      </c>
      <c r="S1352" t="s">
        <v>131</v>
      </c>
      <c r="T1352" t="s">
        <v>131</v>
      </c>
      <c r="U1352" t="s">
        <v>131</v>
      </c>
      <c r="V1352" t="s">
        <v>131</v>
      </c>
      <c r="W1352" t="s">
        <v>131</v>
      </c>
      <c r="X1352" t="s">
        <v>131</v>
      </c>
      <c r="Y1352" t="s">
        <v>131</v>
      </c>
      <c r="Z1352" t="s">
        <v>131</v>
      </c>
      <c r="AA1352" t="s">
        <v>131</v>
      </c>
      <c r="AB1352" t="s">
        <v>131</v>
      </c>
      <c r="AF1352" t="s">
        <v>131</v>
      </c>
      <c r="AG1352" t="s">
        <v>131</v>
      </c>
      <c r="AH1352" t="s">
        <v>131</v>
      </c>
      <c r="AI1352" t="s">
        <v>131</v>
      </c>
      <c r="AW1352" t="s">
        <v>131</v>
      </c>
      <c r="AX1352" t="s">
        <v>131</v>
      </c>
      <c r="BA1352">
        <v>520</v>
      </c>
      <c r="BB1352">
        <v>44</v>
      </c>
      <c r="BC1352" t="s">
        <v>712</v>
      </c>
      <c r="BD1352">
        <v>0</v>
      </c>
      <c r="BF1352" t="s">
        <v>1482</v>
      </c>
      <c r="BG1352" s="1">
        <v>44354.261111111111</v>
      </c>
      <c r="BH1352" s="1">
        <v>44354.268599537034</v>
      </c>
      <c r="BI1352" s="1">
        <v>44354.287881944445</v>
      </c>
      <c r="BJ1352" t="s">
        <v>85</v>
      </c>
      <c r="BK1352" t="s">
        <v>86</v>
      </c>
      <c r="BL1352" t="s">
        <v>87</v>
      </c>
    </row>
    <row r="1353" spans="1:64" x14ac:dyDescent="0.3">
      <c r="A1353" t="str">
        <f>"200686B0000"</f>
        <v>200686B0000</v>
      </c>
      <c r="B1353" t="str">
        <f>"200686B00003"</f>
        <v>200686B00003</v>
      </c>
      <c r="C1353" t="str">
        <f t="shared" si="79"/>
        <v>20</v>
      </c>
      <c r="D1353" t="s">
        <v>81</v>
      </c>
      <c r="E1353" t="str">
        <f t="shared" si="78"/>
        <v>076</v>
      </c>
      <c r="F1353" t="s">
        <v>1437</v>
      </c>
      <c r="G1353" t="str">
        <f>"0686"</f>
        <v>0686</v>
      </c>
      <c r="H1353" t="str">
        <f>"0000"</f>
        <v>0000</v>
      </c>
      <c r="I1353" t="s">
        <v>83</v>
      </c>
      <c r="J1353">
        <v>0</v>
      </c>
      <c r="K1353">
        <v>1</v>
      </c>
      <c r="L1353">
        <v>3</v>
      </c>
      <c r="BA1353">
        <v>735</v>
      </c>
      <c r="BB1353">
        <v>44</v>
      </c>
      <c r="BC1353" t="s">
        <v>161</v>
      </c>
      <c r="BD1353">
        <v>0</v>
      </c>
      <c r="BF1353" t="s">
        <v>1483</v>
      </c>
      <c r="BG1353" s="1">
        <v>44354.541666666664</v>
      </c>
      <c r="BH1353" s="1">
        <v>44354.542557870373</v>
      </c>
      <c r="BI1353" s="1">
        <v>44354.542557870373</v>
      </c>
      <c r="BJ1353" t="s">
        <v>85</v>
      </c>
      <c r="BK1353" t="s">
        <v>86</v>
      </c>
      <c r="BL1353" t="s">
        <v>87</v>
      </c>
    </row>
    <row r="1354" spans="1:64" x14ac:dyDescent="0.3">
      <c r="A1354" t="str">
        <f>"200686C0100"</f>
        <v>200686C0100</v>
      </c>
      <c r="B1354" t="str">
        <f>"200686C01003"</f>
        <v>200686C01003</v>
      </c>
      <c r="C1354" t="str">
        <f t="shared" si="79"/>
        <v>20</v>
      </c>
      <c r="D1354" t="s">
        <v>81</v>
      </c>
      <c r="E1354" t="str">
        <f t="shared" si="78"/>
        <v>076</v>
      </c>
      <c r="F1354" t="s">
        <v>1437</v>
      </c>
      <c r="G1354" t="str">
        <f>"0686"</f>
        <v>0686</v>
      </c>
      <c r="H1354" t="str">
        <f>"0001"</f>
        <v>0001</v>
      </c>
      <c r="I1354" t="s">
        <v>89</v>
      </c>
      <c r="J1354">
        <v>0</v>
      </c>
      <c r="K1354">
        <v>1</v>
      </c>
      <c r="L1354">
        <v>3</v>
      </c>
      <c r="BA1354">
        <v>735</v>
      </c>
      <c r="BB1354">
        <v>44</v>
      </c>
      <c r="BC1354" t="s">
        <v>161</v>
      </c>
      <c r="BD1354">
        <v>0</v>
      </c>
      <c r="BF1354" t="s">
        <v>1484</v>
      </c>
      <c r="BG1354" s="1">
        <v>44354.540972222225</v>
      </c>
      <c r="BH1354" s="1">
        <v>44354.542175925926</v>
      </c>
      <c r="BI1354" s="1">
        <v>44354.542175925926</v>
      </c>
      <c r="BJ1354" t="s">
        <v>85</v>
      </c>
      <c r="BK1354" t="s">
        <v>86</v>
      </c>
      <c r="BL1354" t="s">
        <v>87</v>
      </c>
    </row>
    <row r="1355" spans="1:64" x14ac:dyDescent="0.3">
      <c r="A1355" t="str">
        <f>"200686C0200"</f>
        <v>200686C0200</v>
      </c>
      <c r="B1355" t="str">
        <f>"200686C02003"</f>
        <v>200686C02003</v>
      </c>
      <c r="C1355" t="str">
        <f t="shared" si="79"/>
        <v>20</v>
      </c>
      <c r="D1355" t="s">
        <v>81</v>
      </c>
      <c r="E1355" t="str">
        <f t="shared" si="78"/>
        <v>076</v>
      </c>
      <c r="F1355" t="s">
        <v>1437</v>
      </c>
      <c r="G1355" t="str">
        <f>"0686"</f>
        <v>0686</v>
      </c>
      <c r="H1355" t="str">
        <f>"0002"</f>
        <v>0002</v>
      </c>
      <c r="I1355" t="s">
        <v>89</v>
      </c>
      <c r="J1355">
        <v>0</v>
      </c>
      <c r="K1355">
        <v>1</v>
      </c>
      <c r="L1355">
        <v>3</v>
      </c>
      <c r="BA1355">
        <v>735</v>
      </c>
      <c r="BB1355">
        <v>44</v>
      </c>
      <c r="BC1355" t="s">
        <v>161</v>
      </c>
      <c r="BD1355">
        <v>0</v>
      </c>
      <c r="BF1355" t="s">
        <v>1485</v>
      </c>
      <c r="BG1355" s="1">
        <v>44354.540277777778</v>
      </c>
      <c r="BH1355" s="1">
        <v>44354.541354166664</v>
      </c>
      <c r="BI1355" s="1">
        <v>44354.541354166664</v>
      </c>
      <c r="BJ1355" t="s">
        <v>85</v>
      </c>
      <c r="BK1355" t="s">
        <v>86</v>
      </c>
      <c r="BL1355" t="s">
        <v>87</v>
      </c>
    </row>
    <row r="1356" spans="1:64" x14ac:dyDescent="0.3">
      <c r="A1356" t="str">
        <f>"200686C0300"</f>
        <v>200686C0300</v>
      </c>
      <c r="B1356" t="str">
        <f>"200686C03003"</f>
        <v>200686C03003</v>
      </c>
      <c r="C1356" t="str">
        <f t="shared" si="79"/>
        <v>20</v>
      </c>
      <c r="D1356" t="s">
        <v>81</v>
      </c>
      <c r="E1356" t="str">
        <f t="shared" si="78"/>
        <v>076</v>
      </c>
      <c r="F1356" t="s">
        <v>1437</v>
      </c>
      <c r="G1356" t="str">
        <f>"0686"</f>
        <v>0686</v>
      </c>
      <c r="H1356" t="str">
        <f>"0003"</f>
        <v>0003</v>
      </c>
      <c r="I1356" t="s">
        <v>89</v>
      </c>
      <c r="J1356">
        <v>0</v>
      </c>
      <c r="K1356">
        <v>1</v>
      </c>
      <c r="L1356">
        <v>3</v>
      </c>
      <c r="BA1356">
        <v>734</v>
      </c>
      <c r="BB1356">
        <v>44</v>
      </c>
      <c r="BC1356" t="s">
        <v>161</v>
      </c>
      <c r="BD1356">
        <v>0</v>
      </c>
      <c r="BF1356" t="s">
        <v>1486</v>
      </c>
      <c r="BG1356" s="1">
        <v>44354.539583333331</v>
      </c>
      <c r="BH1356" s="1">
        <v>44354.541134259256</v>
      </c>
      <c r="BI1356" s="1">
        <v>44354.541134259256</v>
      </c>
      <c r="BJ1356" t="s">
        <v>85</v>
      </c>
      <c r="BK1356" t="s">
        <v>86</v>
      </c>
      <c r="BL1356" t="s">
        <v>87</v>
      </c>
    </row>
    <row r="1357" spans="1:64" x14ac:dyDescent="0.3">
      <c r="A1357" t="str">
        <f>"200687B0000"</f>
        <v>200687B0000</v>
      </c>
      <c r="B1357" t="str">
        <f>"200687B00003"</f>
        <v>200687B00003</v>
      </c>
      <c r="C1357" t="str">
        <f t="shared" si="79"/>
        <v>20</v>
      </c>
      <c r="D1357" t="s">
        <v>81</v>
      </c>
      <c r="E1357" t="str">
        <f t="shared" si="78"/>
        <v>076</v>
      </c>
      <c r="F1357" t="s">
        <v>1437</v>
      </c>
      <c r="G1357" t="str">
        <f>"0687"</f>
        <v>0687</v>
      </c>
      <c r="H1357" t="str">
        <f>"0000"</f>
        <v>0000</v>
      </c>
      <c r="I1357" t="s">
        <v>83</v>
      </c>
      <c r="J1357">
        <v>0</v>
      </c>
      <c r="K1357">
        <v>1</v>
      </c>
      <c r="L1357">
        <v>3</v>
      </c>
      <c r="M1357">
        <v>317</v>
      </c>
      <c r="N1357">
        <v>312</v>
      </c>
      <c r="O1357">
        <v>2</v>
      </c>
      <c r="P1357">
        <v>312</v>
      </c>
      <c r="Q1357">
        <v>4</v>
      </c>
      <c r="R1357">
        <v>61</v>
      </c>
      <c r="S1357">
        <v>1</v>
      </c>
      <c r="T1357">
        <v>23</v>
      </c>
      <c r="U1357">
        <v>6</v>
      </c>
      <c r="V1357">
        <v>9</v>
      </c>
      <c r="W1357">
        <v>33</v>
      </c>
      <c r="X1357">
        <v>147</v>
      </c>
      <c r="Y1357">
        <v>4</v>
      </c>
      <c r="Z1357">
        <v>0</v>
      </c>
      <c r="AA1357">
        <v>2</v>
      </c>
      <c r="AB1357">
        <v>10</v>
      </c>
      <c r="AF1357">
        <v>3</v>
      </c>
      <c r="AG1357">
        <v>0</v>
      </c>
      <c r="AH1357">
        <v>0</v>
      </c>
      <c r="AI1357">
        <v>0</v>
      </c>
      <c r="AW1357">
        <v>0</v>
      </c>
      <c r="AX1357">
        <v>9</v>
      </c>
      <c r="AY1357">
        <v>312</v>
      </c>
      <c r="AZ1357">
        <v>312</v>
      </c>
      <c r="BA1357">
        <v>585</v>
      </c>
      <c r="BB1357">
        <v>44</v>
      </c>
      <c r="BD1357">
        <v>1</v>
      </c>
      <c r="BF1357" t="s">
        <v>1487</v>
      </c>
      <c r="BG1357" s="1">
        <v>44354.127083333333</v>
      </c>
      <c r="BH1357" s="1">
        <v>44354.128888888888</v>
      </c>
      <c r="BI1357" s="1">
        <v>44354.129606481481</v>
      </c>
      <c r="BJ1357" t="s">
        <v>85</v>
      </c>
      <c r="BK1357" t="s">
        <v>86</v>
      </c>
      <c r="BL1357" t="s">
        <v>87</v>
      </c>
    </row>
    <row r="1358" spans="1:64" x14ac:dyDescent="0.3">
      <c r="A1358" t="str">
        <f>"200687C0100"</f>
        <v>200687C0100</v>
      </c>
      <c r="B1358" t="str">
        <f>"200687C01003"</f>
        <v>200687C01003</v>
      </c>
      <c r="C1358" t="str">
        <f t="shared" si="79"/>
        <v>20</v>
      </c>
      <c r="D1358" t="s">
        <v>81</v>
      </c>
      <c r="E1358" t="str">
        <f t="shared" si="78"/>
        <v>076</v>
      </c>
      <c r="F1358" t="s">
        <v>1437</v>
      </c>
      <c r="G1358" t="str">
        <f>"0687"</f>
        <v>0687</v>
      </c>
      <c r="H1358" t="str">
        <f>"0001"</f>
        <v>0001</v>
      </c>
      <c r="I1358" t="s">
        <v>89</v>
      </c>
      <c r="J1358">
        <v>0</v>
      </c>
      <c r="K1358">
        <v>1</v>
      </c>
      <c r="L1358">
        <v>3</v>
      </c>
      <c r="M1358">
        <v>297</v>
      </c>
      <c r="N1358">
        <v>331</v>
      </c>
      <c r="O1358">
        <v>5</v>
      </c>
      <c r="P1358">
        <v>331</v>
      </c>
      <c r="Q1358">
        <v>3</v>
      </c>
      <c r="R1358">
        <v>71</v>
      </c>
      <c r="S1358">
        <v>4</v>
      </c>
      <c r="T1358" t="s">
        <v>131</v>
      </c>
      <c r="U1358">
        <v>1</v>
      </c>
      <c r="V1358">
        <v>12</v>
      </c>
      <c r="W1358">
        <v>34</v>
      </c>
      <c r="X1358">
        <v>161</v>
      </c>
      <c r="Y1358">
        <v>3</v>
      </c>
      <c r="Z1358">
        <v>2</v>
      </c>
      <c r="AA1358" t="s">
        <v>95</v>
      </c>
      <c r="AB1358">
        <v>10</v>
      </c>
      <c r="AF1358">
        <v>2</v>
      </c>
      <c r="AG1358">
        <v>3</v>
      </c>
      <c r="AH1358" t="s">
        <v>95</v>
      </c>
      <c r="AI1358" t="s">
        <v>95</v>
      </c>
      <c r="AW1358" t="s">
        <v>95</v>
      </c>
      <c r="AX1358">
        <v>6</v>
      </c>
      <c r="AY1358">
        <v>331</v>
      </c>
      <c r="AZ1358">
        <v>312</v>
      </c>
      <c r="BA1358">
        <v>585</v>
      </c>
      <c r="BB1358">
        <v>44</v>
      </c>
      <c r="BC1358" t="s">
        <v>96</v>
      </c>
      <c r="BD1358">
        <v>1</v>
      </c>
      <c r="BF1358" t="s">
        <v>1488</v>
      </c>
      <c r="BG1358" s="1">
        <v>44354.115972222222</v>
      </c>
      <c r="BH1358" s="1">
        <v>44354.124062499999</v>
      </c>
      <c r="BI1358" s="1">
        <v>44354.125543981485</v>
      </c>
      <c r="BJ1358" t="s">
        <v>85</v>
      </c>
      <c r="BK1358" t="s">
        <v>86</v>
      </c>
      <c r="BL1358" t="s">
        <v>87</v>
      </c>
    </row>
    <row r="1359" spans="1:64" x14ac:dyDescent="0.3">
      <c r="A1359" t="str">
        <f>"200687C0200"</f>
        <v>200687C0200</v>
      </c>
      <c r="B1359" t="str">
        <f>"200687C02003"</f>
        <v>200687C02003</v>
      </c>
      <c r="C1359" t="str">
        <f t="shared" si="79"/>
        <v>20</v>
      </c>
      <c r="D1359" t="s">
        <v>81</v>
      </c>
      <c r="E1359" t="str">
        <f t="shared" si="78"/>
        <v>076</v>
      </c>
      <c r="F1359" t="s">
        <v>1437</v>
      </c>
      <c r="G1359" t="str">
        <f>"0687"</f>
        <v>0687</v>
      </c>
      <c r="H1359" t="str">
        <f>"0002"</f>
        <v>0002</v>
      </c>
      <c r="I1359" t="s">
        <v>89</v>
      </c>
      <c r="J1359">
        <v>0</v>
      </c>
      <c r="K1359">
        <v>1</v>
      </c>
      <c r="L1359">
        <v>3</v>
      </c>
      <c r="M1359">
        <v>320</v>
      </c>
      <c r="N1359">
        <v>320</v>
      </c>
      <c r="O1359">
        <v>4</v>
      </c>
      <c r="P1359">
        <v>320</v>
      </c>
      <c r="Q1359">
        <v>2</v>
      </c>
      <c r="R1359">
        <v>65</v>
      </c>
      <c r="S1359">
        <v>2</v>
      </c>
      <c r="T1359">
        <v>35</v>
      </c>
      <c r="U1359">
        <v>1</v>
      </c>
      <c r="V1359">
        <v>7</v>
      </c>
      <c r="W1359">
        <v>41</v>
      </c>
      <c r="X1359">
        <v>145</v>
      </c>
      <c r="Y1359">
        <v>1</v>
      </c>
      <c r="Z1359">
        <v>3</v>
      </c>
      <c r="AA1359">
        <v>0</v>
      </c>
      <c r="AB1359">
        <v>13</v>
      </c>
      <c r="AF1359">
        <v>0</v>
      </c>
      <c r="AG1359">
        <v>0</v>
      </c>
      <c r="AH1359">
        <v>0</v>
      </c>
      <c r="AI1359">
        <v>0</v>
      </c>
      <c r="AW1359">
        <v>0</v>
      </c>
      <c r="AX1359">
        <v>5</v>
      </c>
      <c r="AY1359" t="s">
        <v>95</v>
      </c>
      <c r="AZ1359">
        <v>320</v>
      </c>
      <c r="BA1359">
        <v>585</v>
      </c>
      <c r="BB1359">
        <v>44</v>
      </c>
      <c r="BD1359">
        <v>1</v>
      </c>
      <c r="BF1359" t="s">
        <v>1489</v>
      </c>
      <c r="BG1359" s="1">
        <v>44354.134722222225</v>
      </c>
      <c r="BH1359" s="1">
        <v>44354.137199074074</v>
      </c>
      <c r="BI1359" s="1">
        <v>44354.141423611109</v>
      </c>
      <c r="BJ1359" t="s">
        <v>85</v>
      </c>
      <c r="BK1359" t="s">
        <v>86</v>
      </c>
      <c r="BL1359" t="s">
        <v>87</v>
      </c>
    </row>
    <row r="1360" spans="1:64" x14ac:dyDescent="0.3">
      <c r="A1360" t="str">
        <f>"200688B0000"</f>
        <v>200688B0000</v>
      </c>
      <c r="B1360" t="str">
        <f>"200688B00003"</f>
        <v>200688B00003</v>
      </c>
      <c r="C1360" t="str">
        <f t="shared" si="79"/>
        <v>20</v>
      </c>
      <c r="D1360" t="s">
        <v>81</v>
      </c>
      <c r="E1360" t="str">
        <f t="shared" si="78"/>
        <v>076</v>
      </c>
      <c r="F1360" t="s">
        <v>1437</v>
      </c>
      <c r="G1360" t="str">
        <f>"0688"</f>
        <v>0688</v>
      </c>
      <c r="H1360" t="str">
        <f>"0000"</f>
        <v>0000</v>
      </c>
      <c r="I1360" t="s">
        <v>83</v>
      </c>
      <c r="J1360">
        <v>0</v>
      </c>
      <c r="K1360">
        <v>1</v>
      </c>
      <c r="L1360">
        <v>3</v>
      </c>
      <c r="M1360">
        <v>339</v>
      </c>
      <c r="N1360">
        <v>452</v>
      </c>
      <c r="O1360">
        <v>4</v>
      </c>
      <c r="P1360">
        <v>1</v>
      </c>
      <c r="Q1360">
        <v>8</v>
      </c>
      <c r="R1360">
        <v>141</v>
      </c>
      <c r="S1360">
        <v>2</v>
      </c>
      <c r="T1360">
        <v>13</v>
      </c>
      <c r="U1360">
        <v>14</v>
      </c>
      <c r="V1360">
        <v>12</v>
      </c>
      <c r="W1360">
        <v>55</v>
      </c>
      <c r="X1360">
        <v>158</v>
      </c>
      <c r="Y1360">
        <v>25</v>
      </c>
      <c r="Z1360">
        <v>4</v>
      </c>
      <c r="AA1360">
        <v>1</v>
      </c>
      <c r="AB1360">
        <v>11</v>
      </c>
      <c r="AF1360">
        <v>3</v>
      </c>
      <c r="AG1360">
        <v>1</v>
      </c>
      <c r="AH1360">
        <v>0</v>
      </c>
      <c r="AI1360">
        <v>0</v>
      </c>
      <c r="AW1360">
        <v>0</v>
      </c>
      <c r="AX1360">
        <v>2</v>
      </c>
      <c r="AY1360">
        <v>449</v>
      </c>
      <c r="AZ1360">
        <v>450</v>
      </c>
      <c r="BA1360">
        <v>747</v>
      </c>
      <c r="BB1360">
        <v>44</v>
      </c>
      <c r="BD1360">
        <v>1</v>
      </c>
      <c r="BF1360" t="s">
        <v>1490</v>
      </c>
      <c r="BG1360" s="1">
        <v>44354.120138888888</v>
      </c>
      <c r="BH1360" s="1">
        <v>44354.122627314813</v>
      </c>
      <c r="BI1360" s="1">
        <v>44354.123148148145</v>
      </c>
      <c r="BJ1360" t="s">
        <v>85</v>
      </c>
      <c r="BK1360" t="s">
        <v>86</v>
      </c>
      <c r="BL1360" t="s">
        <v>87</v>
      </c>
    </row>
    <row r="1361" spans="1:64" x14ac:dyDescent="0.3">
      <c r="A1361" t="str">
        <f>"200688C0100"</f>
        <v>200688C0100</v>
      </c>
      <c r="B1361" t="str">
        <f>"200688C01003"</f>
        <v>200688C01003</v>
      </c>
      <c r="C1361" t="str">
        <f t="shared" si="79"/>
        <v>20</v>
      </c>
      <c r="D1361" t="s">
        <v>81</v>
      </c>
      <c r="E1361" t="str">
        <f t="shared" si="78"/>
        <v>076</v>
      </c>
      <c r="F1361" t="s">
        <v>1437</v>
      </c>
      <c r="G1361" t="str">
        <f>"0688"</f>
        <v>0688</v>
      </c>
      <c r="H1361" t="str">
        <f>"0001"</f>
        <v>0001</v>
      </c>
      <c r="I1361" t="s">
        <v>89</v>
      </c>
      <c r="J1361">
        <v>0</v>
      </c>
      <c r="K1361">
        <v>1</v>
      </c>
      <c r="L1361">
        <v>3</v>
      </c>
      <c r="M1361">
        <v>344</v>
      </c>
      <c r="N1361">
        <v>446</v>
      </c>
      <c r="O1361">
        <v>0</v>
      </c>
      <c r="P1361">
        <v>449</v>
      </c>
      <c r="Q1361">
        <v>5</v>
      </c>
      <c r="R1361">
        <v>139</v>
      </c>
      <c r="S1361">
        <v>4</v>
      </c>
      <c r="T1361">
        <v>8</v>
      </c>
      <c r="U1361">
        <v>16</v>
      </c>
      <c r="V1361">
        <v>8</v>
      </c>
      <c r="W1361">
        <v>38</v>
      </c>
      <c r="X1361">
        <v>182</v>
      </c>
      <c r="Y1361">
        <v>23</v>
      </c>
      <c r="Z1361">
        <v>3</v>
      </c>
      <c r="AA1361">
        <v>0</v>
      </c>
      <c r="AB1361">
        <v>11</v>
      </c>
      <c r="AF1361">
        <v>1</v>
      </c>
      <c r="AG1361">
        <v>3</v>
      </c>
      <c r="AH1361">
        <v>0</v>
      </c>
      <c r="AI1361">
        <v>0</v>
      </c>
      <c r="AW1361">
        <v>0</v>
      </c>
      <c r="AX1361">
        <v>8</v>
      </c>
      <c r="AY1361">
        <v>449</v>
      </c>
      <c r="AZ1361">
        <v>449</v>
      </c>
      <c r="BA1361">
        <v>747</v>
      </c>
      <c r="BB1361">
        <v>44</v>
      </c>
      <c r="BD1361">
        <v>1</v>
      </c>
      <c r="BF1361" t="s">
        <v>1491</v>
      </c>
      <c r="BG1361" s="1">
        <v>44354.118750000001</v>
      </c>
      <c r="BH1361" s="1">
        <v>44354.12</v>
      </c>
      <c r="BI1361" s="1">
        <v>44354.120821759258</v>
      </c>
      <c r="BJ1361" t="s">
        <v>85</v>
      </c>
      <c r="BK1361" t="s">
        <v>86</v>
      </c>
      <c r="BL1361" t="s">
        <v>87</v>
      </c>
    </row>
    <row r="1362" spans="1:64" x14ac:dyDescent="0.3">
      <c r="A1362" t="str">
        <f>"200689B0000"</f>
        <v>200689B0000</v>
      </c>
      <c r="B1362" t="str">
        <f>"200689B00003"</f>
        <v>200689B00003</v>
      </c>
      <c r="C1362" t="str">
        <f t="shared" si="79"/>
        <v>20</v>
      </c>
      <c r="D1362" t="s">
        <v>81</v>
      </c>
      <c r="E1362" t="str">
        <f t="shared" si="78"/>
        <v>076</v>
      </c>
      <c r="F1362" t="s">
        <v>1437</v>
      </c>
      <c r="G1362" t="str">
        <f>"0689"</f>
        <v>0689</v>
      </c>
      <c r="H1362" t="str">
        <f>"0000"</f>
        <v>0000</v>
      </c>
      <c r="I1362" t="s">
        <v>83</v>
      </c>
      <c r="J1362">
        <v>0</v>
      </c>
      <c r="K1362">
        <v>1</v>
      </c>
      <c r="L1362">
        <v>3</v>
      </c>
      <c r="M1362">
        <v>273</v>
      </c>
      <c r="N1362">
        <v>444</v>
      </c>
      <c r="O1362">
        <v>5</v>
      </c>
      <c r="P1362">
        <v>439</v>
      </c>
      <c r="Q1362">
        <v>4</v>
      </c>
      <c r="R1362">
        <v>162</v>
      </c>
      <c r="S1362">
        <v>5</v>
      </c>
      <c r="T1362">
        <v>25</v>
      </c>
      <c r="U1362">
        <v>4</v>
      </c>
      <c r="V1362">
        <v>8</v>
      </c>
      <c r="W1362">
        <v>55</v>
      </c>
      <c r="X1362">
        <v>138</v>
      </c>
      <c r="Y1362">
        <v>4</v>
      </c>
      <c r="Z1362">
        <v>2</v>
      </c>
      <c r="AA1362">
        <v>2</v>
      </c>
      <c r="AB1362">
        <v>21</v>
      </c>
      <c r="AF1362">
        <v>5</v>
      </c>
      <c r="AG1362">
        <v>4</v>
      </c>
      <c r="AH1362" t="s">
        <v>95</v>
      </c>
      <c r="AI1362" t="s">
        <v>95</v>
      </c>
      <c r="AW1362" t="s">
        <v>95</v>
      </c>
      <c r="AX1362" t="s">
        <v>95</v>
      </c>
      <c r="AY1362" t="s">
        <v>95</v>
      </c>
      <c r="AZ1362">
        <v>439</v>
      </c>
      <c r="BA1362">
        <v>675</v>
      </c>
      <c r="BB1362">
        <v>44</v>
      </c>
      <c r="BC1362" t="s">
        <v>96</v>
      </c>
      <c r="BD1362">
        <v>1</v>
      </c>
      <c r="BF1362" t="s">
        <v>1492</v>
      </c>
      <c r="BG1362" s="1">
        <v>44353.972916666666</v>
      </c>
      <c r="BH1362" s="1">
        <v>44354.139108796298</v>
      </c>
      <c r="BI1362" s="1">
        <v>44354.140173611115</v>
      </c>
      <c r="BJ1362" t="s">
        <v>85</v>
      </c>
      <c r="BK1362" t="s">
        <v>86</v>
      </c>
      <c r="BL1362" t="s">
        <v>87</v>
      </c>
    </row>
    <row r="1363" spans="1:64" x14ac:dyDescent="0.3">
      <c r="A1363" t="str">
        <f>"200689C0100"</f>
        <v>200689C0100</v>
      </c>
      <c r="B1363" t="str">
        <f>"200689C01003"</f>
        <v>200689C01003</v>
      </c>
      <c r="C1363" t="str">
        <f t="shared" si="79"/>
        <v>20</v>
      </c>
      <c r="D1363" t="s">
        <v>81</v>
      </c>
      <c r="E1363" t="str">
        <f t="shared" si="78"/>
        <v>076</v>
      </c>
      <c r="F1363" t="s">
        <v>1437</v>
      </c>
      <c r="G1363" t="str">
        <f>"0689"</f>
        <v>0689</v>
      </c>
      <c r="H1363" t="str">
        <f>"0001"</f>
        <v>0001</v>
      </c>
      <c r="I1363" t="s">
        <v>89</v>
      </c>
      <c r="J1363">
        <v>0</v>
      </c>
      <c r="K1363">
        <v>1</v>
      </c>
      <c r="L1363">
        <v>3</v>
      </c>
      <c r="M1363">
        <v>305</v>
      </c>
      <c r="N1363">
        <v>416</v>
      </c>
      <c r="O1363">
        <v>8</v>
      </c>
      <c r="P1363">
        <v>414</v>
      </c>
      <c r="Q1363">
        <v>6</v>
      </c>
      <c r="R1363">
        <v>160</v>
      </c>
      <c r="S1363">
        <v>5</v>
      </c>
      <c r="T1363">
        <v>16</v>
      </c>
      <c r="U1363">
        <v>3</v>
      </c>
      <c r="V1363">
        <v>9</v>
      </c>
      <c r="W1363">
        <v>48</v>
      </c>
      <c r="X1363">
        <v>143</v>
      </c>
      <c r="Y1363">
        <v>0</v>
      </c>
      <c r="Z1363">
        <v>3</v>
      </c>
      <c r="AA1363">
        <v>4</v>
      </c>
      <c r="AB1363">
        <v>12</v>
      </c>
      <c r="AF1363">
        <v>3</v>
      </c>
      <c r="AG1363">
        <v>0</v>
      </c>
      <c r="AH1363">
        <v>0</v>
      </c>
      <c r="AI1363">
        <v>0</v>
      </c>
      <c r="AW1363">
        <v>0</v>
      </c>
      <c r="AX1363">
        <v>2</v>
      </c>
      <c r="AY1363">
        <v>414</v>
      </c>
      <c r="AZ1363">
        <v>414</v>
      </c>
      <c r="BA1363">
        <v>675</v>
      </c>
      <c r="BB1363">
        <v>44</v>
      </c>
      <c r="BD1363">
        <v>1</v>
      </c>
      <c r="BF1363" t="s">
        <v>1493</v>
      </c>
      <c r="BG1363" s="1">
        <v>44354.14166666667</v>
      </c>
      <c r="BH1363" s="1">
        <v>44354.143553240741</v>
      </c>
      <c r="BI1363" s="1">
        <v>44354.144409722219</v>
      </c>
      <c r="BJ1363" t="s">
        <v>85</v>
      </c>
      <c r="BK1363" t="s">
        <v>86</v>
      </c>
      <c r="BL1363" t="s">
        <v>87</v>
      </c>
    </row>
    <row r="1364" spans="1:64" x14ac:dyDescent="0.3">
      <c r="A1364" t="str">
        <f>"200690B0000"</f>
        <v>200690B0000</v>
      </c>
      <c r="B1364" t="str">
        <f>"200690B00003"</f>
        <v>200690B00003</v>
      </c>
      <c r="C1364" t="str">
        <f t="shared" si="79"/>
        <v>20</v>
      </c>
      <c r="D1364" t="s">
        <v>81</v>
      </c>
      <c r="E1364" t="str">
        <f t="shared" si="78"/>
        <v>076</v>
      </c>
      <c r="F1364" t="s">
        <v>1437</v>
      </c>
      <c r="G1364" t="str">
        <f>"0690"</f>
        <v>0690</v>
      </c>
      <c r="H1364" t="str">
        <f>"0000"</f>
        <v>0000</v>
      </c>
      <c r="I1364" t="s">
        <v>83</v>
      </c>
      <c r="J1364">
        <v>0</v>
      </c>
      <c r="K1364">
        <v>1</v>
      </c>
      <c r="L1364">
        <v>3</v>
      </c>
      <c r="M1364">
        <v>291</v>
      </c>
      <c r="N1364">
        <v>370</v>
      </c>
      <c r="O1364">
        <v>7</v>
      </c>
      <c r="P1364">
        <v>370</v>
      </c>
      <c r="Q1364">
        <v>10</v>
      </c>
      <c r="R1364">
        <v>115</v>
      </c>
      <c r="S1364">
        <v>5</v>
      </c>
      <c r="T1364">
        <v>7</v>
      </c>
      <c r="U1364">
        <v>7</v>
      </c>
      <c r="V1364">
        <v>19</v>
      </c>
      <c r="W1364">
        <v>24</v>
      </c>
      <c r="X1364">
        <v>129</v>
      </c>
      <c r="Y1364">
        <v>17</v>
      </c>
      <c r="Z1364">
        <v>1</v>
      </c>
      <c r="AA1364">
        <v>1</v>
      </c>
      <c r="AB1364">
        <v>21</v>
      </c>
      <c r="AF1364">
        <v>8</v>
      </c>
      <c r="AG1364">
        <v>1</v>
      </c>
      <c r="AH1364">
        <v>0</v>
      </c>
      <c r="AI1364">
        <v>0</v>
      </c>
      <c r="AW1364">
        <v>0</v>
      </c>
      <c r="AX1364">
        <v>5</v>
      </c>
      <c r="AY1364">
        <v>370</v>
      </c>
      <c r="AZ1364">
        <v>370</v>
      </c>
      <c r="BA1364">
        <v>617</v>
      </c>
      <c r="BB1364">
        <v>44</v>
      </c>
      <c r="BD1364">
        <v>1</v>
      </c>
      <c r="BF1364" t="s">
        <v>1494</v>
      </c>
      <c r="BG1364" s="1">
        <v>44354.20208333333</v>
      </c>
      <c r="BH1364" s="1">
        <v>44354.203668981485</v>
      </c>
      <c r="BI1364" s="1">
        <v>44354.204247685186</v>
      </c>
      <c r="BJ1364" t="s">
        <v>85</v>
      </c>
      <c r="BK1364" t="s">
        <v>86</v>
      </c>
      <c r="BL1364" t="s">
        <v>87</v>
      </c>
    </row>
    <row r="1365" spans="1:64" x14ac:dyDescent="0.3">
      <c r="A1365" t="str">
        <f>"200691B0000"</f>
        <v>200691B0000</v>
      </c>
      <c r="B1365" t="str">
        <f>"200691B00003"</f>
        <v>200691B00003</v>
      </c>
      <c r="C1365" t="str">
        <f t="shared" si="79"/>
        <v>20</v>
      </c>
      <c r="D1365" t="s">
        <v>81</v>
      </c>
      <c r="E1365" t="str">
        <f t="shared" si="78"/>
        <v>076</v>
      </c>
      <c r="F1365" t="s">
        <v>1437</v>
      </c>
      <c r="G1365" t="str">
        <f>"0691"</f>
        <v>0691</v>
      </c>
      <c r="H1365" t="str">
        <f>"0000"</f>
        <v>0000</v>
      </c>
      <c r="I1365" t="s">
        <v>83</v>
      </c>
      <c r="J1365">
        <v>0</v>
      </c>
      <c r="K1365">
        <v>1</v>
      </c>
      <c r="L1365">
        <v>3</v>
      </c>
      <c r="M1365">
        <v>285</v>
      </c>
      <c r="N1365">
        <v>365</v>
      </c>
      <c r="O1365">
        <v>3</v>
      </c>
      <c r="P1365">
        <v>368</v>
      </c>
      <c r="Q1365">
        <v>5</v>
      </c>
      <c r="R1365">
        <v>98</v>
      </c>
      <c r="S1365">
        <v>2</v>
      </c>
      <c r="T1365">
        <v>19</v>
      </c>
      <c r="U1365">
        <v>18</v>
      </c>
      <c r="V1365">
        <v>17</v>
      </c>
      <c r="W1365">
        <v>45</v>
      </c>
      <c r="X1365">
        <v>129</v>
      </c>
      <c r="Y1365">
        <v>5</v>
      </c>
      <c r="Z1365">
        <v>0</v>
      </c>
      <c r="AA1365">
        <v>0</v>
      </c>
      <c r="AB1365">
        <v>18</v>
      </c>
      <c r="AF1365">
        <v>5</v>
      </c>
      <c r="AG1365">
        <v>0</v>
      </c>
      <c r="AH1365">
        <v>0</v>
      </c>
      <c r="AI1365">
        <v>0</v>
      </c>
      <c r="AW1365">
        <v>0</v>
      </c>
      <c r="AX1365">
        <v>6</v>
      </c>
      <c r="AY1365">
        <v>368</v>
      </c>
      <c r="AZ1365">
        <v>367</v>
      </c>
      <c r="BA1365">
        <v>606</v>
      </c>
      <c r="BB1365">
        <v>44</v>
      </c>
      <c r="BD1365">
        <v>1</v>
      </c>
      <c r="BF1365" t="s">
        <v>1495</v>
      </c>
      <c r="BG1365" s="1">
        <v>44354.210416666669</v>
      </c>
      <c r="BH1365" s="1">
        <v>44354.21197916667</v>
      </c>
      <c r="BI1365" s="1">
        <v>44354.212337962963</v>
      </c>
      <c r="BJ1365" t="s">
        <v>85</v>
      </c>
      <c r="BK1365" t="s">
        <v>86</v>
      </c>
      <c r="BL1365" t="s">
        <v>87</v>
      </c>
    </row>
    <row r="1366" spans="1:64" x14ac:dyDescent="0.3">
      <c r="A1366" t="str">
        <f>"200691C0100"</f>
        <v>200691C0100</v>
      </c>
      <c r="B1366" t="str">
        <f>"200691C01003"</f>
        <v>200691C01003</v>
      </c>
      <c r="C1366" t="str">
        <f t="shared" si="79"/>
        <v>20</v>
      </c>
      <c r="D1366" t="s">
        <v>81</v>
      </c>
      <c r="E1366" t="str">
        <f t="shared" si="78"/>
        <v>076</v>
      </c>
      <c r="F1366" t="s">
        <v>1437</v>
      </c>
      <c r="G1366" t="str">
        <f>"0691"</f>
        <v>0691</v>
      </c>
      <c r="H1366" t="str">
        <f>"0001"</f>
        <v>0001</v>
      </c>
      <c r="I1366" t="s">
        <v>89</v>
      </c>
      <c r="J1366">
        <v>0</v>
      </c>
      <c r="K1366">
        <v>1</v>
      </c>
      <c r="L1366">
        <v>3</v>
      </c>
      <c r="M1366">
        <v>295</v>
      </c>
      <c r="N1366">
        <v>353</v>
      </c>
      <c r="O1366">
        <v>5</v>
      </c>
      <c r="P1366">
        <v>348</v>
      </c>
      <c r="Q1366">
        <v>9</v>
      </c>
      <c r="R1366">
        <v>103</v>
      </c>
      <c r="S1366">
        <v>5</v>
      </c>
      <c r="T1366">
        <v>11</v>
      </c>
      <c r="U1366">
        <v>11</v>
      </c>
      <c r="V1366">
        <v>31</v>
      </c>
      <c r="W1366">
        <v>53</v>
      </c>
      <c r="X1366">
        <v>101</v>
      </c>
      <c r="Y1366">
        <v>1</v>
      </c>
      <c r="Z1366">
        <v>3</v>
      </c>
      <c r="AA1366">
        <v>4</v>
      </c>
      <c r="AB1366">
        <v>11</v>
      </c>
      <c r="AF1366">
        <v>2</v>
      </c>
      <c r="AG1366">
        <v>0</v>
      </c>
      <c r="AH1366">
        <v>0</v>
      </c>
      <c r="AI1366">
        <v>0</v>
      </c>
      <c r="AW1366">
        <v>0</v>
      </c>
      <c r="AX1366">
        <v>6</v>
      </c>
      <c r="AY1366">
        <v>348</v>
      </c>
      <c r="AZ1366">
        <v>351</v>
      </c>
      <c r="BA1366">
        <v>605</v>
      </c>
      <c r="BB1366">
        <v>44</v>
      </c>
      <c r="BD1366">
        <v>1</v>
      </c>
      <c r="BF1366" t="s">
        <v>1496</v>
      </c>
      <c r="BG1366" s="1">
        <v>44354.211805555555</v>
      </c>
      <c r="BH1366" s="1">
        <v>44354.213807870372</v>
      </c>
      <c r="BI1366" s="1">
        <v>44354.214282407411</v>
      </c>
      <c r="BJ1366" t="s">
        <v>85</v>
      </c>
      <c r="BK1366" t="s">
        <v>86</v>
      </c>
      <c r="BL1366" t="s">
        <v>87</v>
      </c>
    </row>
    <row r="1367" spans="1:64" x14ac:dyDescent="0.3">
      <c r="A1367" t="str">
        <f>"200692B0000"</f>
        <v>200692B0000</v>
      </c>
      <c r="B1367" t="str">
        <f>"200692B00003"</f>
        <v>200692B00003</v>
      </c>
      <c r="C1367" t="str">
        <f t="shared" si="79"/>
        <v>20</v>
      </c>
      <c r="D1367" t="s">
        <v>81</v>
      </c>
      <c r="E1367" t="str">
        <f t="shared" si="78"/>
        <v>076</v>
      </c>
      <c r="F1367" t="s">
        <v>1437</v>
      </c>
      <c r="G1367" t="str">
        <f>"0692"</f>
        <v>0692</v>
      </c>
      <c r="H1367" t="str">
        <f>"0000"</f>
        <v>0000</v>
      </c>
      <c r="I1367" t="s">
        <v>83</v>
      </c>
      <c r="J1367">
        <v>0</v>
      </c>
      <c r="K1367">
        <v>1</v>
      </c>
      <c r="L1367">
        <v>3</v>
      </c>
      <c r="M1367">
        <v>295</v>
      </c>
      <c r="N1367">
        <v>349</v>
      </c>
      <c r="O1367">
        <v>5</v>
      </c>
      <c r="P1367">
        <v>350</v>
      </c>
      <c r="Q1367">
        <v>2</v>
      </c>
      <c r="R1367">
        <v>82</v>
      </c>
      <c r="S1367">
        <v>5</v>
      </c>
      <c r="T1367">
        <v>12</v>
      </c>
      <c r="U1367">
        <v>16</v>
      </c>
      <c r="V1367">
        <v>15</v>
      </c>
      <c r="W1367">
        <v>62</v>
      </c>
      <c r="X1367">
        <v>125</v>
      </c>
      <c r="Y1367">
        <v>4</v>
      </c>
      <c r="Z1367">
        <v>1</v>
      </c>
      <c r="AA1367">
        <v>5</v>
      </c>
      <c r="AB1367">
        <v>7</v>
      </c>
      <c r="AF1367">
        <v>0</v>
      </c>
      <c r="AG1367">
        <v>6</v>
      </c>
      <c r="AH1367">
        <v>1</v>
      </c>
      <c r="AI1367">
        <v>0</v>
      </c>
      <c r="AW1367">
        <v>0</v>
      </c>
      <c r="AX1367">
        <v>0</v>
      </c>
      <c r="AY1367">
        <v>7</v>
      </c>
      <c r="AZ1367">
        <v>343</v>
      </c>
      <c r="BA1367">
        <v>599</v>
      </c>
      <c r="BB1367">
        <v>44</v>
      </c>
      <c r="BD1367">
        <v>1</v>
      </c>
      <c r="BF1367" t="s">
        <v>1497</v>
      </c>
      <c r="BG1367" s="1">
        <v>44354.199305555558</v>
      </c>
      <c r="BH1367" s="1">
        <v>44354.200787037036</v>
      </c>
      <c r="BI1367" s="1">
        <v>44354.201215277775</v>
      </c>
      <c r="BJ1367" t="s">
        <v>85</v>
      </c>
      <c r="BK1367" t="s">
        <v>86</v>
      </c>
      <c r="BL1367" t="s">
        <v>87</v>
      </c>
    </row>
    <row r="1368" spans="1:64" x14ac:dyDescent="0.3">
      <c r="A1368" t="str">
        <f>"200692C0100"</f>
        <v>200692C0100</v>
      </c>
      <c r="B1368" t="str">
        <f>"200692C01003"</f>
        <v>200692C01003</v>
      </c>
      <c r="C1368" t="str">
        <f t="shared" si="79"/>
        <v>20</v>
      </c>
      <c r="D1368" t="s">
        <v>81</v>
      </c>
      <c r="E1368" t="str">
        <f t="shared" si="78"/>
        <v>076</v>
      </c>
      <c r="F1368" t="s">
        <v>1437</v>
      </c>
      <c r="G1368" t="str">
        <f>"0692"</f>
        <v>0692</v>
      </c>
      <c r="H1368" t="str">
        <f>"0001"</f>
        <v>0001</v>
      </c>
      <c r="I1368" t="s">
        <v>89</v>
      </c>
      <c r="J1368">
        <v>0</v>
      </c>
      <c r="K1368">
        <v>1</v>
      </c>
      <c r="L1368">
        <v>3</v>
      </c>
      <c r="M1368">
        <v>248</v>
      </c>
      <c r="N1368">
        <v>342</v>
      </c>
      <c r="O1368">
        <v>5</v>
      </c>
      <c r="P1368">
        <v>395</v>
      </c>
      <c r="Q1368">
        <v>6</v>
      </c>
      <c r="R1368">
        <v>94</v>
      </c>
      <c r="S1368">
        <v>2</v>
      </c>
      <c r="T1368">
        <v>12</v>
      </c>
      <c r="U1368">
        <v>17</v>
      </c>
      <c r="V1368">
        <v>17</v>
      </c>
      <c r="W1368">
        <v>62</v>
      </c>
      <c r="X1368">
        <v>146</v>
      </c>
      <c r="Y1368">
        <v>3</v>
      </c>
      <c r="Z1368">
        <v>1</v>
      </c>
      <c r="AA1368">
        <v>5</v>
      </c>
      <c r="AB1368">
        <v>12</v>
      </c>
      <c r="AF1368">
        <v>2</v>
      </c>
      <c r="AG1368">
        <v>1</v>
      </c>
      <c r="AH1368">
        <v>0</v>
      </c>
      <c r="AI1368">
        <v>0</v>
      </c>
      <c r="AW1368">
        <v>0</v>
      </c>
      <c r="AX1368">
        <v>7</v>
      </c>
      <c r="AY1368">
        <v>395</v>
      </c>
      <c r="AZ1368">
        <v>387</v>
      </c>
      <c r="BA1368">
        <v>599</v>
      </c>
      <c r="BB1368">
        <v>44</v>
      </c>
      <c r="BD1368">
        <v>1</v>
      </c>
      <c r="BF1368" t="s">
        <v>1498</v>
      </c>
      <c r="BG1368" s="1">
        <v>44354.193749999999</v>
      </c>
      <c r="BH1368" s="1">
        <v>44354.196597222224</v>
      </c>
      <c r="BI1368" s="1">
        <v>44354.197326388887</v>
      </c>
      <c r="BJ1368" t="s">
        <v>85</v>
      </c>
      <c r="BK1368" t="s">
        <v>86</v>
      </c>
      <c r="BL1368" t="s">
        <v>87</v>
      </c>
    </row>
    <row r="1369" spans="1:64" x14ac:dyDescent="0.3">
      <c r="A1369" t="str">
        <f>"200693B0000"</f>
        <v>200693B0000</v>
      </c>
      <c r="B1369" t="str">
        <f>"200693B00003"</f>
        <v>200693B00003</v>
      </c>
      <c r="C1369" t="str">
        <f t="shared" si="79"/>
        <v>20</v>
      </c>
      <c r="D1369" t="s">
        <v>81</v>
      </c>
      <c r="E1369" t="str">
        <f t="shared" si="78"/>
        <v>076</v>
      </c>
      <c r="F1369" t="s">
        <v>1437</v>
      </c>
      <c r="G1369" t="str">
        <f>"0693"</f>
        <v>0693</v>
      </c>
      <c r="H1369" t="str">
        <f>"0000"</f>
        <v>0000</v>
      </c>
      <c r="I1369" t="s">
        <v>83</v>
      </c>
      <c r="J1369">
        <v>0</v>
      </c>
      <c r="K1369">
        <v>1</v>
      </c>
      <c r="L1369">
        <v>3</v>
      </c>
      <c r="M1369">
        <v>294</v>
      </c>
      <c r="N1369">
        <v>322</v>
      </c>
      <c r="O1369">
        <v>4</v>
      </c>
      <c r="P1369">
        <v>318</v>
      </c>
      <c r="Q1369">
        <v>4</v>
      </c>
      <c r="R1369">
        <v>69</v>
      </c>
      <c r="S1369">
        <v>7</v>
      </c>
      <c r="T1369">
        <v>18</v>
      </c>
      <c r="U1369">
        <v>5</v>
      </c>
      <c r="V1369">
        <v>10</v>
      </c>
      <c r="W1369">
        <v>49</v>
      </c>
      <c r="X1369">
        <v>121</v>
      </c>
      <c r="Y1369">
        <v>2</v>
      </c>
      <c r="Z1369">
        <v>6</v>
      </c>
      <c r="AA1369">
        <v>1</v>
      </c>
      <c r="AB1369">
        <v>12</v>
      </c>
      <c r="AF1369">
        <v>3</v>
      </c>
      <c r="AG1369">
        <v>0</v>
      </c>
      <c r="AH1369">
        <v>0</v>
      </c>
      <c r="AI1369">
        <v>0</v>
      </c>
      <c r="AW1369">
        <v>0</v>
      </c>
      <c r="AX1369">
        <v>11</v>
      </c>
      <c r="AY1369">
        <v>318</v>
      </c>
      <c r="AZ1369">
        <v>318</v>
      </c>
      <c r="BA1369">
        <v>572</v>
      </c>
      <c r="BB1369">
        <v>44</v>
      </c>
      <c r="BD1369">
        <v>1</v>
      </c>
      <c r="BF1369" t="s">
        <v>1499</v>
      </c>
      <c r="BG1369" s="1">
        <v>44354.53402777778</v>
      </c>
      <c r="BH1369" s="1">
        <v>44354.536087962966</v>
      </c>
      <c r="BI1369" s="1">
        <v>44354.536597222221</v>
      </c>
      <c r="BJ1369" t="s">
        <v>85</v>
      </c>
      <c r="BK1369" t="s">
        <v>86</v>
      </c>
      <c r="BL1369" t="s">
        <v>1390</v>
      </c>
    </row>
    <row r="1370" spans="1:64" x14ac:dyDescent="0.3">
      <c r="A1370" t="str">
        <f>"200693C0100"</f>
        <v>200693C0100</v>
      </c>
      <c r="B1370" t="str">
        <f>"200693C01003"</f>
        <v>200693C01003</v>
      </c>
      <c r="C1370" t="str">
        <f t="shared" si="79"/>
        <v>20</v>
      </c>
      <c r="D1370" t="s">
        <v>81</v>
      </c>
      <c r="E1370" t="str">
        <f t="shared" si="78"/>
        <v>076</v>
      </c>
      <c r="F1370" t="s">
        <v>1437</v>
      </c>
      <c r="G1370" t="str">
        <f>"0693"</f>
        <v>0693</v>
      </c>
      <c r="H1370" t="str">
        <f>"0001"</f>
        <v>0001</v>
      </c>
      <c r="I1370" t="s">
        <v>89</v>
      </c>
      <c r="J1370">
        <v>0</v>
      </c>
      <c r="K1370">
        <v>1</v>
      </c>
      <c r="L1370">
        <v>3</v>
      </c>
      <c r="M1370">
        <v>285</v>
      </c>
      <c r="N1370">
        <v>331</v>
      </c>
      <c r="O1370">
        <v>1</v>
      </c>
      <c r="P1370">
        <v>339</v>
      </c>
      <c r="Q1370">
        <v>3</v>
      </c>
      <c r="R1370">
        <v>77</v>
      </c>
      <c r="S1370">
        <v>4</v>
      </c>
      <c r="T1370">
        <v>14</v>
      </c>
      <c r="U1370">
        <v>2</v>
      </c>
      <c r="V1370">
        <v>7</v>
      </c>
      <c r="W1370">
        <v>60</v>
      </c>
      <c r="X1370">
        <v>146</v>
      </c>
      <c r="Y1370">
        <v>0</v>
      </c>
      <c r="Z1370">
        <v>4</v>
      </c>
      <c r="AA1370">
        <v>3</v>
      </c>
      <c r="AB1370">
        <v>8</v>
      </c>
      <c r="AF1370">
        <v>2</v>
      </c>
      <c r="AG1370">
        <v>2</v>
      </c>
      <c r="AH1370">
        <v>0</v>
      </c>
      <c r="AI1370">
        <v>0</v>
      </c>
      <c r="AW1370">
        <v>0</v>
      </c>
      <c r="AX1370">
        <v>7</v>
      </c>
      <c r="AY1370">
        <v>339</v>
      </c>
      <c r="AZ1370">
        <v>339</v>
      </c>
      <c r="BA1370">
        <v>572</v>
      </c>
      <c r="BB1370">
        <v>44</v>
      </c>
      <c r="BD1370">
        <v>1</v>
      </c>
      <c r="BF1370" t="s">
        <v>1500</v>
      </c>
      <c r="BG1370" s="1">
        <v>44354.040972222225</v>
      </c>
      <c r="BH1370" s="1">
        <v>44354.049930555557</v>
      </c>
      <c r="BI1370" s="1">
        <v>44354.051817129628</v>
      </c>
      <c r="BJ1370" t="s">
        <v>85</v>
      </c>
      <c r="BK1370" t="s">
        <v>86</v>
      </c>
      <c r="BL1370" t="s">
        <v>87</v>
      </c>
    </row>
    <row r="1371" spans="1:64" x14ac:dyDescent="0.3">
      <c r="A1371" t="str">
        <f>"200693C0200"</f>
        <v>200693C0200</v>
      </c>
      <c r="B1371" t="str">
        <f>"200693C02003"</f>
        <v>200693C02003</v>
      </c>
      <c r="C1371" t="str">
        <f t="shared" si="79"/>
        <v>20</v>
      </c>
      <c r="D1371" t="s">
        <v>81</v>
      </c>
      <c r="E1371" t="str">
        <f t="shared" si="78"/>
        <v>076</v>
      </c>
      <c r="F1371" t="s">
        <v>1437</v>
      </c>
      <c r="G1371" t="str">
        <f>"0693"</f>
        <v>0693</v>
      </c>
      <c r="H1371" t="str">
        <f>"0002"</f>
        <v>0002</v>
      </c>
      <c r="I1371" t="s">
        <v>89</v>
      </c>
      <c r="J1371">
        <v>0</v>
      </c>
      <c r="K1371">
        <v>1</v>
      </c>
      <c r="L1371">
        <v>3</v>
      </c>
      <c r="M1371">
        <v>316</v>
      </c>
      <c r="N1371">
        <v>299</v>
      </c>
      <c r="O1371">
        <v>6</v>
      </c>
      <c r="P1371">
        <v>291</v>
      </c>
      <c r="Q1371">
        <v>2</v>
      </c>
      <c r="R1371">
        <v>53</v>
      </c>
      <c r="S1371">
        <v>2</v>
      </c>
      <c r="T1371">
        <v>16</v>
      </c>
      <c r="U1371">
        <v>8</v>
      </c>
      <c r="V1371">
        <v>8</v>
      </c>
      <c r="W1371">
        <v>37</v>
      </c>
      <c r="X1371">
        <v>145</v>
      </c>
      <c r="Y1371">
        <v>5</v>
      </c>
      <c r="Z1371">
        <v>3</v>
      </c>
      <c r="AA1371">
        <v>2</v>
      </c>
      <c r="AB1371">
        <v>8</v>
      </c>
      <c r="AF1371">
        <v>2</v>
      </c>
      <c r="AG1371">
        <v>0</v>
      </c>
      <c r="AH1371">
        <v>0</v>
      </c>
      <c r="AI1371">
        <v>0</v>
      </c>
      <c r="AW1371">
        <v>0</v>
      </c>
      <c r="AX1371">
        <v>0</v>
      </c>
      <c r="AY1371">
        <v>291</v>
      </c>
      <c r="AZ1371">
        <v>291</v>
      </c>
      <c r="BA1371">
        <v>571</v>
      </c>
      <c r="BB1371">
        <v>44</v>
      </c>
      <c r="BD1371">
        <v>1</v>
      </c>
      <c r="BF1371" t="s">
        <v>1501</v>
      </c>
      <c r="BG1371" s="1">
        <v>44354.038888888892</v>
      </c>
      <c r="BH1371" s="1">
        <v>44354.0465625</v>
      </c>
      <c r="BI1371" s="1">
        <v>44354.0471875</v>
      </c>
      <c r="BJ1371" t="s">
        <v>85</v>
      </c>
      <c r="BK1371" t="s">
        <v>86</v>
      </c>
      <c r="BL1371" t="s">
        <v>87</v>
      </c>
    </row>
    <row r="1372" spans="1:64" x14ac:dyDescent="0.3">
      <c r="A1372" t="str">
        <f>"200694B0000"</f>
        <v>200694B0000</v>
      </c>
      <c r="B1372" t="str">
        <f>"200694B00003"</f>
        <v>200694B00003</v>
      </c>
      <c r="C1372" t="str">
        <f t="shared" si="79"/>
        <v>20</v>
      </c>
      <c r="D1372" t="s">
        <v>81</v>
      </c>
      <c r="E1372" t="str">
        <f t="shared" ref="E1372:E1403" si="80">"076"</f>
        <v>076</v>
      </c>
      <c r="F1372" t="s">
        <v>1437</v>
      </c>
      <c r="G1372" t="str">
        <f>"0694"</f>
        <v>0694</v>
      </c>
      <c r="H1372" t="str">
        <f>"0000"</f>
        <v>0000</v>
      </c>
      <c r="I1372" t="s">
        <v>83</v>
      </c>
      <c r="J1372">
        <v>0</v>
      </c>
      <c r="K1372">
        <v>1</v>
      </c>
      <c r="L1372">
        <v>3</v>
      </c>
      <c r="M1372">
        <v>268</v>
      </c>
      <c r="N1372">
        <v>371</v>
      </c>
      <c r="O1372">
        <v>8</v>
      </c>
      <c r="P1372">
        <v>371</v>
      </c>
      <c r="Q1372">
        <v>5</v>
      </c>
      <c r="R1372">
        <v>125</v>
      </c>
      <c r="S1372">
        <v>0</v>
      </c>
      <c r="T1372">
        <v>28</v>
      </c>
      <c r="U1372">
        <v>5</v>
      </c>
      <c r="V1372">
        <v>13</v>
      </c>
      <c r="W1372">
        <v>36</v>
      </c>
      <c r="X1372">
        <v>128</v>
      </c>
      <c r="Y1372">
        <v>6</v>
      </c>
      <c r="Z1372">
        <v>0</v>
      </c>
      <c r="AA1372">
        <v>1</v>
      </c>
      <c r="AB1372">
        <v>16</v>
      </c>
      <c r="AF1372">
        <v>5</v>
      </c>
      <c r="AG1372">
        <v>2</v>
      </c>
      <c r="AH1372">
        <v>0</v>
      </c>
      <c r="AI1372">
        <v>0</v>
      </c>
      <c r="AW1372">
        <v>0</v>
      </c>
      <c r="AX1372">
        <v>1</v>
      </c>
      <c r="AY1372">
        <v>371</v>
      </c>
      <c r="AZ1372">
        <v>371</v>
      </c>
      <c r="BA1372">
        <v>595</v>
      </c>
      <c r="BB1372">
        <v>44</v>
      </c>
      <c r="BD1372">
        <v>1</v>
      </c>
      <c r="BF1372" t="s">
        <v>1502</v>
      </c>
      <c r="BG1372" s="1">
        <v>44354.150694444441</v>
      </c>
      <c r="BH1372" s="1">
        <v>44354.152106481481</v>
      </c>
      <c r="BI1372" s="1">
        <v>44354.152719907404</v>
      </c>
      <c r="BJ1372" t="s">
        <v>85</v>
      </c>
      <c r="BK1372" t="s">
        <v>86</v>
      </c>
      <c r="BL1372" t="s">
        <v>87</v>
      </c>
    </row>
    <row r="1373" spans="1:64" x14ac:dyDescent="0.3">
      <c r="A1373" t="str">
        <f>"200694C0100"</f>
        <v>200694C0100</v>
      </c>
      <c r="B1373" t="str">
        <f>"200694C01003"</f>
        <v>200694C01003</v>
      </c>
      <c r="C1373" t="str">
        <f t="shared" si="79"/>
        <v>20</v>
      </c>
      <c r="D1373" t="s">
        <v>81</v>
      </c>
      <c r="E1373" t="str">
        <f t="shared" si="80"/>
        <v>076</v>
      </c>
      <c r="F1373" t="s">
        <v>1437</v>
      </c>
      <c r="G1373" t="str">
        <f>"0694"</f>
        <v>0694</v>
      </c>
      <c r="H1373" t="str">
        <f>"0001"</f>
        <v>0001</v>
      </c>
      <c r="I1373" t="s">
        <v>89</v>
      </c>
      <c r="J1373">
        <v>0</v>
      </c>
      <c r="K1373">
        <v>1</v>
      </c>
      <c r="L1373">
        <v>3</v>
      </c>
      <c r="M1373">
        <v>275</v>
      </c>
      <c r="N1373">
        <v>364</v>
      </c>
      <c r="O1373">
        <v>7</v>
      </c>
      <c r="P1373" t="s">
        <v>131</v>
      </c>
      <c r="Q1373">
        <v>4</v>
      </c>
      <c r="R1373">
        <v>121</v>
      </c>
      <c r="S1373">
        <v>1</v>
      </c>
      <c r="T1373">
        <v>17</v>
      </c>
      <c r="U1373">
        <v>11</v>
      </c>
      <c r="V1373">
        <v>19</v>
      </c>
      <c r="W1373">
        <v>32</v>
      </c>
      <c r="X1373">
        <v>123</v>
      </c>
      <c r="Y1373">
        <v>10</v>
      </c>
      <c r="Z1373">
        <v>2</v>
      </c>
      <c r="AA1373">
        <v>1</v>
      </c>
      <c r="AB1373">
        <v>17</v>
      </c>
      <c r="AF1373">
        <v>2</v>
      </c>
      <c r="AG1373">
        <v>0</v>
      </c>
      <c r="AH1373">
        <v>0</v>
      </c>
      <c r="AI1373">
        <v>0</v>
      </c>
      <c r="AW1373">
        <v>0</v>
      </c>
      <c r="AX1373">
        <v>3</v>
      </c>
      <c r="AY1373">
        <v>364</v>
      </c>
      <c r="AZ1373">
        <v>363</v>
      </c>
      <c r="BA1373">
        <v>595</v>
      </c>
      <c r="BB1373">
        <v>44</v>
      </c>
      <c r="BD1373">
        <v>1</v>
      </c>
      <c r="BF1373" t="s">
        <v>1503</v>
      </c>
      <c r="BG1373" s="1">
        <v>44354.068749999999</v>
      </c>
      <c r="BH1373" s="1">
        <v>44354.074560185189</v>
      </c>
      <c r="BI1373" s="1">
        <v>44354.075428240743</v>
      </c>
      <c r="BJ1373" t="s">
        <v>85</v>
      </c>
      <c r="BK1373" t="s">
        <v>86</v>
      </c>
      <c r="BL1373" t="s">
        <v>87</v>
      </c>
    </row>
    <row r="1374" spans="1:64" x14ac:dyDescent="0.3">
      <c r="A1374" t="str">
        <f>"200695B0000"</f>
        <v>200695B0000</v>
      </c>
      <c r="B1374" t="str">
        <f>"200695B00003"</f>
        <v>200695B00003</v>
      </c>
      <c r="C1374" t="str">
        <f t="shared" si="79"/>
        <v>20</v>
      </c>
      <c r="D1374" t="s">
        <v>81</v>
      </c>
      <c r="E1374" t="str">
        <f t="shared" si="80"/>
        <v>076</v>
      </c>
      <c r="F1374" t="s">
        <v>1437</v>
      </c>
      <c r="G1374" t="str">
        <f>"0695"</f>
        <v>0695</v>
      </c>
      <c r="H1374" t="str">
        <f>"0000"</f>
        <v>0000</v>
      </c>
      <c r="I1374" t="s">
        <v>83</v>
      </c>
      <c r="J1374">
        <v>0</v>
      </c>
      <c r="K1374">
        <v>1</v>
      </c>
      <c r="L1374">
        <v>3</v>
      </c>
      <c r="M1374">
        <v>286</v>
      </c>
      <c r="N1374">
        <v>336</v>
      </c>
      <c r="O1374">
        <v>7</v>
      </c>
      <c r="P1374">
        <v>336</v>
      </c>
      <c r="Q1374">
        <v>8</v>
      </c>
      <c r="R1374">
        <v>91</v>
      </c>
      <c r="S1374">
        <v>2</v>
      </c>
      <c r="T1374">
        <v>13</v>
      </c>
      <c r="U1374">
        <v>10</v>
      </c>
      <c r="V1374">
        <v>18</v>
      </c>
      <c r="W1374">
        <v>39</v>
      </c>
      <c r="X1374">
        <v>135</v>
      </c>
      <c r="Y1374">
        <v>1</v>
      </c>
      <c r="Z1374">
        <v>0</v>
      </c>
      <c r="AA1374">
        <v>0</v>
      </c>
      <c r="AB1374">
        <v>12</v>
      </c>
      <c r="AF1374">
        <v>3</v>
      </c>
      <c r="AG1374" t="s">
        <v>95</v>
      </c>
      <c r="AH1374" t="s">
        <v>95</v>
      </c>
      <c r="AI1374" t="s">
        <v>95</v>
      </c>
      <c r="AW1374" t="s">
        <v>95</v>
      </c>
      <c r="AX1374">
        <v>4</v>
      </c>
      <c r="AY1374">
        <v>336</v>
      </c>
      <c r="AZ1374">
        <v>336</v>
      </c>
      <c r="BA1374">
        <v>578</v>
      </c>
      <c r="BB1374">
        <v>44</v>
      </c>
      <c r="BC1374" t="s">
        <v>96</v>
      </c>
      <c r="BD1374">
        <v>1</v>
      </c>
      <c r="BF1374" t="s">
        <v>1504</v>
      </c>
      <c r="BG1374" s="1">
        <v>44353.75</v>
      </c>
      <c r="BH1374" s="1">
        <v>44354.098252314812</v>
      </c>
      <c r="BI1374" s="1">
        <v>44354.098645833335</v>
      </c>
      <c r="BJ1374" t="s">
        <v>85</v>
      </c>
      <c r="BK1374" t="s">
        <v>86</v>
      </c>
      <c r="BL1374" t="s">
        <v>87</v>
      </c>
    </row>
    <row r="1375" spans="1:64" x14ac:dyDescent="0.3">
      <c r="A1375" t="str">
        <f>"200695C0100"</f>
        <v>200695C0100</v>
      </c>
      <c r="B1375" t="str">
        <f>"200695C01003"</f>
        <v>200695C01003</v>
      </c>
      <c r="C1375" t="str">
        <f t="shared" si="79"/>
        <v>20</v>
      </c>
      <c r="D1375" t="s">
        <v>81</v>
      </c>
      <c r="E1375" t="str">
        <f t="shared" si="80"/>
        <v>076</v>
      </c>
      <c r="F1375" t="s">
        <v>1437</v>
      </c>
      <c r="G1375" t="str">
        <f>"0695"</f>
        <v>0695</v>
      </c>
      <c r="H1375" t="str">
        <f>"0001"</f>
        <v>0001</v>
      </c>
      <c r="I1375" t="s">
        <v>89</v>
      </c>
      <c r="J1375">
        <v>0</v>
      </c>
      <c r="K1375">
        <v>1</v>
      </c>
      <c r="L1375">
        <v>3</v>
      </c>
      <c r="M1375">
        <v>317</v>
      </c>
      <c r="N1375">
        <v>304</v>
      </c>
      <c r="O1375">
        <v>5</v>
      </c>
      <c r="P1375">
        <v>304</v>
      </c>
      <c r="Q1375">
        <v>7</v>
      </c>
      <c r="R1375">
        <v>76</v>
      </c>
      <c r="S1375">
        <v>2</v>
      </c>
      <c r="T1375">
        <v>23</v>
      </c>
      <c r="U1375">
        <v>7</v>
      </c>
      <c r="V1375">
        <v>15</v>
      </c>
      <c r="W1375">
        <v>41</v>
      </c>
      <c r="X1375">
        <v>107</v>
      </c>
      <c r="Y1375">
        <v>2</v>
      </c>
      <c r="Z1375">
        <v>1</v>
      </c>
      <c r="AA1375">
        <v>1</v>
      </c>
      <c r="AB1375">
        <v>14</v>
      </c>
      <c r="AF1375">
        <v>14</v>
      </c>
      <c r="AG1375">
        <v>0</v>
      </c>
      <c r="AH1375">
        <v>0</v>
      </c>
      <c r="AI1375">
        <v>0</v>
      </c>
      <c r="AW1375">
        <v>0</v>
      </c>
      <c r="AX1375">
        <v>4</v>
      </c>
      <c r="AY1375">
        <v>304</v>
      </c>
      <c r="AZ1375">
        <v>314</v>
      </c>
      <c r="BA1375">
        <v>577</v>
      </c>
      <c r="BB1375">
        <v>44</v>
      </c>
      <c r="BD1375">
        <v>1</v>
      </c>
      <c r="BF1375" t="s">
        <v>1505</v>
      </c>
      <c r="BG1375" s="1">
        <v>44353.993055555555</v>
      </c>
      <c r="BH1375" s="1">
        <v>44353.995763888888</v>
      </c>
      <c r="BI1375" s="1">
        <v>44353.997106481482</v>
      </c>
      <c r="BJ1375" t="s">
        <v>85</v>
      </c>
      <c r="BK1375" t="s">
        <v>86</v>
      </c>
      <c r="BL1375" t="s">
        <v>87</v>
      </c>
    </row>
    <row r="1376" spans="1:64" x14ac:dyDescent="0.3">
      <c r="A1376" t="str">
        <f>"200696B0000"</f>
        <v>200696B0000</v>
      </c>
      <c r="B1376" t="str">
        <f>"200696B00003"</f>
        <v>200696B00003</v>
      </c>
      <c r="C1376" t="str">
        <f t="shared" si="79"/>
        <v>20</v>
      </c>
      <c r="D1376" t="s">
        <v>81</v>
      </c>
      <c r="E1376" t="str">
        <f t="shared" si="80"/>
        <v>076</v>
      </c>
      <c r="F1376" t="s">
        <v>1437</v>
      </c>
      <c r="G1376" t="str">
        <f>"0696"</f>
        <v>0696</v>
      </c>
      <c r="H1376" t="str">
        <f>"0000"</f>
        <v>0000</v>
      </c>
      <c r="I1376" t="s">
        <v>83</v>
      </c>
      <c r="J1376">
        <v>0</v>
      </c>
      <c r="K1376">
        <v>1</v>
      </c>
      <c r="L1376">
        <v>3</v>
      </c>
      <c r="M1376">
        <v>215</v>
      </c>
      <c r="N1376">
        <v>304</v>
      </c>
      <c r="O1376">
        <v>6</v>
      </c>
      <c r="P1376">
        <v>297</v>
      </c>
      <c r="Q1376">
        <v>5</v>
      </c>
      <c r="R1376">
        <v>126</v>
      </c>
      <c r="S1376">
        <v>3</v>
      </c>
      <c r="T1376">
        <v>18</v>
      </c>
      <c r="U1376">
        <v>2</v>
      </c>
      <c r="V1376">
        <v>11</v>
      </c>
      <c r="W1376">
        <v>25</v>
      </c>
      <c r="X1376">
        <v>77</v>
      </c>
      <c r="Y1376">
        <v>8</v>
      </c>
      <c r="Z1376">
        <v>3</v>
      </c>
      <c r="AA1376">
        <v>1</v>
      </c>
      <c r="AB1376">
        <v>4</v>
      </c>
      <c r="AF1376">
        <v>4</v>
      </c>
      <c r="AG1376">
        <v>1</v>
      </c>
      <c r="AH1376" t="s">
        <v>95</v>
      </c>
      <c r="AI1376" t="s">
        <v>95</v>
      </c>
      <c r="AW1376">
        <v>1</v>
      </c>
      <c r="AX1376">
        <v>8</v>
      </c>
      <c r="AY1376">
        <v>297</v>
      </c>
      <c r="AZ1376">
        <v>297</v>
      </c>
      <c r="BA1376">
        <v>476</v>
      </c>
      <c r="BB1376">
        <v>44</v>
      </c>
      <c r="BC1376" t="s">
        <v>96</v>
      </c>
      <c r="BD1376">
        <v>1</v>
      </c>
      <c r="BF1376" t="s">
        <v>1506</v>
      </c>
      <c r="BG1376" s="1">
        <v>44353.958333333336</v>
      </c>
      <c r="BH1376" s="1">
        <v>44354.055451388886</v>
      </c>
      <c r="BI1376" s="1">
        <v>44354.055844907409</v>
      </c>
      <c r="BJ1376" t="s">
        <v>85</v>
      </c>
      <c r="BK1376" t="s">
        <v>86</v>
      </c>
      <c r="BL1376" t="s">
        <v>87</v>
      </c>
    </row>
    <row r="1377" spans="1:64" x14ac:dyDescent="0.3">
      <c r="A1377" t="str">
        <f>"200696C0100"</f>
        <v>200696C0100</v>
      </c>
      <c r="B1377" t="str">
        <f>"200696C01003"</f>
        <v>200696C01003</v>
      </c>
      <c r="C1377" t="str">
        <f t="shared" si="79"/>
        <v>20</v>
      </c>
      <c r="D1377" t="s">
        <v>81</v>
      </c>
      <c r="E1377" t="str">
        <f t="shared" si="80"/>
        <v>076</v>
      </c>
      <c r="F1377" t="s">
        <v>1437</v>
      </c>
      <c r="G1377" t="str">
        <f>"0696"</f>
        <v>0696</v>
      </c>
      <c r="H1377" t="str">
        <f>"0001"</f>
        <v>0001</v>
      </c>
      <c r="I1377" t="s">
        <v>89</v>
      </c>
      <c r="J1377">
        <v>0</v>
      </c>
      <c r="K1377">
        <v>1</v>
      </c>
      <c r="L1377">
        <v>3</v>
      </c>
      <c r="M1377">
        <v>210</v>
      </c>
      <c r="N1377">
        <v>310</v>
      </c>
      <c r="O1377">
        <v>5</v>
      </c>
      <c r="P1377">
        <v>310</v>
      </c>
      <c r="Q1377">
        <v>8</v>
      </c>
      <c r="R1377">
        <v>132</v>
      </c>
      <c r="S1377">
        <v>4</v>
      </c>
      <c r="T1377">
        <v>16</v>
      </c>
      <c r="U1377">
        <v>4</v>
      </c>
      <c r="V1377">
        <v>10</v>
      </c>
      <c r="W1377">
        <v>23</v>
      </c>
      <c r="X1377">
        <v>88</v>
      </c>
      <c r="Y1377">
        <v>4</v>
      </c>
      <c r="Z1377">
        <v>4</v>
      </c>
      <c r="AA1377">
        <v>0</v>
      </c>
      <c r="AB1377">
        <v>8</v>
      </c>
      <c r="AF1377">
        <v>3</v>
      </c>
      <c r="AG1377" t="s">
        <v>95</v>
      </c>
      <c r="AH1377" t="s">
        <v>95</v>
      </c>
      <c r="AI1377" t="s">
        <v>95</v>
      </c>
      <c r="AW1377" t="s">
        <v>95</v>
      </c>
      <c r="AX1377">
        <v>6</v>
      </c>
      <c r="AY1377">
        <v>310</v>
      </c>
      <c r="AZ1377">
        <v>310</v>
      </c>
      <c r="BA1377">
        <v>476</v>
      </c>
      <c r="BB1377">
        <v>44</v>
      </c>
      <c r="BC1377" t="s">
        <v>96</v>
      </c>
      <c r="BD1377">
        <v>1</v>
      </c>
      <c r="BF1377" t="s">
        <v>1507</v>
      </c>
      <c r="BG1377" s="1">
        <v>44354.006944444445</v>
      </c>
      <c r="BH1377" s="1">
        <v>44354.013923611114</v>
      </c>
      <c r="BI1377" s="1">
        <v>44354.014710648145</v>
      </c>
      <c r="BJ1377" t="s">
        <v>85</v>
      </c>
      <c r="BK1377" t="s">
        <v>86</v>
      </c>
      <c r="BL1377" t="s">
        <v>87</v>
      </c>
    </row>
    <row r="1378" spans="1:64" x14ac:dyDescent="0.3">
      <c r="A1378" t="str">
        <f>"200696S0100"</f>
        <v>200696S0100</v>
      </c>
      <c r="B1378" t="str">
        <f>"200696S01003E"</f>
        <v>200696S01003E</v>
      </c>
      <c r="C1378" t="str">
        <f t="shared" si="79"/>
        <v>20</v>
      </c>
      <c r="D1378" t="s">
        <v>81</v>
      </c>
      <c r="E1378" t="str">
        <f t="shared" si="80"/>
        <v>076</v>
      </c>
      <c r="F1378" t="s">
        <v>1437</v>
      </c>
      <c r="G1378" t="str">
        <f>"0696"</f>
        <v>0696</v>
      </c>
      <c r="H1378" t="str">
        <f>"0001"</f>
        <v>0001</v>
      </c>
      <c r="I1378" t="s">
        <v>99</v>
      </c>
      <c r="J1378">
        <v>0</v>
      </c>
      <c r="K1378">
        <v>1</v>
      </c>
      <c r="L1378" t="s">
        <v>100</v>
      </c>
      <c r="M1378">
        <v>963</v>
      </c>
      <c r="N1378">
        <v>19</v>
      </c>
      <c r="O1378">
        <v>0</v>
      </c>
      <c r="P1378">
        <v>19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2</v>
      </c>
      <c r="W1378">
        <v>2</v>
      </c>
      <c r="X1378">
        <v>4</v>
      </c>
      <c r="Y1378">
        <v>0</v>
      </c>
      <c r="Z1378">
        <v>0</v>
      </c>
      <c r="AA1378">
        <v>0</v>
      </c>
      <c r="AB1378">
        <v>0</v>
      </c>
      <c r="AF1378">
        <v>1</v>
      </c>
      <c r="AG1378">
        <v>0</v>
      </c>
      <c r="AH1378">
        <v>0</v>
      </c>
      <c r="AI1378">
        <v>0</v>
      </c>
      <c r="AW1378">
        <v>0</v>
      </c>
      <c r="AX1378">
        <v>2</v>
      </c>
      <c r="AY1378">
        <v>19</v>
      </c>
      <c r="AZ1378">
        <v>11</v>
      </c>
      <c r="BA1378">
        <v>0</v>
      </c>
      <c r="BB1378">
        <v>44</v>
      </c>
      <c r="BD1378">
        <v>1</v>
      </c>
      <c r="BF1378" t="s">
        <v>1508</v>
      </c>
      <c r="BG1378" s="1">
        <v>44354.113888888889</v>
      </c>
      <c r="BH1378" s="1">
        <v>44354.117962962962</v>
      </c>
      <c r="BI1378" s="1">
        <v>44354.118807870371</v>
      </c>
      <c r="BJ1378" t="s">
        <v>85</v>
      </c>
      <c r="BK1378" t="s">
        <v>86</v>
      </c>
      <c r="BL1378" t="s">
        <v>87</v>
      </c>
    </row>
    <row r="1379" spans="1:64" x14ac:dyDescent="0.3">
      <c r="A1379" t="str">
        <f>"200697B0000"</f>
        <v>200697B0000</v>
      </c>
      <c r="B1379" t="str">
        <f>"200697B00003"</f>
        <v>200697B00003</v>
      </c>
      <c r="C1379" t="str">
        <f t="shared" si="79"/>
        <v>20</v>
      </c>
      <c r="D1379" t="s">
        <v>81</v>
      </c>
      <c r="E1379" t="str">
        <f t="shared" si="80"/>
        <v>076</v>
      </c>
      <c r="F1379" t="s">
        <v>1437</v>
      </c>
      <c r="G1379" t="str">
        <f>"0697"</f>
        <v>0697</v>
      </c>
      <c r="H1379" t="str">
        <f>"0000"</f>
        <v>0000</v>
      </c>
      <c r="I1379" t="s">
        <v>83</v>
      </c>
      <c r="J1379">
        <v>0</v>
      </c>
      <c r="K1379">
        <v>1</v>
      </c>
      <c r="L1379">
        <v>3</v>
      </c>
      <c r="M1379">
        <v>363</v>
      </c>
      <c r="N1379">
        <v>377</v>
      </c>
      <c r="O1379">
        <v>4</v>
      </c>
      <c r="P1379">
        <v>377</v>
      </c>
      <c r="Q1379">
        <v>7</v>
      </c>
      <c r="R1379">
        <v>104</v>
      </c>
      <c r="S1379">
        <v>4</v>
      </c>
      <c r="T1379">
        <v>8</v>
      </c>
      <c r="U1379">
        <v>23</v>
      </c>
      <c r="V1379">
        <v>24</v>
      </c>
      <c r="W1379">
        <v>45</v>
      </c>
      <c r="X1379">
        <v>127</v>
      </c>
      <c r="Y1379">
        <v>7</v>
      </c>
      <c r="Z1379">
        <v>3</v>
      </c>
      <c r="AA1379">
        <v>5</v>
      </c>
      <c r="AB1379">
        <v>12</v>
      </c>
      <c r="AF1379">
        <v>2</v>
      </c>
      <c r="AG1379" t="s">
        <v>95</v>
      </c>
      <c r="AH1379" t="s">
        <v>95</v>
      </c>
      <c r="AI1379" t="s">
        <v>95</v>
      </c>
      <c r="AW1379" t="s">
        <v>95</v>
      </c>
      <c r="AX1379">
        <v>6</v>
      </c>
      <c r="AY1379">
        <v>377</v>
      </c>
      <c r="AZ1379">
        <v>377</v>
      </c>
      <c r="BA1379">
        <v>694</v>
      </c>
      <c r="BB1379">
        <v>44</v>
      </c>
      <c r="BC1379" t="s">
        <v>96</v>
      </c>
      <c r="BD1379">
        <v>1</v>
      </c>
      <c r="BF1379" t="s">
        <v>1509</v>
      </c>
      <c r="BG1379" s="1">
        <v>44354.277083333334</v>
      </c>
      <c r="BH1379" s="1">
        <v>44354.279606481483</v>
      </c>
      <c r="BI1379" s="1">
        <v>44354.280428240738</v>
      </c>
      <c r="BJ1379" t="s">
        <v>85</v>
      </c>
      <c r="BK1379" t="s">
        <v>86</v>
      </c>
      <c r="BL1379" t="s">
        <v>87</v>
      </c>
    </row>
    <row r="1380" spans="1:64" x14ac:dyDescent="0.3">
      <c r="A1380" t="str">
        <f>"200697C0100"</f>
        <v>200697C0100</v>
      </c>
      <c r="B1380" t="str">
        <f>"200697C01003"</f>
        <v>200697C01003</v>
      </c>
      <c r="C1380" t="str">
        <f t="shared" si="79"/>
        <v>20</v>
      </c>
      <c r="D1380" t="s">
        <v>81</v>
      </c>
      <c r="E1380" t="str">
        <f t="shared" si="80"/>
        <v>076</v>
      </c>
      <c r="F1380" t="s">
        <v>1437</v>
      </c>
      <c r="G1380" t="str">
        <f>"0697"</f>
        <v>0697</v>
      </c>
      <c r="H1380" t="str">
        <f>"0001"</f>
        <v>0001</v>
      </c>
      <c r="I1380" t="s">
        <v>89</v>
      </c>
      <c r="J1380">
        <v>0</v>
      </c>
      <c r="K1380">
        <v>1</v>
      </c>
      <c r="L1380">
        <v>3</v>
      </c>
      <c r="M1380">
        <v>348</v>
      </c>
      <c r="N1380">
        <v>387</v>
      </c>
      <c r="O1380">
        <v>1</v>
      </c>
      <c r="P1380">
        <v>385</v>
      </c>
      <c r="Q1380">
        <v>17</v>
      </c>
      <c r="R1380">
        <v>65</v>
      </c>
      <c r="S1380">
        <v>3</v>
      </c>
      <c r="T1380">
        <v>11</v>
      </c>
      <c r="U1380">
        <v>2</v>
      </c>
      <c r="V1380">
        <v>6</v>
      </c>
      <c r="W1380">
        <v>14</v>
      </c>
      <c r="X1380">
        <v>225</v>
      </c>
      <c r="Y1380">
        <v>17</v>
      </c>
      <c r="Z1380">
        <v>2</v>
      </c>
      <c r="AA1380">
        <v>2</v>
      </c>
      <c r="AB1380">
        <v>10</v>
      </c>
      <c r="AF1380">
        <v>1</v>
      </c>
      <c r="AG1380">
        <v>2</v>
      </c>
      <c r="AH1380">
        <v>0</v>
      </c>
      <c r="AI1380">
        <v>0</v>
      </c>
      <c r="AW1380" t="s">
        <v>95</v>
      </c>
      <c r="AX1380">
        <v>8</v>
      </c>
      <c r="AY1380">
        <v>385</v>
      </c>
      <c r="AZ1380">
        <v>385</v>
      </c>
      <c r="BA1380">
        <v>693</v>
      </c>
      <c r="BB1380">
        <v>44</v>
      </c>
      <c r="BC1380" t="s">
        <v>96</v>
      </c>
      <c r="BD1380">
        <v>1</v>
      </c>
      <c r="BF1380" t="s">
        <v>1510</v>
      </c>
      <c r="BG1380" s="1">
        <v>44354.03125</v>
      </c>
      <c r="BH1380" s="1">
        <v>44354.038877314815</v>
      </c>
      <c r="BI1380" s="1">
        <v>44354.039467592593</v>
      </c>
      <c r="BJ1380" t="s">
        <v>85</v>
      </c>
      <c r="BK1380" t="s">
        <v>86</v>
      </c>
      <c r="BL1380" t="s">
        <v>87</v>
      </c>
    </row>
    <row r="1381" spans="1:64" x14ac:dyDescent="0.3">
      <c r="A1381" t="str">
        <f>"200698B0000"</f>
        <v>200698B0000</v>
      </c>
      <c r="B1381" t="str">
        <f>"200698B00003"</f>
        <v>200698B00003</v>
      </c>
      <c r="C1381" t="str">
        <f t="shared" si="79"/>
        <v>20</v>
      </c>
      <c r="D1381" t="s">
        <v>81</v>
      </c>
      <c r="E1381" t="str">
        <f t="shared" si="80"/>
        <v>076</v>
      </c>
      <c r="F1381" t="s">
        <v>1437</v>
      </c>
      <c r="G1381" t="str">
        <f>"0698"</f>
        <v>0698</v>
      </c>
      <c r="H1381" t="str">
        <f>"0000"</f>
        <v>0000</v>
      </c>
      <c r="I1381" t="s">
        <v>83</v>
      </c>
      <c r="J1381">
        <v>0</v>
      </c>
      <c r="K1381">
        <v>1</v>
      </c>
      <c r="L1381">
        <v>3</v>
      </c>
      <c r="M1381">
        <v>169</v>
      </c>
      <c r="N1381">
        <v>130</v>
      </c>
      <c r="O1381">
        <v>11</v>
      </c>
      <c r="P1381" t="s">
        <v>92</v>
      </c>
      <c r="Q1381">
        <v>4</v>
      </c>
      <c r="R1381">
        <v>40</v>
      </c>
      <c r="S1381">
        <v>0</v>
      </c>
      <c r="T1381">
        <v>2</v>
      </c>
      <c r="U1381">
        <v>4</v>
      </c>
      <c r="V1381">
        <v>3</v>
      </c>
      <c r="W1381">
        <v>10</v>
      </c>
      <c r="X1381">
        <v>61</v>
      </c>
      <c r="Y1381">
        <v>0</v>
      </c>
      <c r="Z1381">
        <v>0</v>
      </c>
      <c r="AA1381">
        <v>0</v>
      </c>
      <c r="AB1381">
        <v>2</v>
      </c>
      <c r="AF1381">
        <v>2</v>
      </c>
      <c r="AG1381">
        <v>1</v>
      </c>
      <c r="AH1381">
        <v>0</v>
      </c>
      <c r="AI1381">
        <v>0</v>
      </c>
      <c r="AW1381" t="s">
        <v>95</v>
      </c>
      <c r="AX1381" t="s">
        <v>95</v>
      </c>
      <c r="AY1381">
        <v>130</v>
      </c>
      <c r="AZ1381">
        <v>129</v>
      </c>
      <c r="BA1381">
        <v>255</v>
      </c>
      <c r="BB1381">
        <v>44</v>
      </c>
      <c r="BC1381" t="s">
        <v>96</v>
      </c>
      <c r="BD1381">
        <v>1</v>
      </c>
      <c r="BF1381" s="2" t="s">
        <v>1511</v>
      </c>
      <c r="BG1381" s="1">
        <v>44354.130555555559</v>
      </c>
      <c r="BH1381" s="1">
        <v>44354.132303240738</v>
      </c>
      <c r="BI1381" s="1">
        <v>44354.132754629631</v>
      </c>
      <c r="BJ1381" t="s">
        <v>85</v>
      </c>
      <c r="BK1381" t="s">
        <v>86</v>
      </c>
      <c r="BL1381" t="s">
        <v>87</v>
      </c>
    </row>
    <row r="1382" spans="1:64" x14ac:dyDescent="0.3">
      <c r="A1382" t="str">
        <f>"200699B0000"</f>
        <v>200699B0000</v>
      </c>
      <c r="B1382" t="str">
        <f>"200699B00003"</f>
        <v>200699B00003</v>
      </c>
      <c r="C1382" t="str">
        <f t="shared" si="79"/>
        <v>20</v>
      </c>
      <c r="D1382" t="s">
        <v>81</v>
      </c>
      <c r="E1382" t="str">
        <f t="shared" si="80"/>
        <v>076</v>
      </c>
      <c r="F1382" t="s">
        <v>1437</v>
      </c>
      <c r="G1382" t="str">
        <f>"0699"</f>
        <v>0699</v>
      </c>
      <c r="H1382" t="str">
        <f>"0000"</f>
        <v>0000</v>
      </c>
      <c r="I1382" t="s">
        <v>83</v>
      </c>
      <c r="J1382">
        <v>0</v>
      </c>
      <c r="K1382">
        <v>1</v>
      </c>
      <c r="L1382">
        <v>3</v>
      </c>
      <c r="M1382">
        <v>311</v>
      </c>
      <c r="N1382">
        <v>332</v>
      </c>
      <c r="O1382">
        <v>6</v>
      </c>
      <c r="P1382">
        <v>331</v>
      </c>
      <c r="Q1382">
        <v>6</v>
      </c>
      <c r="R1382">
        <v>78</v>
      </c>
      <c r="S1382">
        <v>4</v>
      </c>
      <c r="T1382">
        <v>9</v>
      </c>
      <c r="U1382">
        <v>7</v>
      </c>
      <c r="V1382">
        <v>10</v>
      </c>
      <c r="W1382">
        <v>42</v>
      </c>
      <c r="X1382">
        <v>149</v>
      </c>
      <c r="Y1382">
        <v>2</v>
      </c>
      <c r="Z1382">
        <v>3</v>
      </c>
      <c r="AA1382">
        <v>4</v>
      </c>
      <c r="AB1382">
        <v>11</v>
      </c>
      <c r="AF1382">
        <v>2</v>
      </c>
      <c r="AG1382">
        <v>0</v>
      </c>
      <c r="AH1382">
        <v>0</v>
      </c>
      <c r="AI1382">
        <v>0</v>
      </c>
      <c r="AW1382">
        <v>0</v>
      </c>
      <c r="AX1382">
        <v>4</v>
      </c>
      <c r="AY1382">
        <v>331</v>
      </c>
      <c r="AZ1382">
        <v>331</v>
      </c>
      <c r="BA1382">
        <v>599</v>
      </c>
      <c r="BB1382">
        <v>44</v>
      </c>
      <c r="BD1382">
        <v>1</v>
      </c>
      <c r="BF1382" t="s">
        <v>1512</v>
      </c>
      <c r="BG1382" s="1">
        <v>44354.279861111114</v>
      </c>
      <c r="BH1382" s="1">
        <v>44354.460625</v>
      </c>
      <c r="BI1382" s="1">
        <v>44354.46130787037</v>
      </c>
      <c r="BJ1382" t="s">
        <v>85</v>
      </c>
      <c r="BK1382" t="s">
        <v>86</v>
      </c>
      <c r="BL1382" t="s">
        <v>87</v>
      </c>
    </row>
    <row r="1383" spans="1:64" x14ac:dyDescent="0.3">
      <c r="A1383" t="str">
        <f>"200699C0100"</f>
        <v>200699C0100</v>
      </c>
      <c r="B1383" t="str">
        <f>"200699C01003"</f>
        <v>200699C01003</v>
      </c>
      <c r="C1383" t="str">
        <f t="shared" si="79"/>
        <v>20</v>
      </c>
      <c r="D1383" t="s">
        <v>81</v>
      </c>
      <c r="E1383" t="str">
        <f t="shared" si="80"/>
        <v>076</v>
      </c>
      <c r="F1383" t="s">
        <v>1437</v>
      </c>
      <c r="G1383" t="str">
        <f>"0699"</f>
        <v>0699</v>
      </c>
      <c r="H1383" t="str">
        <f>"0001"</f>
        <v>0001</v>
      </c>
      <c r="I1383" t="s">
        <v>89</v>
      </c>
      <c r="J1383">
        <v>0</v>
      </c>
      <c r="K1383">
        <v>1</v>
      </c>
      <c r="L1383">
        <v>3</v>
      </c>
      <c r="M1383">
        <v>272</v>
      </c>
      <c r="N1383">
        <v>371</v>
      </c>
      <c r="O1383">
        <v>7</v>
      </c>
      <c r="P1383">
        <v>371</v>
      </c>
      <c r="Q1383">
        <v>5</v>
      </c>
      <c r="R1383">
        <v>110</v>
      </c>
      <c r="S1383">
        <v>2</v>
      </c>
      <c r="T1383">
        <v>8</v>
      </c>
      <c r="U1383">
        <v>17</v>
      </c>
      <c r="V1383">
        <v>17</v>
      </c>
      <c r="W1383">
        <v>41</v>
      </c>
      <c r="X1383">
        <v>143</v>
      </c>
      <c r="Y1383">
        <v>1</v>
      </c>
      <c r="Z1383">
        <v>0</v>
      </c>
      <c r="AA1383">
        <v>5</v>
      </c>
      <c r="AB1383">
        <v>13</v>
      </c>
      <c r="AF1383">
        <v>3</v>
      </c>
      <c r="AG1383">
        <v>2</v>
      </c>
      <c r="AH1383">
        <v>0</v>
      </c>
      <c r="AI1383">
        <v>0</v>
      </c>
      <c r="AW1383">
        <v>0</v>
      </c>
      <c r="AX1383">
        <v>4</v>
      </c>
      <c r="AY1383">
        <v>371</v>
      </c>
      <c r="AZ1383">
        <v>371</v>
      </c>
      <c r="BA1383">
        <v>599</v>
      </c>
      <c r="BB1383">
        <v>44</v>
      </c>
      <c r="BD1383">
        <v>1</v>
      </c>
      <c r="BF1383" t="s">
        <v>1513</v>
      </c>
      <c r="BG1383" s="1">
        <v>44354.283333333333</v>
      </c>
      <c r="BH1383" s="1">
        <v>44354.293356481481</v>
      </c>
      <c r="BI1383" s="1">
        <v>44354.294386574074</v>
      </c>
      <c r="BJ1383" t="s">
        <v>85</v>
      </c>
      <c r="BK1383" t="s">
        <v>86</v>
      </c>
      <c r="BL1383" t="s">
        <v>87</v>
      </c>
    </row>
    <row r="1384" spans="1:64" x14ac:dyDescent="0.3">
      <c r="A1384" t="str">
        <f>"200700B0000"</f>
        <v>200700B0000</v>
      </c>
      <c r="B1384" t="str">
        <f>"200700B00003"</f>
        <v>200700B00003</v>
      </c>
      <c r="C1384" t="str">
        <f t="shared" si="79"/>
        <v>20</v>
      </c>
      <c r="D1384" t="s">
        <v>81</v>
      </c>
      <c r="E1384" t="str">
        <f t="shared" si="80"/>
        <v>076</v>
      </c>
      <c r="F1384" t="s">
        <v>1437</v>
      </c>
      <c r="G1384" t="str">
        <f>"0700"</f>
        <v>0700</v>
      </c>
      <c r="H1384" t="str">
        <f>"0000"</f>
        <v>0000</v>
      </c>
      <c r="I1384" t="s">
        <v>83</v>
      </c>
      <c r="J1384">
        <v>0</v>
      </c>
      <c r="K1384">
        <v>1</v>
      </c>
      <c r="L1384">
        <v>3</v>
      </c>
      <c r="M1384">
        <v>257</v>
      </c>
      <c r="N1384">
        <v>353</v>
      </c>
      <c r="O1384">
        <v>9</v>
      </c>
      <c r="P1384">
        <v>354</v>
      </c>
      <c r="Q1384">
        <v>6</v>
      </c>
      <c r="R1384">
        <v>111</v>
      </c>
      <c r="S1384">
        <v>3</v>
      </c>
      <c r="T1384">
        <v>13</v>
      </c>
      <c r="U1384">
        <v>9</v>
      </c>
      <c r="V1384">
        <v>8</v>
      </c>
      <c r="W1384">
        <v>49</v>
      </c>
      <c r="X1384">
        <v>135</v>
      </c>
      <c r="Y1384">
        <v>1</v>
      </c>
      <c r="Z1384">
        <v>2</v>
      </c>
      <c r="AA1384">
        <v>2</v>
      </c>
      <c r="AB1384">
        <v>6</v>
      </c>
      <c r="AF1384">
        <v>0</v>
      </c>
      <c r="AG1384">
        <v>0</v>
      </c>
      <c r="AH1384">
        <v>2</v>
      </c>
      <c r="AI1384">
        <v>0</v>
      </c>
      <c r="AW1384">
        <v>0</v>
      </c>
      <c r="AX1384">
        <v>7</v>
      </c>
      <c r="AY1384">
        <v>354</v>
      </c>
      <c r="AZ1384">
        <v>354</v>
      </c>
      <c r="BA1384">
        <v>567</v>
      </c>
      <c r="BB1384">
        <v>44</v>
      </c>
      <c r="BD1384">
        <v>1</v>
      </c>
      <c r="BF1384" t="s">
        <v>1514</v>
      </c>
      <c r="BG1384" s="1">
        <v>44354.218055555553</v>
      </c>
      <c r="BH1384" s="1">
        <v>44354.222534722219</v>
      </c>
      <c r="BI1384" s="1">
        <v>44354.222974537035</v>
      </c>
      <c r="BJ1384" t="s">
        <v>85</v>
      </c>
      <c r="BK1384" t="s">
        <v>86</v>
      </c>
      <c r="BL1384" t="s">
        <v>87</v>
      </c>
    </row>
    <row r="1385" spans="1:64" x14ac:dyDescent="0.3">
      <c r="A1385" t="str">
        <f>"200700C0100"</f>
        <v>200700C0100</v>
      </c>
      <c r="B1385" t="str">
        <f>"200700C01003"</f>
        <v>200700C01003</v>
      </c>
      <c r="C1385" t="str">
        <f t="shared" si="79"/>
        <v>20</v>
      </c>
      <c r="D1385" t="s">
        <v>81</v>
      </c>
      <c r="E1385" t="str">
        <f t="shared" si="80"/>
        <v>076</v>
      </c>
      <c r="F1385" t="s">
        <v>1437</v>
      </c>
      <c r="G1385" t="str">
        <f>"0700"</f>
        <v>0700</v>
      </c>
      <c r="H1385" t="str">
        <f>"0001"</f>
        <v>0001</v>
      </c>
      <c r="I1385" t="s">
        <v>89</v>
      </c>
      <c r="J1385">
        <v>0</v>
      </c>
      <c r="K1385">
        <v>1</v>
      </c>
      <c r="L1385">
        <v>3</v>
      </c>
      <c r="M1385">
        <v>267</v>
      </c>
      <c r="N1385">
        <v>343</v>
      </c>
      <c r="O1385">
        <v>11</v>
      </c>
      <c r="P1385">
        <v>343</v>
      </c>
      <c r="Q1385">
        <v>4</v>
      </c>
      <c r="R1385">
        <v>88</v>
      </c>
      <c r="S1385">
        <v>0</v>
      </c>
      <c r="T1385">
        <v>11</v>
      </c>
      <c r="U1385">
        <v>12</v>
      </c>
      <c r="V1385">
        <v>10</v>
      </c>
      <c r="W1385">
        <v>48</v>
      </c>
      <c r="X1385">
        <v>137</v>
      </c>
      <c r="Y1385">
        <v>3</v>
      </c>
      <c r="Z1385">
        <v>2</v>
      </c>
      <c r="AA1385">
        <v>1</v>
      </c>
      <c r="AB1385">
        <v>12</v>
      </c>
      <c r="AF1385">
        <v>5</v>
      </c>
      <c r="AG1385" t="s">
        <v>95</v>
      </c>
      <c r="AH1385" t="s">
        <v>95</v>
      </c>
      <c r="AI1385" t="s">
        <v>95</v>
      </c>
      <c r="AW1385" t="s">
        <v>95</v>
      </c>
      <c r="AX1385">
        <v>10</v>
      </c>
      <c r="AY1385">
        <v>343</v>
      </c>
      <c r="AZ1385">
        <v>343</v>
      </c>
      <c r="BA1385">
        <v>566</v>
      </c>
      <c r="BB1385">
        <v>44</v>
      </c>
      <c r="BC1385" t="s">
        <v>96</v>
      </c>
      <c r="BD1385">
        <v>1</v>
      </c>
      <c r="BF1385" t="s">
        <v>1515</v>
      </c>
      <c r="BG1385" s="1">
        <v>44354.217361111114</v>
      </c>
      <c r="BH1385" s="1">
        <v>44354.221030092594</v>
      </c>
      <c r="BI1385" s="1">
        <v>44354.221562500003</v>
      </c>
      <c r="BJ1385" t="s">
        <v>85</v>
      </c>
      <c r="BK1385" t="s">
        <v>86</v>
      </c>
      <c r="BL1385" t="s">
        <v>87</v>
      </c>
    </row>
    <row r="1386" spans="1:64" x14ac:dyDescent="0.3">
      <c r="A1386" t="str">
        <f>"200701B0000"</f>
        <v>200701B0000</v>
      </c>
      <c r="B1386" t="str">
        <f>"200701B00003"</f>
        <v>200701B00003</v>
      </c>
      <c r="C1386" t="str">
        <f t="shared" si="79"/>
        <v>20</v>
      </c>
      <c r="D1386" t="s">
        <v>81</v>
      </c>
      <c r="E1386" t="str">
        <f t="shared" si="80"/>
        <v>076</v>
      </c>
      <c r="F1386" t="s">
        <v>1437</v>
      </c>
      <c r="G1386" t="str">
        <f>"0701"</f>
        <v>0701</v>
      </c>
      <c r="H1386" t="str">
        <f>"0000"</f>
        <v>0000</v>
      </c>
      <c r="I1386" t="s">
        <v>83</v>
      </c>
      <c r="J1386">
        <v>0</v>
      </c>
      <c r="K1386">
        <v>1</v>
      </c>
      <c r="L1386">
        <v>3</v>
      </c>
      <c r="M1386" t="s">
        <v>92</v>
      </c>
      <c r="N1386" t="s">
        <v>92</v>
      </c>
      <c r="O1386" t="s">
        <v>92</v>
      </c>
      <c r="P1386" t="s">
        <v>92</v>
      </c>
      <c r="Q1386" t="s">
        <v>131</v>
      </c>
      <c r="R1386">
        <v>97</v>
      </c>
      <c r="S1386">
        <v>4</v>
      </c>
      <c r="T1386">
        <v>11</v>
      </c>
      <c r="U1386">
        <v>2</v>
      </c>
      <c r="V1386">
        <v>11</v>
      </c>
      <c r="W1386">
        <v>46</v>
      </c>
      <c r="X1386">
        <v>125</v>
      </c>
      <c r="Y1386" t="s">
        <v>131</v>
      </c>
      <c r="Z1386">
        <v>3</v>
      </c>
      <c r="AA1386">
        <v>3</v>
      </c>
      <c r="AB1386">
        <v>14</v>
      </c>
      <c r="AF1386">
        <v>2</v>
      </c>
      <c r="AG1386">
        <v>1</v>
      </c>
      <c r="AH1386">
        <v>0</v>
      </c>
      <c r="AI1386">
        <v>1</v>
      </c>
      <c r="AW1386">
        <v>0</v>
      </c>
      <c r="AX1386">
        <v>4</v>
      </c>
      <c r="AY1386">
        <v>344</v>
      </c>
      <c r="AZ1386">
        <v>324</v>
      </c>
      <c r="BA1386">
        <v>583</v>
      </c>
      <c r="BB1386">
        <v>44</v>
      </c>
      <c r="BC1386" t="s">
        <v>96</v>
      </c>
      <c r="BD1386">
        <v>1</v>
      </c>
      <c r="BF1386" t="s">
        <v>1516</v>
      </c>
      <c r="BG1386" s="1">
        <v>44354.11041666667</v>
      </c>
      <c r="BH1386" s="1">
        <v>44354.122569444444</v>
      </c>
      <c r="BI1386" s="1">
        <v>44354.129108796296</v>
      </c>
      <c r="BJ1386" t="s">
        <v>85</v>
      </c>
      <c r="BK1386" t="s">
        <v>86</v>
      </c>
      <c r="BL1386" t="s">
        <v>87</v>
      </c>
    </row>
    <row r="1387" spans="1:64" x14ac:dyDescent="0.3">
      <c r="A1387" t="str">
        <f>"200701C0100"</f>
        <v>200701C0100</v>
      </c>
      <c r="B1387" t="str">
        <f>"200701C01003"</f>
        <v>200701C01003</v>
      </c>
      <c r="C1387" t="str">
        <f t="shared" si="79"/>
        <v>20</v>
      </c>
      <c r="D1387" t="s">
        <v>81</v>
      </c>
      <c r="E1387" t="str">
        <f t="shared" si="80"/>
        <v>076</v>
      </c>
      <c r="F1387" t="s">
        <v>1437</v>
      </c>
      <c r="G1387" t="str">
        <f>"0701"</f>
        <v>0701</v>
      </c>
      <c r="H1387" t="str">
        <f>"0001"</f>
        <v>0001</v>
      </c>
      <c r="I1387" t="s">
        <v>89</v>
      </c>
      <c r="J1387">
        <v>0</v>
      </c>
      <c r="K1387">
        <v>1</v>
      </c>
      <c r="L1387">
        <v>3</v>
      </c>
      <c r="M1387">
        <v>243</v>
      </c>
      <c r="N1387">
        <v>382</v>
      </c>
      <c r="O1387">
        <v>3</v>
      </c>
      <c r="P1387" t="s">
        <v>92</v>
      </c>
      <c r="Q1387">
        <v>11</v>
      </c>
      <c r="R1387">
        <v>100</v>
      </c>
      <c r="S1387">
        <v>1</v>
      </c>
      <c r="T1387">
        <v>15</v>
      </c>
      <c r="U1387">
        <v>10</v>
      </c>
      <c r="V1387">
        <v>15</v>
      </c>
      <c r="W1387">
        <v>70</v>
      </c>
      <c r="X1387">
        <v>121</v>
      </c>
      <c r="Y1387">
        <v>0</v>
      </c>
      <c r="Z1387">
        <v>0</v>
      </c>
      <c r="AA1387">
        <v>3</v>
      </c>
      <c r="AB1387">
        <v>22</v>
      </c>
      <c r="AF1387">
        <v>1</v>
      </c>
      <c r="AG1387">
        <v>2</v>
      </c>
      <c r="AH1387">
        <v>0</v>
      </c>
      <c r="AI1387">
        <v>0</v>
      </c>
      <c r="AW1387" t="s">
        <v>95</v>
      </c>
      <c r="AX1387">
        <v>12</v>
      </c>
      <c r="AY1387">
        <v>383</v>
      </c>
      <c r="AZ1387">
        <v>383</v>
      </c>
      <c r="BA1387">
        <v>582</v>
      </c>
      <c r="BB1387">
        <v>44</v>
      </c>
      <c r="BC1387" t="s">
        <v>96</v>
      </c>
      <c r="BD1387">
        <v>1</v>
      </c>
      <c r="BF1387" t="s">
        <v>1517</v>
      </c>
      <c r="BG1387" s="1">
        <v>44354.129861111112</v>
      </c>
      <c r="BH1387" s="1">
        <v>44354.131215277775</v>
      </c>
      <c r="BI1387" s="1">
        <v>44354.131956018522</v>
      </c>
      <c r="BJ1387" t="s">
        <v>85</v>
      </c>
      <c r="BK1387" t="s">
        <v>86</v>
      </c>
      <c r="BL1387" t="s">
        <v>87</v>
      </c>
    </row>
    <row r="1388" spans="1:64" x14ac:dyDescent="0.3">
      <c r="A1388" t="str">
        <f>"200702B0000"</f>
        <v>200702B0000</v>
      </c>
      <c r="B1388" t="str">
        <f>"200702B00003"</f>
        <v>200702B00003</v>
      </c>
      <c r="C1388" t="str">
        <f t="shared" si="79"/>
        <v>20</v>
      </c>
      <c r="D1388" t="s">
        <v>81</v>
      </c>
      <c r="E1388" t="str">
        <f t="shared" si="80"/>
        <v>076</v>
      </c>
      <c r="F1388" t="s">
        <v>1437</v>
      </c>
      <c r="G1388" t="str">
        <f>"0702"</f>
        <v>0702</v>
      </c>
      <c r="H1388" t="str">
        <f>"0000"</f>
        <v>0000</v>
      </c>
      <c r="I1388" t="s">
        <v>83</v>
      </c>
      <c r="J1388">
        <v>0</v>
      </c>
      <c r="K1388">
        <v>1</v>
      </c>
      <c r="L1388">
        <v>3</v>
      </c>
      <c r="M1388">
        <v>242</v>
      </c>
      <c r="N1388">
        <v>294</v>
      </c>
      <c r="O1388">
        <v>8</v>
      </c>
      <c r="P1388">
        <v>294</v>
      </c>
      <c r="Q1388">
        <v>9</v>
      </c>
      <c r="R1388">
        <v>113</v>
      </c>
      <c r="S1388">
        <v>3</v>
      </c>
      <c r="T1388">
        <v>10</v>
      </c>
      <c r="U1388">
        <v>3</v>
      </c>
      <c r="V1388">
        <v>13</v>
      </c>
      <c r="W1388">
        <v>34</v>
      </c>
      <c r="X1388">
        <v>86</v>
      </c>
      <c r="Y1388">
        <v>2</v>
      </c>
      <c r="Z1388">
        <v>1</v>
      </c>
      <c r="AA1388">
        <v>0</v>
      </c>
      <c r="AB1388">
        <v>6</v>
      </c>
      <c r="AF1388">
        <v>7</v>
      </c>
      <c r="AG1388">
        <v>1</v>
      </c>
      <c r="AH1388" t="s">
        <v>95</v>
      </c>
      <c r="AI1388" t="s">
        <v>95</v>
      </c>
      <c r="AW1388" t="s">
        <v>95</v>
      </c>
      <c r="AX1388">
        <v>6</v>
      </c>
      <c r="AY1388">
        <v>294</v>
      </c>
      <c r="AZ1388">
        <v>294</v>
      </c>
      <c r="BA1388">
        <v>492</v>
      </c>
      <c r="BB1388">
        <v>44</v>
      </c>
      <c r="BC1388" t="s">
        <v>96</v>
      </c>
      <c r="BD1388">
        <v>1</v>
      </c>
      <c r="BF1388" t="s">
        <v>1518</v>
      </c>
      <c r="BG1388" s="1">
        <v>44354.037499999999</v>
      </c>
      <c r="BH1388" s="1">
        <v>44354.045578703706</v>
      </c>
      <c r="BI1388" s="1">
        <v>44354.04619212963</v>
      </c>
      <c r="BJ1388" t="s">
        <v>85</v>
      </c>
      <c r="BK1388" t="s">
        <v>86</v>
      </c>
      <c r="BL1388" t="s">
        <v>87</v>
      </c>
    </row>
    <row r="1389" spans="1:64" x14ac:dyDescent="0.3">
      <c r="A1389" t="str">
        <f>"200702C0100"</f>
        <v>200702C0100</v>
      </c>
      <c r="B1389" t="str">
        <f>"200702C01003"</f>
        <v>200702C01003</v>
      </c>
      <c r="C1389" t="str">
        <f t="shared" si="79"/>
        <v>20</v>
      </c>
      <c r="D1389" t="s">
        <v>81</v>
      </c>
      <c r="E1389" t="str">
        <f t="shared" si="80"/>
        <v>076</v>
      </c>
      <c r="F1389" t="s">
        <v>1437</v>
      </c>
      <c r="G1389" t="str">
        <f>"0702"</f>
        <v>0702</v>
      </c>
      <c r="H1389" t="str">
        <f>"0001"</f>
        <v>0001</v>
      </c>
      <c r="I1389" t="s">
        <v>89</v>
      </c>
      <c r="J1389">
        <v>0</v>
      </c>
      <c r="K1389">
        <v>1</v>
      </c>
      <c r="L1389">
        <v>3</v>
      </c>
      <c r="M1389">
        <v>229</v>
      </c>
      <c r="N1389">
        <v>307</v>
      </c>
      <c r="O1389">
        <v>4</v>
      </c>
      <c r="P1389">
        <v>307</v>
      </c>
      <c r="Q1389">
        <v>7</v>
      </c>
      <c r="R1389">
        <v>97</v>
      </c>
      <c r="S1389">
        <v>2</v>
      </c>
      <c r="T1389">
        <v>19</v>
      </c>
      <c r="U1389">
        <v>5</v>
      </c>
      <c r="V1389">
        <v>12</v>
      </c>
      <c r="W1389">
        <v>32</v>
      </c>
      <c r="X1389">
        <v>46</v>
      </c>
      <c r="Y1389">
        <v>8</v>
      </c>
      <c r="Z1389">
        <v>4</v>
      </c>
      <c r="AA1389">
        <v>1</v>
      </c>
      <c r="AB1389">
        <v>4</v>
      </c>
      <c r="AF1389">
        <v>8</v>
      </c>
      <c r="AG1389">
        <v>4</v>
      </c>
      <c r="AH1389">
        <v>1</v>
      </c>
      <c r="AI1389">
        <v>0</v>
      </c>
      <c r="AW1389">
        <v>0</v>
      </c>
      <c r="AX1389">
        <v>7</v>
      </c>
      <c r="AY1389">
        <v>307</v>
      </c>
      <c r="AZ1389">
        <v>257</v>
      </c>
      <c r="BA1389">
        <v>492</v>
      </c>
      <c r="BB1389">
        <v>44</v>
      </c>
      <c r="BD1389">
        <v>1</v>
      </c>
      <c r="BF1389" t="s">
        <v>1519</v>
      </c>
      <c r="BG1389" s="1">
        <v>44354.037499999999</v>
      </c>
      <c r="BH1389" s="1">
        <v>44354.045324074075</v>
      </c>
      <c r="BI1389" s="1">
        <v>44354.046180555553</v>
      </c>
      <c r="BJ1389" t="s">
        <v>85</v>
      </c>
      <c r="BK1389" t="s">
        <v>86</v>
      </c>
      <c r="BL1389" t="s">
        <v>87</v>
      </c>
    </row>
    <row r="1390" spans="1:64" x14ac:dyDescent="0.3">
      <c r="A1390" t="str">
        <f>"200703B0000"</f>
        <v>200703B0000</v>
      </c>
      <c r="B1390" t="str">
        <f>"200703B00003"</f>
        <v>200703B00003</v>
      </c>
      <c r="C1390" t="str">
        <f t="shared" si="79"/>
        <v>20</v>
      </c>
      <c r="D1390" t="s">
        <v>81</v>
      </c>
      <c r="E1390" t="str">
        <f t="shared" si="80"/>
        <v>076</v>
      </c>
      <c r="F1390" t="s">
        <v>1437</v>
      </c>
      <c r="G1390" t="str">
        <f>"0703"</f>
        <v>0703</v>
      </c>
      <c r="H1390" t="str">
        <f>"0000"</f>
        <v>0000</v>
      </c>
      <c r="I1390" t="s">
        <v>83</v>
      </c>
      <c r="J1390">
        <v>0</v>
      </c>
      <c r="K1390">
        <v>1</v>
      </c>
      <c r="L1390">
        <v>3</v>
      </c>
      <c r="M1390">
        <v>334</v>
      </c>
      <c r="N1390">
        <v>319</v>
      </c>
      <c r="O1390">
        <v>0</v>
      </c>
      <c r="P1390">
        <v>334</v>
      </c>
      <c r="Q1390">
        <v>7</v>
      </c>
      <c r="R1390">
        <v>62</v>
      </c>
      <c r="S1390">
        <v>1</v>
      </c>
      <c r="T1390">
        <v>25</v>
      </c>
      <c r="U1390">
        <v>9</v>
      </c>
      <c r="V1390">
        <v>20</v>
      </c>
      <c r="W1390">
        <v>65</v>
      </c>
      <c r="X1390">
        <v>102</v>
      </c>
      <c r="Y1390">
        <v>5</v>
      </c>
      <c r="Z1390">
        <v>2</v>
      </c>
      <c r="AA1390">
        <v>0</v>
      </c>
      <c r="AB1390">
        <v>6</v>
      </c>
      <c r="AF1390">
        <v>1</v>
      </c>
      <c r="AG1390">
        <v>1</v>
      </c>
      <c r="AH1390">
        <v>0</v>
      </c>
      <c r="AI1390">
        <v>0</v>
      </c>
      <c r="AW1390">
        <v>0</v>
      </c>
      <c r="AX1390">
        <v>10</v>
      </c>
      <c r="AY1390">
        <v>316</v>
      </c>
      <c r="AZ1390">
        <v>316</v>
      </c>
      <c r="BA1390">
        <v>612</v>
      </c>
      <c r="BB1390">
        <v>44</v>
      </c>
      <c r="BD1390">
        <v>1</v>
      </c>
      <c r="BF1390" s="2" t="s">
        <v>1520</v>
      </c>
      <c r="BG1390" s="1">
        <v>44354.529861111114</v>
      </c>
      <c r="BH1390" s="1">
        <v>44354.531770833331</v>
      </c>
      <c r="BI1390" s="1">
        <v>44354.532453703701</v>
      </c>
      <c r="BJ1390" t="s">
        <v>85</v>
      </c>
      <c r="BK1390" t="s">
        <v>86</v>
      </c>
      <c r="BL1390" t="s">
        <v>1390</v>
      </c>
    </row>
    <row r="1391" spans="1:64" x14ac:dyDescent="0.3">
      <c r="A1391" t="str">
        <f>"200703C0100"</f>
        <v>200703C0100</v>
      </c>
      <c r="B1391" t="str">
        <f>"200703C01003"</f>
        <v>200703C01003</v>
      </c>
      <c r="C1391" t="str">
        <f t="shared" si="79"/>
        <v>20</v>
      </c>
      <c r="D1391" t="s">
        <v>81</v>
      </c>
      <c r="E1391" t="str">
        <f t="shared" si="80"/>
        <v>076</v>
      </c>
      <c r="F1391" t="s">
        <v>1437</v>
      </c>
      <c r="G1391" t="str">
        <f>"0703"</f>
        <v>0703</v>
      </c>
      <c r="H1391" t="str">
        <f>"0001"</f>
        <v>0001</v>
      </c>
      <c r="I1391" t="s">
        <v>89</v>
      </c>
      <c r="J1391">
        <v>0</v>
      </c>
      <c r="K1391">
        <v>1</v>
      </c>
      <c r="L1391">
        <v>3</v>
      </c>
      <c r="M1391">
        <v>306</v>
      </c>
      <c r="N1391">
        <v>350</v>
      </c>
      <c r="O1391">
        <v>1</v>
      </c>
      <c r="P1391">
        <v>351</v>
      </c>
      <c r="Q1391">
        <v>3</v>
      </c>
      <c r="R1391">
        <v>85</v>
      </c>
      <c r="S1391">
        <v>0</v>
      </c>
      <c r="T1391">
        <v>14</v>
      </c>
      <c r="U1391">
        <v>11</v>
      </c>
      <c r="V1391">
        <v>19</v>
      </c>
      <c r="W1391">
        <v>66</v>
      </c>
      <c r="X1391">
        <v>128</v>
      </c>
      <c r="Y1391">
        <v>3</v>
      </c>
      <c r="Z1391">
        <v>1</v>
      </c>
      <c r="AA1391">
        <v>3</v>
      </c>
      <c r="AB1391">
        <v>6</v>
      </c>
      <c r="AF1391">
        <v>4</v>
      </c>
      <c r="AG1391">
        <v>0</v>
      </c>
      <c r="AH1391">
        <v>0</v>
      </c>
      <c r="AI1391">
        <v>0</v>
      </c>
      <c r="AW1391">
        <v>0</v>
      </c>
      <c r="AX1391">
        <v>8</v>
      </c>
      <c r="AY1391">
        <v>351</v>
      </c>
      <c r="AZ1391">
        <v>351</v>
      </c>
      <c r="BA1391">
        <v>612</v>
      </c>
      <c r="BB1391">
        <v>44</v>
      </c>
      <c r="BD1391">
        <v>1</v>
      </c>
      <c r="BF1391" t="s">
        <v>1521</v>
      </c>
      <c r="BG1391" s="1">
        <v>44354.161111111112</v>
      </c>
      <c r="BH1391" s="1">
        <v>44354.163182870368</v>
      </c>
      <c r="BI1391" s="1">
        <v>44354.163888888892</v>
      </c>
      <c r="BJ1391" t="s">
        <v>85</v>
      </c>
      <c r="BK1391" t="s">
        <v>86</v>
      </c>
      <c r="BL1391" t="s">
        <v>87</v>
      </c>
    </row>
    <row r="1392" spans="1:64" x14ac:dyDescent="0.3">
      <c r="A1392" t="str">
        <f>"200703C0200"</f>
        <v>200703C0200</v>
      </c>
      <c r="B1392" t="str">
        <f>"200703C02003"</f>
        <v>200703C02003</v>
      </c>
      <c r="C1392" t="str">
        <f t="shared" si="79"/>
        <v>20</v>
      </c>
      <c r="D1392" t="s">
        <v>81</v>
      </c>
      <c r="E1392" t="str">
        <f t="shared" si="80"/>
        <v>076</v>
      </c>
      <c r="F1392" t="s">
        <v>1437</v>
      </c>
      <c r="G1392" t="str">
        <f>"0703"</f>
        <v>0703</v>
      </c>
      <c r="H1392" t="str">
        <f>"0002"</f>
        <v>0002</v>
      </c>
      <c r="I1392" t="s">
        <v>89</v>
      </c>
      <c r="J1392">
        <v>0</v>
      </c>
      <c r="K1392">
        <v>1</v>
      </c>
      <c r="L1392">
        <v>3</v>
      </c>
      <c r="M1392">
        <v>276</v>
      </c>
      <c r="N1392">
        <v>656</v>
      </c>
      <c r="O1392">
        <v>3</v>
      </c>
      <c r="P1392">
        <v>380</v>
      </c>
      <c r="Q1392">
        <v>3</v>
      </c>
      <c r="R1392">
        <v>102</v>
      </c>
      <c r="S1392">
        <v>1</v>
      </c>
      <c r="T1392">
        <v>31</v>
      </c>
      <c r="U1392">
        <v>11</v>
      </c>
      <c r="V1392">
        <v>20</v>
      </c>
      <c r="W1392">
        <v>66</v>
      </c>
      <c r="X1392">
        <v>115</v>
      </c>
      <c r="Y1392">
        <v>4</v>
      </c>
      <c r="Z1392">
        <v>1</v>
      </c>
      <c r="AA1392">
        <v>1</v>
      </c>
      <c r="AB1392">
        <v>15</v>
      </c>
      <c r="AF1392">
        <v>3</v>
      </c>
      <c r="AG1392" t="s">
        <v>95</v>
      </c>
      <c r="AH1392" t="s">
        <v>95</v>
      </c>
      <c r="AI1392" t="s">
        <v>95</v>
      </c>
      <c r="AW1392" t="s">
        <v>95</v>
      </c>
      <c r="AX1392">
        <v>7</v>
      </c>
      <c r="AY1392">
        <v>380</v>
      </c>
      <c r="AZ1392">
        <v>380</v>
      </c>
      <c r="BA1392">
        <v>612</v>
      </c>
      <c r="BB1392">
        <v>44</v>
      </c>
      <c r="BC1392" t="s">
        <v>96</v>
      </c>
      <c r="BD1392">
        <v>1</v>
      </c>
      <c r="BF1392" t="s">
        <v>1522</v>
      </c>
      <c r="BG1392" s="1">
        <v>44354.180555555555</v>
      </c>
      <c r="BH1392" s="1">
        <v>44354.182175925926</v>
      </c>
      <c r="BI1392" s="1">
        <v>44354.182905092595</v>
      </c>
      <c r="BJ1392" t="s">
        <v>85</v>
      </c>
      <c r="BK1392" t="s">
        <v>86</v>
      </c>
      <c r="BL1392" t="s">
        <v>87</v>
      </c>
    </row>
    <row r="1393" spans="1:64" x14ac:dyDescent="0.3">
      <c r="A1393" t="str">
        <f>"200704B0000"</f>
        <v>200704B0000</v>
      </c>
      <c r="B1393" t="str">
        <f>"200704B00003"</f>
        <v>200704B00003</v>
      </c>
      <c r="C1393" t="str">
        <f t="shared" si="79"/>
        <v>20</v>
      </c>
      <c r="D1393" t="s">
        <v>81</v>
      </c>
      <c r="E1393" t="str">
        <f t="shared" si="80"/>
        <v>076</v>
      </c>
      <c r="F1393" t="s">
        <v>1437</v>
      </c>
      <c r="G1393" t="str">
        <f>"0704"</f>
        <v>0704</v>
      </c>
      <c r="H1393" t="str">
        <f>"0000"</f>
        <v>0000</v>
      </c>
      <c r="I1393" t="s">
        <v>83</v>
      </c>
      <c r="J1393">
        <v>0</v>
      </c>
      <c r="K1393">
        <v>1</v>
      </c>
      <c r="L1393">
        <v>3</v>
      </c>
      <c r="M1393">
        <v>252</v>
      </c>
      <c r="N1393">
        <v>389</v>
      </c>
      <c r="O1393">
        <v>2</v>
      </c>
      <c r="P1393">
        <v>389</v>
      </c>
      <c r="Q1393">
        <v>7</v>
      </c>
      <c r="R1393">
        <v>140</v>
      </c>
      <c r="S1393">
        <v>2</v>
      </c>
      <c r="T1393">
        <v>4</v>
      </c>
      <c r="U1393">
        <v>7</v>
      </c>
      <c r="V1393">
        <v>8</v>
      </c>
      <c r="W1393">
        <v>72</v>
      </c>
      <c r="X1393">
        <v>106</v>
      </c>
      <c r="Y1393">
        <v>1</v>
      </c>
      <c r="Z1393">
        <v>3</v>
      </c>
      <c r="AA1393">
        <v>3</v>
      </c>
      <c r="AB1393">
        <v>27</v>
      </c>
      <c r="AF1393">
        <v>1</v>
      </c>
      <c r="AG1393">
        <v>1</v>
      </c>
      <c r="AH1393">
        <v>0</v>
      </c>
      <c r="AI1393">
        <v>1</v>
      </c>
      <c r="AW1393">
        <v>0</v>
      </c>
      <c r="AX1393">
        <v>7</v>
      </c>
      <c r="AY1393">
        <v>389</v>
      </c>
      <c r="AZ1393">
        <v>390</v>
      </c>
      <c r="BA1393">
        <v>597</v>
      </c>
      <c r="BB1393">
        <v>44</v>
      </c>
      <c r="BD1393">
        <v>1</v>
      </c>
      <c r="BF1393" t="s">
        <v>1523</v>
      </c>
      <c r="BG1393" s="1">
        <v>44354.21597222222</v>
      </c>
      <c r="BH1393" s="1">
        <v>44354.21738425926</v>
      </c>
      <c r="BI1393" s="1">
        <v>44354.217905092592</v>
      </c>
      <c r="BJ1393" t="s">
        <v>85</v>
      </c>
      <c r="BK1393" t="s">
        <v>86</v>
      </c>
      <c r="BL1393" t="s">
        <v>87</v>
      </c>
    </row>
    <row r="1394" spans="1:64" x14ac:dyDescent="0.3">
      <c r="A1394" t="str">
        <f>"200705B0000"</f>
        <v>200705B0000</v>
      </c>
      <c r="B1394" t="str">
        <f>"200705B00003"</f>
        <v>200705B00003</v>
      </c>
      <c r="C1394" t="str">
        <f t="shared" si="79"/>
        <v>20</v>
      </c>
      <c r="D1394" t="s">
        <v>81</v>
      </c>
      <c r="E1394" t="str">
        <f t="shared" si="80"/>
        <v>076</v>
      </c>
      <c r="F1394" t="s">
        <v>1437</v>
      </c>
      <c r="G1394" t="str">
        <f>"0705"</f>
        <v>0705</v>
      </c>
      <c r="H1394" t="str">
        <f>"0000"</f>
        <v>0000</v>
      </c>
      <c r="I1394" t="s">
        <v>83</v>
      </c>
      <c r="J1394">
        <v>0</v>
      </c>
      <c r="K1394">
        <v>1</v>
      </c>
      <c r="L1394">
        <v>3</v>
      </c>
      <c r="M1394">
        <v>99</v>
      </c>
      <c r="N1394">
        <v>216</v>
      </c>
      <c r="O1394">
        <v>6</v>
      </c>
      <c r="P1394">
        <v>216</v>
      </c>
      <c r="Q1394">
        <v>4</v>
      </c>
      <c r="R1394">
        <v>62</v>
      </c>
      <c r="S1394">
        <v>0</v>
      </c>
      <c r="T1394">
        <v>7</v>
      </c>
      <c r="U1394">
        <v>4</v>
      </c>
      <c r="V1394">
        <v>3</v>
      </c>
      <c r="W1394">
        <v>61</v>
      </c>
      <c r="X1394">
        <v>63</v>
      </c>
      <c r="Y1394">
        <v>1</v>
      </c>
      <c r="Z1394">
        <v>0</v>
      </c>
      <c r="AA1394">
        <v>2</v>
      </c>
      <c r="AB1394">
        <v>2</v>
      </c>
      <c r="AF1394">
        <v>1</v>
      </c>
      <c r="AG1394">
        <v>0</v>
      </c>
      <c r="AH1394">
        <v>0</v>
      </c>
      <c r="AI1394">
        <v>1</v>
      </c>
      <c r="AW1394">
        <v>0</v>
      </c>
      <c r="AX1394">
        <v>5</v>
      </c>
      <c r="AY1394">
        <v>216</v>
      </c>
      <c r="AZ1394">
        <v>216</v>
      </c>
      <c r="BA1394">
        <v>272</v>
      </c>
      <c r="BB1394">
        <v>44</v>
      </c>
      <c r="BD1394">
        <v>1</v>
      </c>
      <c r="BF1394" t="s">
        <v>1524</v>
      </c>
      <c r="BG1394" s="1">
        <v>44354.215277777781</v>
      </c>
      <c r="BH1394" s="1">
        <v>44354.216874999998</v>
      </c>
      <c r="BI1394" s="1">
        <v>44354.217453703706</v>
      </c>
      <c r="BJ1394" t="s">
        <v>85</v>
      </c>
      <c r="BK1394" t="s">
        <v>86</v>
      </c>
      <c r="BL1394" t="s">
        <v>87</v>
      </c>
    </row>
    <row r="1395" spans="1:64" x14ac:dyDescent="0.3">
      <c r="A1395" t="str">
        <f>"200706B0000"</f>
        <v>200706B0000</v>
      </c>
      <c r="B1395" t="str">
        <f>"200706B00003"</f>
        <v>200706B00003</v>
      </c>
      <c r="C1395" t="str">
        <f t="shared" si="79"/>
        <v>20</v>
      </c>
      <c r="D1395" t="s">
        <v>81</v>
      </c>
      <c r="E1395" t="str">
        <f t="shared" si="80"/>
        <v>076</v>
      </c>
      <c r="F1395" t="s">
        <v>1437</v>
      </c>
      <c r="G1395" t="str">
        <f>"0706"</f>
        <v>0706</v>
      </c>
      <c r="H1395" t="str">
        <f>"0000"</f>
        <v>0000</v>
      </c>
      <c r="I1395" t="s">
        <v>83</v>
      </c>
      <c r="J1395">
        <v>0</v>
      </c>
      <c r="K1395">
        <v>1</v>
      </c>
      <c r="L1395">
        <v>3</v>
      </c>
      <c r="M1395">
        <v>281</v>
      </c>
      <c r="N1395">
        <v>453</v>
      </c>
      <c r="O1395">
        <v>0</v>
      </c>
      <c r="P1395">
        <v>453</v>
      </c>
      <c r="Q1395">
        <v>4</v>
      </c>
      <c r="R1395">
        <v>127</v>
      </c>
      <c r="S1395">
        <v>4</v>
      </c>
      <c r="T1395">
        <v>19</v>
      </c>
      <c r="U1395">
        <v>4</v>
      </c>
      <c r="V1395">
        <v>6</v>
      </c>
      <c r="W1395">
        <v>111</v>
      </c>
      <c r="X1395">
        <v>134</v>
      </c>
      <c r="Y1395">
        <v>5</v>
      </c>
      <c r="Z1395">
        <v>0</v>
      </c>
      <c r="AA1395">
        <v>1</v>
      </c>
      <c r="AB1395">
        <v>17</v>
      </c>
      <c r="AF1395">
        <v>9</v>
      </c>
      <c r="AG1395">
        <v>0</v>
      </c>
      <c r="AH1395">
        <v>0</v>
      </c>
      <c r="AI1395">
        <v>0</v>
      </c>
      <c r="AW1395">
        <v>0</v>
      </c>
      <c r="AX1395">
        <v>12</v>
      </c>
      <c r="AY1395">
        <v>453</v>
      </c>
      <c r="AZ1395">
        <v>453</v>
      </c>
      <c r="BA1395">
        <v>690</v>
      </c>
      <c r="BB1395">
        <v>44</v>
      </c>
      <c r="BD1395">
        <v>1</v>
      </c>
      <c r="BF1395" t="s">
        <v>1525</v>
      </c>
      <c r="BG1395" s="1">
        <v>44354.027083333334</v>
      </c>
      <c r="BH1395" s="1">
        <v>44354.033738425926</v>
      </c>
      <c r="BI1395" s="1">
        <v>44354.034120370372</v>
      </c>
      <c r="BJ1395" t="s">
        <v>85</v>
      </c>
      <c r="BK1395" t="s">
        <v>86</v>
      </c>
      <c r="BL1395" t="s">
        <v>87</v>
      </c>
    </row>
    <row r="1396" spans="1:64" x14ac:dyDescent="0.3">
      <c r="A1396" t="str">
        <f>"200707B0000"</f>
        <v>200707B0000</v>
      </c>
      <c r="B1396" t="str">
        <f>"200707B00003"</f>
        <v>200707B00003</v>
      </c>
      <c r="C1396" t="str">
        <f t="shared" si="79"/>
        <v>20</v>
      </c>
      <c r="D1396" t="s">
        <v>81</v>
      </c>
      <c r="E1396" t="str">
        <f t="shared" si="80"/>
        <v>076</v>
      </c>
      <c r="F1396" t="s">
        <v>1437</v>
      </c>
      <c r="G1396" t="str">
        <f>"0707"</f>
        <v>0707</v>
      </c>
      <c r="H1396" t="str">
        <f>"0000"</f>
        <v>0000</v>
      </c>
      <c r="I1396" t="s">
        <v>83</v>
      </c>
      <c r="J1396">
        <v>0</v>
      </c>
      <c r="K1396">
        <v>1</v>
      </c>
      <c r="L1396">
        <v>3</v>
      </c>
      <c r="BA1396">
        <v>488</v>
      </c>
      <c r="BB1396">
        <v>44</v>
      </c>
      <c r="BC1396" t="s">
        <v>161</v>
      </c>
      <c r="BD1396">
        <v>0</v>
      </c>
      <c r="BF1396" t="s">
        <v>1526</v>
      </c>
      <c r="BG1396" s="1">
        <v>44354.541666666664</v>
      </c>
      <c r="BH1396" s="1">
        <v>44354.543703703705</v>
      </c>
      <c r="BI1396" s="1">
        <v>44354.543703703705</v>
      </c>
      <c r="BJ1396" t="s">
        <v>85</v>
      </c>
      <c r="BK1396" t="s">
        <v>86</v>
      </c>
      <c r="BL1396" t="s">
        <v>87</v>
      </c>
    </row>
    <row r="1397" spans="1:64" x14ac:dyDescent="0.3">
      <c r="A1397" t="str">
        <f>"200707C0100"</f>
        <v>200707C0100</v>
      </c>
      <c r="B1397" t="str">
        <f>"200707C01003"</f>
        <v>200707C01003</v>
      </c>
      <c r="C1397" t="str">
        <f t="shared" si="79"/>
        <v>20</v>
      </c>
      <c r="D1397" t="s">
        <v>81</v>
      </c>
      <c r="E1397" t="str">
        <f t="shared" si="80"/>
        <v>076</v>
      </c>
      <c r="F1397" t="s">
        <v>1437</v>
      </c>
      <c r="G1397" t="str">
        <f>"0707"</f>
        <v>0707</v>
      </c>
      <c r="H1397" t="str">
        <f>"0001"</f>
        <v>0001</v>
      </c>
      <c r="I1397" t="s">
        <v>89</v>
      </c>
      <c r="J1397">
        <v>0</v>
      </c>
      <c r="K1397">
        <v>1</v>
      </c>
      <c r="L1397">
        <v>3</v>
      </c>
      <c r="M1397">
        <v>208</v>
      </c>
      <c r="N1397">
        <v>333</v>
      </c>
      <c r="O1397">
        <v>6</v>
      </c>
      <c r="P1397" t="s">
        <v>92</v>
      </c>
      <c r="Q1397">
        <v>3</v>
      </c>
      <c r="R1397">
        <v>124</v>
      </c>
      <c r="S1397">
        <v>3</v>
      </c>
      <c r="T1397">
        <v>35</v>
      </c>
      <c r="U1397">
        <v>4</v>
      </c>
      <c r="V1397">
        <v>10</v>
      </c>
      <c r="W1397">
        <v>65</v>
      </c>
      <c r="X1397">
        <v>65</v>
      </c>
      <c r="Y1397">
        <v>7</v>
      </c>
      <c r="Z1397">
        <v>3</v>
      </c>
      <c r="AA1397" t="s">
        <v>95</v>
      </c>
      <c r="AB1397">
        <v>7</v>
      </c>
      <c r="AF1397">
        <v>1</v>
      </c>
      <c r="AG1397" t="s">
        <v>95</v>
      </c>
      <c r="AH1397" t="s">
        <v>95</v>
      </c>
      <c r="AI1397" t="s">
        <v>95</v>
      </c>
      <c r="AW1397" t="s">
        <v>95</v>
      </c>
      <c r="AX1397">
        <v>6</v>
      </c>
      <c r="AY1397">
        <v>333</v>
      </c>
      <c r="AZ1397">
        <v>333</v>
      </c>
      <c r="BA1397">
        <v>488</v>
      </c>
      <c r="BB1397">
        <v>44</v>
      </c>
      <c r="BC1397" t="s">
        <v>96</v>
      </c>
      <c r="BD1397">
        <v>1</v>
      </c>
      <c r="BF1397" t="s">
        <v>1527</v>
      </c>
      <c r="BG1397" s="1">
        <v>44354.257638888892</v>
      </c>
      <c r="BH1397" s="1">
        <v>44354.259386574071</v>
      </c>
      <c r="BI1397" s="1">
        <v>44354.26</v>
      </c>
      <c r="BJ1397" t="s">
        <v>85</v>
      </c>
      <c r="BK1397" t="s">
        <v>86</v>
      </c>
      <c r="BL1397" t="s">
        <v>87</v>
      </c>
    </row>
    <row r="1398" spans="1:64" x14ac:dyDescent="0.3">
      <c r="A1398" t="str">
        <f>"200708B0000"</f>
        <v>200708B0000</v>
      </c>
      <c r="B1398" t="str">
        <f>"200708B00003"</f>
        <v>200708B00003</v>
      </c>
      <c r="C1398" t="str">
        <f t="shared" si="79"/>
        <v>20</v>
      </c>
      <c r="D1398" t="s">
        <v>81</v>
      </c>
      <c r="E1398" t="str">
        <f t="shared" si="80"/>
        <v>076</v>
      </c>
      <c r="F1398" t="s">
        <v>1437</v>
      </c>
      <c r="G1398" t="str">
        <f>"0708"</f>
        <v>0708</v>
      </c>
      <c r="H1398" t="str">
        <f>"0000"</f>
        <v>0000</v>
      </c>
      <c r="I1398" t="s">
        <v>83</v>
      </c>
      <c r="J1398">
        <v>0</v>
      </c>
      <c r="K1398">
        <v>1</v>
      </c>
      <c r="L1398">
        <v>3</v>
      </c>
      <c r="M1398">
        <v>302</v>
      </c>
      <c r="N1398">
        <v>487</v>
      </c>
      <c r="O1398">
        <v>7</v>
      </c>
      <c r="P1398">
        <v>487</v>
      </c>
      <c r="Q1398">
        <v>6</v>
      </c>
      <c r="R1398">
        <v>102</v>
      </c>
      <c r="S1398">
        <v>6</v>
      </c>
      <c r="T1398">
        <v>11</v>
      </c>
      <c r="U1398">
        <v>10</v>
      </c>
      <c r="V1398">
        <v>10</v>
      </c>
      <c r="W1398">
        <v>150</v>
      </c>
      <c r="X1398">
        <v>135</v>
      </c>
      <c r="Y1398">
        <v>2</v>
      </c>
      <c r="Z1398">
        <v>3</v>
      </c>
      <c r="AA1398">
        <v>6</v>
      </c>
      <c r="AB1398">
        <v>28</v>
      </c>
      <c r="AF1398">
        <v>3</v>
      </c>
      <c r="AG1398">
        <v>1</v>
      </c>
      <c r="AH1398">
        <v>0</v>
      </c>
      <c r="AI1398">
        <v>0</v>
      </c>
      <c r="AW1398">
        <v>0</v>
      </c>
      <c r="AX1398">
        <v>14</v>
      </c>
      <c r="AY1398">
        <v>487</v>
      </c>
      <c r="AZ1398">
        <v>487</v>
      </c>
      <c r="BA1398">
        <v>745</v>
      </c>
      <c r="BB1398">
        <v>44</v>
      </c>
      <c r="BD1398">
        <v>1</v>
      </c>
      <c r="BF1398" t="s">
        <v>1528</v>
      </c>
      <c r="BG1398" s="1">
        <v>44354.12222222222</v>
      </c>
      <c r="BH1398" s="1">
        <v>44354.123923611114</v>
      </c>
      <c r="BI1398" s="1">
        <v>44354.124722222223</v>
      </c>
      <c r="BJ1398" t="s">
        <v>85</v>
      </c>
      <c r="BK1398" t="s">
        <v>86</v>
      </c>
      <c r="BL1398" t="s">
        <v>87</v>
      </c>
    </row>
    <row r="1399" spans="1:64" x14ac:dyDescent="0.3">
      <c r="A1399" t="str">
        <f>"200708C0100"</f>
        <v>200708C0100</v>
      </c>
      <c r="B1399" t="str">
        <f>"200708C01003"</f>
        <v>200708C01003</v>
      </c>
      <c r="C1399" t="str">
        <f t="shared" si="79"/>
        <v>20</v>
      </c>
      <c r="D1399" t="s">
        <v>81</v>
      </c>
      <c r="E1399" t="str">
        <f t="shared" si="80"/>
        <v>076</v>
      </c>
      <c r="F1399" t="s">
        <v>1437</v>
      </c>
      <c r="G1399" t="str">
        <f>"0708"</f>
        <v>0708</v>
      </c>
      <c r="H1399" t="str">
        <f>"0001"</f>
        <v>0001</v>
      </c>
      <c r="I1399" t="s">
        <v>89</v>
      </c>
      <c r="J1399">
        <v>0</v>
      </c>
      <c r="K1399">
        <v>1</v>
      </c>
      <c r="L1399">
        <v>3</v>
      </c>
      <c r="M1399">
        <v>255</v>
      </c>
      <c r="N1399">
        <v>533</v>
      </c>
      <c r="O1399">
        <v>10</v>
      </c>
      <c r="P1399">
        <v>533</v>
      </c>
      <c r="Q1399">
        <v>7</v>
      </c>
      <c r="R1399">
        <v>156</v>
      </c>
      <c r="S1399">
        <v>5</v>
      </c>
      <c r="T1399">
        <v>14</v>
      </c>
      <c r="U1399">
        <v>5</v>
      </c>
      <c r="V1399">
        <v>15</v>
      </c>
      <c r="W1399">
        <v>151</v>
      </c>
      <c r="X1399">
        <v>135</v>
      </c>
      <c r="Y1399">
        <v>6</v>
      </c>
      <c r="Z1399">
        <v>2</v>
      </c>
      <c r="AA1399">
        <v>1</v>
      </c>
      <c r="AB1399">
        <v>12</v>
      </c>
      <c r="AF1399">
        <v>4</v>
      </c>
      <c r="AG1399">
        <v>2</v>
      </c>
      <c r="AH1399">
        <v>0</v>
      </c>
      <c r="AI1399">
        <v>0</v>
      </c>
      <c r="AW1399">
        <v>0</v>
      </c>
      <c r="AX1399">
        <v>18</v>
      </c>
      <c r="AY1399">
        <v>533</v>
      </c>
      <c r="AZ1399">
        <v>533</v>
      </c>
      <c r="BA1399">
        <v>744</v>
      </c>
      <c r="BB1399">
        <v>44</v>
      </c>
      <c r="BD1399">
        <v>1</v>
      </c>
      <c r="BF1399" t="s">
        <v>1529</v>
      </c>
      <c r="BG1399" s="1">
        <v>44354.122916666667</v>
      </c>
      <c r="BH1399" s="1">
        <v>44354.1250462963</v>
      </c>
      <c r="BI1399" s="1">
        <v>44354.125671296293</v>
      </c>
      <c r="BJ1399" t="s">
        <v>85</v>
      </c>
      <c r="BK1399" t="s">
        <v>86</v>
      </c>
      <c r="BL1399" t="s">
        <v>87</v>
      </c>
    </row>
    <row r="1400" spans="1:64" x14ac:dyDescent="0.3">
      <c r="A1400" t="str">
        <f>"200708C0200"</f>
        <v>200708C0200</v>
      </c>
      <c r="B1400" t="str">
        <f>"200708C02003"</f>
        <v>200708C02003</v>
      </c>
      <c r="C1400" t="str">
        <f t="shared" si="79"/>
        <v>20</v>
      </c>
      <c r="D1400" t="s">
        <v>81</v>
      </c>
      <c r="E1400" t="str">
        <f t="shared" si="80"/>
        <v>076</v>
      </c>
      <c r="F1400" t="s">
        <v>1437</v>
      </c>
      <c r="G1400" t="str">
        <f>"0708"</f>
        <v>0708</v>
      </c>
      <c r="H1400" t="str">
        <f>"0002"</f>
        <v>0002</v>
      </c>
      <c r="I1400" t="s">
        <v>89</v>
      </c>
      <c r="J1400">
        <v>0</v>
      </c>
      <c r="K1400">
        <v>1</v>
      </c>
      <c r="L1400">
        <v>3</v>
      </c>
      <c r="M1400">
        <v>309</v>
      </c>
      <c r="N1400">
        <v>488</v>
      </c>
      <c r="O1400">
        <v>9</v>
      </c>
      <c r="P1400">
        <v>479</v>
      </c>
      <c r="Q1400">
        <v>5</v>
      </c>
      <c r="R1400">
        <v>138</v>
      </c>
      <c r="S1400">
        <v>4</v>
      </c>
      <c r="T1400">
        <v>10</v>
      </c>
      <c r="U1400">
        <v>7</v>
      </c>
      <c r="V1400">
        <v>8</v>
      </c>
      <c r="W1400">
        <v>128</v>
      </c>
      <c r="X1400">
        <v>141</v>
      </c>
      <c r="Y1400">
        <v>3</v>
      </c>
      <c r="Z1400">
        <v>3</v>
      </c>
      <c r="AA1400">
        <v>2</v>
      </c>
      <c r="AB1400">
        <v>18</v>
      </c>
      <c r="AF1400">
        <v>1</v>
      </c>
      <c r="AG1400">
        <v>0</v>
      </c>
      <c r="AH1400">
        <v>0</v>
      </c>
      <c r="AI1400">
        <v>0</v>
      </c>
      <c r="AW1400">
        <v>0</v>
      </c>
      <c r="AX1400">
        <v>14</v>
      </c>
      <c r="AY1400">
        <v>479</v>
      </c>
      <c r="AZ1400">
        <v>482</v>
      </c>
      <c r="BA1400">
        <v>744</v>
      </c>
      <c r="BB1400">
        <v>44</v>
      </c>
      <c r="BD1400">
        <v>1</v>
      </c>
      <c r="BF1400" t="s">
        <v>1530</v>
      </c>
      <c r="BG1400" s="1">
        <v>44354.125</v>
      </c>
      <c r="BH1400" s="1">
        <v>44354.126759259256</v>
      </c>
      <c r="BI1400" s="1">
        <v>44354.127488425926</v>
      </c>
      <c r="BJ1400" t="s">
        <v>85</v>
      </c>
      <c r="BK1400" t="s">
        <v>86</v>
      </c>
      <c r="BL1400" t="s">
        <v>87</v>
      </c>
    </row>
    <row r="1401" spans="1:64" x14ac:dyDescent="0.3">
      <c r="A1401" t="str">
        <f>"200708E0100"</f>
        <v>200708E0100</v>
      </c>
      <c r="B1401" t="str">
        <f>"200708E01003"</f>
        <v>200708E01003</v>
      </c>
      <c r="C1401" t="str">
        <f t="shared" si="79"/>
        <v>20</v>
      </c>
      <c r="D1401" t="s">
        <v>81</v>
      </c>
      <c r="E1401" t="str">
        <f t="shared" si="80"/>
        <v>076</v>
      </c>
      <c r="F1401" t="s">
        <v>1437</v>
      </c>
      <c r="G1401" t="str">
        <f>"0708"</f>
        <v>0708</v>
      </c>
      <c r="H1401" t="str">
        <f>"0001"</f>
        <v>0001</v>
      </c>
      <c r="I1401" t="s">
        <v>122</v>
      </c>
      <c r="J1401">
        <v>0</v>
      </c>
      <c r="K1401">
        <v>1</v>
      </c>
      <c r="L1401">
        <v>3</v>
      </c>
      <c r="M1401">
        <v>105</v>
      </c>
      <c r="N1401">
        <v>156</v>
      </c>
      <c r="O1401">
        <v>13</v>
      </c>
      <c r="P1401">
        <v>156</v>
      </c>
      <c r="Q1401">
        <v>2</v>
      </c>
      <c r="R1401">
        <v>29</v>
      </c>
      <c r="S1401">
        <v>3</v>
      </c>
      <c r="T1401">
        <v>32</v>
      </c>
      <c r="U1401">
        <v>6</v>
      </c>
      <c r="V1401">
        <v>13</v>
      </c>
      <c r="W1401">
        <v>6</v>
      </c>
      <c r="X1401">
        <v>44</v>
      </c>
      <c r="Y1401">
        <v>2</v>
      </c>
      <c r="Z1401">
        <v>1</v>
      </c>
      <c r="AA1401">
        <v>3</v>
      </c>
      <c r="AB1401">
        <v>5</v>
      </c>
      <c r="AF1401">
        <v>1</v>
      </c>
      <c r="AG1401">
        <v>1</v>
      </c>
      <c r="AH1401">
        <v>0</v>
      </c>
      <c r="AI1401">
        <v>0</v>
      </c>
      <c r="AW1401">
        <v>0</v>
      </c>
      <c r="AX1401">
        <v>8</v>
      </c>
      <c r="AY1401">
        <v>156</v>
      </c>
      <c r="AZ1401">
        <v>156</v>
      </c>
      <c r="BA1401">
        <v>217</v>
      </c>
      <c r="BB1401">
        <v>44</v>
      </c>
      <c r="BD1401">
        <v>1</v>
      </c>
      <c r="BF1401" t="s">
        <v>1531</v>
      </c>
      <c r="BG1401" s="1">
        <v>44354.126388888886</v>
      </c>
      <c r="BH1401" s="1">
        <v>44354.128912037035</v>
      </c>
      <c r="BI1401" s="1">
        <v>44354.129699074074</v>
      </c>
      <c r="BJ1401" t="s">
        <v>85</v>
      </c>
      <c r="BK1401" t="s">
        <v>86</v>
      </c>
      <c r="BL1401" t="s">
        <v>87</v>
      </c>
    </row>
    <row r="1402" spans="1:64" x14ac:dyDescent="0.3">
      <c r="A1402" t="str">
        <f>"200709B0000"</f>
        <v>200709B0000</v>
      </c>
      <c r="B1402" t="str">
        <f>"200709B00003"</f>
        <v>200709B00003</v>
      </c>
      <c r="C1402" t="str">
        <f t="shared" si="79"/>
        <v>20</v>
      </c>
      <c r="D1402" t="s">
        <v>81</v>
      </c>
      <c r="E1402" t="str">
        <f t="shared" si="80"/>
        <v>076</v>
      </c>
      <c r="F1402" t="s">
        <v>1437</v>
      </c>
      <c r="G1402" t="str">
        <f>"0709"</f>
        <v>0709</v>
      </c>
      <c r="H1402" t="str">
        <f>"0000"</f>
        <v>0000</v>
      </c>
      <c r="I1402" t="s">
        <v>83</v>
      </c>
      <c r="J1402">
        <v>0</v>
      </c>
      <c r="K1402">
        <v>1</v>
      </c>
      <c r="L1402">
        <v>3</v>
      </c>
      <c r="M1402">
        <v>269</v>
      </c>
      <c r="N1402">
        <v>266</v>
      </c>
      <c r="O1402">
        <v>4</v>
      </c>
      <c r="P1402">
        <v>266</v>
      </c>
      <c r="Q1402">
        <v>5</v>
      </c>
      <c r="R1402">
        <v>44</v>
      </c>
      <c r="S1402">
        <v>6</v>
      </c>
      <c r="T1402">
        <v>45</v>
      </c>
      <c r="U1402">
        <v>8</v>
      </c>
      <c r="V1402">
        <v>9</v>
      </c>
      <c r="W1402">
        <v>37</v>
      </c>
      <c r="X1402">
        <v>94</v>
      </c>
      <c r="Y1402">
        <v>2</v>
      </c>
      <c r="Z1402">
        <v>1</v>
      </c>
      <c r="AA1402">
        <v>1</v>
      </c>
      <c r="AB1402">
        <v>6</v>
      </c>
      <c r="AF1402">
        <v>2</v>
      </c>
      <c r="AG1402">
        <v>1</v>
      </c>
      <c r="AH1402">
        <v>1</v>
      </c>
      <c r="AI1402">
        <v>0</v>
      </c>
      <c r="AW1402">
        <v>0</v>
      </c>
      <c r="AX1402">
        <v>4</v>
      </c>
      <c r="AY1402">
        <v>266</v>
      </c>
      <c r="AZ1402">
        <v>266</v>
      </c>
      <c r="BA1402">
        <v>494</v>
      </c>
      <c r="BB1402">
        <v>44</v>
      </c>
      <c r="BD1402">
        <v>1</v>
      </c>
      <c r="BF1402" t="s">
        <v>1532</v>
      </c>
      <c r="BG1402" s="1">
        <v>44354.033333333333</v>
      </c>
      <c r="BH1402" s="1">
        <v>44354.040335648147</v>
      </c>
      <c r="BI1402" s="1">
        <v>44354.041446759256</v>
      </c>
      <c r="BJ1402" t="s">
        <v>85</v>
      </c>
      <c r="BK1402" t="s">
        <v>86</v>
      </c>
      <c r="BL1402" t="s">
        <v>87</v>
      </c>
    </row>
    <row r="1403" spans="1:64" x14ac:dyDescent="0.3">
      <c r="A1403" t="str">
        <f>"200709C0100"</f>
        <v>200709C0100</v>
      </c>
      <c r="B1403" t="str">
        <f>"200709C01003"</f>
        <v>200709C01003</v>
      </c>
      <c r="C1403" t="str">
        <f t="shared" si="79"/>
        <v>20</v>
      </c>
      <c r="D1403" t="s">
        <v>81</v>
      </c>
      <c r="E1403" t="str">
        <f t="shared" si="80"/>
        <v>076</v>
      </c>
      <c r="F1403" t="s">
        <v>1437</v>
      </c>
      <c r="G1403" t="str">
        <f>"0709"</f>
        <v>0709</v>
      </c>
      <c r="H1403" t="str">
        <f>"0001"</f>
        <v>0001</v>
      </c>
      <c r="I1403" t="s">
        <v>89</v>
      </c>
      <c r="J1403">
        <v>0</v>
      </c>
      <c r="K1403">
        <v>1</v>
      </c>
      <c r="L1403">
        <v>3</v>
      </c>
      <c r="M1403">
        <v>259</v>
      </c>
      <c r="N1403">
        <v>278</v>
      </c>
      <c r="O1403">
        <v>0</v>
      </c>
      <c r="P1403">
        <v>278</v>
      </c>
      <c r="Q1403">
        <v>3</v>
      </c>
      <c r="R1403">
        <v>53</v>
      </c>
      <c r="S1403">
        <v>6</v>
      </c>
      <c r="T1403">
        <v>37</v>
      </c>
      <c r="U1403">
        <v>12</v>
      </c>
      <c r="V1403">
        <v>9</v>
      </c>
      <c r="W1403">
        <v>26</v>
      </c>
      <c r="X1403">
        <v>107</v>
      </c>
      <c r="Y1403">
        <v>0</v>
      </c>
      <c r="Z1403">
        <v>1</v>
      </c>
      <c r="AA1403">
        <v>0</v>
      </c>
      <c r="AB1403">
        <v>12</v>
      </c>
      <c r="AF1403">
        <v>1</v>
      </c>
      <c r="AG1403">
        <v>0</v>
      </c>
      <c r="AH1403">
        <v>0</v>
      </c>
      <c r="AI1403">
        <v>0</v>
      </c>
      <c r="AW1403">
        <v>0</v>
      </c>
      <c r="AX1403">
        <v>11</v>
      </c>
      <c r="AY1403">
        <v>278</v>
      </c>
      <c r="AZ1403">
        <v>278</v>
      </c>
      <c r="BA1403">
        <v>493</v>
      </c>
      <c r="BB1403">
        <v>44</v>
      </c>
      <c r="BD1403">
        <v>1</v>
      </c>
      <c r="BF1403" t="s">
        <v>1533</v>
      </c>
      <c r="BG1403" s="1">
        <v>44354.035416666666</v>
      </c>
      <c r="BH1403" s="1">
        <v>44354.042569444442</v>
      </c>
      <c r="BI1403" s="1">
        <v>44354.043217592596</v>
      </c>
      <c r="BJ1403" t="s">
        <v>85</v>
      </c>
      <c r="BK1403" t="s">
        <v>86</v>
      </c>
      <c r="BL1403" t="s">
        <v>87</v>
      </c>
    </row>
    <row r="1404" spans="1:64" x14ac:dyDescent="0.3">
      <c r="A1404" t="str">
        <f>"202461B0000"</f>
        <v>202461B0000</v>
      </c>
      <c r="B1404" t="str">
        <f>"202461B00003"</f>
        <v>202461B00003</v>
      </c>
      <c r="C1404" t="str">
        <f t="shared" si="79"/>
        <v>20</v>
      </c>
      <c r="D1404" t="s">
        <v>81</v>
      </c>
      <c r="E1404" t="str">
        <f t="shared" ref="E1404:E1419" si="81">"076"</f>
        <v>076</v>
      </c>
      <c r="F1404" t="s">
        <v>1437</v>
      </c>
      <c r="G1404" t="str">
        <f>"2461"</f>
        <v>2461</v>
      </c>
      <c r="H1404" t="str">
        <f>"0000"</f>
        <v>0000</v>
      </c>
      <c r="I1404" t="s">
        <v>83</v>
      </c>
      <c r="J1404">
        <v>0</v>
      </c>
      <c r="K1404">
        <v>1</v>
      </c>
      <c r="L1404">
        <v>3</v>
      </c>
      <c r="M1404">
        <v>308</v>
      </c>
      <c r="N1404">
        <v>301</v>
      </c>
      <c r="O1404">
        <v>6</v>
      </c>
      <c r="P1404">
        <v>302</v>
      </c>
      <c r="Q1404">
        <v>8</v>
      </c>
      <c r="R1404">
        <v>73</v>
      </c>
      <c r="S1404">
        <v>1</v>
      </c>
      <c r="T1404">
        <v>12</v>
      </c>
      <c r="U1404">
        <v>4</v>
      </c>
      <c r="V1404">
        <v>29</v>
      </c>
      <c r="W1404">
        <v>45</v>
      </c>
      <c r="X1404">
        <v>103</v>
      </c>
      <c r="Y1404">
        <v>4</v>
      </c>
      <c r="Z1404">
        <v>0</v>
      </c>
      <c r="AA1404">
        <v>0</v>
      </c>
      <c r="AB1404">
        <v>11</v>
      </c>
      <c r="AF1404">
        <v>3</v>
      </c>
      <c r="AG1404">
        <v>1</v>
      </c>
      <c r="AH1404">
        <v>0</v>
      </c>
      <c r="AI1404">
        <v>1</v>
      </c>
      <c r="AW1404" t="s">
        <v>95</v>
      </c>
      <c r="AX1404">
        <v>8</v>
      </c>
      <c r="AY1404">
        <v>302</v>
      </c>
      <c r="AZ1404">
        <v>303</v>
      </c>
      <c r="BA1404">
        <v>566</v>
      </c>
      <c r="BB1404">
        <v>44</v>
      </c>
      <c r="BC1404" t="s">
        <v>96</v>
      </c>
      <c r="BD1404">
        <v>1</v>
      </c>
      <c r="BF1404" t="s">
        <v>1534</v>
      </c>
      <c r="BG1404" s="1">
        <v>44354.214583333334</v>
      </c>
      <c r="BH1404" s="1">
        <v>44354.216643518521</v>
      </c>
      <c r="BI1404" s="1">
        <v>44354.217569444445</v>
      </c>
      <c r="BJ1404" t="s">
        <v>85</v>
      </c>
      <c r="BK1404" t="s">
        <v>86</v>
      </c>
      <c r="BL1404" t="s">
        <v>87</v>
      </c>
    </row>
    <row r="1405" spans="1:64" x14ac:dyDescent="0.3">
      <c r="A1405" t="str">
        <f>"202461C0100"</f>
        <v>202461C0100</v>
      </c>
      <c r="B1405" t="str">
        <f>"202461C01003"</f>
        <v>202461C01003</v>
      </c>
      <c r="C1405" t="str">
        <f t="shared" si="79"/>
        <v>20</v>
      </c>
      <c r="D1405" t="s">
        <v>81</v>
      </c>
      <c r="E1405" t="str">
        <f t="shared" si="81"/>
        <v>076</v>
      </c>
      <c r="F1405" t="s">
        <v>1437</v>
      </c>
      <c r="G1405" t="str">
        <f>"2461"</f>
        <v>2461</v>
      </c>
      <c r="H1405" t="str">
        <f>"0001"</f>
        <v>0001</v>
      </c>
      <c r="I1405" t="s">
        <v>89</v>
      </c>
      <c r="J1405">
        <v>0</v>
      </c>
      <c r="K1405">
        <v>1</v>
      </c>
      <c r="L1405">
        <v>3</v>
      </c>
      <c r="M1405">
        <v>322</v>
      </c>
      <c r="N1405">
        <v>289</v>
      </c>
      <c r="O1405">
        <v>7</v>
      </c>
      <c r="P1405">
        <v>286</v>
      </c>
      <c r="Q1405">
        <v>7</v>
      </c>
      <c r="R1405">
        <v>61</v>
      </c>
      <c r="S1405">
        <v>3</v>
      </c>
      <c r="T1405">
        <v>8</v>
      </c>
      <c r="U1405">
        <v>3</v>
      </c>
      <c r="V1405">
        <v>16</v>
      </c>
      <c r="W1405">
        <v>43</v>
      </c>
      <c r="X1405">
        <v>117</v>
      </c>
      <c r="Y1405">
        <v>2</v>
      </c>
      <c r="Z1405">
        <v>1</v>
      </c>
      <c r="AA1405">
        <v>2</v>
      </c>
      <c r="AB1405">
        <v>7</v>
      </c>
      <c r="AF1405">
        <v>1</v>
      </c>
      <c r="AG1405">
        <v>0</v>
      </c>
      <c r="AH1405">
        <v>0</v>
      </c>
      <c r="AI1405">
        <v>0</v>
      </c>
      <c r="AW1405">
        <v>0</v>
      </c>
      <c r="AX1405">
        <v>15</v>
      </c>
      <c r="AY1405">
        <v>286</v>
      </c>
      <c r="AZ1405">
        <v>286</v>
      </c>
      <c r="BA1405">
        <v>565</v>
      </c>
      <c r="BB1405">
        <v>44</v>
      </c>
      <c r="BD1405">
        <v>1</v>
      </c>
      <c r="BF1405" t="s">
        <v>1535</v>
      </c>
      <c r="BG1405" s="1">
        <v>44354.214583333334</v>
      </c>
      <c r="BH1405" s="1">
        <v>44354.216689814813</v>
      </c>
      <c r="BI1405" s="1">
        <v>44354.216932870368</v>
      </c>
      <c r="BJ1405" t="s">
        <v>85</v>
      </c>
      <c r="BK1405" t="s">
        <v>86</v>
      </c>
      <c r="BL1405" t="s">
        <v>87</v>
      </c>
    </row>
    <row r="1406" spans="1:64" x14ac:dyDescent="0.3">
      <c r="A1406" t="str">
        <f>"202461C0200"</f>
        <v>202461C0200</v>
      </c>
      <c r="B1406" t="str">
        <f>"202461C02003"</f>
        <v>202461C02003</v>
      </c>
      <c r="C1406" t="str">
        <f t="shared" si="79"/>
        <v>20</v>
      </c>
      <c r="D1406" t="s">
        <v>81</v>
      </c>
      <c r="E1406" t="str">
        <f t="shared" si="81"/>
        <v>076</v>
      </c>
      <c r="F1406" t="s">
        <v>1437</v>
      </c>
      <c r="G1406" t="str">
        <f>"2461"</f>
        <v>2461</v>
      </c>
      <c r="H1406" t="str">
        <f>"0002"</f>
        <v>0002</v>
      </c>
      <c r="I1406" t="s">
        <v>89</v>
      </c>
      <c r="J1406">
        <v>0</v>
      </c>
      <c r="K1406">
        <v>1</v>
      </c>
      <c r="L1406">
        <v>3</v>
      </c>
      <c r="M1406">
        <v>286</v>
      </c>
      <c r="N1406">
        <v>323</v>
      </c>
      <c r="O1406">
        <v>8</v>
      </c>
      <c r="P1406">
        <v>323</v>
      </c>
      <c r="Q1406">
        <v>8</v>
      </c>
      <c r="R1406">
        <v>72</v>
      </c>
      <c r="S1406">
        <v>5</v>
      </c>
      <c r="T1406">
        <v>2</v>
      </c>
      <c r="U1406">
        <v>7</v>
      </c>
      <c r="V1406">
        <v>18</v>
      </c>
      <c r="W1406">
        <v>41</v>
      </c>
      <c r="X1406">
        <v>137</v>
      </c>
      <c r="Y1406">
        <v>3</v>
      </c>
      <c r="Z1406">
        <v>1</v>
      </c>
      <c r="AA1406">
        <v>3</v>
      </c>
      <c r="AB1406">
        <v>13</v>
      </c>
      <c r="AF1406">
        <v>3</v>
      </c>
      <c r="AG1406">
        <v>1</v>
      </c>
      <c r="AH1406">
        <v>0</v>
      </c>
      <c r="AI1406">
        <v>0</v>
      </c>
      <c r="AW1406">
        <v>0</v>
      </c>
      <c r="AX1406">
        <v>9</v>
      </c>
      <c r="AY1406">
        <v>323</v>
      </c>
      <c r="AZ1406">
        <v>323</v>
      </c>
      <c r="BA1406">
        <v>565</v>
      </c>
      <c r="BB1406">
        <v>44</v>
      </c>
      <c r="BD1406">
        <v>1</v>
      </c>
      <c r="BF1406" t="s">
        <v>1536</v>
      </c>
      <c r="BG1406" s="1">
        <v>44354.214583333334</v>
      </c>
      <c r="BH1406" s="1">
        <v>44354.21597222222</v>
      </c>
      <c r="BI1406" s="1">
        <v>44354.216296296298</v>
      </c>
      <c r="BJ1406" t="s">
        <v>85</v>
      </c>
      <c r="BK1406" t="s">
        <v>86</v>
      </c>
      <c r="BL1406" t="s">
        <v>87</v>
      </c>
    </row>
    <row r="1407" spans="1:64" x14ac:dyDescent="0.3">
      <c r="A1407" t="str">
        <f>"202462B0000"</f>
        <v>202462B0000</v>
      </c>
      <c r="B1407" t="str">
        <f>"202462B00003"</f>
        <v>202462B00003</v>
      </c>
      <c r="C1407" t="str">
        <f t="shared" si="79"/>
        <v>20</v>
      </c>
      <c r="D1407" t="s">
        <v>81</v>
      </c>
      <c r="E1407" t="str">
        <f t="shared" si="81"/>
        <v>076</v>
      </c>
      <c r="F1407" t="s">
        <v>1437</v>
      </c>
      <c r="G1407" t="str">
        <f>"2462"</f>
        <v>2462</v>
      </c>
      <c r="H1407" t="str">
        <f>"0000"</f>
        <v>0000</v>
      </c>
      <c r="I1407" t="s">
        <v>83</v>
      </c>
      <c r="J1407">
        <v>0</v>
      </c>
      <c r="K1407">
        <v>1</v>
      </c>
      <c r="L1407">
        <v>3</v>
      </c>
      <c r="M1407">
        <v>365</v>
      </c>
      <c r="N1407">
        <v>390</v>
      </c>
      <c r="O1407">
        <v>12</v>
      </c>
      <c r="P1407">
        <v>391</v>
      </c>
      <c r="Q1407">
        <v>8</v>
      </c>
      <c r="R1407">
        <v>108</v>
      </c>
      <c r="S1407">
        <v>6</v>
      </c>
      <c r="T1407">
        <v>8</v>
      </c>
      <c r="U1407">
        <v>11</v>
      </c>
      <c r="V1407">
        <v>24</v>
      </c>
      <c r="W1407">
        <v>41</v>
      </c>
      <c r="X1407">
        <v>151</v>
      </c>
      <c r="Y1407">
        <v>5</v>
      </c>
      <c r="Z1407">
        <v>3</v>
      </c>
      <c r="AA1407">
        <v>1</v>
      </c>
      <c r="AB1407">
        <v>11</v>
      </c>
      <c r="AF1407">
        <v>1</v>
      </c>
      <c r="AG1407">
        <v>1</v>
      </c>
      <c r="AH1407">
        <v>0</v>
      </c>
      <c r="AI1407">
        <v>0</v>
      </c>
      <c r="AW1407">
        <v>0</v>
      </c>
      <c r="AX1407">
        <v>12</v>
      </c>
      <c r="AY1407">
        <v>391</v>
      </c>
      <c r="AZ1407">
        <v>391</v>
      </c>
      <c r="BA1407">
        <v>711</v>
      </c>
      <c r="BB1407">
        <v>44</v>
      </c>
      <c r="BD1407">
        <v>1</v>
      </c>
      <c r="BF1407" t="s">
        <v>1537</v>
      </c>
      <c r="BG1407" s="1">
        <v>44354.10833333333</v>
      </c>
      <c r="BH1407" s="1">
        <v>44354.110034722224</v>
      </c>
      <c r="BI1407" s="1">
        <v>44354.11041666667</v>
      </c>
      <c r="BJ1407" t="s">
        <v>85</v>
      </c>
      <c r="BK1407" t="s">
        <v>86</v>
      </c>
      <c r="BL1407" t="s">
        <v>87</v>
      </c>
    </row>
    <row r="1408" spans="1:64" x14ac:dyDescent="0.3">
      <c r="A1408" t="str">
        <f>"202462C0100"</f>
        <v>202462C0100</v>
      </c>
      <c r="B1408" t="str">
        <f>"202462C01003"</f>
        <v>202462C01003</v>
      </c>
      <c r="C1408" t="str">
        <f t="shared" si="79"/>
        <v>20</v>
      </c>
      <c r="D1408" t="s">
        <v>81</v>
      </c>
      <c r="E1408" t="str">
        <f t="shared" si="81"/>
        <v>076</v>
      </c>
      <c r="F1408" t="s">
        <v>1437</v>
      </c>
      <c r="G1408" t="str">
        <f>"2462"</f>
        <v>2462</v>
      </c>
      <c r="H1408" t="str">
        <f>"0001"</f>
        <v>0001</v>
      </c>
      <c r="I1408" t="s">
        <v>89</v>
      </c>
      <c r="J1408">
        <v>0</v>
      </c>
      <c r="K1408">
        <v>1</v>
      </c>
      <c r="L1408">
        <v>3</v>
      </c>
      <c r="M1408">
        <v>370</v>
      </c>
      <c r="N1408">
        <v>384</v>
      </c>
      <c r="O1408">
        <v>9</v>
      </c>
      <c r="P1408">
        <v>383</v>
      </c>
      <c r="Q1408">
        <v>11</v>
      </c>
      <c r="R1408">
        <v>82</v>
      </c>
      <c r="S1408">
        <v>1</v>
      </c>
      <c r="T1408">
        <v>17</v>
      </c>
      <c r="U1408">
        <v>6</v>
      </c>
      <c r="V1408">
        <v>19</v>
      </c>
      <c r="W1408">
        <v>46</v>
      </c>
      <c r="X1408">
        <v>162</v>
      </c>
      <c r="Y1408">
        <v>4</v>
      </c>
      <c r="Z1408">
        <v>5</v>
      </c>
      <c r="AA1408">
        <v>2</v>
      </c>
      <c r="AB1408">
        <v>15</v>
      </c>
      <c r="AF1408">
        <v>4</v>
      </c>
      <c r="AG1408">
        <v>0</v>
      </c>
      <c r="AH1408">
        <v>0</v>
      </c>
      <c r="AI1408">
        <v>0</v>
      </c>
      <c r="AW1408">
        <v>0</v>
      </c>
      <c r="AX1408">
        <v>9</v>
      </c>
      <c r="AY1408">
        <v>383</v>
      </c>
      <c r="AZ1408">
        <v>383</v>
      </c>
      <c r="BA1408">
        <v>710</v>
      </c>
      <c r="BB1408">
        <v>44</v>
      </c>
      <c r="BD1408">
        <v>1</v>
      </c>
      <c r="BF1408" t="s">
        <v>1538</v>
      </c>
      <c r="BG1408" s="1">
        <v>44354.106249999997</v>
      </c>
      <c r="BH1408" s="1">
        <v>44354.108912037038</v>
      </c>
      <c r="BI1408" s="1">
        <v>44354.109224537038</v>
      </c>
      <c r="BJ1408" t="s">
        <v>85</v>
      </c>
      <c r="BK1408" t="s">
        <v>86</v>
      </c>
      <c r="BL1408" t="s">
        <v>87</v>
      </c>
    </row>
    <row r="1409" spans="1:64" x14ac:dyDescent="0.3">
      <c r="A1409" t="str">
        <f>"202462C0200"</f>
        <v>202462C0200</v>
      </c>
      <c r="B1409" t="str">
        <f>"202462C02003"</f>
        <v>202462C02003</v>
      </c>
      <c r="C1409" t="str">
        <f t="shared" si="79"/>
        <v>20</v>
      </c>
      <c r="D1409" t="s">
        <v>81</v>
      </c>
      <c r="E1409" t="str">
        <f t="shared" si="81"/>
        <v>076</v>
      </c>
      <c r="F1409" t="s">
        <v>1437</v>
      </c>
      <c r="G1409" t="str">
        <f>"2462"</f>
        <v>2462</v>
      </c>
      <c r="H1409" t="str">
        <f>"0002"</f>
        <v>0002</v>
      </c>
      <c r="I1409" t="s">
        <v>89</v>
      </c>
      <c r="J1409">
        <v>0</v>
      </c>
      <c r="K1409">
        <v>1</v>
      </c>
      <c r="L1409">
        <v>3</v>
      </c>
      <c r="M1409">
        <v>351</v>
      </c>
      <c r="N1409">
        <v>403</v>
      </c>
      <c r="O1409">
        <v>11</v>
      </c>
      <c r="P1409">
        <v>403</v>
      </c>
      <c r="Q1409">
        <v>9</v>
      </c>
      <c r="R1409">
        <v>80</v>
      </c>
      <c r="S1409">
        <v>6</v>
      </c>
      <c r="T1409">
        <v>21</v>
      </c>
      <c r="U1409">
        <v>15</v>
      </c>
      <c r="V1409">
        <v>25</v>
      </c>
      <c r="W1409">
        <v>40</v>
      </c>
      <c r="X1409">
        <v>182</v>
      </c>
      <c r="Y1409">
        <v>0</v>
      </c>
      <c r="Z1409">
        <v>3</v>
      </c>
      <c r="AA1409">
        <v>1</v>
      </c>
      <c r="AB1409">
        <v>11</v>
      </c>
      <c r="AF1409">
        <v>3</v>
      </c>
      <c r="AG1409">
        <v>0</v>
      </c>
      <c r="AH1409">
        <v>0</v>
      </c>
      <c r="AI1409">
        <v>0</v>
      </c>
      <c r="AW1409">
        <v>0</v>
      </c>
      <c r="AX1409">
        <v>7</v>
      </c>
      <c r="AY1409">
        <v>403</v>
      </c>
      <c r="AZ1409">
        <v>403</v>
      </c>
      <c r="BA1409">
        <v>710</v>
      </c>
      <c r="BB1409">
        <v>44</v>
      </c>
      <c r="BD1409">
        <v>1</v>
      </c>
      <c r="BF1409" t="s">
        <v>1539</v>
      </c>
      <c r="BG1409" s="1">
        <v>44354.109027777777</v>
      </c>
      <c r="BH1409" s="1">
        <v>44354.112002314818</v>
      </c>
      <c r="BI1409" s="1">
        <v>44354.112442129626</v>
      </c>
      <c r="BJ1409" t="s">
        <v>85</v>
      </c>
      <c r="BK1409" t="s">
        <v>86</v>
      </c>
      <c r="BL1409" t="s">
        <v>87</v>
      </c>
    </row>
    <row r="1410" spans="1:64" x14ac:dyDescent="0.3">
      <c r="A1410" t="str">
        <f>"202462C0300"</f>
        <v>202462C0300</v>
      </c>
      <c r="B1410" t="str">
        <f>"202462C03003"</f>
        <v>202462C03003</v>
      </c>
      <c r="C1410" t="str">
        <f t="shared" si="79"/>
        <v>20</v>
      </c>
      <c r="D1410" t="s">
        <v>81</v>
      </c>
      <c r="E1410" t="str">
        <f t="shared" si="81"/>
        <v>076</v>
      </c>
      <c r="F1410" t="s">
        <v>1437</v>
      </c>
      <c r="G1410" t="str">
        <f>"2462"</f>
        <v>2462</v>
      </c>
      <c r="H1410" t="str">
        <f>"0003"</f>
        <v>0003</v>
      </c>
      <c r="I1410" t="s">
        <v>89</v>
      </c>
      <c r="J1410">
        <v>0</v>
      </c>
      <c r="K1410">
        <v>1</v>
      </c>
      <c r="L1410">
        <v>3</v>
      </c>
      <c r="M1410">
        <v>367</v>
      </c>
      <c r="N1410">
        <v>368</v>
      </c>
      <c r="O1410">
        <v>1</v>
      </c>
      <c r="P1410">
        <v>368</v>
      </c>
      <c r="Q1410">
        <v>8</v>
      </c>
      <c r="R1410">
        <v>80</v>
      </c>
      <c r="S1410">
        <v>4</v>
      </c>
      <c r="T1410">
        <v>9</v>
      </c>
      <c r="U1410">
        <v>9</v>
      </c>
      <c r="V1410">
        <v>19</v>
      </c>
      <c r="W1410">
        <v>48</v>
      </c>
      <c r="X1410">
        <v>181</v>
      </c>
      <c r="Y1410">
        <v>3</v>
      </c>
      <c r="Z1410">
        <v>6</v>
      </c>
      <c r="AA1410">
        <v>1</v>
      </c>
      <c r="AB1410">
        <v>9</v>
      </c>
      <c r="AF1410">
        <v>2</v>
      </c>
      <c r="AG1410">
        <v>1</v>
      </c>
      <c r="AH1410">
        <v>0</v>
      </c>
      <c r="AI1410">
        <v>0</v>
      </c>
      <c r="AW1410">
        <v>0</v>
      </c>
      <c r="AX1410">
        <v>7</v>
      </c>
      <c r="AY1410">
        <v>378</v>
      </c>
      <c r="AZ1410">
        <v>387</v>
      </c>
      <c r="BA1410">
        <v>710</v>
      </c>
      <c r="BB1410">
        <v>44</v>
      </c>
      <c r="BD1410">
        <v>1</v>
      </c>
      <c r="BF1410" t="s">
        <v>1540</v>
      </c>
      <c r="BG1410" s="1">
        <v>44354.104861111111</v>
      </c>
      <c r="BH1410" s="1">
        <v>44354.106828703705</v>
      </c>
      <c r="BI1410" s="1">
        <v>44354.107418981483</v>
      </c>
      <c r="BJ1410" t="s">
        <v>85</v>
      </c>
      <c r="BK1410" t="s">
        <v>86</v>
      </c>
      <c r="BL1410" t="s">
        <v>87</v>
      </c>
    </row>
    <row r="1411" spans="1:64" x14ac:dyDescent="0.3">
      <c r="A1411" t="str">
        <f>"202463B0000"</f>
        <v>202463B0000</v>
      </c>
      <c r="B1411" t="str">
        <f>"202463B00003"</f>
        <v>202463B00003</v>
      </c>
      <c r="C1411" t="str">
        <f t="shared" si="79"/>
        <v>20</v>
      </c>
      <c r="D1411" t="s">
        <v>81</v>
      </c>
      <c r="E1411" t="str">
        <f t="shared" si="81"/>
        <v>076</v>
      </c>
      <c r="F1411" t="s">
        <v>1437</v>
      </c>
      <c r="G1411" t="str">
        <f>"2463"</f>
        <v>2463</v>
      </c>
      <c r="H1411" t="str">
        <f>"0000"</f>
        <v>0000</v>
      </c>
      <c r="I1411" t="s">
        <v>83</v>
      </c>
      <c r="J1411">
        <v>0</v>
      </c>
      <c r="K1411">
        <v>1</v>
      </c>
      <c r="L1411">
        <v>3</v>
      </c>
      <c r="M1411">
        <v>342</v>
      </c>
      <c r="N1411">
        <v>351</v>
      </c>
      <c r="O1411">
        <v>11</v>
      </c>
      <c r="P1411">
        <v>351</v>
      </c>
      <c r="Q1411">
        <v>7</v>
      </c>
      <c r="R1411">
        <v>74</v>
      </c>
      <c r="S1411">
        <v>6</v>
      </c>
      <c r="T1411">
        <v>9</v>
      </c>
      <c r="U1411">
        <v>12</v>
      </c>
      <c r="V1411">
        <v>12</v>
      </c>
      <c r="W1411">
        <v>42</v>
      </c>
      <c r="X1411">
        <v>158</v>
      </c>
      <c r="Y1411">
        <v>3</v>
      </c>
      <c r="Z1411">
        <v>4</v>
      </c>
      <c r="AA1411">
        <v>0</v>
      </c>
      <c r="AB1411">
        <v>8</v>
      </c>
      <c r="AF1411">
        <v>4</v>
      </c>
      <c r="AG1411">
        <v>0</v>
      </c>
      <c r="AH1411">
        <v>0</v>
      </c>
      <c r="AI1411">
        <v>1</v>
      </c>
      <c r="AW1411">
        <v>0</v>
      </c>
      <c r="AX1411">
        <v>11</v>
      </c>
      <c r="AY1411">
        <v>351</v>
      </c>
      <c r="AZ1411">
        <v>351</v>
      </c>
      <c r="BA1411">
        <v>649</v>
      </c>
      <c r="BB1411">
        <v>44</v>
      </c>
      <c r="BD1411">
        <v>1</v>
      </c>
      <c r="BF1411" t="s">
        <v>1541</v>
      </c>
      <c r="BG1411" s="1">
        <v>44354.206250000003</v>
      </c>
      <c r="BH1411" s="1">
        <v>44354.208738425928</v>
      </c>
      <c r="BI1411" s="1">
        <v>44354.209907407407</v>
      </c>
      <c r="BJ1411" t="s">
        <v>85</v>
      </c>
      <c r="BK1411" t="s">
        <v>86</v>
      </c>
      <c r="BL1411" t="s">
        <v>87</v>
      </c>
    </row>
    <row r="1412" spans="1:64" x14ac:dyDescent="0.3">
      <c r="A1412" t="str">
        <f>"202463C0100"</f>
        <v>202463C0100</v>
      </c>
      <c r="B1412" t="str">
        <f>"202463C01003"</f>
        <v>202463C01003</v>
      </c>
      <c r="C1412" t="str">
        <f t="shared" si="79"/>
        <v>20</v>
      </c>
      <c r="D1412" t="s">
        <v>81</v>
      </c>
      <c r="E1412" t="str">
        <f t="shared" si="81"/>
        <v>076</v>
      </c>
      <c r="F1412" t="s">
        <v>1437</v>
      </c>
      <c r="G1412" t="str">
        <f>"2463"</f>
        <v>2463</v>
      </c>
      <c r="H1412" t="str">
        <f>"0001"</f>
        <v>0001</v>
      </c>
      <c r="I1412" t="s">
        <v>89</v>
      </c>
      <c r="J1412">
        <v>0</v>
      </c>
      <c r="K1412">
        <v>1</v>
      </c>
      <c r="L1412">
        <v>3</v>
      </c>
      <c r="M1412">
        <v>328</v>
      </c>
      <c r="N1412">
        <v>365</v>
      </c>
      <c r="O1412">
        <v>7</v>
      </c>
      <c r="P1412">
        <v>364</v>
      </c>
      <c r="Q1412">
        <v>6</v>
      </c>
      <c r="R1412">
        <v>85</v>
      </c>
      <c r="S1412">
        <v>4</v>
      </c>
      <c r="T1412">
        <v>11</v>
      </c>
      <c r="U1412">
        <v>5</v>
      </c>
      <c r="V1412">
        <v>9</v>
      </c>
      <c r="W1412">
        <v>57</v>
      </c>
      <c r="X1412">
        <v>154</v>
      </c>
      <c r="Y1412">
        <v>2</v>
      </c>
      <c r="Z1412">
        <v>2</v>
      </c>
      <c r="AA1412">
        <v>3</v>
      </c>
      <c r="AB1412">
        <v>4</v>
      </c>
      <c r="AF1412">
        <v>6</v>
      </c>
      <c r="AG1412">
        <v>1</v>
      </c>
      <c r="AH1412">
        <v>0</v>
      </c>
      <c r="AI1412">
        <v>2</v>
      </c>
      <c r="AW1412">
        <v>0</v>
      </c>
      <c r="AX1412">
        <v>13</v>
      </c>
      <c r="AY1412">
        <v>364</v>
      </c>
      <c r="AZ1412">
        <v>364</v>
      </c>
      <c r="BA1412">
        <v>649</v>
      </c>
      <c r="BB1412">
        <v>44</v>
      </c>
      <c r="BD1412">
        <v>1</v>
      </c>
      <c r="BF1412" t="s">
        <v>1542</v>
      </c>
      <c r="BG1412" s="1">
        <v>44354.267361111109</v>
      </c>
      <c r="BH1412" s="1">
        <v>44354.356041666666</v>
      </c>
      <c r="BI1412" s="1">
        <v>44354.356736111113</v>
      </c>
      <c r="BJ1412" t="s">
        <v>85</v>
      </c>
      <c r="BK1412" t="s">
        <v>86</v>
      </c>
      <c r="BL1412" t="s">
        <v>87</v>
      </c>
    </row>
    <row r="1413" spans="1:64" x14ac:dyDescent="0.3">
      <c r="A1413" t="str">
        <f>"202463C0200"</f>
        <v>202463C0200</v>
      </c>
      <c r="B1413" t="str">
        <f>"202463C02003"</f>
        <v>202463C02003</v>
      </c>
      <c r="C1413" t="str">
        <f t="shared" si="79"/>
        <v>20</v>
      </c>
      <c r="D1413" t="s">
        <v>81</v>
      </c>
      <c r="E1413" t="str">
        <f t="shared" si="81"/>
        <v>076</v>
      </c>
      <c r="F1413" t="s">
        <v>1437</v>
      </c>
      <c r="G1413" t="str">
        <f>"2463"</f>
        <v>2463</v>
      </c>
      <c r="H1413" t="str">
        <f>"0002"</f>
        <v>0002</v>
      </c>
      <c r="I1413" t="s">
        <v>89</v>
      </c>
      <c r="J1413">
        <v>0</v>
      </c>
      <c r="K1413">
        <v>1</v>
      </c>
      <c r="L1413">
        <v>3</v>
      </c>
      <c r="M1413">
        <v>346</v>
      </c>
      <c r="N1413">
        <v>346</v>
      </c>
      <c r="O1413">
        <v>10</v>
      </c>
      <c r="P1413">
        <v>348</v>
      </c>
      <c r="Q1413">
        <v>5</v>
      </c>
      <c r="R1413">
        <v>70</v>
      </c>
      <c r="S1413">
        <v>1</v>
      </c>
      <c r="T1413">
        <v>8</v>
      </c>
      <c r="U1413">
        <v>4</v>
      </c>
      <c r="V1413">
        <v>16</v>
      </c>
      <c r="W1413">
        <v>61</v>
      </c>
      <c r="X1413">
        <v>154</v>
      </c>
      <c r="Y1413">
        <v>2</v>
      </c>
      <c r="Z1413">
        <v>1</v>
      </c>
      <c r="AA1413">
        <v>0</v>
      </c>
      <c r="AB1413">
        <v>12</v>
      </c>
      <c r="AF1413">
        <v>1</v>
      </c>
      <c r="AG1413">
        <v>0</v>
      </c>
      <c r="AH1413">
        <v>1</v>
      </c>
      <c r="AI1413">
        <v>0</v>
      </c>
      <c r="AW1413">
        <v>0</v>
      </c>
      <c r="AX1413">
        <v>12</v>
      </c>
      <c r="AY1413">
        <v>348</v>
      </c>
      <c r="AZ1413">
        <v>348</v>
      </c>
      <c r="BA1413">
        <v>648</v>
      </c>
      <c r="BB1413">
        <v>44</v>
      </c>
      <c r="BD1413">
        <v>1</v>
      </c>
      <c r="BF1413" t="s">
        <v>1543</v>
      </c>
      <c r="BG1413" s="1">
        <v>44354.191666666666</v>
      </c>
      <c r="BH1413" s="1">
        <v>44354.194351851853</v>
      </c>
      <c r="BI1413" s="1">
        <v>44354.195150462961</v>
      </c>
      <c r="BJ1413" t="s">
        <v>85</v>
      </c>
      <c r="BK1413" t="s">
        <v>86</v>
      </c>
      <c r="BL1413" t="s">
        <v>87</v>
      </c>
    </row>
    <row r="1414" spans="1:64" x14ac:dyDescent="0.3">
      <c r="A1414" t="str">
        <f>"202463C0300"</f>
        <v>202463C0300</v>
      </c>
      <c r="B1414" t="str">
        <f>"202463C03003"</f>
        <v>202463C03003</v>
      </c>
      <c r="C1414" t="str">
        <f t="shared" si="79"/>
        <v>20</v>
      </c>
      <c r="D1414" t="s">
        <v>81</v>
      </c>
      <c r="E1414" t="str">
        <f t="shared" si="81"/>
        <v>076</v>
      </c>
      <c r="F1414" t="s">
        <v>1437</v>
      </c>
      <c r="G1414" t="str">
        <f>"2463"</f>
        <v>2463</v>
      </c>
      <c r="H1414" t="str">
        <f>"0003"</f>
        <v>0003</v>
      </c>
      <c r="I1414" t="s">
        <v>89</v>
      </c>
      <c r="J1414">
        <v>0</v>
      </c>
      <c r="K1414">
        <v>1</v>
      </c>
      <c r="L1414">
        <v>3</v>
      </c>
      <c r="M1414">
        <v>344</v>
      </c>
      <c r="N1414">
        <v>348</v>
      </c>
      <c r="O1414">
        <v>9</v>
      </c>
      <c r="P1414">
        <v>347</v>
      </c>
      <c r="Q1414">
        <v>8</v>
      </c>
      <c r="R1414">
        <v>64</v>
      </c>
      <c r="S1414">
        <v>4</v>
      </c>
      <c r="T1414">
        <v>8</v>
      </c>
      <c r="U1414">
        <v>5</v>
      </c>
      <c r="V1414">
        <v>14</v>
      </c>
      <c r="W1414">
        <v>55</v>
      </c>
      <c r="X1414">
        <v>148</v>
      </c>
      <c r="Y1414">
        <v>7</v>
      </c>
      <c r="Z1414">
        <v>0</v>
      </c>
      <c r="AA1414">
        <v>4</v>
      </c>
      <c r="AB1414">
        <v>15</v>
      </c>
      <c r="AF1414">
        <v>1</v>
      </c>
      <c r="AG1414">
        <v>0</v>
      </c>
      <c r="AH1414">
        <v>0</v>
      </c>
      <c r="AI1414">
        <v>0</v>
      </c>
      <c r="AW1414">
        <v>0</v>
      </c>
      <c r="AX1414">
        <v>14</v>
      </c>
      <c r="AY1414">
        <v>347</v>
      </c>
      <c r="AZ1414">
        <v>347</v>
      </c>
      <c r="BA1414">
        <v>648</v>
      </c>
      <c r="BB1414">
        <v>44</v>
      </c>
      <c r="BD1414">
        <v>1</v>
      </c>
      <c r="BF1414" t="s">
        <v>1544</v>
      </c>
      <c r="BG1414" s="1">
        <v>44354.211805555555</v>
      </c>
      <c r="BH1414" s="1">
        <v>44354.215196759258</v>
      </c>
      <c r="BI1414" s="1">
        <v>44354.21603009259</v>
      </c>
      <c r="BJ1414" t="s">
        <v>85</v>
      </c>
      <c r="BK1414" t="s">
        <v>86</v>
      </c>
      <c r="BL1414" t="s">
        <v>87</v>
      </c>
    </row>
    <row r="1415" spans="1:64" x14ac:dyDescent="0.3">
      <c r="A1415" t="str">
        <f>"202464B0000"</f>
        <v>202464B0000</v>
      </c>
      <c r="B1415" t="str">
        <f>"202464B00003"</f>
        <v>202464B00003</v>
      </c>
      <c r="C1415" t="str">
        <f t="shared" ref="C1415:C1478" si="82">"20"</f>
        <v>20</v>
      </c>
      <c r="D1415" t="s">
        <v>81</v>
      </c>
      <c r="E1415" t="str">
        <f t="shared" si="81"/>
        <v>076</v>
      </c>
      <c r="F1415" t="s">
        <v>1437</v>
      </c>
      <c r="G1415" t="str">
        <f>"2464"</f>
        <v>2464</v>
      </c>
      <c r="H1415" t="str">
        <f>"0000"</f>
        <v>0000</v>
      </c>
      <c r="I1415" t="s">
        <v>83</v>
      </c>
      <c r="J1415">
        <v>0</v>
      </c>
      <c r="K1415">
        <v>1</v>
      </c>
      <c r="L1415">
        <v>3</v>
      </c>
      <c r="M1415">
        <v>332</v>
      </c>
      <c r="N1415">
        <v>329</v>
      </c>
      <c r="O1415">
        <v>6</v>
      </c>
      <c r="P1415">
        <v>327</v>
      </c>
      <c r="Q1415">
        <v>9</v>
      </c>
      <c r="R1415">
        <v>99</v>
      </c>
      <c r="S1415">
        <v>8</v>
      </c>
      <c r="T1415">
        <v>13</v>
      </c>
      <c r="U1415">
        <v>3</v>
      </c>
      <c r="V1415">
        <v>21</v>
      </c>
      <c r="W1415">
        <v>52</v>
      </c>
      <c r="X1415">
        <v>97</v>
      </c>
      <c r="Y1415">
        <v>2</v>
      </c>
      <c r="Z1415">
        <v>1</v>
      </c>
      <c r="AA1415">
        <v>6</v>
      </c>
      <c r="AB1415">
        <v>10</v>
      </c>
      <c r="AF1415">
        <v>116</v>
      </c>
      <c r="AG1415">
        <v>108</v>
      </c>
      <c r="AH1415">
        <v>17</v>
      </c>
      <c r="AI1415">
        <v>107</v>
      </c>
      <c r="AW1415">
        <v>0</v>
      </c>
      <c r="AX1415">
        <v>6</v>
      </c>
      <c r="AY1415">
        <v>327</v>
      </c>
      <c r="AZ1415">
        <v>675</v>
      </c>
      <c r="BA1415">
        <v>617</v>
      </c>
      <c r="BB1415">
        <v>44</v>
      </c>
      <c r="BC1415" t="s">
        <v>346</v>
      </c>
      <c r="BD1415">
        <v>0</v>
      </c>
      <c r="BF1415" t="s">
        <v>1545</v>
      </c>
      <c r="BG1415" s="1">
        <v>44354.17083333333</v>
      </c>
      <c r="BH1415" s="1">
        <v>44354.172314814816</v>
      </c>
      <c r="BI1415" s="1">
        <v>44354.173217592594</v>
      </c>
      <c r="BJ1415" t="s">
        <v>85</v>
      </c>
      <c r="BK1415" t="s">
        <v>86</v>
      </c>
      <c r="BL1415" t="s">
        <v>87</v>
      </c>
    </row>
    <row r="1416" spans="1:64" x14ac:dyDescent="0.3">
      <c r="A1416" t="str">
        <f>"202464C0100"</f>
        <v>202464C0100</v>
      </c>
      <c r="B1416" t="str">
        <f>"202464C01003"</f>
        <v>202464C01003</v>
      </c>
      <c r="C1416" t="str">
        <f t="shared" si="82"/>
        <v>20</v>
      </c>
      <c r="D1416" t="s">
        <v>81</v>
      </c>
      <c r="E1416" t="str">
        <f t="shared" si="81"/>
        <v>076</v>
      </c>
      <c r="F1416" t="s">
        <v>1437</v>
      </c>
      <c r="G1416" t="str">
        <f>"2464"</f>
        <v>2464</v>
      </c>
      <c r="H1416" t="str">
        <f>"0001"</f>
        <v>0001</v>
      </c>
      <c r="I1416" t="s">
        <v>89</v>
      </c>
      <c r="J1416">
        <v>0</v>
      </c>
      <c r="K1416">
        <v>1</v>
      </c>
      <c r="L1416">
        <v>3</v>
      </c>
      <c r="M1416">
        <v>342</v>
      </c>
      <c r="N1416">
        <v>319</v>
      </c>
      <c r="O1416">
        <v>4</v>
      </c>
      <c r="P1416">
        <v>318</v>
      </c>
      <c r="Q1416">
        <v>7</v>
      </c>
      <c r="R1416">
        <v>71</v>
      </c>
      <c r="S1416">
        <v>5</v>
      </c>
      <c r="T1416">
        <v>12</v>
      </c>
      <c r="U1416">
        <v>6</v>
      </c>
      <c r="V1416">
        <v>12</v>
      </c>
      <c r="W1416">
        <v>57</v>
      </c>
      <c r="X1416">
        <v>123</v>
      </c>
      <c r="Y1416">
        <v>2</v>
      </c>
      <c r="Z1416">
        <v>2</v>
      </c>
      <c r="AA1416">
        <v>2</v>
      </c>
      <c r="AB1416">
        <v>9</v>
      </c>
      <c r="AF1416">
        <v>3</v>
      </c>
      <c r="AG1416">
        <v>0</v>
      </c>
      <c r="AH1416">
        <v>0</v>
      </c>
      <c r="AI1416">
        <v>0</v>
      </c>
      <c r="AW1416">
        <v>0</v>
      </c>
      <c r="AX1416">
        <v>7</v>
      </c>
      <c r="AY1416">
        <v>318</v>
      </c>
      <c r="AZ1416">
        <v>318</v>
      </c>
      <c r="BA1416">
        <v>617</v>
      </c>
      <c r="BB1416">
        <v>44</v>
      </c>
      <c r="BD1416">
        <v>1</v>
      </c>
      <c r="BF1416" t="s">
        <v>1546</v>
      </c>
      <c r="BG1416" s="1">
        <v>44354.209027777775</v>
      </c>
      <c r="BH1416" s="1">
        <v>44354.56627314815</v>
      </c>
      <c r="BI1416" s="1">
        <v>44354.567002314812</v>
      </c>
      <c r="BJ1416" t="s">
        <v>85</v>
      </c>
      <c r="BK1416" t="s">
        <v>86</v>
      </c>
      <c r="BL1416" t="s">
        <v>87</v>
      </c>
    </row>
    <row r="1417" spans="1:64" x14ac:dyDescent="0.3">
      <c r="A1417" t="str">
        <f>"202464C0200"</f>
        <v>202464C0200</v>
      </c>
      <c r="B1417" t="str">
        <f>"202464C02003"</f>
        <v>202464C02003</v>
      </c>
      <c r="C1417" t="str">
        <f t="shared" si="82"/>
        <v>20</v>
      </c>
      <c r="D1417" t="s">
        <v>81</v>
      </c>
      <c r="E1417" t="str">
        <f t="shared" si="81"/>
        <v>076</v>
      </c>
      <c r="F1417" t="s">
        <v>1437</v>
      </c>
      <c r="G1417" t="str">
        <f>"2464"</f>
        <v>2464</v>
      </c>
      <c r="H1417" t="str">
        <f>"0002"</f>
        <v>0002</v>
      </c>
      <c r="I1417" t="s">
        <v>89</v>
      </c>
      <c r="J1417">
        <v>0</v>
      </c>
      <c r="K1417">
        <v>1</v>
      </c>
      <c r="L1417">
        <v>3</v>
      </c>
      <c r="M1417">
        <v>342</v>
      </c>
      <c r="N1417">
        <v>319</v>
      </c>
      <c r="O1417">
        <v>4</v>
      </c>
      <c r="P1417">
        <v>318</v>
      </c>
      <c r="Q1417">
        <v>7</v>
      </c>
      <c r="R1417">
        <v>71</v>
      </c>
      <c r="S1417">
        <v>5</v>
      </c>
      <c r="T1417">
        <v>12</v>
      </c>
      <c r="U1417">
        <v>6</v>
      </c>
      <c r="V1417">
        <v>12</v>
      </c>
      <c r="W1417">
        <v>57</v>
      </c>
      <c r="X1417">
        <v>123</v>
      </c>
      <c r="Y1417">
        <v>2</v>
      </c>
      <c r="Z1417">
        <v>2</v>
      </c>
      <c r="AA1417">
        <v>2</v>
      </c>
      <c r="AB1417">
        <v>9</v>
      </c>
      <c r="AF1417">
        <v>3</v>
      </c>
      <c r="AG1417">
        <v>0</v>
      </c>
      <c r="AH1417">
        <v>0</v>
      </c>
      <c r="AI1417">
        <v>0</v>
      </c>
      <c r="AW1417">
        <v>0</v>
      </c>
      <c r="AX1417">
        <v>7</v>
      </c>
      <c r="AY1417">
        <v>318</v>
      </c>
      <c r="AZ1417">
        <v>318</v>
      </c>
      <c r="BA1417">
        <v>617</v>
      </c>
      <c r="BB1417">
        <v>44</v>
      </c>
      <c r="BD1417">
        <v>1</v>
      </c>
      <c r="BF1417" t="s">
        <v>1547</v>
      </c>
      <c r="BG1417" s="1">
        <v>44354.209027777775</v>
      </c>
      <c r="BH1417" s="1">
        <v>44354.210601851853</v>
      </c>
      <c r="BI1417" s="1">
        <v>44354.211377314816</v>
      </c>
      <c r="BJ1417" t="s">
        <v>85</v>
      </c>
      <c r="BK1417" t="s">
        <v>86</v>
      </c>
      <c r="BL1417" t="s">
        <v>87</v>
      </c>
    </row>
    <row r="1418" spans="1:64" x14ac:dyDescent="0.3">
      <c r="A1418" t="str">
        <f>"202464C0300"</f>
        <v>202464C0300</v>
      </c>
      <c r="B1418" t="str">
        <f>"202464C03003"</f>
        <v>202464C03003</v>
      </c>
      <c r="C1418" t="str">
        <f t="shared" si="82"/>
        <v>20</v>
      </c>
      <c r="D1418" t="s">
        <v>81</v>
      </c>
      <c r="E1418" t="str">
        <f t="shared" si="81"/>
        <v>076</v>
      </c>
      <c r="F1418" t="s">
        <v>1437</v>
      </c>
      <c r="G1418" t="str">
        <f>"2464"</f>
        <v>2464</v>
      </c>
      <c r="H1418" t="str">
        <f>"0003"</f>
        <v>0003</v>
      </c>
      <c r="I1418" t="s">
        <v>89</v>
      </c>
      <c r="J1418">
        <v>0</v>
      </c>
      <c r="K1418">
        <v>1</v>
      </c>
      <c r="L1418">
        <v>3</v>
      </c>
      <c r="M1418">
        <v>358</v>
      </c>
      <c r="N1418">
        <v>302</v>
      </c>
      <c r="O1418">
        <v>4</v>
      </c>
      <c r="P1418">
        <v>302</v>
      </c>
      <c r="Q1418" t="s">
        <v>95</v>
      </c>
      <c r="R1418" t="s">
        <v>95</v>
      </c>
      <c r="S1418" t="s">
        <v>95</v>
      </c>
      <c r="T1418">
        <v>12</v>
      </c>
      <c r="U1418">
        <v>2</v>
      </c>
      <c r="V1418">
        <v>7</v>
      </c>
      <c r="W1418">
        <v>49</v>
      </c>
      <c r="X1418">
        <v>109</v>
      </c>
      <c r="Y1418" t="s">
        <v>95</v>
      </c>
      <c r="Z1418">
        <v>1</v>
      </c>
      <c r="AA1418">
        <v>2</v>
      </c>
      <c r="AB1418">
        <v>13</v>
      </c>
      <c r="AF1418">
        <v>99</v>
      </c>
      <c r="AG1418" t="s">
        <v>95</v>
      </c>
      <c r="AH1418" t="s">
        <v>95</v>
      </c>
      <c r="AI1418" t="s">
        <v>95</v>
      </c>
      <c r="AW1418" t="s">
        <v>95</v>
      </c>
      <c r="AX1418">
        <v>8</v>
      </c>
      <c r="AY1418" t="s">
        <v>95</v>
      </c>
      <c r="AZ1418">
        <v>302</v>
      </c>
      <c r="BA1418">
        <v>616</v>
      </c>
      <c r="BB1418">
        <v>44</v>
      </c>
      <c r="BC1418" t="s">
        <v>96</v>
      </c>
      <c r="BD1418">
        <v>1</v>
      </c>
      <c r="BF1418" t="s">
        <v>1548</v>
      </c>
      <c r="BG1418" s="1">
        <v>44354.189583333333</v>
      </c>
      <c r="BH1418" s="1">
        <v>44354.192893518521</v>
      </c>
      <c r="BI1418" s="1">
        <v>44354.194965277777</v>
      </c>
      <c r="BJ1418" t="s">
        <v>85</v>
      </c>
      <c r="BK1418" t="s">
        <v>86</v>
      </c>
      <c r="BL1418" t="s">
        <v>87</v>
      </c>
    </row>
    <row r="1419" spans="1:64" x14ac:dyDescent="0.3">
      <c r="A1419" t="str">
        <f>"202464C0400"</f>
        <v>202464C0400</v>
      </c>
      <c r="B1419" t="str">
        <f>"202464C04003"</f>
        <v>202464C04003</v>
      </c>
      <c r="C1419" t="str">
        <f t="shared" si="82"/>
        <v>20</v>
      </c>
      <c r="D1419" t="s">
        <v>81</v>
      </c>
      <c r="E1419" t="str">
        <f t="shared" si="81"/>
        <v>076</v>
      </c>
      <c r="F1419" t="s">
        <v>1437</v>
      </c>
      <c r="G1419" t="str">
        <f>"2464"</f>
        <v>2464</v>
      </c>
      <c r="H1419" t="str">
        <f>"0004"</f>
        <v>0004</v>
      </c>
      <c r="I1419" t="s">
        <v>89</v>
      </c>
      <c r="J1419">
        <v>0</v>
      </c>
      <c r="K1419">
        <v>1</v>
      </c>
      <c r="L1419">
        <v>3</v>
      </c>
      <c r="M1419">
        <v>352</v>
      </c>
      <c r="N1419">
        <v>305</v>
      </c>
      <c r="O1419">
        <v>9</v>
      </c>
      <c r="P1419" t="s">
        <v>92</v>
      </c>
      <c r="Q1419">
        <v>5</v>
      </c>
      <c r="R1419">
        <v>81</v>
      </c>
      <c r="S1419">
        <v>3</v>
      </c>
      <c r="T1419">
        <v>10</v>
      </c>
      <c r="U1419">
        <v>5</v>
      </c>
      <c r="V1419">
        <v>9</v>
      </c>
      <c r="W1419">
        <v>118</v>
      </c>
      <c r="X1419">
        <v>53</v>
      </c>
      <c r="Y1419">
        <v>1</v>
      </c>
      <c r="Z1419">
        <v>0</v>
      </c>
      <c r="AA1419">
        <v>3</v>
      </c>
      <c r="AB1419">
        <v>6</v>
      </c>
      <c r="AF1419">
        <v>3</v>
      </c>
      <c r="AG1419">
        <v>0</v>
      </c>
      <c r="AH1419">
        <v>0</v>
      </c>
      <c r="AI1419">
        <v>0</v>
      </c>
      <c r="AW1419" t="s">
        <v>95</v>
      </c>
      <c r="AX1419">
        <v>12</v>
      </c>
      <c r="AY1419">
        <v>309</v>
      </c>
      <c r="AZ1419">
        <v>309</v>
      </c>
      <c r="BA1419">
        <v>616</v>
      </c>
      <c r="BB1419">
        <v>44</v>
      </c>
      <c r="BC1419" t="s">
        <v>96</v>
      </c>
      <c r="BD1419">
        <v>1</v>
      </c>
      <c r="BF1419" t="s">
        <v>1549</v>
      </c>
      <c r="BG1419" s="1">
        <v>44354.197222222225</v>
      </c>
      <c r="BH1419" s="1">
        <v>44354.202337962961</v>
      </c>
      <c r="BI1419" s="1">
        <v>44354.203356481485</v>
      </c>
      <c r="BJ1419" t="s">
        <v>85</v>
      </c>
      <c r="BK1419" t="s">
        <v>86</v>
      </c>
      <c r="BL1419" t="s">
        <v>87</v>
      </c>
    </row>
    <row r="1420" spans="1:64" x14ac:dyDescent="0.3">
      <c r="A1420" t="str">
        <f>"200710B0000"</f>
        <v>200710B0000</v>
      </c>
      <c r="B1420" t="str">
        <f>"200710B00003"</f>
        <v>200710B00003</v>
      </c>
      <c r="C1420" t="str">
        <f t="shared" si="82"/>
        <v>20</v>
      </c>
      <c r="D1420" t="s">
        <v>81</v>
      </c>
      <c r="E1420" t="str">
        <f>"077"</f>
        <v>077</v>
      </c>
      <c r="F1420" t="s">
        <v>1550</v>
      </c>
      <c r="G1420" t="str">
        <f>"0710"</f>
        <v>0710</v>
      </c>
      <c r="H1420" t="str">
        <f>"0000"</f>
        <v>0000</v>
      </c>
      <c r="I1420" t="s">
        <v>83</v>
      </c>
      <c r="J1420">
        <v>0</v>
      </c>
      <c r="K1420">
        <v>1</v>
      </c>
      <c r="L1420">
        <v>3</v>
      </c>
      <c r="M1420">
        <v>162</v>
      </c>
      <c r="N1420">
        <v>471</v>
      </c>
      <c r="O1420">
        <v>3</v>
      </c>
      <c r="P1420" t="s">
        <v>92</v>
      </c>
      <c r="Q1420">
        <v>49</v>
      </c>
      <c r="R1420">
        <v>103</v>
      </c>
      <c r="S1420">
        <v>15</v>
      </c>
      <c r="U1420">
        <v>102</v>
      </c>
      <c r="W1420">
        <v>124</v>
      </c>
      <c r="X1420">
        <v>38</v>
      </c>
      <c r="Y1420">
        <v>2</v>
      </c>
      <c r="Z1420">
        <v>1</v>
      </c>
      <c r="AA1420">
        <v>8</v>
      </c>
      <c r="AF1420">
        <v>3</v>
      </c>
      <c r="AG1420">
        <v>5</v>
      </c>
      <c r="AH1420">
        <v>0</v>
      </c>
      <c r="AI1420">
        <v>0</v>
      </c>
      <c r="AW1420">
        <v>0</v>
      </c>
      <c r="AX1420">
        <v>21</v>
      </c>
      <c r="AY1420">
        <v>471</v>
      </c>
      <c r="AZ1420">
        <v>471</v>
      </c>
      <c r="BA1420">
        <v>589</v>
      </c>
      <c r="BB1420">
        <v>44</v>
      </c>
      <c r="BD1420">
        <v>1</v>
      </c>
      <c r="BF1420" t="s">
        <v>1551</v>
      </c>
      <c r="BG1420" s="1">
        <v>44353.962488425925</v>
      </c>
      <c r="BH1420" s="1">
        <v>44354.128032407411</v>
      </c>
      <c r="BI1420" s="1">
        <v>44354.128437500003</v>
      </c>
      <c r="BJ1420" t="s">
        <v>197</v>
      </c>
      <c r="BK1420" t="s">
        <v>198</v>
      </c>
      <c r="BL1420" t="s">
        <v>87</v>
      </c>
    </row>
    <row r="1421" spans="1:64" x14ac:dyDescent="0.3">
      <c r="A1421" t="str">
        <f>"200711B0000"</f>
        <v>200711B0000</v>
      </c>
      <c r="B1421" t="str">
        <f>"200711B00003"</f>
        <v>200711B00003</v>
      </c>
      <c r="C1421" t="str">
        <f t="shared" si="82"/>
        <v>20</v>
      </c>
      <c r="D1421" t="s">
        <v>81</v>
      </c>
      <c r="E1421" t="str">
        <f>"077"</f>
        <v>077</v>
      </c>
      <c r="F1421" t="s">
        <v>1550</v>
      </c>
      <c r="G1421" t="str">
        <f>"0711"</f>
        <v>0711</v>
      </c>
      <c r="H1421" t="str">
        <f>"0000"</f>
        <v>0000</v>
      </c>
      <c r="I1421" t="s">
        <v>83</v>
      </c>
      <c r="J1421">
        <v>0</v>
      </c>
      <c r="K1421">
        <v>1</v>
      </c>
      <c r="L1421">
        <v>3</v>
      </c>
      <c r="M1421">
        <v>199</v>
      </c>
      <c r="N1421">
        <v>550</v>
      </c>
      <c r="O1421">
        <v>1</v>
      </c>
      <c r="P1421">
        <v>550</v>
      </c>
      <c r="Q1421">
        <v>62</v>
      </c>
      <c r="R1421">
        <v>73</v>
      </c>
      <c r="S1421">
        <v>12</v>
      </c>
      <c r="U1421">
        <v>131</v>
      </c>
      <c r="W1421">
        <v>118</v>
      </c>
      <c r="X1421">
        <v>111</v>
      </c>
      <c r="Y1421">
        <v>3</v>
      </c>
      <c r="Z1421">
        <v>1</v>
      </c>
      <c r="AA1421">
        <v>15</v>
      </c>
      <c r="AF1421">
        <v>5</v>
      </c>
      <c r="AG1421">
        <v>3</v>
      </c>
      <c r="AH1421">
        <v>0</v>
      </c>
      <c r="AI1421">
        <v>0</v>
      </c>
      <c r="AW1421">
        <v>0</v>
      </c>
      <c r="AX1421">
        <v>16</v>
      </c>
      <c r="AY1421">
        <v>550</v>
      </c>
      <c r="AZ1421">
        <v>550</v>
      </c>
      <c r="BA1421">
        <v>705</v>
      </c>
      <c r="BB1421">
        <v>44</v>
      </c>
      <c r="BD1421">
        <v>1</v>
      </c>
      <c r="BF1421" t="s">
        <v>1552</v>
      </c>
      <c r="BG1421" s="1">
        <v>44354.048657407409</v>
      </c>
      <c r="BH1421" s="1">
        <v>44354.128078703703</v>
      </c>
      <c r="BI1421" s="1">
        <v>44354.128576388888</v>
      </c>
      <c r="BJ1421" t="s">
        <v>197</v>
      </c>
      <c r="BK1421" t="s">
        <v>198</v>
      </c>
      <c r="BL1421" t="s">
        <v>87</v>
      </c>
    </row>
    <row r="1422" spans="1:64" x14ac:dyDescent="0.3">
      <c r="A1422" t="str">
        <f>"200712B0000"</f>
        <v>200712B0000</v>
      </c>
      <c r="B1422" t="str">
        <f>"200712B00003"</f>
        <v>200712B00003</v>
      </c>
      <c r="C1422" t="str">
        <f t="shared" si="82"/>
        <v>20</v>
      </c>
      <c r="D1422" t="s">
        <v>81</v>
      </c>
      <c r="E1422" t="str">
        <f>"078"</f>
        <v>078</v>
      </c>
      <c r="F1422" t="s">
        <v>1553</v>
      </c>
      <c r="G1422" t="str">
        <f>"0712"</f>
        <v>0712</v>
      </c>
      <c r="H1422" t="str">
        <f>"0000"</f>
        <v>0000</v>
      </c>
      <c r="I1422" t="s">
        <v>83</v>
      </c>
      <c r="J1422">
        <v>0</v>
      </c>
      <c r="K1422">
        <v>1</v>
      </c>
      <c r="L1422">
        <v>3</v>
      </c>
      <c r="M1422">
        <v>339</v>
      </c>
      <c r="N1422">
        <v>316</v>
      </c>
      <c r="O1422">
        <v>0</v>
      </c>
      <c r="P1422">
        <v>316</v>
      </c>
      <c r="Q1422">
        <v>6</v>
      </c>
      <c r="R1422">
        <v>131</v>
      </c>
      <c r="S1422">
        <v>26</v>
      </c>
      <c r="U1422">
        <v>9</v>
      </c>
      <c r="X1422">
        <v>116</v>
      </c>
      <c r="Z1422">
        <v>5</v>
      </c>
      <c r="AF1422">
        <v>3</v>
      </c>
      <c r="AG1422">
        <v>0</v>
      </c>
      <c r="AH1422">
        <v>0</v>
      </c>
      <c r="AI1422">
        <v>2</v>
      </c>
      <c r="AW1422">
        <v>0</v>
      </c>
      <c r="AX1422">
        <v>18</v>
      </c>
      <c r="AY1422">
        <v>316</v>
      </c>
      <c r="AZ1422">
        <v>316</v>
      </c>
      <c r="BA1422">
        <v>611</v>
      </c>
      <c r="BB1422">
        <v>44</v>
      </c>
      <c r="BD1422">
        <v>1</v>
      </c>
      <c r="BF1422" t="s">
        <v>1554</v>
      </c>
      <c r="BG1422" s="1">
        <v>44354.634027777778</v>
      </c>
      <c r="BH1422" s="1">
        <v>44354.639317129629</v>
      </c>
      <c r="BI1422" s="1">
        <v>44354.639953703707</v>
      </c>
      <c r="BJ1422" t="s">
        <v>85</v>
      </c>
      <c r="BK1422" t="s">
        <v>86</v>
      </c>
      <c r="BL1422" t="s">
        <v>87</v>
      </c>
    </row>
    <row r="1423" spans="1:64" x14ac:dyDescent="0.3">
      <c r="A1423" t="str">
        <f>"200712C0100"</f>
        <v>200712C0100</v>
      </c>
      <c r="B1423" t="str">
        <f>"200712C01003"</f>
        <v>200712C01003</v>
      </c>
      <c r="C1423" t="str">
        <f t="shared" si="82"/>
        <v>20</v>
      </c>
      <c r="D1423" t="s">
        <v>81</v>
      </c>
      <c r="E1423" t="str">
        <f>"078"</f>
        <v>078</v>
      </c>
      <c r="F1423" t="s">
        <v>1553</v>
      </c>
      <c r="G1423" t="str">
        <f>"0712"</f>
        <v>0712</v>
      </c>
      <c r="H1423" t="str">
        <f>"0001"</f>
        <v>0001</v>
      </c>
      <c r="I1423" t="s">
        <v>89</v>
      </c>
      <c r="J1423">
        <v>0</v>
      </c>
      <c r="K1423">
        <v>1</v>
      </c>
      <c r="L1423">
        <v>3</v>
      </c>
      <c r="M1423">
        <v>328</v>
      </c>
      <c r="N1423">
        <v>328</v>
      </c>
      <c r="O1423">
        <v>4</v>
      </c>
      <c r="P1423">
        <v>326</v>
      </c>
      <c r="Q1423">
        <v>3</v>
      </c>
      <c r="R1423">
        <v>119</v>
      </c>
      <c r="S1423">
        <v>17</v>
      </c>
      <c r="U1423">
        <v>7</v>
      </c>
      <c r="X1423">
        <v>147</v>
      </c>
      <c r="Z1423">
        <v>8</v>
      </c>
      <c r="AF1423">
        <v>1</v>
      </c>
      <c r="AG1423">
        <v>0</v>
      </c>
      <c r="AH1423">
        <v>0</v>
      </c>
      <c r="AI1423">
        <v>4</v>
      </c>
      <c r="AW1423">
        <v>0</v>
      </c>
      <c r="AX1423">
        <v>20</v>
      </c>
      <c r="AY1423">
        <v>326</v>
      </c>
      <c r="AZ1423">
        <v>326</v>
      </c>
      <c r="BA1423">
        <v>610</v>
      </c>
      <c r="BB1423">
        <v>44</v>
      </c>
      <c r="BD1423">
        <v>1</v>
      </c>
      <c r="BF1423" t="s">
        <v>1555</v>
      </c>
      <c r="BG1423" s="1">
        <v>44354.635416666664</v>
      </c>
      <c r="BH1423" s="1">
        <v>44354.638333333336</v>
      </c>
      <c r="BI1423" s="1">
        <v>44354.638761574075</v>
      </c>
      <c r="BJ1423" t="s">
        <v>85</v>
      </c>
      <c r="BK1423" t="s">
        <v>86</v>
      </c>
      <c r="BL1423" t="s">
        <v>87</v>
      </c>
    </row>
    <row r="1424" spans="1:64" x14ac:dyDescent="0.3">
      <c r="A1424" t="str">
        <f>"200713B0000"</f>
        <v>200713B0000</v>
      </c>
      <c r="B1424" t="str">
        <f>"200713B00003"</f>
        <v>200713B00003</v>
      </c>
      <c r="C1424" t="str">
        <f t="shared" si="82"/>
        <v>20</v>
      </c>
      <c r="D1424" t="s">
        <v>81</v>
      </c>
      <c r="E1424" t="str">
        <f>"078"</f>
        <v>078</v>
      </c>
      <c r="F1424" t="s">
        <v>1553</v>
      </c>
      <c r="G1424" t="str">
        <f>"0713"</f>
        <v>0713</v>
      </c>
      <c r="H1424" t="str">
        <f>"0000"</f>
        <v>0000</v>
      </c>
      <c r="I1424" t="s">
        <v>83</v>
      </c>
      <c r="J1424">
        <v>0</v>
      </c>
      <c r="K1424">
        <v>1</v>
      </c>
      <c r="L1424">
        <v>3</v>
      </c>
      <c r="M1424">
        <v>213</v>
      </c>
      <c r="N1424">
        <v>192</v>
      </c>
      <c r="O1424">
        <v>0</v>
      </c>
      <c r="P1424">
        <v>192</v>
      </c>
      <c r="Q1424">
        <v>0</v>
      </c>
      <c r="R1424">
        <v>38</v>
      </c>
      <c r="S1424">
        <v>10</v>
      </c>
      <c r="U1424">
        <v>6</v>
      </c>
      <c r="X1424">
        <v>117</v>
      </c>
      <c r="Z1424">
        <v>8</v>
      </c>
      <c r="AF1424">
        <v>1</v>
      </c>
      <c r="AG1424">
        <v>1</v>
      </c>
      <c r="AH1424">
        <v>1</v>
      </c>
      <c r="AI1424">
        <v>0</v>
      </c>
      <c r="AW1424">
        <v>0</v>
      </c>
      <c r="AX1424">
        <v>10</v>
      </c>
      <c r="AY1424">
        <v>192</v>
      </c>
      <c r="AZ1424">
        <v>192</v>
      </c>
      <c r="BA1424">
        <v>361</v>
      </c>
      <c r="BB1424">
        <v>44</v>
      </c>
      <c r="BD1424">
        <v>1</v>
      </c>
      <c r="BF1424" t="s">
        <v>1556</v>
      </c>
      <c r="BG1424" s="1">
        <v>44353.857835648145</v>
      </c>
      <c r="BH1424" s="1">
        <v>44353.859895833331</v>
      </c>
      <c r="BI1424" s="1">
        <v>44353.86042824074</v>
      </c>
      <c r="BJ1424" t="s">
        <v>197</v>
      </c>
      <c r="BK1424" t="s">
        <v>198</v>
      </c>
      <c r="BL1424" t="s">
        <v>87</v>
      </c>
    </row>
    <row r="1425" spans="1:64" x14ac:dyDescent="0.3">
      <c r="A1425" t="str">
        <f>"200738B0000"</f>
        <v>200738B0000</v>
      </c>
      <c r="B1425" t="str">
        <f>"200738B00003"</f>
        <v>200738B00003</v>
      </c>
      <c r="C1425" t="str">
        <f t="shared" si="82"/>
        <v>20</v>
      </c>
      <c r="D1425" t="s">
        <v>81</v>
      </c>
      <c r="E1425" t="str">
        <f>"085"</f>
        <v>085</v>
      </c>
      <c r="F1425" t="s">
        <v>1557</v>
      </c>
      <c r="G1425" t="str">
        <f>"0738"</f>
        <v>0738</v>
      </c>
      <c r="H1425" t="str">
        <f>"0000"</f>
        <v>0000</v>
      </c>
      <c r="I1425" t="s">
        <v>83</v>
      </c>
      <c r="J1425">
        <v>0</v>
      </c>
      <c r="K1425">
        <v>1</v>
      </c>
      <c r="L1425">
        <v>3</v>
      </c>
      <c r="BA1425">
        <v>447</v>
      </c>
      <c r="BB1425">
        <v>46</v>
      </c>
      <c r="BC1425" t="s">
        <v>381</v>
      </c>
      <c r="BD1425">
        <v>0</v>
      </c>
      <c r="BF1425" t="s">
        <v>1558</v>
      </c>
      <c r="BG1425" s="1">
        <v>44354.669444444444</v>
      </c>
      <c r="BH1425" s="1">
        <v>44354.673275462963</v>
      </c>
      <c r="BI1425" s="1">
        <v>44354.673275462963</v>
      </c>
      <c r="BJ1425" t="s">
        <v>85</v>
      </c>
      <c r="BK1425" t="s">
        <v>86</v>
      </c>
      <c r="BL1425" t="s">
        <v>87</v>
      </c>
    </row>
    <row r="1426" spans="1:64" x14ac:dyDescent="0.3">
      <c r="A1426" t="str">
        <f>"200738C0100"</f>
        <v>200738C0100</v>
      </c>
      <c r="B1426" t="str">
        <f>"200738C01003"</f>
        <v>200738C01003</v>
      </c>
      <c r="C1426" t="str">
        <f t="shared" si="82"/>
        <v>20</v>
      </c>
      <c r="D1426" t="s">
        <v>81</v>
      </c>
      <c r="E1426" t="str">
        <f>"085"</f>
        <v>085</v>
      </c>
      <c r="F1426" t="s">
        <v>1557</v>
      </c>
      <c r="G1426" t="str">
        <f>"0738"</f>
        <v>0738</v>
      </c>
      <c r="H1426" t="str">
        <f>"0001"</f>
        <v>0001</v>
      </c>
      <c r="I1426" t="s">
        <v>89</v>
      </c>
      <c r="J1426">
        <v>0</v>
      </c>
      <c r="K1426">
        <v>1</v>
      </c>
      <c r="L1426">
        <v>3</v>
      </c>
      <c r="BA1426">
        <v>446</v>
      </c>
      <c r="BB1426">
        <v>46</v>
      </c>
      <c r="BC1426" t="s">
        <v>381</v>
      </c>
      <c r="BD1426">
        <v>0</v>
      </c>
      <c r="BF1426" t="s">
        <v>1559</v>
      </c>
      <c r="BG1426" s="1">
        <v>44354.670138888891</v>
      </c>
      <c r="BH1426" s="1">
        <v>44354.673564814817</v>
      </c>
      <c r="BI1426" s="1">
        <v>44354.673564814817</v>
      </c>
      <c r="BJ1426" t="s">
        <v>85</v>
      </c>
      <c r="BK1426" t="s">
        <v>86</v>
      </c>
      <c r="BL1426" t="s">
        <v>87</v>
      </c>
    </row>
    <row r="1427" spans="1:64" x14ac:dyDescent="0.3">
      <c r="A1427" t="str">
        <f>"200739B0000"</f>
        <v>200739B0000</v>
      </c>
      <c r="B1427" t="str">
        <f>"200739B00003"</f>
        <v>200739B00003</v>
      </c>
      <c r="C1427" t="str">
        <f t="shared" si="82"/>
        <v>20</v>
      </c>
      <c r="D1427" t="s">
        <v>81</v>
      </c>
      <c r="E1427" t="str">
        <f>"085"</f>
        <v>085</v>
      </c>
      <c r="F1427" t="s">
        <v>1557</v>
      </c>
      <c r="G1427" t="str">
        <f>"0739"</f>
        <v>0739</v>
      </c>
      <c r="H1427" t="str">
        <f>"0000"</f>
        <v>0000</v>
      </c>
      <c r="I1427" t="s">
        <v>83</v>
      </c>
      <c r="J1427">
        <v>0</v>
      </c>
      <c r="K1427">
        <v>1</v>
      </c>
      <c r="L1427">
        <v>3</v>
      </c>
      <c r="BA1427">
        <v>339</v>
      </c>
      <c r="BB1427">
        <v>46</v>
      </c>
      <c r="BC1427" t="s">
        <v>381</v>
      </c>
      <c r="BD1427">
        <v>0</v>
      </c>
      <c r="BF1427" t="s">
        <v>1560</v>
      </c>
      <c r="BG1427" s="1">
        <v>44354.670138888891</v>
      </c>
      <c r="BH1427" s="1">
        <v>44354.673414351855</v>
      </c>
      <c r="BI1427" s="1">
        <v>44354.673414351855</v>
      </c>
      <c r="BJ1427" t="s">
        <v>85</v>
      </c>
      <c r="BK1427" t="s">
        <v>86</v>
      </c>
      <c r="BL1427" t="s">
        <v>87</v>
      </c>
    </row>
    <row r="1428" spans="1:64" x14ac:dyDescent="0.3">
      <c r="A1428" t="str">
        <f>"200739E0100"</f>
        <v>200739E0100</v>
      </c>
      <c r="B1428" t="str">
        <f>"200739E01003"</f>
        <v>200739E01003</v>
      </c>
      <c r="C1428" t="str">
        <f t="shared" si="82"/>
        <v>20</v>
      </c>
      <c r="D1428" t="s">
        <v>81</v>
      </c>
      <c r="E1428" t="str">
        <f>"085"</f>
        <v>085</v>
      </c>
      <c r="F1428" t="s">
        <v>1557</v>
      </c>
      <c r="G1428" t="str">
        <f>"0739"</f>
        <v>0739</v>
      </c>
      <c r="H1428" t="str">
        <f>"0001"</f>
        <v>0001</v>
      </c>
      <c r="I1428" t="s">
        <v>122</v>
      </c>
      <c r="J1428">
        <v>0</v>
      </c>
      <c r="K1428">
        <v>1</v>
      </c>
      <c r="L1428">
        <v>3</v>
      </c>
      <c r="BA1428">
        <v>165</v>
      </c>
      <c r="BB1428">
        <v>46</v>
      </c>
      <c r="BC1428" t="s">
        <v>381</v>
      </c>
      <c r="BD1428">
        <v>0</v>
      </c>
      <c r="BF1428" t="s">
        <v>1561</v>
      </c>
      <c r="BG1428" s="1">
        <v>44354.670138888891</v>
      </c>
      <c r="BH1428" s="1">
        <v>44354.673726851855</v>
      </c>
      <c r="BI1428" s="1">
        <v>44354.673726851855</v>
      </c>
      <c r="BJ1428" t="s">
        <v>85</v>
      </c>
      <c r="BK1428" t="s">
        <v>86</v>
      </c>
      <c r="BL1428" t="s">
        <v>87</v>
      </c>
    </row>
    <row r="1429" spans="1:64" x14ac:dyDescent="0.3">
      <c r="A1429" t="str">
        <f>"200740B0000"</f>
        <v>200740B0000</v>
      </c>
      <c r="B1429" t="str">
        <f>"200740B00003"</f>
        <v>200740B00003</v>
      </c>
      <c r="C1429" t="str">
        <f t="shared" si="82"/>
        <v>20</v>
      </c>
      <c r="D1429" t="s">
        <v>81</v>
      </c>
      <c r="E1429" t="str">
        <f>"085"</f>
        <v>085</v>
      </c>
      <c r="F1429" t="s">
        <v>1557</v>
      </c>
      <c r="G1429" t="str">
        <f>"0740"</f>
        <v>0740</v>
      </c>
      <c r="H1429" t="str">
        <f>"0000"</f>
        <v>0000</v>
      </c>
      <c r="I1429" t="s">
        <v>83</v>
      </c>
      <c r="J1429">
        <v>0</v>
      </c>
      <c r="K1429">
        <v>1</v>
      </c>
      <c r="L1429">
        <v>3</v>
      </c>
      <c r="M1429">
        <v>238</v>
      </c>
      <c r="N1429">
        <v>487</v>
      </c>
      <c r="O1429">
        <v>8</v>
      </c>
      <c r="P1429">
        <v>487</v>
      </c>
      <c r="Q1429">
        <v>3</v>
      </c>
      <c r="R1429">
        <v>193</v>
      </c>
      <c r="S1429">
        <v>4</v>
      </c>
      <c r="T1429">
        <v>3</v>
      </c>
      <c r="U1429">
        <v>155</v>
      </c>
      <c r="X1429">
        <v>8</v>
      </c>
      <c r="Z1429">
        <v>2</v>
      </c>
      <c r="AB1429">
        <v>106</v>
      </c>
      <c r="AO1429">
        <v>0</v>
      </c>
      <c r="AU1429">
        <v>1</v>
      </c>
      <c r="AW1429">
        <v>0</v>
      </c>
      <c r="AX1429">
        <v>12</v>
      </c>
      <c r="AY1429">
        <v>487</v>
      </c>
      <c r="AZ1429">
        <v>487</v>
      </c>
      <c r="BA1429">
        <v>679</v>
      </c>
      <c r="BB1429">
        <v>46</v>
      </c>
      <c r="BD1429">
        <v>1</v>
      </c>
      <c r="BF1429" t="s">
        <v>1562</v>
      </c>
      <c r="BG1429" s="1">
        <v>44353.988541666666</v>
      </c>
      <c r="BH1429" s="1">
        <v>44353.992280092592</v>
      </c>
      <c r="BI1429" s="1">
        <v>44353.992777777778</v>
      </c>
      <c r="BJ1429" t="s">
        <v>197</v>
      </c>
      <c r="BK1429" t="s">
        <v>198</v>
      </c>
      <c r="BL1429" t="s">
        <v>87</v>
      </c>
    </row>
    <row r="1430" spans="1:64" x14ac:dyDescent="0.3">
      <c r="A1430" t="str">
        <f>"200741B0000"</f>
        <v>200741B0000</v>
      </c>
      <c r="B1430" t="str">
        <f>"200741B00003"</f>
        <v>200741B00003</v>
      </c>
      <c r="C1430" t="str">
        <f t="shared" si="82"/>
        <v>20</v>
      </c>
      <c r="D1430" t="s">
        <v>81</v>
      </c>
      <c r="E1430" t="str">
        <f t="shared" ref="E1430:E1435" si="83">"086"</f>
        <v>086</v>
      </c>
      <c r="F1430" t="s">
        <v>1563</v>
      </c>
      <c r="G1430" t="str">
        <f>"0741"</f>
        <v>0741</v>
      </c>
      <c r="H1430" t="str">
        <f>"0000"</f>
        <v>0000</v>
      </c>
      <c r="I1430" t="s">
        <v>83</v>
      </c>
      <c r="J1430">
        <v>0</v>
      </c>
      <c r="K1430">
        <v>1</v>
      </c>
      <c r="L1430">
        <v>3</v>
      </c>
      <c r="M1430">
        <v>197</v>
      </c>
      <c r="N1430">
        <v>285</v>
      </c>
      <c r="O1430">
        <v>2</v>
      </c>
      <c r="P1430">
        <v>285</v>
      </c>
      <c r="Q1430">
        <v>0</v>
      </c>
      <c r="R1430">
        <v>79</v>
      </c>
      <c r="S1430">
        <v>185</v>
      </c>
      <c r="T1430">
        <v>0</v>
      </c>
      <c r="U1430">
        <v>1</v>
      </c>
      <c r="X1430">
        <v>7</v>
      </c>
      <c r="Z1430">
        <v>0</v>
      </c>
      <c r="AA1430">
        <v>1</v>
      </c>
      <c r="AO1430">
        <v>2</v>
      </c>
      <c r="AW1430" t="s">
        <v>95</v>
      </c>
      <c r="AX1430">
        <v>10</v>
      </c>
      <c r="AY1430">
        <v>285</v>
      </c>
      <c r="AZ1430">
        <v>285</v>
      </c>
      <c r="BA1430">
        <v>438</v>
      </c>
      <c r="BB1430">
        <v>44</v>
      </c>
      <c r="BC1430" t="s">
        <v>96</v>
      </c>
      <c r="BD1430">
        <v>1</v>
      </c>
      <c r="BF1430" t="s">
        <v>1564</v>
      </c>
      <c r="BG1430" s="1">
        <v>44353.895729166667</v>
      </c>
      <c r="BH1430" s="1">
        <v>44354.022523148145</v>
      </c>
      <c r="BI1430" s="1">
        <v>44354.022800925923</v>
      </c>
      <c r="BJ1430" t="s">
        <v>197</v>
      </c>
      <c r="BK1430" t="s">
        <v>198</v>
      </c>
      <c r="BL1430" t="s">
        <v>87</v>
      </c>
    </row>
    <row r="1431" spans="1:64" x14ac:dyDescent="0.3">
      <c r="A1431" t="str">
        <f>"200741C0100"</f>
        <v>200741C0100</v>
      </c>
      <c r="B1431" t="str">
        <f>"200741C01003"</f>
        <v>200741C01003</v>
      </c>
      <c r="C1431" t="str">
        <f t="shared" si="82"/>
        <v>20</v>
      </c>
      <c r="D1431" t="s">
        <v>81</v>
      </c>
      <c r="E1431" t="str">
        <f t="shared" si="83"/>
        <v>086</v>
      </c>
      <c r="F1431" t="s">
        <v>1563</v>
      </c>
      <c r="G1431" t="str">
        <f>"0741"</f>
        <v>0741</v>
      </c>
      <c r="H1431" t="str">
        <f>"0001"</f>
        <v>0001</v>
      </c>
      <c r="I1431" t="s">
        <v>89</v>
      </c>
      <c r="J1431">
        <v>0</v>
      </c>
      <c r="K1431">
        <v>1</v>
      </c>
      <c r="L1431">
        <v>3</v>
      </c>
      <c r="M1431">
        <v>203</v>
      </c>
      <c r="N1431">
        <v>279</v>
      </c>
      <c r="O1431">
        <v>7</v>
      </c>
      <c r="P1431">
        <v>279</v>
      </c>
      <c r="Q1431">
        <v>0</v>
      </c>
      <c r="R1431">
        <v>89</v>
      </c>
      <c r="S1431">
        <v>170</v>
      </c>
      <c r="T1431">
        <v>0</v>
      </c>
      <c r="U1431">
        <v>0</v>
      </c>
      <c r="X1431">
        <v>14</v>
      </c>
      <c r="Z1431">
        <v>0</v>
      </c>
      <c r="AA1431">
        <v>0</v>
      </c>
      <c r="AO1431">
        <v>0</v>
      </c>
      <c r="AW1431">
        <v>0</v>
      </c>
      <c r="AX1431">
        <v>6</v>
      </c>
      <c r="AY1431">
        <v>279</v>
      </c>
      <c r="AZ1431">
        <v>279</v>
      </c>
      <c r="BA1431">
        <v>438</v>
      </c>
      <c r="BB1431">
        <v>44</v>
      </c>
      <c r="BD1431">
        <v>1</v>
      </c>
      <c r="BF1431" t="s">
        <v>1565</v>
      </c>
      <c r="BG1431" s="1">
        <v>44353.934652777774</v>
      </c>
      <c r="BH1431" s="1">
        <v>44354.022314814814</v>
      </c>
      <c r="BI1431" s="1">
        <v>44354.022534722222</v>
      </c>
      <c r="BJ1431" t="s">
        <v>197</v>
      </c>
      <c r="BK1431" t="s">
        <v>198</v>
      </c>
      <c r="BL1431" t="s">
        <v>87</v>
      </c>
    </row>
    <row r="1432" spans="1:64" x14ac:dyDescent="0.3">
      <c r="A1432" t="str">
        <f>"200741E0100"</f>
        <v>200741E0100</v>
      </c>
      <c r="B1432" t="str">
        <f>"200741E01003"</f>
        <v>200741E01003</v>
      </c>
      <c r="C1432" t="str">
        <f t="shared" si="82"/>
        <v>20</v>
      </c>
      <c r="D1432" t="s">
        <v>81</v>
      </c>
      <c r="E1432" t="str">
        <f t="shared" si="83"/>
        <v>086</v>
      </c>
      <c r="F1432" t="s">
        <v>1563</v>
      </c>
      <c r="G1432" t="str">
        <f>"0741"</f>
        <v>0741</v>
      </c>
      <c r="H1432" t="str">
        <f>"0001"</f>
        <v>0001</v>
      </c>
      <c r="I1432" t="s">
        <v>122</v>
      </c>
      <c r="J1432">
        <v>0</v>
      </c>
      <c r="K1432">
        <v>1</v>
      </c>
      <c r="L1432">
        <v>3</v>
      </c>
      <c r="M1432">
        <v>210</v>
      </c>
      <c r="N1432">
        <v>288</v>
      </c>
      <c r="O1432">
        <v>6</v>
      </c>
      <c r="P1432">
        <v>288</v>
      </c>
      <c r="Q1432">
        <v>1</v>
      </c>
      <c r="R1432">
        <v>90</v>
      </c>
      <c r="S1432">
        <v>17</v>
      </c>
      <c r="T1432">
        <v>0</v>
      </c>
      <c r="U1432">
        <v>3</v>
      </c>
      <c r="X1432">
        <v>154</v>
      </c>
      <c r="Z1432">
        <v>3</v>
      </c>
      <c r="AA1432">
        <v>7</v>
      </c>
      <c r="AO1432" t="s">
        <v>95</v>
      </c>
      <c r="AW1432" t="s">
        <v>95</v>
      </c>
      <c r="AX1432">
        <v>13</v>
      </c>
      <c r="AY1432">
        <v>288</v>
      </c>
      <c r="AZ1432">
        <v>288</v>
      </c>
      <c r="BA1432">
        <v>454</v>
      </c>
      <c r="BB1432">
        <v>44</v>
      </c>
      <c r="BC1432" t="s">
        <v>96</v>
      </c>
      <c r="BD1432">
        <v>1</v>
      </c>
      <c r="BF1432" t="s">
        <v>1566</v>
      </c>
      <c r="BG1432" s="1">
        <v>44353.859548611108</v>
      </c>
      <c r="BH1432" s="1">
        <v>44354.02244212963</v>
      </c>
      <c r="BI1432" s="1">
        <v>44354.023101851853</v>
      </c>
      <c r="BJ1432" t="s">
        <v>197</v>
      </c>
      <c r="BK1432" t="s">
        <v>198</v>
      </c>
      <c r="BL1432" t="s">
        <v>87</v>
      </c>
    </row>
    <row r="1433" spans="1:64" x14ac:dyDescent="0.3">
      <c r="A1433" t="str">
        <f>"200742B0000"</f>
        <v>200742B0000</v>
      </c>
      <c r="B1433" t="str">
        <f>"200742B00003"</f>
        <v>200742B00003</v>
      </c>
      <c r="C1433" t="str">
        <f t="shared" si="82"/>
        <v>20</v>
      </c>
      <c r="D1433" t="s">
        <v>81</v>
      </c>
      <c r="E1433" t="str">
        <f t="shared" si="83"/>
        <v>086</v>
      </c>
      <c r="F1433" t="s">
        <v>1563</v>
      </c>
      <c r="G1433" t="str">
        <f>"0742"</f>
        <v>0742</v>
      </c>
      <c r="H1433" t="str">
        <f>"0000"</f>
        <v>0000</v>
      </c>
      <c r="I1433" t="s">
        <v>83</v>
      </c>
      <c r="J1433">
        <v>0</v>
      </c>
      <c r="K1433">
        <v>1</v>
      </c>
      <c r="L1433">
        <v>3</v>
      </c>
      <c r="M1433">
        <v>108</v>
      </c>
      <c r="N1433">
        <v>97</v>
      </c>
      <c r="O1433">
        <v>5</v>
      </c>
      <c r="P1433">
        <v>97</v>
      </c>
      <c r="Q1433">
        <v>0</v>
      </c>
      <c r="R1433">
        <v>8</v>
      </c>
      <c r="S1433">
        <v>17</v>
      </c>
      <c r="T1433">
        <v>2</v>
      </c>
      <c r="U1433">
        <v>4</v>
      </c>
      <c r="X1433">
        <v>54</v>
      </c>
      <c r="Z1433">
        <v>1</v>
      </c>
      <c r="AA1433">
        <v>2</v>
      </c>
      <c r="AO1433">
        <v>1</v>
      </c>
      <c r="AW1433">
        <v>0</v>
      </c>
      <c r="AX1433">
        <v>8</v>
      </c>
      <c r="AY1433">
        <v>97</v>
      </c>
      <c r="AZ1433">
        <v>97</v>
      </c>
      <c r="BA1433">
        <v>161</v>
      </c>
      <c r="BB1433">
        <v>44</v>
      </c>
      <c r="BD1433">
        <v>1</v>
      </c>
      <c r="BF1433" t="s">
        <v>1567</v>
      </c>
      <c r="BG1433" s="1">
        <v>44354.074305555558</v>
      </c>
      <c r="BH1433" s="1">
        <v>44354.083472222221</v>
      </c>
      <c r="BI1433" s="1">
        <v>44354.083668981482</v>
      </c>
      <c r="BJ1433" t="s">
        <v>85</v>
      </c>
      <c r="BK1433" t="s">
        <v>86</v>
      </c>
      <c r="BL1433" t="s">
        <v>87</v>
      </c>
    </row>
    <row r="1434" spans="1:64" x14ac:dyDescent="0.3">
      <c r="A1434" t="str">
        <f>"200742E0100"</f>
        <v>200742E0100</v>
      </c>
      <c r="B1434" t="str">
        <f>"200742E01003"</f>
        <v>200742E01003</v>
      </c>
      <c r="C1434" t="str">
        <f t="shared" si="82"/>
        <v>20</v>
      </c>
      <c r="D1434" t="s">
        <v>81</v>
      </c>
      <c r="E1434" t="str">
        <f t="shared" si="83"/>
        <v>086</v>
      </c>
      <c r="F1434" t="s">
        <v>1563</v>
      </c>
      <c r="G1434" t="str">
        <f>"0742"</f>
        <v>0742</v>
      </c>
      <c r="H1434" t="str">
        <f>"0001"</f>
        <v>0001</v>
      </c>
      <c r="I1434" t="s">
        <v>122</v>
      </c>
      <c r="J1434">
        <v>0</v>
      </c>
      <c r="K1434">
        <v>1</v>
      </c>
      <c r="L1434">
        <v>3</v>
      </c>
      <c r="M1434">
        <v>92</v>
      </c>
      <c r="N1434">
        <v>118</v>
      </c>
      <c r="O1434">
        <v>5</v>
      </c>
      <c r="P1434">
        <v>118</v>
      </c>
      <c r="Q1434">
        <v>0</v>
      </c>
      <c r="R1434">
        <v>108</v>
      </c>
      <c r="S1434">
        <v>7</v>
      </c>
      <c r="T1434">
        <v>0</v>
      </c>
      <c r="U1434">
        <v>0</v>
      </c>
      <c r="X1434">
        <v>2</v>
      </c>
      <c r="Z1434">
        <v>0</v>
      </c>
      <c r="AA1434">
        <v>0</v>
      </c>
      <c r="AO1434">
        <v>0</v>
      </c>
      <c r="AW1434">
        <v>0</v>
      </c>
      <c r="AX1434">
        <v>1</v>
      </c>
      <c r="AY1434">
        <v>118</v>
      </c>
      <c r="AZ1434">
        <v>118</v>
      </c>
      <c r="BA1434">
        <v>166</v>
      </c>
      <c r="BB1434">
        <v>44</v>
      </c>
      <c r="BD1434">
        <v>1</v>
      </c>
      <c r="BF1434" t="s">
        <v>1568</v>
      </c>
      <c r="BG1434" s="1">
        <v>44354.074305555558</v>
      </c>
      <c r="BH1434" s="1">
        <v>44354.084513888891</v>
      </c>
      <c r="BI1434" s="1">
        <v>44354.085104166668</v>
      </c>
      <c r="BJ1434" t="s">
        <v>85</v>
      </c>
      <c r="BK1434" t="s">
        <v>86</v>
      </c>
      <c r="BL1434" t="s">
        <v>87</v>
      </c>
    </row>
    <row r="1435" spans="1:64" x14ac:dyDescent="0.3">
      <c r="A1435" t="str">
        <f>"200743B0000"</f>
        <v>200743B0000</v>
      </c>
      <c r="B1435" t="str">
        <f>"200743B00003"</f>
        <v>200743B00003</v>
      </c>
      <c r="C1435" t="str">
        <f t="shared" si="82"/>
        <v>20</v>
      </c>
      <c r="D1435" t="s">
        <v>81</v>
      </c>
      <c r="E1435" t="str">
        <f t="shared" si="83"/>
        <v>086</v>
      </c>
      <c r="F1435" t="s">
        <v>1563</v>
      </c>
      <c r="G1435" t="str">
        <f>"0743"</f>
        <v>0743</v>
      </c>
      <c r="H1435" t="str">
        <f>"0000"</f>
        <v>0000</v>
      </c>
      <c r="I1435" t="s">
        <v>83</v>
      </c>
      <c r="J1435">
        <v>0</v>
      </c>
      <c r="K1435">
        <v>1</v>
      </c>
      <c r="L1435">
        <v>3</v>
      </c>
      <c r="M1435">
        <v>74</v>
      </c>
      <c r="N1435">
        <v>68</v>
      </c>
      <c r="O1435">
        <v>7</v>
      </c>
      <c r="P1435">
        <v>68</v>
      </c>
      <c r="Q1435">
        <v>0</v>
      </c>
      <c r="R1435">
        <v>9</v>
      </c>
      <c r="S1435">
        <v>15</v>
      </c>
      <c r="T1435">
        <v>0</v>
      </c>
      <c r="U1435">
        <v>0</v>
      </c>
      <c r="X1435">
        <v>40</v>
      </c>
      <c r="Z1435">
        <v>0</v>
      </c>
      <c r="AA1435">
        <v>1</v>
      </c>
      <c r="AO1435">
        <v>0</v>
      </c>
      <c r="AW1435">
        <v>0</v>
      </c>
      <c r="AX1435">
        <v>3</v>
      </c>
      <c r="AY1435">
        <v>68</v>
      </c>
      <c r="AZ1435">
        <v>68</v>
      </c>
      <c r="BA1435">
        <v>98</v>
      </c>
      <c r="BB1435">
        <v>44</v>
      </c>
      <c r="BD1435">
        <v>1</v>
      </c>
      <c r="BF1435" t="s">
        <v>1569</v>
      </c>
      <c r="BG1435" s="1">
        <v>44354.074305555558</v>
      </c>
      <c r="BH1435" s="1">
        <v>44354.085150462961</v>
      </c>
      <c r="BI1435" s="1">
        <v>44354.085289351853</v>
      </c>
      <c r="BJ1435" t="s">
        <v>85</v>
      </c>
      <c r="BK1435" t="s">
        <v>86</v>
      </c>
      <c r="BL1435" t="s">
        <v>87</v>
      </c>
    </row>
    <row r="1436" spans="1:64" x14ac:dyDescent="0.3">
      <c r="A1436" t="str">
        <f>"200744B0000"</f>
        <v>200744B0000</v>
      </c>
      <c r="B1436" t="str">
        <f>"200744B00003"</f>
        <v>200744B00003</v>
      </c>
      <c r="C1436" t="str">
        <f t="shared" si="82"/>
        <v>20</v>
      </c>
      <c r="D1436" t="s">
        <v>81</v>
      </c>
      <c r="E1436" t="str">
        <f t="shared" ref="E1436:E1443" si="84">"087"</f>
        <v>087</v>
      </c>
      <c r="F1436" t="s">
        <v>1570</v>
      </c>
      <c r="G1436" t="str">
        <f>"0744"</f>
        <v>0744</v>
      </c>
      <c r="H1436" t="str">
        <f>"0000"</f>
        <v>0000</v>
      </c>
      <c r="I1436" t="s">
        <v>83</v>
      </c>
      <c r="J1436">
        <v>0</v>
      </c>
      <c r="K1436">
        <v>1</v>
      </c>
      <c r="L1436">
        <v>3</v>
      </c>
      <c r="M1436">
        <v>193</v>
      </c>
      <c r="N1436">
        <v>387</v>
      </c>
      <c r="O1436">
        <v>4</v>
      </c>
      <c r="P1436">
        <v>387</v>
      </c>
      <c r="Q1436">
        <v>0</v>
      </c>
      <c r="R1436">
        <v>82</v>
      </c>
      <c r="S1436">
        <v>2</v>
      </c>
      <c r="T1436">
        <v>56</v>
      </c>
      <c r="U1436">
        <v>148</v>
      </c>
      <c r="W1436">
        <v>40</v>
      </c>
      <c r="X1436">
        <v>25</v>
      </c>
      <c r="Y1436">
        <v>1</v>
      </c>
      <c r="Z1436">
        <v>0</v>
      </c>
      <c r="AB1436">
        <v>15</v>
      </c>
      <c r="AO1436">
        <v>2</v>
      </c>
      <c r="AW1436">
        <v>0</v>
      </c>
      <c r="AX1436">
        <v>16</v>
      </c>
      <c r="AY1436">
        <v>387</v>
      </c>
      <c r="AZ1436">
        <v>387</v>
      </c>
      <c r="BA1436">
        <v>536</v>
      </c>
      <c r="BB1436">
        <v>44</v>
      </c>
      <c r="BD1436">
        <v>1</v>
      </c>
      <c r="BF1436" t="s">
        <v>1571</v>
      </c>
      <c r="BG1436" s="1">
        <v>44354.191666666666</v>
      </c>
      <c r="BH1436" s="1">
        <v>44354.222187500003</v>
      </c>
      <c r="BI1436" s="1">
        <v>44354.222638888888</v>
      </c>
      <c r="BJ1436" t="s">
        <v>85</v>
      </c>
      <c r="BK1436" t="s">
        <v>86</v>
      </c>
      <c r="BL1436" t="s">
        <v>87</v>
      </c>
    </row>
    <row r="1437" spans="1:64" x14ac:dyDescent="0.3">
      <c r="A1437" t="str">
        <f>"200744C0100"</f>
        <v>200744C0100</v>
      </c>
      <c r="B1437" t="str">
        <f>"200744C01003"</f>
        <v>200744C01003</v>
      </c>
      <c r="C1437" t="str">
        <f t="shared" si="82"/>
        <v>20</v>
      </c>
      <c r="D1437" t="s">
        <v>81</v>
      </c>
      <c r="E1437" t="str">
        <f t="shared" si="84"/>
        <v>087</v>
      </c>
      <c r="F1437" t="s">
        <v>1570</v>
      </c>
      <c r="G1437" t="str">
        <f>"0744"</f>
        <v>0744</v>
      </c>
      <c r="H1437" t="str">
        <f>"0001"</f>
        <v>0001</v>
      </c>
      <c r="I1437" t="s">
        <v>89</v>
      </c>
      <c r="J1437">
        <v>0</v>
      </c>
      <c r="K1437">
        <v>1</v>
      </c>
      <c r="L1437">
        <v>3</v>
      </c>
      <c r="M1437">
        <v>176</v>
      </c>
      <c r="N1437">
        <v>403</v>
      </c>
      <c r="O1437">
        <v>4</v>
      </c>
      <c r="P1437">
        <v>403</v>
      </c>
      <c r="Q1437">
        <v>0</v>
      </c>
      <c r="R1437">
        <v>79</v>
      </c>
      <c r="S1437">
        <v>1</v>
      </c>
      <c r="T1437">
        <v>81</v>
      </c>
      <c r="U1437">
        <v>140</v>
      </c>
      <c r="W1437">
        <v>36</v>
      </c>
      <c r="X1437">
        <v>25</v>
      </c>
      <c r="Y1437">
        <v>2</v>
      </c>
      <c r="Z1437">
        <v>0</v>
      </c>
      <c r="AB1437">
        <v>28</v>
      </c>
      <c r="AO1437">
        <v>0</v>
      </c>
      <c r="AW1437">
        <v>0</v>
      </c>
      <c r="AX1437">
        <v>11</v>
      </c>
      <c r="AY1437">
        <v>403</v>
      </c>
      <c r="AZ1437">
        <v>403</v>
      </c>
      <c r="BA1437">
        <v>535</v>
      </c>
      <c r="BB1437">
        <v>44</v>
      </c>
      <c r="BD1437">
        <v>1</v>
      </c>
      <c r="BF1437" t="s">
        <v>1572</v>
      </c>
      <c r="BG1437" s="1">
        <v>44354.161805555559</v>
      </c>
      <c r="BH1437" s="1">
        <v>44354.168749999997</v>
      </c>
      <c r="BI1437" s="1">
        <v>44354.169166666667</v>
      </c>
      <c r="BJ1437" t="s">
        <v>85</v>
      </c>
      <c r="BK1437" t="s">
        <v>86</v>
      </c>
      <c r="BL1437" t="s">
        <v>87</v>
      </c>
    </row>
    <row r="1438" spans="1:64" x14ac:dyDescent="0.3">
      <c r="A1438" t="str">
        <f>"200744E0100"</f>
        <v>200744E0100</v>
      </c>
      <c r="B1438" t="str">
        <f>"200744E01003"</f>
        <v>200744E01003</v>
      </c>
      <c r="C1438" t="str">
        <f t="shared" si="82"/>
        <v>20</v>
      </c>
      <c r="D1438" t="s">
        <v>81</v>
      </c>
      <c r="E1438" t="str">
        <f t="shared" si="84"/>
        <v>087</v>
      </c>
      <c r="F1438" t="s">
        <v>1570</v>
      </c>
      <c r="G1438" t="str">
        <f>"0744"</f>
        <v>0744</v>
      </c>
      <c r="H1438" t="str">
        <f>"0001"</f>
        <v>0001</v>
      </c>
      <c r="I1438" t="s">
        <v>122</v>
      </c>
      <c r="J1438">
        <v>0</v>
      </c>
      <c r="K1438">
        <v>1</v>
      </c>
      <c r="L1438">
        <v>3</v>
      </c>
      <c r="M1438">
        <v>187</v>
      </c>
      <c r="N1438">
        <v>343</v>
      </c>
      <c r="O1438">
        <v>2</v>
      </c>
      <c r="P1438">
        <v>343</v>
      </c>
      <c r="Q1438">
        <v>0</v>
      </c>
      <c r="R1438">
        <v>34</v>
      </c>
      <c r="S1438">
        <v>0</v>
      </c>
      <c r="T1438">
        <v>145</v>
      </c>
      <c r="U1438">
        <v>79</v>
      </c>
      <c r="W1438">
        <v>34</v>
      </c>
      <c r="X1438">
        <v>22</v>
      </c>
      <c r="Y1438">
        <v>6</v>
      </c>
      <c r="Z1438">
        <v>1</v>
      </c>
      <c r="AB1438">
        <v>5</v>
      </c>
      <c r="AO1438">
        <v>1</v>
      </c>
      <c r="AW1438">
        <v>0</v>
      </c>
      <c r="AX1438">
        <v>16</v>
      </c>
      <c r="AY1438">
        <v>343</v>
      </c>
      <c r="AZ1438">
        <v>343</v>
      </c>
      <c r="BA1438">
        <v>486</v>
      </c>
      <c r="BB1438">
        <v>44</v>
      </c>
      <c r="BD1438">
        <v>1</v>
      </c>
      <c r="BF1438" t="s">
        <v>1573</v>
      </c>
      <c r="BG1438" s="1">
        <v>44354.182638888888</v>
      </c>
      <c r="BH1438" s="1">
        <v>44354.185219907406</v>
      </c>
      <c r="BI1438" s="1">
        <v>44354.185532407406</v>
      </c>
      <c r="BJ1438" t="s">
        <v>85</v>
      </c>
      <c r="BK1438" t="s">
        <v>86</v>
      </c>
      <c r="BL1438" t="s">
        <v>87</v>
      </c>
    </row>
    <row r="1439" spans="1:64" x14ac:dyDescent="0.3">
      <c r="A1439" t="str">
        <f>"200745B0000"</f>
        <v>200745B0000</v>
      </c>
      <c r="B1439" t="str">
        <f>"200745B00003"</f>
        <v>200745B00003</v>
      </c>
      <c r="C1439" t="str">
        <f t="shared" si="82"/>
        <v>20</v>
      </c>
      <c r="D1439" t="s">
        <v>81</v>
      </c>
      <c r="E1439" t="str">
        <f t="shared" si="84"/>
        <v>087</v>
      </c>
      <c r="F1439" t="s">
        <v>1570</v>
      </c>
      <c r="G1439" t="str">
        <f>"0745"</f>
        <v>0745</v>
      </c>
      <c r="H1439" t="str">
        <f>"0000"</f>
        <v>0000</v>
      </c>
      <c r="I1439" t="s">
        <v>83</v>
      </c>
      <c r="J1439">
        <v>0</v>
      </c>
      <c r="K1439">
        <v>1</v>
      </c>
      <c r="L1439">
        <v>3</v>
      </c>
      <c r="M1439">
        <v>146</v>
      </c>
      <c r="N1439">
        <v>316</v>
      </c>
      <c r="O1439">
        <v>1</v>
      </c>
      <c r="P1439">
        <v>316</v>
      </c>
      <c r="Q1439">
        <v>1</v>
      </c>
      <c r="R1439">
        <v>90</v>
      </c>
      <c r="S1439">
        <v>2</v>
      </c>
      <c r="T1439">
        <v>40</v>
      </c>
      <c r="U1439">
        <v>115</v>
      </c>
      <c r="W1439">
        <v>24</v>
      </c>
      <c r="X1439">
        <v>27</v>
      </c>
      <c r="Y1439">
        <v>1</v>
      </c>
      <c r="Z1439">
        <v>0</v>
      </c>
      <c r="AB1439">
        <v>5</v>
      </c>
      <c r="AO1439">
        <v>0</v>
      </c>
      <c r="AW1439">
        <v>0</v>
      </c>
      <c r="AX1439">
        <v>11</v>
      </c>
      <c r="AY1439">
        <v>316</v>
      </c>
      <c r="AZ1439">
        <v>316</v>
      </c>
      <c r="BA1439">
        <v>418</v>
      </c>
      <c r="BB1439">
        <v>44</v>
      </c>
      <c r="BD1439">
        <v>1</v>
      </c>
      <c r="BF1439" t="s">
        <v>1574</v>
      </c>
      <c r="BG1439" s="1">
        <v>44354.177777777775</v>
      </c>
      <c r="BH1439" s="1">
        <v>44354.188356481478</v>
      </c>
      <c r="BI1439" s="1">
        <v>44354.188993055555</v>
      </c>
      <c r="BJ1439" t="s">
        <v>85</v>
      </c>
      <c r="BK1439" t="s">
        <v>86</v>
      </c>
      <c r="BL1439" t="s">
        <v>87</v>
      </c>
    </row>
    <row r="1440" spans="1:64" x14ac:dyDescent="0.3">
      <c r="A1440" t="str">
        <f>"200745C0100"</f>
        <v>200745C0100</v>
      </c>
      <c r="B1440" t="str">
        <f>"200745C01003"</f>
        <v>200745C01003</v>
      </c>
      <c r="C1440" t="str">
        <f t="shared" si="82"/>
        <v>20</v>
      </c>
      <c r="D1440" t="s">
        <v>81</v>
      </c>
      <c r="E1440" t="str">
        <f t="shared" si="84"/>
        <v>087</v>
      </c>
      <c r="F1440" t="s">
        <v>1570</v>
      </c>
      <c r="G1440" t="str">
        <f>"0745"</f>
        <v>0745</v>
      </c>
      <c r="H1440" t="str">
        <f>"0001"</f>
        <v>0001</v>
      </c>
      <c r="I1440" t="s">
        <v>89</v>
      </c>
      <c r="J1440">
        <v>0</v>
      </c>
      <c r="K1440">
        <v>1</v>
      </c>
      <c r="L1440">
        <v>3</v>
      </c>
      <c r="M1440">
        <v>150</v>
      </c>
      <c r="N1440">
        <v>312</v>
      </c>
      <c r="O1440">
        <v>3</v>
      </c>
      <c r="P1440">
        <v>312</v>
      </c>
      <c r="Q1440">
        <v>1</v>
      </c>
      <c r="R1440">
        <v>104</v>
      </c>
      <c r="S1440">
        <v>2</v>
      </c>
      <c r="T1440">
        <v>29</v>
      </c>
      <c r="U1440">
        <v>113</v>
      </c>
      <c r="W1440">
        <v>24</v>
      </c>
      <c r="X1440">
        <v>25</v>
      </c>
      <c r="Y1440">
        <v>0</v>
      </c>
      <c r="Z1440">
        <v>0</v>
      </c>
      <c r="AB1440">
        <v>5</v>
      </c>
      <c r="AO1440">
        <v>0</v>
      </c>
      <c r="AW1440">
        <v>0</v>
      </c>
      <c r="AX1440">
        <v>9</v>
      </c>
      <c r="AY1440">
        <v>312</v>
      </c>
      <c r="AZ1440">
        <v>312</v>
      </c>
      <c r="BA1440">
        <v>418</v>
      </c>
      <c r="BB1440">
        <v>44</v>
      </c>
      <c r="BD1440">
        <v>1</v>
      </c>
      <c r="BF1440" t="s">
        <v>1575</v>
      </c>
      <c r="BG1440" s="1">
        <v>44354.2</v>
      </c>
      <c r="BH1440" s="1">
        <v>44354.202905092592</v>
      </c>
      <c r="BI1440" s="1">
        <v>44354.203194444446</v>
      </c>
      <c r="BJ1440" t="s">
        <v>85</v>
      </c>
      <c r="BK1440" t="s">
        <v>86</v>
      </c>
      <c r="BL1440" t="s">
        <v>87</v>
      </c>
    </row>
    <row r="1441" spans="1:64" x14ac:dyDescent="0.3">
      <c r="A1441" t="str">
        <f>"200745E0100"</f>
        <v>200745E0100</v>
      </c>
      <c r="B1441" t="str">
        <f>"200745E01003"</f>
        <v>200745E01003</v>
      </c>
      <c r="C1441" t="str">
        <f t="shared" si="82"/>
        <v>20</v>
      </c>
      <c r="D1441" t="s">
        <v>81</v>
      </c>
      <c r="E1441" t="str">
        <f t="shared" si="84"/>
        <v>087</v>
      </c>
      <c r="F1441" t="s">
        <v>1570</v>
      </c>
      <c r="G1441" t="str">
        <f>"0745"</f>
        <v>0745</v>
      </c>
      <c r="H1441" t="str">
        <f>"0001"</f>
        <v>0001</v>
      </c>
      <c r="I1441" t="s">
        <v>122</v>
      </c>
      <c r="J1441">
        <v>0</v>
      </c>
      <c r="K1441">
        <v>1</v>
      </c>
      <c r="L1441">
        <v>3</v>
      </c>
      <c r="M1441">
        <v>264</v>
      </c>
      <c r="N1441">
        <v>478</v>
      </c>
      <c r="O1441">
        <v>3</v>
      </c>
      <c r="P1441">
        <v>475</v>
      </c>
      <c r="Q1441">
        <v>2</v>
      </c>
      <c r="R1441">
        <v>97</v>
      </c>
      <c r="S1441">
        <v>2</v>
      </c>
      <c r="T1441">
        <v>63</v>
      </c>
      <c r="U1441">
        <v>209</v>
      </c>
      <c r="W1441">
        <v>57</v>
      </c>
      <c r="X1441">
        <v>14</v>
      </c>
      <c r="Y1441">
        <v>1</v>
      </c>
      <c r="Z1441">
        <v>1</v>
      </c>
      <c r="AB1441">
        <v>15</v>
      </c>
      <c r="AO1441">
        <v>0</v>
      </c>
      <c r="AW1441">
        <v>0</v>
      </c>
      <c r="AX1441">
        <v>14</v>
      </c>
      <c r="AY1441">
        <v>475</v>
      </c>
      <c r="AZ1441">
        <v>475</v>
      </c>
      <c r="BA1441">
        <v>698</v>
      </c>
      <c r="BB1441">
        <v>44</v>
      </c>
      <c r="BD1441">
        <v>1</v>
      </c>
      <c r="BF1441" t="s">
        <v>1576</v>
      </c>
      <c r="BG1441" s="1">
        <v>44354.101388888892</v>
      </c>
      <c r="BH1441" s="1">
        <v>44354.104386574072</v>
      </c>
      <c r="BI1441" s="1">
        <v>44354.105532407404</v>
      </c>
      <c r="BJ1441" t="s">
        <v>85</v>
      </c>
      <c r="BK1441" t="s">
        <v>86</v>
      </c>
      <c r="BL1441" t="s">
        <v>87</v>
      </c>
    </row>
    <row r="1442" spans="1:64" x14ac:dyDescent="0.3">
      <c r="A1442" t="str">
        <f>"200746B0000"</f>
        <v>200746B0000</v>
      </c>
      <c r="B1442" t="str">
        <f>"200746B00003"</f>
        <v>200746B00003</v>
      </c>
      <c r="C1442" t="str">
        <f t="shared" si="82"/>
        <v>20</v>
      </c>
      <c r="D1442" t="s">
        <v>81</v>
      </c>
      <c r="E1442" t="str">
        <f t="shared" si="84"/>
        <v>087</v>
      </c>
      <c r="F1442" t="s">
        <v>1570</v>
      </c>
      <c r="G1442" t="str">
        <f>"0746"</f>
        <v>0746</v>
      </c>
      <c r="H1442" t="str">
        <f>"0000"</f>
        <v>0000</v>
      </c>
      <c r="I1442" t="s">
        <v>83</v>
      </c>
      <c r="J1442">
        <v>0</v>
      </c>
      <c r="K1442">
        <v>1</v>
      </c>
      <c r="L1442">
        <v>3</v>
      </c>
      <c r="M1442">
        <v>246</v>
      </c>
      <c r="N1442">
        <v>534</v>
      </c>
      <c r="O1442">
        <v>2</v>
      </c>
      <c r="P1442" t="s">
        <v>92</v>
      </c>
      <c r="Q1442">
        <v>0</v>
      </c>
      <c r="R1442">
        <v>112</v>
      </c>
      <c r="S1442">
        <v>2</v>
      </c>
      <c r="T1442">
        <v>73</v>
      </c>
      <c r="U1442">
        <v>172</v>
      </c>
      <c r="W1442">
        <v>77</v>
      </c>
      <c r="X1442">
        <v>59</v>
      </c>
      <c r="Y1442">
        <v>7</v>
      </c>
      <c r="Z1442">
        <v>2</v>
      </c>
      <c r="AB1442">
        <v>15</v>
      </c>
      <c r="AO1442">
        <v>0</v>
      </c>
      <c r="AW1442">
        <v>0</v>
      </c>
      <c r="AX1442">
        <v>15</v>
      </c>
      <c r="AY1442">
        <v>534</v>
      </c>
      <c r="AZ1442">
        <v>534</v>
      </c>
      <c r="BA1442">
        <v>736</v>
      </c>
      <c r="BB1442">
        <v>44</v>
      </c>
      <c r="BD1442">
        <v>1</v>
      </c>
      <c r="BF1442" t="s">
        <v>1577</v>
      </c>
      <c r="BG1442" s="1">
        <v>44354.194444444445</v>
      </c>
      <c r="BH1442" s="1">
        <v>44354.197152777779</v>
      </c>
      <c r="BI1442" s="1">
        <v>44354.198321759257</v>
      </c>
      <c r="BJ1442" t="s">
        <v>85</v>
      </c>
      <c r="BK1442" t="s">
        <v>86</v>
      </c>
      <c r="BL1442" t="s">
        <v>87</v>
      </c>
    </row>
    <row r="1443" spans="1:64" x14ac:dyDescent="0.3">
      <c r="A1443" t="str">
        <f>"200746C0100"</f>
        <v>200746C0100</v>
      </c>
      <c r="B1443" t="str">
        <f>"200746C01003"</f>
        <v>200746C01003</v>
      </c>
      <c r="C1443" t="str">
        <f t="shared" si="82"/>
        <v>20</v>
      </c>
      <c r="D1443" t="s">
        <v>81</v>
      </c>
      <c r="E1443" t="str">
        <f t="shared" si="84"/>
        <v>087</v>
      </c>
      <c r="F1443" t="s">
        <v>1570</v>
      </c>
      <c r="G1443" t="str">
        <f>"0746"</f>
        <v>0746</v>
      </c>
      <c r="H1443" t="str">
        <f>"0001"</f>
        <v>0001</v>
      </c>
      <c r="I1443" t="s">
        <v>89</v>
      </c>
      <c r="J1443">
        <v>0</v>
      </c>
      <c r="K1443">
        <v>1</v>
      </c>
      <c r="L1443">
        <v>3</v>
      </c>
      <c r="M1443">
        <v>265</v>
      </c>
      <c r="N1443">
        <v>515</v>
      </c>
      <c r="O1443">
        <v>5</v>
      </c>
      <c r="P1443">
        <v>515</v>
      </c>
      <c r="Q1443">
        <v>0</v>
      </c>
      <c r="R1443">
        <v>92</v>
      </c>
      <c r="S1443">
        <v>5</v>
      </c>
      <c r="T1443">
        <v>51</v>
      </c>
      <c r="U1443">
        <v>189</v>
      </c>
      <c r="W1443">
        <v>83</v>
      </c>
      <c r="X1443">
        <v>64</v>
      </c>
      <c r="Y1443">
        <v>3</v>
      </c>
      <c r="Z1443">
        <v>0</v>
      </c>
      <c r="AB1443">
        <v>15</v>
      </c>
      <c r="AO1443">
        <v>0</v>
      </c>
      <c r="AW1443">
        <v>0</v>
      </c>
      <c r="AX1443">
        <v>13</v>
      </c>
      <c r="AY1443">
        <v>515</v>
      </c>
      <c r="AZ1443">
        <v>515</v>
      </c>
      <c r="BA1443">
        <v>736</v>
      </c>
      <c r="BB1443">
        <v>44</v>
      </c>
      <c r="BD1443">
        <v>1</v>
      </c>
      <c r="BF1443" t="s">
        <v>1578</v>
      </c>
      <c r="BG1443" s="1">
        <v>44354.190972222219</v>
      </c>
      <c r="BH1443" s="1">
        <v>44354.196944444448</v>
      </c>
      <c r="BI1443" s="1">
        <v>44354.197604166664</v>
      </c>
      <c r="BJ1443" t="s">
        <v>85</v>
      </c>
      <c r="BK1443" t="s">
        <v>86</v>
      </c>
      <c r="BL1443" t="s">
        <v>87</v>
      </c>
    </row>
    <row r="1444" spans="1:64" x14ac:dyDescent="0.3">
      <c r="A1444" t="str">
        <f>"200764B0000"</f>
        <v>200764B0000</v>
      </c>
      <c r="B1444" t="str">
        <f>"200764B00003"</f>
        <v>200764B00003</v>
      </c>
      <c r="C1444" t="str">
        <f t="shared" si="82"/>
        <v>20</v>
      </c>
      <c r="D1444" t="s">
        <v>81</v>
      </c>
      <c r="E1444" t="str">
        <f>"099"</f>
        <v>099</v>
      </c>
      <c r="F1444" t="s">
        <v>1579</v>
      </c>
      <c r="G1444" t="str">
        <f>"0764"</f>
        <v>0764</v>
      </c>
      <c r="H1444" t="str">
        <f>"0000"</f>
        <v>0000</v>
      </c>
      <c r="I1444" t="s">
        <v>83</v>
      </c>
      <c r="J1444">
        <v>0</v>
      </c>
      <c r="K1444">
        <v>1</v>
      </c>
      <c r="L1444">
        <v>3</v>
      </c>
      <c r="M1444">
        <v>217</v>
      </c>
      <c r="N1444">
        <v>459</v>
      </c>
      <c r="O1444" t="s">
        <v>131</v>
      </c>
      <c r="P1444">
        <v>459</v>
      </c>
      <c r="Q1444">
        <v>3</v>
      </c>
      <c r="R1444">
        <v>200</v>
      </c>
      <c r="S1444">
        <v>8</v>
      </c>
      <c r="T1444">
        <v>0</v>
      </c>
      <c r="U1444">
        <v>3</v>
      </c>
      <c r="V1444">
        <v>0</v>
      </c>
      <c r="X1444">
        <v>209</v>
      </c>
      <c r="Z1444">
        <v>0</v>
      </c>
      <c r="AB1444">
        <v>9</v>
      </c>
      <c r="AF1444">
        <v>9</v>
      </c>
      <c r="AG1444">
        <v>0</v>
      </c>
      <c r="AH1444">
        <v>0</v>
      </c>
      <c r="AI1444">
        <v>2</v>
      </c>
      <c r="AU1444">
        <v>0</v>
      </c>
      <c r="AW1444">
        <v>1</v>
      </c>
      <c r="AX1444">
        <v>15</v>
      </c>
      <c r="AY1444">
        <v>459</v>
      </c>
      <c r="AZ1444">
        <v>459</v>
      </c>
      <c r="BA1444">
        <v>632</v>
      </c>
      <c r="BB1444">
        <v>44</v>
      </c>
      <c r="BD1444">
        <v>1</v>
      </c>
      <c r="BF1444" t="s">
        <v>1580</v>
      </c>
      <c r="BG1444" s="1">
        <v>44353.94672453704</v>
      </c>
      <c r="BH1444" s="1">
        <v>44353.948379629626</v>
      </c>
      <c r="BI1444" s="1">
        <v>44353.948935185188</v>
      </c>
      <c r="BJ1444" t="s">
        <v>197</v>
      </c>
      <c r="BK1444" t="s">
        <v>198</v>
      </c>
      <c r="BL1444" t="s">
        <v>87</v>
      </c>
    </row>
    <row r="1445" spans="1:64" x14ac:dyDescent="0.3">
      <c r="A1445" t="str">
        <f>"200764C0100"</f>
        <v>200764C0100</v>
      </c>
      <c r="B1445" t="str">
        <f>"200764C01003"</f>
        <v>200764C01003</v>
      </c>
      <c r="C1445" t="str">
        <f t="shared" si="82"/>
        <v>20</v>
      </c>
      <c r="D1445" t="s">
        <v>81</v>
      </c>
      <c r="E1445" t="str">
        <f>"099"</f>
        <v>099</v>
      </c>
      <c r="F1445" t="s">
        <v>1579</v>
      </c>
      <c r="G1445" t="str">
        <f>"0764"</f>
        <v>0764</v>
      </c>
      <c r="H1445" t="str">
        <f>"0001"</f>
        <v>0001</v>
      </c>
      <c r="I1445" t="s">
        <v>89</v>
      </c>
      <c r="J1445">
        <v>0</v>
      </c>
      <c r="K1445">
        <v>1</v>
      </c>
      <c r="L1445">
        <v>3</v>
      </c>
      <c r="M1445">
        <v>214</v>
      </c>
      <c r="N1445">
        <v>461</v>
      </c>
      <c r="O1445">
        <v>0</v>
      </c>
      <c r="P1445">
        <v>461</v>
      </c>
      <c r="Q1445">
        <v>3</v>
      </c>
      <c r="R1445">
        <v>207</v>
      </c>
      <c r="S1445">
        <v>3</v>
      </c>
      <c r="T1445">
        <v>1</v>
      </c>
      <c r="U1445">
        <v>1</v>
      </c>
      <c r="V1445">
        <v>3</v>
      </c>
      <c r="X1445">
        <v>209</v>
      </c>
      <c r="Z1445">
        <v>3</v>
      </c>
      <c r="AB1445">
        <v>16</v>
      </c>
      <c r="AF1445">
        <v>4</v>
      </c>
      <c r="AG1445">
        <v>1</v>
      </c>
      <c r="AH1445">
        <v>0</v>
      </c>
      <c r="AI1445">
        <v>1</v>
      </c>
      <c r="AU1445">
        <v>0</v>
      </c>
      <c r="AW1445">
        <v>0</v>
      </c>
      <c r="AX1445">
        <v>9</v>
      </c>
      <c r="AY1445">
        <v>461</v>
      </c>
      <c r="AZ1445">
        <v>461</v>
      </c>
      <c r="BA1445">
        <v>631</v>
      </c>
      <c r="BB1445">
        <v>44</v>
      </c>
      <c r="BD1445">
        <v>1</v>
      </c>
      <c r="BF1445" t="s">
        <v>1581</v>
      </c>
      <c r="BG1445" s="1">
        <v>44353.933518518519</v>
      </c>
      <c r="BH1445" s="1">
        <v>44353.93582175926</v>
      </c>
      <c r="BI1445" s="1">
        <v>44353.936666666668</v>
      </c>
      <c r="BJ1445" t="s">
        <v>197</v>
      </c>
      <c r="BK1445" t="s">
        <v>198</v>
      </c>
      <c r="BL1445" t="s">
        <v>87</v>
      </c>
    </row>
    <row r="1446" spans="1:64" x14ac:dyDescent="0.3">
      <c r="A1446" t="str">
        <f>"200764C0200"</f>
        <v>200764C0200</v>
      </c>
      <c r="B1446" t="str">
        <f>"200764C02003"</f>
        <v>200764C02003</v>
      </c>
      <c r="C1446" t="str">
        <f t="shared" si="82"/>
        <v>20</v>
      </c>
      <c r="D1446" t="s">
        <v>81</v>
      </c>
      <c r="E1446" t="str">
        <f>"099"</f>
        <v>099</v>
      </c>
      <c r="F1446" t="s">
        <v>1579</v>
      </c>
      <c r="G1446" t="str">
        <f>"0764"</f>
        <v>0764</v>
      </c>
      <c r="H1446" t="str">
        <f>"0002"</f>
        <v>0002</v>
      </c>
      <c r="I1446" t="s">
        <v>89</v>
      </c>
      <c r="J1446">
        <v>0</v>
      </c>
      <c r="K1446">
        <v>1</v>
      </c>
      <c r="L1446">
        <v>3</v>
      </c>
      <c r="M1446">
        <v>235</v>
      </c>
      <c r="N1446">
        <v>440</v>
      </c>
      <c r="O1446">
        <v>0</v>
      </c>
      <c r="P1446">
        <v>440</v>
      </c>
      <c r="Q1446">
        <v>2</v>
      </c>
      <c r="R1446">
        <v>172</v>
      </c>
      <c r="S1446">
        <v>16</v>
      </c>
      <c r="T1446">
        <v>1</v>
      </c>
      <c r="U1446">
        <v>2</v>
      </c>
      <c r="V1446">
        <v>1</v>
      </c>
      <c r="X1446">
        <v>216</v>
      </c>
      <c r="Z1446">
        <v>1</v>
      </c>
      <c r="AB1446">
        <v>9</v>
      </c>
      <c r="AF1446">
        <v>4</v>
      </c>
      <c r="AG1446">
        <v>0</v>
      </c>
      <c r="AH1446">
        <v>0</v>
      </c>
      <c r="AI1446">
        <v>2</v>
      </c>
      <c r="AU1446">
        <v>1</v>
      </c>
      <c r="AW1446">
        <v>1</v>
      </c>
      <c r="AX1446">
        <v>13</v>
      </c>
      <c r="AY1446">
        <v>440</v>
      </c>
      <c r="AZ1446">
        <v>441</v>
      </c>
      <c r="BA1446">
        <v>631</v>
      </c>
      <c r="BB1446">
        <v>44</v>
      </c>
      <c r="BD1446">
        <v>1</v>
      </c>
      <c r="BF1446" t="s">
        <v>1582</v>
      </c>
      <c r="BG1446" s="1">
        <v>44353.924108796295</v>
      </c>
      <c r="BH1446" s="1">
        <v>44353.929699074077</v>
      </c>
      <c r="BI1446" s="1">
        <v>44353.930613425924</v>
      </c>
      <c r="BJ1446" t="s">
        <v>197</v>
      </c>
      <c r="BK1446" t="s">
        <v>198</v>
      </c>
      <c r="BL1446" t="s">
        <v>87</v>
      </c>
    </row>
    <row r="1447" spans="1:64" x14ac:dyDescent="0.3">
      <c r="A1447" t="str">
        <f>"200765B0000"</f>
        <v>200765B0000</v>
      </c>
      <c r="B1447" t="str">
        <f>"200765B00003"</f>
        <v>200765B00003</v>
      </c>
      <c r="C1447" t="str">
        <f t="shared" si="82"/>
        <v>20</v>
      </c>
      <c r="D1447" t="s">
        <v>81</v>
      </c>
      <c r="E1447" t="str">
        <f>"099"</f>
        <v>099</v>
      </c>
      <c r="F1447" t="s">
        <v>1579</v>
      </c>
      <c r="G1447" t="str">
        <f>"0765"</f>
        <v>0765</v>
      </c>
      <c r="H1447" t="str">
        <f>"0000"</f>
        <v>0000</v>
      </c>
      <c r="I1447" t="s">
        <v>83</v>
      </c>
      <c r="J1447">
        <v>0</v>
      </c>
      <c r="K1447">
        <v>1</v>
      </c>
      <c r="L1447">
        <v>3</v>
      </c>
      <c r="M1447">
        <v>315</v>
      </c>
      <c r="N1447">
        <v>0</v>
      </c>
      <c r="O1447">
        <v>0</v>
      </c>
      <c r="P1447">
        <v>374</v>
      </c>
      <c r="Q1447">
        <v>2</v>
      </c>
      <c r="R1447">
        <v>76</v>
      </c>
      <c r="S1447">
        <v>6</v>
      </c>
      <c r="T1447">
        <v>5</v>
      </c>
      <c r="U1447">
        <v>4</v>
      </c>
      <c r="V1447">
        <v>1</v>
      </c>
      <c r="X1447">
        <v>186</v>
      </c>
      <c r="Z1447">
        <v>3</v>
      </c>
      <c r="AB1447">
        <v>76</v>
      </c>
      <c r="AF1447">
        <v>3</v>
      </c>
      <c r="AG1447">
        <v>0</v>
      </c>
      <c r="AH1447">
        <v>0</v>
      </c>
      <c r="AI1447">
        <v>0</v>
      </c>
      <c r="AU1447">
        <v>0</v>
      </c>
      <c r="AW1447">
        <v>0</v>
      </c>
      <c r="AX1447">
        <v>12</v>
      </c>
      <c r="AY1447">
        <v>374</v>
      </c>
      <c r="AZ1447">
        <v>374</v>
      </c>
      <c r="BA1447">
        <v>645</v>
      </c>
      <c r="BB1447">
        <v>44</v>
      </c>
      <c r="BD1447">
        <v>1</v>
      </c>
      <c r="BF1447" t="s">
        <v>1583</v>
      </c>
      <c r="BG1447" s="1">
        <v>44354.018055555556</v>
      </c>
      <c r="BH1447" s="1">
        <v>44354.027789351851</v>
      </c>
      <c r="BI1447" s="1">
        <v>44354.028067129628</v>
      </c>
      <c r="BJ1447" t="s">
        <v>85</v>
      </c>
      <c r="BK1447" t="s">
        <v>86</v>
      </c>
      <c r="BL1447" t="s">
        <v>87</v>
      </c>
    </row>
    <row r="1448" spans="1:64" x14ac:dyDescent="0.3">
      <c r="A1448" t="str">
        <f>"200765C0100"</f>
        <v>200765C0100</v>
      </c>
      <c r="B1448" t="str">
        <f>"200765C01003"</f>
        <v>200765C01003</v>
      </c>
      <c r="C1448" t="str">
        <f t="shared" si="82"/>
        <v>20</v>
      </c>
      <c r="D1448" t="s">
        <v>81</v>
      </c>
      <c r="E1448" t="str">
        <f>"099"</f>
        <v>099</v>
      </c>
      <c r="F1448" t="s">
        <v>1579</v>
      </c>
      <c r="G1448" t="str">
        <f>"0765"</f>
        <v>0765</v>
      </c>
      <c r="H1448" t="str">
        <f>"0001"</f>
        <v>0001</v>
      </c>
      <c r="I1448" t="s">
        <v>89</v>
      </c>
      <c r="J1448">
        <v>0</v>
      </c>
      <c r="K1448">
        <v>1</v>
      </c>
      <c r="L1448">
        <v>3</v>
      </c>
      <c r="M1448">
        <v>355</v>
      </c>
      <c r="N1448">
        <v>333</v>
      </c>
      <c r="O1448">
        <v>1</v>
      </c>
      <c r="P1448">
        <v>333</v>
      </c>
      <c r="Q1448">
        <v>2</v>
      </c>
      <c r="R1448">
        <v>84</v>
      </c>
      <c r="S1448">
        <v>3</v>
      </c>
      <c r="T1448">
        <v>2</v>
      </c>
      <c r="U1448">
        <v>3</v>
      </c>
      <c r="V1448">
        <v>0</v>
      </c>
      <c r="X1448">
        <v>175</v>
      </c>
      <c r="Z1448">
        <v>5</v>
      </c>
      <c r="AB1448">
        <v>53</v>
      </c>
      <c r="AF1448">
        <v>1</v>
      </c>
      <c r="AG1448">
        <v>1</v>
      </c>
      <c r="AH1448">
        <v>0</v>
      </c>
      <c r="AI1448">
        <v>0</v>
      </c>
      <c r="AU1448">
        <v>0</v>
      </c>
      <c r="AW1448">
        <v>1</v>
      </c>
      <c r="AX1448">
        <v>3</v>
      </c>
      <c r="AY1448">
        <v>333</v>
      </c>
      <c r="AZ1448">
        <v>333</v>
      </c>
      <c r="BA1448">
        <v>644</v>
      </c>
      <c r="BB1448">
        <v>44</v>
      </c>
      <c r="BD1448">
        <v>1</v>
      </c>
      <c r="BF1448" t="s">
        <v>1584</v>
      </c>
      <c r="BG1448" s="1">
        <v>44354.017361111109</v>
      </c>
      <c r="BH1448" s="1">
        <v>44354.025995370372</v>
      </c>
      <c r="BI1448" s="1">
        <v>44354.026296296295</v>
      </c>
      <c r="BJ1448" t="s">
        <v>85</v>
      </c>
      <c r="BK1448" t="s">
        <v>86</v>
      </c>
      <c r="BL1448" t="s">
        <v>87</v>
      </c>
    </row>
    <row r="1449" spans="1:64" x14ac:dyDescent="0.3">
      <c r="A1449" t="str">
        <f>"200766B0000"</f>
        <v>200766B0000</v>
      </c>
      <c r="B1449" t="str">
        <f>"200766B00003"</f>
        <v>200766B00003</v>
      </c>
      <c r="C1449" t="str">
        <f t="shared" si="82"/>
        <v>20</v>
      </c>
      <c r="D1449" t="s">
        <v>81</v>
      </c>
      <c r="E1449" t="str">
        <f t="shared" ref="E1449:E1457" si="85">"100"</f>
        <v>100</v>
      </c>
      <c r="F1449" t="s">
        <v>1585</v>
      </c>
      <c r="G1449" t="str">
        <f>"0766"</f>
        <v>0766</v>
      </c>
      <c r="H1449" t="str">
        <f>"0000"</f>
        <v>0000</v>
      </c>
      <c r="I1449" t="s">
        <v>83</v>
      </c>
      <c r="J1449">
        <v>0</v>
      </c>
      <c r="K1449">
        <v>1</v>
      </c>
      <c r="L1449">
        <v>3</v>
      </c>
      <c r="M1449">
        <v>313</v>
      </c>
      <c r="N1449">
        <v>416</v>
      </c>
      <c r="O1449">
        <v>1</v>
      </c>
      <c r="P1449">
        <v>416</v>
      </c>
      <c r="Q1449">
        <v>1</v>
      </c>
      <c r="R1449">
        <v>119</v>
      </c>
      <c r="S1449">
        <v>0</v>
      </c>
      <c r="T1449">
        <v>2</v>
      </c>
      <c r="U1449">
        <v>187</v>
      </c>
      <c r="X1449">
        <v>61</v>
      </c>
      <c r="Z1449">
        <v>0</v>
      </c>
      <c r="AA1449">
        <v>1</v>
      </c>
      <c r="AB1449">
        <v>27</v>
      </c>
      <c r="AF1449">
        <v>1</v>
      </c>
      <c r="AG1449">
        <v>0</v>
      </c>
      <c r="AH1449">
        <v>0</v>
      </c>
      <c r="AI1449">
        <v>1</v>
      </c>
      <c r="AW1449">
        <v>0</v>
      </c>
      <c r="AX1449">
        <v>16</v>
      </c>
      <c r="AY1449">
        <v>416</v>
      </c>
      <c r="AZ1449">
        <v>416</v>
      </c>
      <c r="BA1449">
        <v>685</v>
      </c>
      <c r="BB1449">
        <v>44</v>
      </c>
      <c r="BD1449">
        <v>1</v>
      </c>
      <c r="BF1449" t="s">
        <v>1586</v>
      </c>
      <c r="BG1449" s="1">
        <v>44353.965069444443</v>
      </c>
      <c r="BH1449" s="1">
        <v>44353.967175925929</v>
      </c>
      <c r="BI1449" s="1">
        <v>44353.967824074076</v>
      </c>
      <c r="BJ1449" t="s">
        <v>197</v>
      </c>
      <c r="BK1449" t="s">
        <v>198</v>
      </c>
      <c r="BL1449" t="s">
        <v>87</v>
      </c>
    </row>
    <row r="1450" spans="1:64" x14ac:dyDescent="0.3">
      <c r="A1450" t="str">
        <f>"200766C0100"</f>
        <v>200766C0100</v>
      </c>
      <c r="B1450" t="str">
        <f>"200766C01003"</f>
        <v>200766C01003</v>
      </c>
      <c r="C1450" t="str">
        <f t="shared" si="82"/>
        <v>20</v>
      </c>
      <c r="D1450" t="s">
        <v>81</v>
      </c>
      <c r="E1450" t="str">
        <f t="shared" si="85"/>
        <v>100</v>
      </c>
      <c r="F1450" t="s">
        <v>1585</v>
      </c>
      <c r="G1450" t="str">
        <f>"0766"</f>
        <v>0766</v>
      </c>
      <c r="H1450" t="str">
        <f>"0001"</f>
        <v>0001</v>
      </c>
      <c r="I1450" t="s">
        <v>89</v>
      </c>
      <c r="J1450">
        <v>0</v>
      </c>
      <c r="K1450">
        <v>1</v>
      </c>
      <c r="L1450">
        <v>3</v>
      </c>
      <c r="M1450">
        <v>310</v>
      </c>
      <c r="N1450">
        <v>419</v>
      </c>
      <c r="O1450">
        <v>0</v>
      </c>
      <c r="P1450">
        <v>419</v>
      </c>
      <c r="Q1450">
        <v>1</v>
      </c>
      <c r="R1450">
        <v>157</v>
      </c>
      <c r="S1450">
        <v>1</v>
      </c>
      <c r="T1450">
        <v>2</v>
      </c>
      <c r="U1450">
        <v>157</v>
      </c>
      <c r="X1450">
        <v>33</v>
      </c>
      <c r="Z1450">
        <v>0</v>
      </c>
      <c r="AA1450">
        <v>1</v>
      </c>
      <c r="AB1450">
        <v>48</v>
      </c>
      <c r="AF1450">
        <v>0</v>
      </c>
      <c r="AG1450">
        <v>1</v>
      </c>
      <c r="AH1450">
        <v>0</v>
      </c>
      <c r="AI1450">
        <v>0</v>
      </c>
      <c r="AW1450">
        <v>0</v>
      </c>
      <c r="AX1450">
        <v>18</v>
      </c>
      <c r="AY1450">
        <v>419</v>
      </c>
      <c r="AZ1450">
        <v>419</v>
      </c>
      <c r="BA1450">
        <v>685</v>
      </c>
      <c r="BB1450">
        <v>44</v>
      </c>
      <c r="BD1450">
        <v>1</v>
      </c>
      <c r="BF1450" t="s">
        <v>1587</v>
      </c>
      <c r="BG1450" s="1">
        <v>44353.976747685185</v>
      </c>
      <c r="BH1450" s="1">
        <v>44353.97824074074</v>
      </c>
      <c r="BI1450" s="1">
        <v>44353.978437500002</v>
      </c>
      <c r="BJ1450" t="s">
        <v>197</v>
      </c>
      <c r="BK1450" t="s">
        <v>198</v>
      </c>
      <c r="BL1450" t="s">
        <v>87</v>
      </c>
    </row>
    <row r="1451" spans="1:64" x14ac:dyDescent="0.3">
      <c r="A1451" t="str">
        <f>"200767B0000"</f>
        <v>200767B0000</v>
      </c>
      <c r="B1451" t="str">
        <f>"200767B00003"</f>
        <v>200767B00003</v>
      </c>
      <c r="C1451" t="str">
        <f t="shared" si="82"/>
        <v>20</v>
      </c>
      <c r="D1451" t="s">
        <v>81</v>
      </c>
      <c r="E1451" t="str">
        <f t="shared" si="85"/>
        <v>100</v>
      </c>
      <c r="F1451" t="s">
        <v>1585</v>
      </c>
      <c r="G1451" t="str">
        <f>"0767"</f>
        <v>0767</v>
      </c>
      <c r="H1451" t="str">
        <f>"0000"</f>
        <v>0000</v>
      </c>
      <c r="I1451" t="s">
        <v>83</v>
      </c>
      <c r="J1451">
        <v>0</v>
      </c>
      <c r="K1451">
        <v>1</v>
      </c>
      <c r="L1451">
        <v>3</v>
      </c>
      <c r="BA1451">
        <v>443</v>
      </c>
      <c r="BB1451">
        <v>44</v>
      </c>
      <c r="BC1451" t="s">
        <v>381</v>
      </c>
      <c r="BD1451">
        <v>0</v>
      </c>
      <c r="BF1451" t="s">
        <v>1588</v>
      </c>
      <c r="BG1451" s="1">
        <v>44354.280555555553</v>
      </c>
      <c r="BH1451" s="1">
        <v>44354.283530092594</v>
      </c>
      <c r="BI1451" s="1">
        <v>44354.283530092594</v>
      </c>
      <c r="BJ1451" t="s">
        <v>85</v>
      </c>
      <c r="BK1451" t="s">
        <v>86</v>
      </c>
      <c r="BL1451" t="s">
        <v>87</v>
      </c>
    </row>
    <row r="1452" spans="1:64" x14ac:dyDescent="0.3">
      <c r="A1452" t="str">
        <f>"200767C0100"</f>
        <v>200767C0100</v>
      </c>
      <c r="B1452" t="str">
        <f>"200767C01003"</f>
        <v>200767C01003</v>
      </c>
      <c r="C1452" t="str">
        <f t="shared" si="82"/>
        <v>20</v>
      </c>
      <c r="D1452" t="s">
        <v>81</v>
      </c>
      <c r="E1452" t="str">
        <f t="shared" si="85"/>
        <v>100</v>
      </c>
      <c r="F1452" t="s">
        <v>1585</v>
      </c>
      <c r="G1452" t="str">
        <f>"0767"</f>
        <v>0767</v>
      </c>
      <c r="H1452" t="str">
        <f>"0001"</f>
        <v>0001</v>
      </c>
      <c r="I1452" t="s">
        <v>89</v>
      </c>
      <c r="J1452">
        <v>0</v>
      </c>
      <c r="K1452">
        <v>1</v>
      </c>
      <c r="L1452">
        <v>3</v>
      </c>
      <c r="BA1452">
        <v>443</v>
      </c>
      <c r="BB1452">
        <v>44</v>
      </c>
      <c r="BC1452" t="s">
        <v>381</v>
      </c>
      <c r="BD1452">
        <v>0</v>
      </c>
      <c r="BF1452" t="s">
        <v>1589</v>
      </c>
      <c r="BG1452" s="1">
        <v>44354.280555555553</v>
      </c>
      <c r="BH1452" s="1">
        <v>44354.283379629633</v>
      </c>
      <c r="BI1452" s="1">
        <v>44354.283379629633</v>
      </c>
      <c r="BJ1452" t="s">
        <v>85</v>
      </c>
      <c r="BK1452" t="s">
        <v>86</v>
      </c>
      <c r="BL1452" t="s">
        <v>87</v>
      </c>
    </row>
    <row r="1453" spans="1:64" x14ac:dyDescent="0.3">
      <c r="A1453" t="str">
        <f>"200767E0100"</f>
        <v>200767E0100</v>
      </c>
      <c r="B1453" t="str">
        <f>"200767E01003"</f>
        <v>200767E01003</v>
      </c>
      <c r="C1453" t="str">
        <f t="shared" si="82"/>
        <v>20</v>
      </c>
      <c r="D1453" t="s">
        <v>81</v>
      </c>
      <c r="E1453" t="str">
        <f t="shared" si="85"/>
        <v>100</v>
      </c>
      <c r="F1453" t="s">
        <v>1585</v>
      </c>
      <c r="G1453" t="str">
        <f>"0767"</f>
        <v>0767</v>
      </c>
      <c r="H1453" t="str">
        <f>"0001"</f>
        <v>0001</v>
      </c>
      <c r="I1453" t="s">
        <v>122</v>
      </c>
      <c r="J1453">
        <v>0</v>
      </c>
      <c r="K1453">
        <v>1</v>
      </c>
      <c r="L1453">
        <v>3</v>
      </c>
      <c r="BA1453">
        <v>119</v>
      </c>
      <c r="BB1453">
        <v>44</v>
      </c>
      <c r="BC1453" t="s">
        <v>381</v>
      </c>
      <c r="BD1453">
        <v>0</v>
      </c>
      <c r="BF1453" t="s">
        <v>1590</v>
      </c>
      <c r="BG1453" s="1">
        <v>44354.279861111114</v>
      </c>
      <c r="BH1453" s="1">
        <v>44354.283194444448</v>
      </c>
      <c r="BI1453" s="1">
        <v>44354.283194444448</v>
      </c>
      <c r="BJ1453" t="s">
        <v>85</v>
      </c>
      <c r="BK1453" t="s">
        <v>86</v>
      </c>
      <c r="BL1453" t="s">
        <v>87</v>
      </c>
    </row>
    <row r="1454" spans="1:64" x14ac:dyDescent="0.3">
      <c r="A1454" t="str">
        <f>"200768B0000"</f>
        <v>200768B0000</v>
      </c>
      <c r="B1454" t="str">
        <f>"200768B00003"</f>
        <v>200768B00003</v>
      </c>
      <c r="C1454" t="str">
        <f t="shared" si="82"/>
        <v>20</v>
      </c>
      <c r="D1454" t="s">
        <v>81</v>
      </c>
      <c r="E1454" t="str">
        <f t="shared" si="85"/>
        <v>100</v>
      </c>
      <c r="F1454" t="s">
        <v>1585</v>
      </c>
      <c r="G1454" t="str">
        <f>"0768"</f>
        <v>0768</v>
      </c>
      <c r="H1454" t="str">
        <f>"0000"</f>
        <v>0000</v>
      </c>
      <c r="I1454" t="s">
        <v>83</v>
      </c>
      <c r="J1454">
        <v>0</v>
      </c>
      <c r="K1454">
        <v>1</v>
      </c>
      <c r="L1454">
        <v>3</v>
      </c>
      <c r="M1454">
        <v>209</v>
      </c>
      <c r="N1454">
        <v>285</v>
      </c>
      <c r="O1454">
        <v>0</v>
      </c>
      <c r="P1454">
        <v>285</v>
      </c>
      <c r="Q1454">
        <v>3</v>
      </c>
      <c r="R1454">
        <v>70</v>
      </c>
      <c r="S1454">
        <v>1</v>
      </c>
      <c r="T1454">
        <v>1</v>
      </c>
      <c r="U1454">
        <v>75</v>
      </c>
      <c r="X1454">
        <v>72</v>
      </c>
      <c r="Z1454">
        <v>1</v>
      </c>
      <c r="AA1454">
        <v>2</v>
      </c>
      <c r="AB1454">
        <v>52</v>
      </c>
      <c r="AF1454">
        <v>1</v>
      </c>
      <c r="AG1454">
        <v>1</v>
      </c>
      <c r="AH1454">
        <v>0</v>
      </c>
      <c r="AI1454">
        <v>0</v>
      </c>
      <c r="AW1454">
        <v>0</v>
      </c>
      <c r="AX1454">
        <v>6</v>
      </c>
      <c r="AY1454">
        <v>285</v>
      </c>
      <c r="AZ1454">
        <v>285</v>
      </c>
      <c r="BA1454">
        <v>450</v>
      </c>
      <c r="BB1454">
        <v>44</v>
      </c>
      <c r="BD1454">
        <v>1</v>
      </c>
      <c r="BF1454" t="s">
        <v>1591</v>
      </c>
      <c r="BG1454" s="1">
        <v>44353.917164351849</v>
      </c>
      <c r="BH1454" s="1">
        <v>44353.918483796297</v>
      </c>
      <c r="BI1454" s="1">
        <v>44353.919189814813</v>
      </c>
      <c r="BJ1454" t="s">
        <v>197</v>
      </c>
      <c r="BK1454" t="s">
        <v>198</v>
      </c>
      <c r="BL1454" t="s">
        <v>87</v>
      </c>
    </row>
    <row r="1455" spans="1:64" x14ac:dyDescent="0.3">
      <c r="A1455" t="str">
        <f>"200768C0100"</f>
        <v>200768C0100</v>
      </c>
      <c r="B1455" t="str">
        <f>"200768C01003"</f>
        <v>200768C01003</v>
      </c>
      <c r="C1455" t="str">
        <f t="shared" si="82"/>
        <v>20</v>
      </c>
      <c r="D1455" t="s">
        <v>81</v>
      </c>
      <c r="E1455" t="str">
        <f t="shared" si="85"/>
        <v>100</v>
      </c>
      <c r="F1455" t="s">
        <v>1585</v>
      </c>
      <c r="G1455" t="str">
        <f>"0768"</f>
        <v>0768</v>
      </c>
      <c r="H1455" t="str">
        <f>"0001"</f>
        <v>0001</v>
      </c>
      <c r="I1455" t="s">
        <v>89</v>
      </c>
      <c r="J1455">
        <v>0</v>
      </c>
      <c r="K1455">
        <v>1</v>
      </c>
      <c r="L1455">
        <v>3</v>
      </c>
      <c r="M1455">
        <v>232</v>
      </c>
      <c r="N1455">
        <v>258</v>
      </c>
      <c r="O1455">
        <v>0</v>
      </c>
      <c r="P1455">
        <v>258</v>
      </c>
      <c r="Q1455">
        <v>0</v>
      </c>
      <c r="R1455">
        <v>70</v>
      </c>
      <c r="S1455">
        <v>4</v>
      </c>
      <c r="T1455">
        <v>0</v>
      </c>
      <c r="U1455">
        <v>80</v>
      </c>
      <c r="X1455">
        <v>54</v>
      </c>
      <c r="Z1455">
        <v>1</v>
      </c>
      <c r="AA1455">
        <v>1</v>
      </c>
      <c r="AB1455">
        <v>41</v>
      </c>
      <c r="AF1455">
        <v>1</v>
      </c>
      <c r="AG1455">
        <v>0</v>
      </c>
      <c r="AH1455">
        <v>0</v>
      </c>
      <c r="AI1455">
        <v>0</v>
      </c>
      <c r="AW1455">
        <v>0</v>
      </c>
      <c r="AX1455">
        <v>6</v>
      </c>
      <c r="AY1455">
        <v>258</v>
      </c>
      <c r="AZ1455">
        <v>258</v>
      </c>
      <c r="BA1455">
        <v>449</v>
      </c>
      <c r="BB1455">
        <v>44</v>
      </c>
      <c r="BD1455">
        <v>1</v>
      </c>
      <c r="BF1455" t="s">
        <v>1592</v>
      </c>
      <c r="BG1455" s="1">
        <v>44353.930185185185</v>
      </c>
      <c r="BH1455" s="1">
        <v>44353.931655092594</v>
      </c>
      <c r="BI1455" s="1">
        <v>44353.931990740741</v>
      </c>
      <c r="BJ1455" t="s">
        <v>197</v>
      </c>
      <c r="BK1455" t="s">
        <v>198</v>
      </c>
      <c r="BL1455" t="s">
        <v>87</v>
      </c>
    </row>
    <row r="1456" spans="1:64" x14ac:dyDescent="0.3">
      <c r="A1456" t="str">
        <f>"200769B0000"</f>
        <v>200769B0000</v>
      </c>
      <c r="B1456" t="str">
        <f>"200769B00003"</f>
        <v>200769B00003</v>
      </c>
      <c r="C1456" t="str">
        <f t="shared" si="82"/>
        <v>20</v>
      </c>
      <c r="D1456" t="s">
        <v>81</v>
      </c>
      <c r="E1456" t="str">
        <f t="shared" si="85"/>
        <v>100</v>
      </c>
      <c r="F1456" t="s">
        <v>1585</v>
      </c>
      <c r="G1456" t="str">
        <f>"0769"</f>
        <v>0769</v>
      </c>
      <c r="H1456" t="str">
        <f>"0000"</f>
        <v>0000</v>
      </c>
      <c r="I1456" t="s">
        <v>83</v>
      </c>
      <c r="J1456">
        <v>0</v>
      </c>
      <c r="K1456">
        <v>1</v>
      </c>
      <c r="L1456">
        <v>3</v>
      </c>
      <c r="BA1456">
        <v>561</v>
      </c>
      <c r="BB1456">
        <v>44</v>
      </c>
      <c r="BC1456" t="s">
        <v>381</v>
      </c>
      <c r="BD1456">
        <v>0</v>
      </c>
      <c r="BF1456" t="s">
        <v>1593</v>
      </c>
      <c r="BG1456" s="1">
        <v>44354.279861111114</v>
      </c>
      <c r="BH1456" s="1">
        <v>44354.282916666663</v>
      </c>
      <c r="BI1456" s="1">
        <v>44354.282916666663</v>
      </c>
      <c r="BJ1456" t="s">
        <v>85</v>
      </c>
      <c r="BK1456" t="s">
        <v>86</v>
      </c>
      <c r="BL1456" t="s">
        <v>87</v>
      </c>
    </row>
    <row r="1457" spans="1:64" x14ac:dyDescent="0.3">
      <c r="A1457" t="str">
        <f>"200769C0100"</f>
        <v>200769C0100</v>
      </c>
      <c r="B1457" t="str">
        <f>"200769C01003"</f>
        <v>200769C01003</v>
      </c>
      <c r="C1457" t="str">
        <f t="shared" si="82"/>
        <v>20</v>
      </c>
      <c r="D1457" t="s">
        <v>81</v>
      </c>
      <c r="E1457" t="str">
        <f t="shared" si="85"/>
        <v>100</v>
      </c>
      <c r="F1457" t="s">
        <v>1585</v>
      </c>
      <c r="G1457" t="str">
        <f>"0769"</f>
        <v>0769</v>
      </c>
      <c r="H1457" t="str">
        <f>"0001"</f>
        <v>0001</v>
      </c>
      <c r="I1457" t="s">
        <v>89</v>
      </c>
      <c r="J1457">
        <v>0</v>
      </c>
      <c r="K1457">
        <v>1</v>
      </c>
      <c r="L1457">
        <v>3</v>
      </c>
      <c r="M1457">
        <v>258</v>
      </c>
      <c r="N1457">
        <v>2</v>
      </c>
      <c r="O1457">
        <v>2</v>
      </c>
      <c r="P1457">
        <v>346</v>
      </c>
      <c r="Q1457">
        <v>1</v>
      </c>
      <c r="R1457">
        <v>123</v>
      </c>
      <c r="S1457">
        <v>1</v>
      </c>
      <c r="T1457">
        <v>4</v>
      </c>
      <c r="U1457">
        <v>89</v>
      </c>
      <c r="X1457">
        <v>51</v>
      </c>
      <c r="Z1457">
        <v>1</v>
      </c>
      <c r="AA1457">
        <v>0</v>
      </c>
      <c r="AB1457">
        <v>56</v>
      </c>
      <c r="AF1457">
        <v>1</v>
      </c>
      <c r="AG1457">
        <v>1</v>
      </c>
      <c r="AH1457">
        <v>0</v>
      </c>
      <c r="AI1457">
        <v>0</v>
      </c>
      <c r="AW1457">
        <v>0</v>
      </c>
      <c r="AX1457">
        <v>18</v>
      </c>
      <c r="AY1457">
        <v>346</v>
      </c>
      <c r="AZ1457">
        <v>346</v>
      </c>
      <c r="BA1457">
        <v>560</v>
      </c>
      <c r="BB1457">
        <v>44</v>
      </c>
      <c r="BD1457">
        <v>1</v>
      </c>
      <c r="BF1457" t="s">
        <v>1594</v>
      </c>
      <c r="BG1457" s="1">
        <v>44353.964166666665</v>
      </c>
      <c r="BH1457" s="1">
        <v>44353.965833333335</v>
      </c>
      <c r="BI1457" s="1">
        <v>44353.966215277775</v>
      </c>
      <c r="BJ1457" t="s">
        <v>197</v>
      </c>
      <c r="BK1457" t="s">
        <v>198</v>
      </c>
      <c r="BL1457" t="s">
        <v>87</v>
      </c>
    </row>
    <row r="1458" spans="1:64" x14ac:dyDescent="0.3">
      <c r="A1458" t="str">
        <f>"200792B0000"</f>
        <v>200792B0000</v>
      </c>
      <c r="B1458" t="str">
        <f>"200792B00003"</f>
        <v>200792B00003</v>
      </c>
      <c r="C1458" t="str">
        <f t="shared" si="82"/>
        <v>20</v>
      </c>
      <c r="D1458" t="s">
        <v>81</v>
      </c>
      <c r="E1458" t="str">
        <f>"109"</f>
        <v>109</v>
      </c>
      <c r="F1458" t="s">
        <v>1595</v>
      </c>
      <c r="G1458" t="str">
        <f>"0792"</f>
        <v>0792</v>
      </c>
      <c r="H1458" t="str">
        <f>"0000"</f>
        <v>0000</v>
      </c>
      <c r="I1458" t="s">
        <v>83</v>
      </c>
      <c r="J1458">
        <v>0</v>
      </c>
      <c r="K1458">
        <v>1</v>
      </c>
      <c r="L1458">
        <v>3</v>
      </c>
      <c r="BA1458">
        <v>576</v>
      </c>
      <c r="BB1458">
        <v>44</v>
      </c>
      <c r="BC1458" t="s">
        <v>381</v>
      </c>
      <c r="BD1458">
        <v>0</v>
      </c>
      <c r="BF1458" t="s">
        <v>1596</v>
      </c>
      <c r="BG1458" s="1">
        <v>44354.279166666667</v>
      </c>
      <c r="BH1458" s="1">
        <v>44354.282743055555</v>
      </c>
      <c r="BI1458" s="1">
        <v>44354.282743055555</v>
      </c>
      <c r="BJ1458" t="s">
        <v>85</v>
      </c>
      <c r="BK1458" t="s">
        <v>86</v>
      </c>
      <c r="BL1458" t="s">
        <v>87</v>
      </c>
    </row>
    <row r="1459" spans="1:64" x14ac:dyDescent="0.3">
      <c r="A1459" t="str">
        <f>"200792C0100"</f>
        <v>200792C0100</v>
      </c>
      <c r="B1459" t="str">
        <f>"200792C01003"</f>
        <v>200792C01003</v>
      </c>
      <c r="C1459" t="str">
        <f t="shared" si="82"/>
        <v>20</v>
      </c>
      <c r="D1459" t="s">
        <v>81</v>
      </c>
      <c r="E1459" t="str">
        <f>"109"</f>
        <v>109</v>
      </c>
      <c r="F1459" t="s">
        <v>1595</v>
      </c>
      <c r="G1459" t="str">
        <f>"0792"</f>
        <v>0792</v>
      </c>
      <c r="H1459" t="str">
        <f>"0001"</f>
        <v>0001</v>
      </c>
      <c r="I1459" t="s">
        <v>89</v>
      </c>
      <c r="J1459">
        <v>0</v>
      </c>
      <c r="K1459">
        <v>1</v>
      </c>
      <c r="L1459">
        <v>3</v>
      </c>
      <c r="BA1459">
        <v>576</v>
      </c>
      <c r="BB1459">
        <v>44</v>
      </c>
      <c r="BC1459" t="s">
        <v>381</v>
      </c>
      <c r="BD1459">
        <v>0</v>
      </c>
      <c r="BF1459" t="s">
        <v>1597</v>
      </c>
      <c r="BG1459" s="1">
        <v>44354.279166666667</v>
      </c>
      <c r="BH1459" s="1">
        <v>44354.282569444447</v>
      </c>
      <c r="BI1459" s="1">
        <v>44354.282569444447</v>
      </c>
      <c r="BJ1459" t="s">
        <v>85</v>
      </c>
      <c r="BK1459" t="s">
        <v>86</v>
      </c>
      <c r="BL1459" t="s">
        <v>87</v>
      </c>
    </row>
    <row r="1460" spans="1:64" x14ac:dyDescent="0.3">
      <c r="A1460" t="str">
        <f>"200793B0000"</f>
        <v>200793B0000</v>
      </c>
      <c r="B1460" t="str">
        <f>"200793B00003"</f>
        <v>200793B00003</v>
      </c>
      <c r="C1460" t="str">
        <f t="shared" si="82"/>
        <v>20</v>
      </c>
      <c r="D1460" t="s">
        <v>81</v>
      </c>
      <c r="E1460" t="str">
        <f>"109"</f>
        <v>109</v>
      </c>
      <c r="F1460" t="s">
        <v>1595</v>
      </c>
      <c r="G1460" t="str">
        <f>"0793"</f>
        <v>0793</v>
      </c>
      <c r="H1460" t="str">
        <f>"0000"</f>
        <v>0000</v>
      </c>
      <c r="I1460" t="s">
        <v>83</v>
      </c>
      <c r="J1460">
        <v>0</v>
      </c>
      <c r="K1460">
        <v>1</v>
      </c>
      <c r="L1460">
        <v>3</v>
      </c>
      <c r="BA1460">
        <v>554</v>
      </c>
      <c r="BB1460">
        <v>44</v>
      </c>
      <c r="BC1460" t="s">
        <v>381</v>
      </c>
      <c r="BD1460">
        <v>0</v>
      </c>
      <c r="BF1460" t="s">
        <v>1598</v>
      </c>
      <c r="BG1460" s="1">
        <v>44354.279166666667</v>
      </c>
      <c r="BH1460" s="1">
        <v>44354.282418981478</v>
      </c>
      <c r="BI1460" s="1">
        <v>44354.282418981478</v>
      </c>
      <c r="BJ1460" t="s">
        <v>85</v>
      </c>
      <c r="BK1460" t="s">
        <v>86</v>
      </c>
      <c r="BL1460" t="s">
        <v>87</v>
      </c>
    </row>
    <row r="1461" spans="1:64" x14ac:dyDescent="0.3">
      <c r="A1461" t="str">
        <f>"200793C0100"</f>
        <v>200793C0100</v>
      </c>
      <c r="B1461" t="str">
        <f>"200793C01003"</f>
        <v>200793C01003</v>
      </c>
      <c r="C1461" t="str">
        <f t="shared" si="82"/>
        <v>20</v>
      </c>
      <c r="D1461" t="s">
        <v>81</v>
      </c>
      <c r="E1461" t="str">
        <f>"109"</f>
        <v>109</v>
      </c>
      <c r="F1461" t="s">
        <v>1595</v>
      </c>
      <c r="G1461" t="str">
        <f>"0793"</f>
        <v>0793</v>
      </c>
      <c r="H1461" t="str">
        <f>"0001"</f>
        <v>0001</v>
      </c>
      <c r="I1461" t="s">
        <v>89</v>
      </c>
      <c r="J1461">
        <v>0</v>
      </c>
      <c r="K1461">
        <v>1</v>
      </c>
      <c r="L1461">
        <v>3</v>
      </c>
      <c r="BA1461">
        <v>553</v>
      </c>
      <c r="BB1461">
        <v>44</v>
      </c>
      <c r="BC1461" t="s">
        <v>381</v>
      </c>
      <c r="BD1461">
        <v>0</v>
      </c>
      <c r="BF1461" t="s">
        <v>1599</v>
      </c>
      <c r="BG1461" s="1">
        <v>44354.27847222222</v>
      </c>
      <c r="BH1461" s="1">
        <v>44354.282256944447</v>
      </c>
      <c r="BI1461" s="1">
        <v>44354.282256944447</v>
      </c>
      <c r="BJ1461" t="s">
        <v>85</v>
      </c>
      <c r="BK1461" t="s">
        <v>86</v>
      </c>
      <c r="BL1461" t="s">
        <v>87</v>
      </c>
    </row>
    <row r="1462" spans="1:64" x14ac:dyDescent="0.3">
      <c r="A1462" t="str">
        <f>"200804B0000"</f>
        <v>200804B0000</v>
      </c>
      <c r="B1462" t="str">
        <f>"200804B00003"</f>
        <v>200804B00003</v>
      </c>
      <c r="C1462" t="str">
        <f t="shared" si="82"/>
        <v>20</v>
      </c>
      <c r="D1462" t="s">
        <v>81</v>
      </c>
      <c r="E1462" t="str">
        <f>"115"</f>
        <v>115</v>
      </c>
      <c r="F1462" t="s">
        <v>1600</v>
      </c>
      <c r="G1462" t="str">
        <f>"0804"</f>
        <v>0804</v>
      </c>
      <c r="H1462" t="str">
        <f>"0000"</f>
        <v>0000</v>
      </c>
      <c r="I1462" t="s">
        <v>83</v>
      </c>
      <c r="J1462">
        <v>0</v>
      </c>
      <c r="K1462">
        <v>1</v>
      </c>
      <c r="L1462">
        <v>3</v>
      </c>
      <c r="BA1462">
        <v>629</v>
      </c>
      <c r="BB1462">
        <v>44</v>
      </c>
      <c r="BC1462" t="s">
        <v>161</v>
      </c>
      <c r="BD1462">
        <v>0</v>
      </c>
      <c r="BF1462" t="s">
        <v>1601</v>
      </c>
      <c r="BG1462" s="1">
        <v>44354.670138888891</v>
      </c>
      <c r="BH1462" s="1">
        <v>44354.674143518518</v>
      </c>
      <c r="BI1462" s="1">
        <v>44354.674143518518</v>
      </c>
      <c r="BJ1462" t="s">
        <v>85</v>
      </c>
      <c r="BK1462" t="s">
        <v>86</v>
      </c>
      <c r="BL1462" t="s">
        <v>87</v>
      </c>
    </row>
    <row r="1463" spans="1:64" x14ac:dyDescent="0.3">
      <c r="A1463" t="str">
        <f>"200804C0100"</f>
        <v>200804C0100</v>
      </c>
      <c r="B1463" t="str">
        <f>"200804C01003"</f>
        <v>200804C01003</v>
      </c>
      <c r="C1463" t="str">
        <f t="shared" si="82"/>
        <v>20</v>
      </c>
      <c r="D1463" t="s">
        <v>81</v>
      </c>
      <c r="E1463" t="str">
        <f>"115"</f>
        <v>115</v>
      </c>
      <c r="F1463" t="s">
        <v>1600</v>
      </c>
      <c r="G1463" t="str">
        <f>"0804"</f>
        <v>0804</v>
      </c>
      <c r="H1463" t="str">
        <f>"0001"</f>
        <v>0001</v>
      </c>
      <c r="I1463" t="s">
        <v>89</v>
      </c>
      <c r="J1463">
        <v>0</v>
      </c>
      <c r="K1463">
        <v>1</v>
      </c>
      <c r="L1463">
        <v>3</v>
      </c>
      <c r="BA1463">
        <v>629</v>
      </c>
      <c r="BB1463">
        <v>44</v>
      </c>
      <c r="BC1463" t="s">
        <v>161</v>
      </c>
      <c r="BD1463">
        <v>0</v>
      </c>
      <c r="BF1463" t="s">
        <v>1602</v>
      </c>
      <c r="BG1463" s="1">
        <v>44354.67083333333</v>
      </c>
      <c r="BH1463" s="1">
        <v>44354.674664351849</v>
      </c>
      <c r="BI1463" s="1">
        <v>44354.674664351849</v>
      </c>
      <c r="BJ1463" t="s">
        <v>85</v>
      </c>
      <c r="BK1463" t="s">
        <v>86</v>
      </c>
      <c r="BL1463" t="s">
        <v>87</v>
      </c>
    </row>
    <row r="1464" spans="1:64" x14ac:dyDescent="0.3">
      <c r="A1464" t="str">
        <f>"200805B0000"</f>
        <v>200805B0000</v>
      </c>
      <c r="B1464" t="str">
        <f>"200805B00003"</f>
        <v>200805B00003</v>
      </c>
      <c r="C1464" t="str">
        <f t="shared" si="82"/>
        <v>20</v>
      </c>
      <c r="D1464" t="s">
        <v>81</v>
      </c>
      <c r="E1464" t="str">
        <f>"115"</f>
        <v>115</v>
      </c>
      <c r="F1464" t="s">
        <v>1600</v>
      </c>
      <c r="G1464" t="str">
        <f>"0805"</f>
        <v>0805</v>
      </c>
      <c r="H1464" t="str">
        <f>"0000"</f>
        <v>0000</v>
      </c>
      <c r="I1464" t="s">
        <v>83</v>
      </c>
      <c r="J1464">
        <v>0</v>
      </c>
      <c r="K1464">
        <v>1</v>
      </c>
      <c r="L1464">
        <v>3</v>
      </c>
      <c r="BA1464">
        <v>442</v>
      </c>
      <c r="BB1464">
        <v>44</v>
      </c>
      <c r="BC1464" t="s">
        <v>161</v>
      </c>
      <c r="BD1464">
        <v>0</v>
      </c>
      <c r="BF1464" t="s">
        <v>1603</v>
      </c>
      <c r="BG1464" s="1">
        <v>44354.671527777777</v>
      </c>
      <c r="BH1464" s="1">
        <v>44354.676759259259</v>
      </c>
      <c r="BI1464" s="1">
        <v>44354.676759259259</v>
      </c>
      <c r="BJ1464" t="s">
        <v>85</v>
      </c>
      <c r="BK1464" t="s">
        <v>86</v>
      </c>
      <c r="BL1464" t="s">
        <v>87</v>
      </c>
    </row>
    <row r="1465" spans="1:64" x14ac:dyDescent="0.3">
      <c r="A1465" t="str">
        <f>"200805C0100"</f>
        <v>200805C0100</v>
      </c>
      <c r="B1465" t="str">
        <f>"200805C01003"</f>
        <v>200805C01003</v>
      </c>
      <c r="C1465" t="str">
        <f t="shared" si="82"/>
        <v>20</v>
      </c>
      <c r="D1465" t="s">
        <v>81</v>
      </c>
      <c r="E1465" t="str">
        <f>"115"</f>
        <v>115</v>
      </c>
      <c r="F1465" t="s">
        <v>1600</v>
      </c>
      <c r="G1465" t="str">
        <f>"0805"</f>
        <v>0805</v>
      </c>
      <c r="H1465" t="str">
        <f>"0001"</f>
        <v>0001</v>
      </c>
      <c r="I1465" t="s">
        <v>89</v>
      </c>
      <c r="J1465">
        <v>0</v>
      </c>
      <c r="K1465">
        <v>1</v>
      </c>
      <c r="L1465">
        <v>3</v>
      </c>
      <c r="BA1465">
        <v>441</v>
      </c>
      <c r="BB1465">
        <v>44</v>
      </c>
      <c r="BC1465" t="s">
        <v>161</v>
      </c>
      <c r="BD1465">
        <v>0</v>
      </c>
      <c r="BF1465" t="s">
        <v>1604</v>
      </c>
      <c r="BG1465" s="1">
        <v>44354.673611111109</v>
      </c>
      <c r="BH1465" s="1">
        <v>44354.67690972222</v>
      </c>
      <c r="BI1465" s="1">
        <v>44354.67690972222</v>
      </c>
      <c r="BJ1465" t="s">
        <v>85</v>
      </c>
      <c r="BK1465" t="s">
        <v>86</v>
      </c>
      <c r="BL1465" t="s">
        <v>87</v>
      </c>
    </row>
    <row r="1466" spans="1:64" x14ac:dyDescent="0.3">
      <c r="A1466" t="str">
        <f>"200806B0000"</f>
        <v>200806B0000</v>
      </c>
      <c r="B1466" t="str">
        <f>"200806B00003"</f>
        <v>200806B00003</v>
      </c>
      <c r="C1466" t="str">
        <f t="shared" si="82"/>
        <v>20</v>
      </c>
      <c r="D1466" t="s">
        <v>81</v>
      </c>
      <c r="E1466" t="str">
        <f>"115"</f>
        <v>115</v>
      </c>
      <c r="F1466" t="s">
        <v>1600</v>
      </c>
      <c r="G1466" t="str">
        <f>"0806"</f>
        <v>0806</v>
      </c>
      <c r="H1466" t="str">
        <f>"0000"</f>
        <v>0000</v>
      </c>
      <c r="I1466" t="s">
        <v>83</v>
      </c>
      <c r="J1466">
        <v>0</v>
      </c>
      <c r="K1466">
        <v>1</v>
      </c>
      <c r="L1466">
        <v>3</v>
      </c>
      <c r="BA1466">
        <v>734</v>
      </c>
      <c r="BB1466">
        <v>44</v>
      </c>
      <c r="BC1466" t="s">
        <v>161</v>
      </c>
      <c r="BD1466">
        <v>0</v>
      </c>
      <c r="BF1466" t="s">
        <v>1605</v>
      </c>
      <c r="BG1466" s="1">
        <v>44354.669444444444</v>
      </c>
      <c r="BH1466" s="1">
        <v>44354.674004629633</v>
      </c>
      <c r="BI1466" s="1">
        <v>44354.674004629633</v>
      </c>
      <c r="BJ1466" t="s">
        <v>85</v>
      </c>
      <c r="BK1466" t="s">
        <v>86</v>
      </c>
      <c r="BL1466" t="s">
        <v>87</v>
      </c>
    </row>
    <row r="1467" spans="1:64" x14ac:dyDescent="0.3">
      <c r="A1467" t="str">
        <f>"200814B0000"</f>
        <v>200814B0000</v>
      </c>
      <c r="B1467" t="str">
        <f>"200814B00003"</f>
        <v>200814B00003</v>
      </c>
      <c r="C1467" t="str">
        <f t="shared" si="82"/>
        <v>20</v>
      </c>
      <c r="D1467" t="s">
        <v>81</v>
      </c>
      <c r="E1467" t="str">
        <f t="shared" ref="E1467:E1491" si="86">"121"</f>
        <v>121</v>
      </c>
      <c r="F1467" t="s">
        <v>1606</v>
      </c>
      <c r="G1467" t="str">
        <f>"0814"</f>
        <v>0814</v>
      </c>
      <c r="H1467" t="str">
        <f>"0000"</f>
        <v>0000</v>
      </c>
      <c r="I1467" t="s">
        <v>83</v>
      </c>
      <c r="J1467">
        <v>0</v>
      </c>
      <c r="K1467">
        <v>1</v>
      </c>
      <c r="L1467">
        <v>3</v>
      </c>
      <c r="M1467">
        <v>184</v>
      </c>
      <c r="N1467">
        <v>422</v>
      </c>
      <c r="O1467">
        <v>0</v>
      </c>
      <c r="P1467">
        <v>424</v>
      </c>
      <c r="Q1467">
        <v>3</v>
      </c>
      <c r="R1467">
        <v>180</v>
      </c>
      <c r="S1467">
        <v>3</v>
      </c>
      <c r="T1467">
        <v>1</v>
      </c>
      <c r="U1467">
        <v>6</v>
      </c>
      <c r="V1467">
        <v>0</v>
      </c>
      <c r="W1467">
        <v>0</v>
      </c>
      <c r="X1467">
        <v>213</v>
      </c>
      <c r="Y1467">
        <v>1</v>
      </c>
      <c r="Z1467">
        <v>2</v>
      </c>
      <c r="AA1467">
        <v>7</v>
      </c>
      <c r="AB1467">
        <v>1</v>
      </c>
      <c r="AF1467">
        <v>4</v>
      </c>
      <c r="AG1467">
        <v>0</v>
      </c>
      <c r="AH1467">
        <v>0</v>
      </c>
      <c r="AI1467">
        <v>0</v>
      </c>
      <c r="AU1467">
        <v>0</v>
      </c>
      <c r="AW1467">
        <v>0</v>
      </c>
      <c r="AX1467">
        <v>3</v>
      </c>
      <c r="AY1467">
        <v>424</v>
      </c>
      <c r="AZ1467">
        <v>424</v>
      </c>
      <c r="BA1467">
        <v>562</v>
      </c>
      <c r="BB1467">
        <v>44</v>
      </c>
      <c r="BD1467">
        <v>1</v>
      </c>
      <c r="BF1467" t="s">
        <v>1607</v>
      </c>
      <c r="BG1467" s="1">
        <v>44353.926388888889</v>
      </c>
      <c r="BH1467" s="1">
        <v>44353.92796296296</v>
      </c>
      <c r="BI1467" s="1">
        <v>44353.928576388891</v>
      </c>
      <c r="BJ1467" t="s">
        <v>85</v>
      </c>
      <c r="BK1467" t="s">
        <v>86</v>
      </c>
      <c r="BL1467" t="s">
        <v>87</v>
      </c>
    </row>
    <row r="1468" spans="1:64" x14ac:dyDescent="0.3">
      <c r="A1468" t="str">
        <f>"200814C0100"</f>
        <v>200814C0100</v>
      </c>
      <c r="B1468" t="str">
        <f>"200814C01003"</f>
        <v>200814C01003</v>
      </c>
      <c r="C1468" t="str">
        <f t="shared" si="82"/>
        <v>20</v>
      </c>
      <c r="D1468" t="s">
        <v>81</v>
      </c>
      <c r="E1468" t="str">
        <f t="shared" si="86"/>
        <v>121</v>
      </c>
      <c r="F1468" t="s">
        <v>1606</v>
      </c>
      <c r="G1468" t="str">
        <f>"0814"</f>
        <v>0814</v>
      </c>
      <c r="H1468" t="str">
        <f>"0001"</f>
        <v>0001</v>
      </c>
      <c r="I1468" t="s">
        <v>89</v>
      </c>
      <c r="J1468">
        <v>0</v>
      </c>
      <c r="K1468">
        <v>1</v>
      </c>
      <c r="L1468">
        <v>3</v>
      </c>
      <c r="M1468">
        <v>152</v>
      </c>
      <c r="N1468">
        <v>452</v>
      </c>
      <c r="O1468">
        <v>1</v>
      </c>
      <c r="P1468">
        <v>440</v>
      </c>
      <c r="Q1468">
        <v>2</v>
      </c>
      <c r="R1468">
        <v>150</v>
      </c>
      <c r="S1468">
        <v>12</v>
      </c>
      <c r="T1468">
        <v>0</v>
      </c>
      <c r="U1468">
        <v>13</v>
      </c>
      <c r="V1468">
        <v>1</v>
      </c>
      <c r="W1468">
        <v>1</v>
      </c>
      <c r="X1468">
        <v>244</v>
      </c>
      <c r="Y1468">
        <v>0</v>
      </c>
      <c r="Z1468">
        <v>3</v>
      </c>
      <c r="AA1468">
        <v>13</v>
      </c>
      <c r="AB1468">
        <v>1</v>
      </c>
      <c r="AF1468">
        <v>3</v>
      </c>
      <c r="AG1468">
        <v>0</v>
      </c>
      <c r="AH1468">
        <v>0</v>
      </c>
      <c r="AI1468">
        <v>0</v>
      </c>
      <c r="AU1468">
        <v>0</v>
      </c>
      <c r="AW1468">
        <v>0</v>
      </c>
      <c r="AX1468">
        <v>7</v>
      </c>
      <c r="AY1468">
        <v>440</v>
      </c>
      <c r="AZ1468">
        <v>450</v>
      </c>
      <c r="BA1468">
        <v>561</v>
      </c>
      <c r="BB1468">
        <v>44</v>
      </c>
      <c r="BD1468">
        <v>1</v>
      </c>
      <c r="BF1468" t="s">
        <v>1608</v>
      </c>
      <c r="BG1468" s="1">
        <v>44353.940972222219</v>
      </c>
      <c r="BH1468" s="1">
        <v>44353.942974537036</v>
      </c>
      <c r="BI1468" s="1">
        <v>44353.943402777775</v>
      </c>
      <c r="BJ1468" t="s">
        <v>85</v>
      </c>
      <c r="BK1468" t="s">
        <v>86</v>
      </c>
      <c r="BL1468" t="s">
        <v>87</v>
      </c>
    </row>
    <row r="1469" spans="1:64" x14ac:dyDescent="0.3">
      <c r="A1469" t="str">
        <f>"200814C0200"</f>
        <v>200814C0200</v>
      </c>
      <c r="B1469" t="str">
        <f>"200814C02003"</f>
        <v>200814C02003</v>
      </c>
      <c r="C1469" t="str">
        <f t="shared" si="82"/>
        <v>20</v>
      </c>
      <c r="D1469" t="s">
        <v>81</v>
      </c>
      <c r="E1469" t="str">
        <f t="shared" si="86"/>
        <v>121</v>
      </c>
      <c r="F1469" t="s">
        <v>1606</v>
      </c>
      <c r="G1469" t="str">
        <f>"0814"</f>
        <v>0814</v>
      </c>
      <c r="H1469" t="str">
        <f>"0002"</f>
        <v>0002</v>
      </c>
      <c r="I1469" t="s">
        <v>89</v>
      </c>
      <c r="J1469">
        <v>0</v>
      </c>
      <c r="K1469">
        <v>1</v>
      </c>
      <c r="L1469">
        <v>3</v>
      </c>
      <c r="BA1469">
        <v>561</v>
      </c>
      <c r="BB1469">
        <v>44</v>
      </c>
      <c r="BC1469" t="s">
        <v>381</v>
      </c>
      <c r="BD1469">
        <v>0</v>
      </c>
      <c r="BF1469" s="2" t="s">
        <v>1609</v>
      </c>
      <c r="BG1469" s="1">
        <v>44354.357638888891</v>
      </c>
      <c r="BH1469" s="1">
        <v>44354.359525462962</v>
      </c>
      <c r="BI1469" s="1">
        <v>44354.359525462962</v>
      </c>
      <c r="BJ1469" t="s">
        <v>85</v>
      </c>
      <c r="BK1469" t="s">
        <v>86</v>
      </c>
      <c r="BL1469" t="s">
        <v>87</v>
      </c>
    </row>
    <row r="1470" spans="1:64" x14ac:dyDescent="0.3">
      <c r="A1470" t="str">
        <f>"200815B0000"</f>
        <v>200815B0000</v>
      </c>
      <c r="B1470" t="str">
        <f>"200815B00003"</f>
        <v>200815B00003</v>
      </c>
      <c r="C1470" t="str">
        <f t="shared" si="82"/>
        <v>20</v>
      </c>
      <c r="D1470" t="s">
        <v>81</v>
      </c>
      <c r="E1470" t="str">
        <f t="shared" si="86"/>
        <v>121</v>
      </c>
      <c r="F1470" t="s">
        <v>1606</v>
      </c>
      <c r="G1470" t="str">
        <f>"0815"</f>
        <v>0815</v>
      </c>
      <c r="H1470" t="str">
        <f>"0000"</f>
        <v>0000</v>
      </c>
      <c r="I1470" t="s">
        <v>83</v>
      </c>
      <c r="J1470">
        <v>0</v>
      </c>
      <c r="K1470">
        <v>1</v>
      </c>
      <c r="L1470">
        <v>3</v>
      </c>
      <c r="BA1470">
        <v>683</v>
      </c>
      <c r="BB1470">
        <v>44</v>
      </c>
      <c r="BC1470" t="s">
        <v>161</v>
      </c>
      <c r="BD1470">
        <v>0</v>
      </c>
      <c r="BF1470" t="s">
        <v>1610</v>
      </c>
      <c r="BG1470" s="1">
        <v>44354.146527777775</v>
      </c>
      <c r="BH1470" s="1">
        <v>44354.169953703706</v>
      </c>
      <c r="BI1470" s="1">
        <v>44354.169953703706</v>
      </c>
      <c r="BJ1470" t="s">
        <v>85</v>
      </c>
      <c r="BK1470" t="s">
        <v>86</v>
      </c>
      <c r="BL1470" t="s">
        <v>87</v>
      </c>
    </row>
    <row r="1471" spans="1:64" x14ac:dyDescent="0.3">
      <c r="A1471" t="str">
        <f>"200815C0100"</f>
        <v>200815C0100</v>
      </c>
      <c r="B1471" t="str">
        <f>"200815C01003"</f>
        <v>200815C01003</v>
      </c>
      <c r="C1471" t="str">
        <f t="shared" si="82"/>
        <v>20</v>
      </c>
      <c r="D1471" t="s">
        <v>81</v>
      </c>
      <c r="E1471" t="str">
        <f t="shared" si="86"/>
        <v>121</v>
      </c>
      <c r="F1471" t="s">
        <v>1606</v>
      </c>
      <c r="G1471" t="str">
        <f>"0815"</f>
        <v>0815</v>
      </c>
      <c r="H1471" t="str">
        <f>"0001"</f>
        <v>0001</v>
      </c>
      <c r="I1471" t="s">
        <v>89</v>
      </c>
      <c r="J1471">
        <v>0</v>
      </c>
      <c r="K1471">
        <v>1</v>
      </c>
      <c r="L1471">
        <v>3</v>
      </c>
      <c r="M1471">
        <v>192</v>
      </c>
      <c r="N1471">
        <v>536</v>
      </c>
      <c r="O1471">
        <v>0</v>
      </c>
      <c r="P1471">
        <v>534</v>
      </c>
      <c r="Q1471">
        <v>3</v>
      </c>
      <c r="R1471">
        <v>243</v>
      </c>
      <c r="S1471">
        <v>11</v>
      </c>
      <c r="T1471">
        <v>1</v>
      </c>
      <c r="U1471">
        <v>12</v>
      </c>
      <c r="V1471">
        <v>0</v>
      </c>
      <c r="W1471">
        <v>0</v>
      </c>
      <c r="X1471">
        <v>236</v>
      </c>
      <c r="Y1471">
        <v>2</v>
      </c>
      <c r="Z1471">
        <v>2</v>
      </c>
      <c r="AA1471">
        <v>10</v>
      </c>
      <c r="AB1471">
        <v>1</v>
      </c>
      <c r="AF1471">
        <v>0</v>
      </c>
      <c r="AG1471">
        <v>0</v>
      </c>
      <c r="AH1471">
        <v>0</v>
      </c>
      <c r="AI1471">
        <v>0</v>
      </c>
      <c r="AU1471">
        <v>0</v>
      </c>
      <c r="AW1471">
        <v>0</v>
      </c>
      <c r="AX1471">
        <v>13</v>
      </c>
      <c r="AY1471">
        <v>534</v>
      </c>
      <c r="AZ1471">
        <v>534</v>
      </c>
      <c r="BA1471">
        <v>683</v>
      </c>
      <c r="BB1471">
        <v>44</v>
      </c>
      <c r="BD1471">
        <v>1</v>
      </c>
      <c r="BF1471" t="s">
        <v>1611</v>
      </c>
      <c r="BG1471" s="1">
        <v>44354.104166666664</v>
      </c>
      <c r="BH1471" s="1">
        <v>44354.106145833335</v>
      </c>
      <c r="BI1471" s="1">
        <v>44354.106956018521</v>
      </c>
      <c r="BJ1471" t="s">
        <v>85</v>
      </c>
      <c r="BK1471" t="s">
        <v>86</v>
      </c>
      <c r="BL1471" t="s">
        <v>87</v>
      </c>
    </row>
    <row r="1472" spans="1:64" x14ac:dyDescent="0.3">
      <c r="A1472" t="str">
        <f>"200815C0200"</f>
        <v>200815C0200</v>
      </c>
      <c r="B1472" t="str">
        <f>"200815C02003"</f>
        <v>200815C02003</v>
      </c>
      <c r="C1472" t="str">
        <f t="shared" si="82"/>
        <v>20</v>
      </c>
      <c r="D1472" t="s">
        <v>81</v>
      </c>
      <c r="E1472" t="str">
        <f t="shared" si="86"/>
        <v>121</v>
      </c>
      <c r="F1472" t="s">
        <v>1606</v>
      </c>
      <c r="G1472" t="str">
        <f>"0815"</f>
        <v>0815</v>
      </c>
      <c r="H1472" t="str">
        <f>"0002"</f>
        <v>0002</v>
      </c>
      <c r="I1472" t="s">
        <v>89</v>
      </c>
      <c r="J1472">
        <v>0</v>
      </c>
      <c r="K1472">
        <v>1</v>
      </c>
      <c r="L1472">
        <v>3</v>
      </c>
      <c r="M1472">
        <v>196</v>
      </c>
      <c r="N1472">
        <v>531</v>
      </c>
      <c r="O1472">
        <v>0</v>
      </c>
      <c r="P1472">
        <v>530</v>
      </c>
      <c r="Q1472">
        <v>2</v>
      </c>
      <c r="R1472">
        <v>209</v>
      </c>
      <c r="S1472">
        <v>13</v>
      </c>
      <c r="T1472">
        <v>1</v>
      </c>
      <c r="U1472">
        <v>16</v>
      </c>
      <c r="V1472">
        <v>1</v>
      </c>
      <c r="W1472">
        <v>1</v>
      </c>
      <c r="X1472">
        <v>259</v>
      </c>
      <c r="Y1472">
        <v>3</v>
      </c>
      <c r="Z1472">
        <v>5</v>
      </c>
      <c r="AA1472">
        <v>9</v>
      </c>
      <c r="AB1472">
        <v>0</v>
      </c>
      <c r="AF1472">
        <v>3</v>
      </c>
      <c r="AG1472">
        <v>1</v>
      </c>
      <c r="AH1472">
        <v>0</v>
      </c>
      <c r="AI1472">
        <v>0</v>
      </c>
      <c r="AU1472">
        <v>0</v>
      </c>
      <c r="AW1472">
        <v>0</v>
      </c>
      <c r="AX1472">
        <v>7</v>
      </c>
      <c r="AY1472">
        <v>530</v>
      </c>
      <c r="AZ1472">
        <v>530</v>
      </c>
      <c r="BA1472">
        <v>683</v>
      </c>
      <c r="BB1472">
        <v>44</v>
      </c>
      <c r="BD1472">
        <v>1</v>
      </c>
      <c r="BF1472" t="s">
        <v>1612</v>
      </c>
      <c r="BG1472" s="1">
        <v>44354.102777777778</v>
      </c>
      <c r="BH1472" s="1">
        <v>44354.105474537035</v>
      </c>
      <c r="BI1472" s="1">
        <v>44354.105983796297</v>
      </c>
      <c r="BJ1472" t="s">
        <v>85</v>
      </c>
      <c r="BK1472" t="s">
        <v>86</v>
      </c>
      <c r="BL1472" t="s">
        <v>87</v>
      </c>
    </row>
    <row r="1473" spans="1:64" x14ac:dyDescent="0.3">
      <c r="A1473" t="str">
        <f>"200815C0300"</f>
        <v>200815C0300</v>
      </c>
      <c r="B1473" t="str">
        <f>"200815C03003"</f>
        <v>200815C03003</v>
      </c>
      <c r="C1473" t="str">
        <f t="shared" si="82"/>
        <v>20</v>
      </c>
      <c r="D1473" t="s">
        <v>81</v>
      </c>
      <c r="E1473" t="str">
        <f t="shared" si="86"/>
        <v>121</v>
      </c>
      <c r="F1473" t="s">
        <v>1606</v>
      </c>
      <c r="G1473" t="str">
        <f>"0815"</f>
        <v>0815</v>
      </c>
      <c r="H1473" t="str">
        <f>"0003"</f>
        <v>0003</v>
      </c>
      <c r="I1473" t="s">
        <v>89</v>
      </c>
      <c r="J1473">
        <v>0</v>
      </c>
      <c r="K1473">
        <v>1</v>
      </c>
      <c r="L1473">
        <v>3</v>
      </c>
      <c r="M1473">
        <v>202</v>
      </c>
      <c r="N1473">
        <v>525</v>
      </c>
      <c r="O1473">
        <v>0</v>
      </c>
      <c r="P1473">
        <v>527</v>
      </c>
      <c r="Q1473">
        <v>6</v>
      </c>
      <c r="R1473">
        <v>221</v>
      </c>
      <c r="S1473">
        <v>7</v>
      </c>
      <c r="T1473">
        <v>2</v>
      </c>
      <c r="U1473">
        <v>17</v>
      </c>
      <c r="V1473">
        <v>2</v>
      </c>
      <c r="W1473">
        <v>0</v>
      </c>
      <c r="X1473">
        <v>247</v>
      </c>
      <c r="Y1473">
        <v>0</v>
      </c>
      <c r="Z1473">
        <v>3</v>
      </c>
      <c r="AA1473">
        <v>10</v>
      </c>
      <c r="AB1473">
        <v>0</v>
      </c>
      <c r="AF1473">
        <v>0</v>
      </c>
      <c r="AG1473">
        <v>1</v>
      </c>
      <c r="AH1473">
        <v>0</v>
      </c>
      <c r="AI1473">
        <v>0</v>
      </c>
      <c r="AU1473">
        <v>0</v>
      </c>
      <c r="AW1473">
        <v>0</v>
      </c>
      <c r="AX1473">
        <v>10</v>
      </c>
      <c r="AY1473">
        <v>527</v>
      </c>
      <c r="AZ1473">
        <v>526</v>
      </c>
      <c r="BA1473">
        <v>683</v>
      </c>
      <c r="BB1473">
        <v>44</v>
      </c>
      <c r="BD1473">
        <v>1</v>
      </c>
      <c r="BF1473" t="s">
        <v>1613</v>
      </c>
      <c r="BG1473" s="1">
        <v>44354.109027777777</v>
      </c>
      <c r="BH1473" s="1">
        <v>44354.111550925925</v>
      </c>
      <c r="BI1473" s="1">
        <v>44354.112037037034</v>
      </c>
      <c r="BJ1473" t="s">
        <v>85</v>
      </c>
      <c r="BK1473" t="s">
        <v>86</v>
      </c>
      <c r="BL1473" t="s">
        <v>87</v>
      </c>
    </row>
    <row r="1474" spans="1:64" x14ac:dyDescent="0.3">
      <c r="A1474" t="str">
        <f>"200815C0400"</f>
        <v>200815C0400</v>
      </c>
      <c r="B1474" t="str">
        <f>"200815C04003"</f>
        <v>200815C04003</v>
      </c>
      <c r="C1474" t="str">
        <f t="shared" si="82"/>
        <v>20</v>
      </c>
      <c r="D1474" t="s">
        <v>81</v>
      </c>
      <c r="E1474" t="str">
        <f t="shared" si="86"/>
        <v>121</v>
      </c>
      <c r="F1474" t="s">
        <v>1606</v>
      </c>
      <c r="G1474" t="str">
        <f>"0815"</f>
        <v>0815</v>
      </c>
      <c r="H1474" t="str">
        <f>"0004"</f>
        <v>0004</v>
      </c>
      <c r="I1474" t="s">
        <v>89</v>
      </c>
      <c r="J1474">
        <v>0</v>
      </c>
      <c r="K1474">
        <v>1</v>
      </c>
      <c r="L1474">
        <v>3</v>
      </c>
      <c r="M1474">
        <v>213</v>
      </c>
      <c r="N1474">
        <v>513</v>
      </c>
      <c r="O1474">
        <v>0</v>
      </c>
      <c r="P1474">
        <v>513</v>
      </c>
      <c r="Q1474">
        <v>1</v>
      </c>
      <c r="R1474">
        <v>191</v>
      </c>
      <c r="S1474">
        <v>17</v>
      </c>
      <c r="T1474">
        <v>2</v>
      </c>
      <c r="U1474">
        <v>9</v>
      </c>
      <c r="V1474">
        <v>0</v>
      </c>
      <c r="W1474">
        <v>0</v>
      </c>
      <c r="X1474">
        <v>265</v>
      </c>
      <c r="Y1474">
        <v>0</v>
      </c>
      <c r="Z1474">
        <v>4</v>
      </c>
      <c r="AA1474">
        <v>0</v>
      </c>
      <c r="AB1474">
        <v>1</v>
      </c>
      <c r="AF1474">
        <v>5</v>
      </c>
      <c r="AG1474">
        <v>0</v>
      </c>
      <c r="AH1474">
        <v>0</v>
      </c>
      <c r="AI1474">
        <v>0</v>
      </c>
      <c r="AU1474">
        <v>0</v>
      </c>
      <c r="AW1474">
        <v>0</v>
      </c>
      <c r="AX1474">
        <v>9</v>
      </c>
      <c r="AY1474">
        <v>513</v>
      </c>
      <c r="AZ1474">
        <v>504</v>
      </c>
      <c r="BA1474">
        <v>682</v>
      </c>
      <c r="BB1474">
        <v>44</v>
      </c>
      <c r="BD1474">
        <v>1</v>
      </c>
      <c r="BF1474" t="s">
        <v>1614</v>
      </c>
      <c r="BG1474" s="1">
        <v>44354.107638888891</v>
      </c>
      <c r="BH1474" s="1">
        <v>44354.108877314815</v>
      </c>
      <c r="BI1474" s="1">
        <v>44354.109444444446</v>
      </c>
      <c r="BJ1474" t="s">
        <v>85</v>
      </c>
      <c r="BK1474" t="s">
        <v>86</v>
      </c>
      <c r="BL1474" t="s">
        <v>87</v>
      </c>
    </row>
    <row r="1475" spans="1:64" x14ac:dyDescent="0.3">
      <c r="A1475" t="str">
        <f>"200816B0000"</f>
        <v>200816B0000</v>
      </c>
      <c r="B1475" t="str">
        <f>"200816B00003"</f>
        <v>200816B00003</v>
      </c>
      <c r="C1475" t="str">
        <f t="shared" si="82"/>
        <v>20</v>
      </c>
      <c r="D1475" t="s">
        <v>81</v>
      </c>
      <c r="E1475" t="str">
        <f t="shared" si="86"/>
        <v>121</v>
      </c>
      <c r="F1475" t="s">
        <v>1606</v>
      </c>
      <c r="G1475" t="str">
        <f>"0816"</f>
        <v>0816</v>
      </c>
      <c r="H1475" t="str">
        <f>"0000"</f>
        <v>0000</v>
      </c>
      <c r="I1475" t="s">
        <v>83</v>
      </c>
      <c r="J1475">
        <v>0</v>
      </c>
      <c r="K1475">
        <v>1</v>
      </c>
      <c r="L1475">
        <v>3</v>
      </c>
      <c r="M1475">
        <v>179</v>
      </c>
      <c r="N1475">
        <v>517</v>
      </c>
      <c r="O1475">
        <v>0</v>
      </c>
      <c r="P1475">
        <v>517</v>
      </c>
      <c r="Q1475">
        <v>13</v>
      </c>
      <c r="R1475">
        <v>194</v>
      </c>
      <c r="S1475">
        <v>12</v>
      </c>
      <c r="T1475">
        <v>1</v>
      </c>
      <c r="U1475">
        <v>18</v>
      </c>
      <c r="V1475">
        <v>2</v>
      </c>
      <c r="W1475">
        <v>1</v>
      </c>
      <c r="X1475">
        <v>243</v>
      </c>
      <c r="Y1475">
        <v>8</v>
      </c>
      <c r="Z1475">
        <v>2</v>
      </c>
      <c r="AA1475">
        <v>6</v>
      </c>
      <c r="AB1475">
        <v>1</v>
      </c>
      <c r="AF1475">
        <v>7</v>
      </c>
      <c r="AG1475">
        <v>0</v>
      </c>
      <c r="AH1475">
        <v>0</v>
      </c>
      <c r="AI1475">
        <v>0</v>
      </c>
      <c r="AU1475">
        <v>0</v>
      </c>
      <c r="AW1475">
        <v>0</v>
      </c>
      <c r="AX1475">
        <v>9</v>
      </c>
      <c r="AY1475">
        <v>517</v>
      </c>
      <c r="AZ1475">
        <v>517</v>
      </c>
      <c r="BA1475">
        <v>652</v>
      </c>
      <c r="BB1475">
        <v>44</v>
      </c>
      <c r="BD1475">
        <v>1</v>
      </c>
      <c r="BF1475" t="s">
        <v>1615</v>
      </c>
      <c r="BG1475" s="1">
        <v>44354.045138888891</v>
      </c>
      <c r="BH1475" s="1">
        <v>44354.054432870369</v>
      </c>
      <c r="BI1475" s="1">
        <v>44354.055358796293</v>
      </c>
      <c r="BJ1475" t="s">
        <v>85</v>
      </c>
      <c r="BK1475" t="s">
        <v>86</v>
      </c>
      <c r="BL1475" t="s">
        <v>87</v>
      </c>
    </row>
    <row r="1476" spans="1:64" x14ac:dyDescent="0.3">
      <c r="A1476" t="str">
        <f>"200816C0100"</f>
        <v>200816C0100</v>
      </c>
      <c r="B1476" t="str">
        <f>"200816C01003"</f>
        <v>200816C01003</v>
      </c>
      <c r="C1476" t="str">
        <f t="shared" si="82"/>
        <v>20</v>
      </c>
      <c r="D1476" t="s">
        <v>81</v>
      </c>
      <c r="E1476" t="str">
        <f t="shared" si="86"/>
        <v>121</v>
      </c>
      <c r="F1476" t="s">
        <v>1606</v>
      </c>
      <c r="G1476" t="str">
        <f>"0816"</f>
        <v>0816</v>
      </c>
      <c r="H1476" t="str">
        <f>"0001"</f>
        <v>0001</v>
      </c>
      <c r="I1476" t="s">
        <v>89</v>
      </c>
      <c r="J1476">
        <v>0</v>
      </c>
      <c r="K1476">
        <v>1</v>
      </c>
      <c r="L1476">
        <v>3</v>
      </c>
      <c r="M1476">
        <v>156</v>
      </c>
      <c r="N1476">
        <v>540</v>
      </c>
      <c r="O1476">
        <v>5</v>
      </c>
      <c r="P1476">
        <v>540</v>
      </c>
      <c r="Q1476">
        <v>4</v>
      </c>
      <c r="R1476">
        <v>203</v>
      </c>
      <c r="S1476">
        <v>23</v>
      </c>
      <c r="T1476">
        <v>3</v>
      </c>
      <c r="U1476">
        <v>26</v>
      </c>
      <c r="V1476">
        <v>0</v>
      </c>
      <c r="W1476">
        <v>1</v>
      </c>
      <c r="X1476">
        <v>257</v>
      </c>
      <c r="Y1476">
        <v>0</v>
      </c>
      <c r="Z1476">
        <v>2</v>
      </c>
      <c r="AA1476">
        <v>11</v>
      </c>
      <c r="AB1476">
        <v>0</v>
      </c>
      <c r="AF1476">
        <v>6</v>
      </c>
      <c r="AG1476">
        <v>0</v>
      </c>
      <c r="AH1476">
        <v>0</v>
      </c>
      <c r="AI1476">
        <v>0</v>
      </c>
      <c r="AU1476">
        <v>0</v>
      </c>
      <c r="AW1476">
        <v>0</v>
      </c>
      <c r="AX1476">
        <v>5</v>
      </c>
      <c r="AY1476">
        <v>540</v>
      </c>
      <c r="AZ1476">
        <v>541</v>
      </c>
      <c r="BA1476">
        <v>652</v>
      </c>
      <c r="BB1476">
        <v>44</v>
      </c>
      <c r="BD1476">
        <v>1</v>
      </c>
      <c r="BF1476" t="s">
        <v>1616</v>
      </c>
      <c r="BG1476" s="1">
        <v>44353.959722222222</v>
      </c>
      <c r="BH1476" s="1">
        <v>44353.96130787037</v>
      </c>
      <c r="BI1476" s="1">
        <v>44353.963622685187</v>
      </c>
      <c r="BJ1476" t="s">
        <v>85</v>
      </c>
      <c r="BK1476" t="s">
        <v>86</v>
      </c>
      <c r="BL1476" t="s">
        <v>87</v>
      </c>
    </row>
    <row r="1477" spans="1:64" x14ac:dyDescent="0.3">
      <c r="A1477" t="str">
        <f>"200816C0200"</f>
        <v>200816C0200</v>
      </c>
      <c r="B1477" t="str">
        <f>"200816C02003"</f>
        <v>200816C02003</v>
      </c>
      <c r="C1477" t="str">
        <f t="shared" si="82"/>
        <v>20</v>
      </c>
      <c r="D1477" t="s">
        <v>81</v>
      </c>
      <c r="E1477" t="str">
        <f t="shared" si="86"/>
        <v>121</v>
      </c>
      <c r="F1477" t="s">
        <v>1606</v>
      </c>
      <c r="G1477" t="str">
        <f>"0816"</f>
        <v>0816</v>
      </c>
      <c r="H1477" t="str">
        <f>"0002"</f>
        <v>0002</v>
      </c>
      <c r="I1477" t="s">
        <v>89</v>
      </c>
      <c r="J1477">
        <v>0</v>
      </c>
      <c r="K1477">
        <v>1</v>
      </c>
      <c r="L1477">
        <v>3</v>
      </c>
      <c r="M1477">
        <v>182</v>
      </c>
      <c r="N1477">
        <v>513</v>
      </c>
      <c r="O1477">
        <v>2</v>
      </c>
      <c r="P1477">
        <v>512</v>
      </c>
      <c r="Q1477">
        <v>5</v>
      </c>
      <c r="R1477">
        <v>205</v>
      </c>
      <c r="S1477">
        <v>18</v>
      </c>
      <c r="T1477">
        <v>1</v>
      </c>
      <c r="U1477">
        <v>13</v>
      </c>
      <c r="V1477">
        <v>1</v>
      </c>
      <c r="W1477">
        <v>0</v>
      </c>
      <c r="X1477">
        <v>244</v>
      </c>
      <c r="Y1477">
        <v>2</v>
      </c>
      <c r="Z1477">
        <v>3</v>
      </c>
      <c r="AA1477">
        <v>9</v>
      </c>
      <c r="AB1477">
        <v>0</v>
      </c>
      <c r="AF1477">
        <v>5</v>
      </c>
      <c r="AG1477">
        <v>1</v>
      </c>
      <c r="AH1477">
        <v>0</v>
      </c>
      <c r="AI1477">
        <v>0</v>
      </c>
      <c r="AU1477">
        <v>0</v>
      </c>
      <c r="AW1477">
        <v>0</v>
      </c>
      <c r="AX1477">
        <v>5</v>
      </c>
      <c r="AY1477">
        <v>512</v>
      </c>
      <c r="AZ1477">
        <v>512</v>
      </c>
      <c r="BA1477">
        <v>651</v>
      </c>
      <c r="BB1477">
        <v>44</v>
      </c>
      <c r="BD1477">
        <v>1</v>
      </c>
      <c r="BF1477" t="s">
        <v>1617</v>
      </c>
      <c r="BG1477" s="1">
        <v>44354.047222222223</v>
      </c>
      <c r="BH1477" s="1">
        <v>44354.053923611114</v>
      </c>
      <c r="BI1477" s="1">
        <v>44354.0546412037</v>
      </c>
      <c r="BJ1477" t="s">
        <v>85</v>
      </c>
      <c r="BK1477" t="s">
        <v>86</v>
      </c>
      <c r="BL1477" t="s">
        <v>87</v>
      </c>
    </row>
    <row r="1478" spans="1:64" x14ac:dyDescent="0.3">
      <c r="A1478" t="str">
        <f>"200817B0000"</f>
        <v>200817B0000</v>
      </c>
      <c r="B1478" t="str">
        <f>"200817B00003"</f>
        <v>200817B00003</v>
      </c>
      <c r="C1478" t="str">
        <f t="shared" si="82"/>
        <v>20</v>
      </c>
      <c r="D1478" t="s">
        <v>81</v>
      </c>
      <c r="E1478" t="str">
        <f t="shared" si="86"/>
        <v>121</v>
      </c>
      <c r="F1478" t="s">
        <v>1606</v>
      </c>
      <c r="G1478" t="str">
        <f>"0817"</f>
        <v>0817</v>
      </c>
      <c r="H1478" t="str">
        <f>"0000"</f>
        <v>0000</v>
      </c>
      <c r="I1478" t="s">
        <v>83</v>
      </c>
      <c r="J1478">
        <v>0</v>
      </c>
      <c r="K1478">
        <v>1</v>
      </c>
      <c r="L1478">
        <v>3</v>
      </c>
      <c r="M1478">
        <v>161</v>
      </c>
      <c r="N1478">
        <v>419</v>
      </c>
      <c r="O1478">
        <v>1</v>
      </c>
      <c r="P1478">
        <v>419</v>
      </c>
      <c r="Q1478">
        <v>3</v>
      </c>
      <c r="R1478">
        <v>141</v>
      </c>
      <c r="S1478">
        <v>11</v>
      </c>
      <c r="T1478">
        <v>3</v>
      </c>
      <c r="U1478">
        <v>22</v>
      </c>
      <c r="V1478">
        <v>1</v>
      </c>
      <c r="W1478">
        <v>0</v>
      </c>
      <c r="X1478">
        <v>195</v>
      </c>
      <c r="Y1478">
        <v>4</v>
      </c>
      <c r="Z1478">
        <v>2</v>
      </c>
      <c r="AA1478">
        <v>16</v>
      </c>
      <c r="AB1478">
        <v>3</v>
      </c>
      <c r="AF1478">
        <v>4</v>
      </c>
      <c r="AG1478">
        <v>0</v>
      </c>
      <c r="AH1478">
        <v>0</v>
      </c>
      <c r="AI1478">
        <v>0</v>
      </c>
      <c r="AU1478">
        <v>0</v>
      </c>
      <c r="AW1478">
        <v>0</v>
      </c>
      <c r="AX1478">
        <v>14</v>
      </c>
      <c r="AY1478">
        <v>419</v>
      </c>
      <c r="AZ1478">
        <v>419</v>
      </c>
      <c r="BA1478">
        <v>536</v>
      </c>
      <c r="BB1478">
        <v>44</v>
      </c>
      <c r="BD1478">
        <v>1</v>
      </c>
      <c r="BF1478" t="s">
        <v>1618</v>
      </c>
      <c r="BG1478" s="1">
        <v>44354.021527777775</v>
      </c>
      <c r="BH1478" s="1">
        <v>44354.030034722222</v>
      </c>
      <c r="BI1478" s="1">
        <v>44354.030775462961</v>
      </c>
      <c r="BJ1478" t="s">
        <v>85</v>
      </c>
      <c r="BK1478" t="s">
        <v>86</v>
      </c>
      <c r="BL1478" t="s">
        <v>87</v>
      </c>
    </row>
    <row r="1479" spans="1:64" x14ac:dyDescent="0.3">
      <c r="A1479" t="str">
        <f>"200817C0100"</f>
        <v>200817C0100</v>
      </c>
      <c r="B1479" t="str">
        <f>"200817C01003"</f>
        <v>200817C01003</v>
      </c>
      <c r="C1479" t="str">
        <f t="shared" ref="C1479:C1542" si="87">"20"</f>
        <v>20</v>
      </c>
      <c r="D1479" t="s">
        <v>81</v>
      </c>
      <c r="E1479" t="str">
        <f t="shared" si="86"/>
        <v>121</v>
      </c>
      <c r="F1479" t="s">
        <v>1606</v>
      </c>
      <c r="G1479" t="str">
        <f>"0817"</f>
        <v>0817</v>
      </c>
      <c r="H1479" t="str">
        <f>"0001"</f>
        <v>0001</v>
      </c>
      <c r="I1479" t="s">
        <v>89</v>
      </c>
      <c r="J1479">
        <v>0</v>
      </c>
      <c r="K1479">
        <v>1</v>
      </c>
      <c r="L1479">
        <v>3</v>
      </c>
      <c r="M1479">
        <v>156</v>
      </c>
      <c r="N1479">
        <v>423</v>
      </c>
      <c r="O1479">
        <v>1</v>
      </c>
      <c r="P1479" t="s">
        <v>92</v>
      </c>
      <c r="Q1479">
        <v>1</v>
      </c>
      <c r="R1479">
        <v>165</v>
      </c>
      <c r="S1479">
        <v>8</v>
      </c>
      <c r="T1479">
        <v>4</v>
      </c>
      <c r="U1479">
        <v>27</v>
      </c>
      <c r="V1479">
        <v>0</v>
      </c>
      <c r="W1479">
        <v>1</v>
      </c>
      <c r="X1479">
        <v>201</v>
      </c>
      <c r="Y1479">
        <v>0</v>
      </c>
      <c r="Z1479">
        <v>2</v>
      </c>
      <c r="AA1479">
        <v>3</v>
      </c>
      <c r="AB1479">
        <v>0</v>
      </c>
      <c r="AF1479">
        <v>2</v>
      </c>
      <c r="AG1479">
        <v>0</v>
      </c>
      <c r="AH1479">
        <v>0</v>
      </c>
      <c r="AI1479">
        <v>0</v>
      </c>
      <c r="AU1479">
        <v>0</v>
      </c>
      <c r="AW1479">
        <v>0</v>
      </c>
      <c r="AX1479">
        <v>9</v>
      </c>
      <c r="AY1479">
        <v>423</v>
      </c>
      <c r="AZ1479">
        <v>423</v>
      </c>
      <c r="BA1479">
        <v>535</v>
      </c>
      <c r="BB1479">
        <v>44</v>
      </c>
      <c r="BD1479">
        <v>1</v>
      </c>
      <c r="BF1479" t="s">
        <v>1619</v>
      </c>
      <c r="BG1479" s="1">
        <v>44354.020138888889</v>
      </c>
      <c r="BH1479" s="1">
        <v>44354.028599537036</v>
      </c>
      <c r="BI1479" s="1">
        <v>44354.029178240744</v>
      </c>
      <c r="BJ1479" t="s">
        <v>85</v>
      </c>
      <c r="BK1479" t="s">
        <v>86</v>
      </c>
      <c r="BL1479" t="s">
        <v>87</v>
      </c>
    </row>
    <row r="1480" spans="1:64" x14ac:dyDescent="0.3">
      <c r="A1480" t="str">
        <f>"200817C0200"</f>
        <v>200817C0200</v>
      </c>
      <c r="B1480" t="str">
        <f>"200817C02003"</f>
        <v>200817C02003</v>
      </c>
      <c r="C1480" t="str">
        <f t="shared" si="87"/>
        <v>20</v>
      </c>
      <c r="D1480" t="s">
        <v>81</v>
      </c>
      <c r="E1480" t="str">
        <f t="shared" si="86"/>
        <v>121</v>
      </c>
      <c r="F1480" t="s">
        <v>1606</v>
      </c>
      <c r="G1480" t="str">
        <f>"0817"</f>
        <v>0817</v>
      </c>
      <c r="H1480" t="str">
        <f>"0002"</f>
        <v>0002</v>
      </c>
      <c r="I1480" t="s">
        <v>89</v>
      </c>
      <c r="J1480">
        <v>0</v>
      </c>
      <c r="K1480">
        <v>1</v>
      </c>
      <c r="L1480">
        <v>3</v>
      </c>
      <c r="M1480">
        <v>136</v>
      </c>
      <c r="N1480">
        <v>443</v>
      </c>
      <c r="O1480">
        <v>0</v>
      </c>
      <c r="P1480">
        <v>443</v>
      </c>
      <c r="Q1480">
        <v>5</v>
      </c>
      <c r="R1480">
        <v>184</v>
      </c>
      <c r="S1480">
        <v>23</v>
      </c>
      <c r="T1480">
        <v>1</v>
      </c>
      <c r="U1480">
        <v>15</v>
      </c>
      <c r="V1480">
        <v>1</v>
      </c>
      <c r="W1480">
        <v>0</v>
      </c>
      <c r="X1480">
        <v>197</v>
      </c>
      <c r="Y1480">
        <v>0</v>
      </c>
      <c r="Z1480">
        <v>3</v>
      </c>
      <c r="AA1480">
        <v>5</v>
      </c>
      <c r="AB1480">
        <v>2</v>
      </c>
      <c r="AF1480">
        <v>1</v>
      </c>
      <c r="AG1480">
        <v>0</v>
      </c>
      <c r="AH1480">
        <v>0</v>
      </c>
      <c r="AI1480">
        <v>0</v>
      </c>
      <c r="AU1480">
        <v>0</v>
      </c>
      <c r="AW1480">
        <v>0</v>
      </c>
      <c r="AX1480">
        <v>6</v>
      </c>
      <c r="AY1480">
        <v>443</v>
      </c>
      <c r="AZ1480">
        <v>443</v>
      </c>
      <c r="BA1480">
        <v>535</v>
      </c>
      <c r="BB1480">
        <v>44</v>
      </c>
      <c r="BD1480">
        <v>1</v>
      </c>
      <c r="BF1480" t="s">
        <v>1620</v>
      </c>
      <c r="BG1480" s="1">
        <v>44354.027083333334</v>
      </c>
      <c r="BH1480" s="1">
        <v>44354.033263888887</v>
      </c>
      <c r="BI1480" s="1">
        <v>44354.034328703703</v>
      </c>
      <c r="BJ1480" t="s">
        <v>85</v>
      </c>
      <c r="BK1480" t="s">
        <v>86</v>
      </c>
      <c r="BL1480" t="s">
        <v>87</v>
      </c>
    </row>
    <row r="1481" spans="1:64" x14ac:dyDescent="0.3">
      <c r="A1481" t="str">
        <f>"200819B0000"</f>
        <v>200819B0000</v>
      </c>
      <c r="B1481" t="str">
        <f>"200819B00003"</f>
        <v>200819B00003</v>
      </c>
      <c r="C1481" t="str">
        <f t="shared" si="87"/>
        <v>20</v>
      </c>
      <c r="D1481" t="s">
        <v>81</v>
      </c>
      <c r="E1481" t="str">
        <f t="shared" si="86"/>
        <v>121</v>
      </c>
      <c r="F1481" t="s">
        <v>1606</v>
      </c>
      <c r="G1481" t="str">
        <f>"0819"</f>
        <v>0819</v>
      </c>
      <c r="H1481" t="str">
        <f>"0000"</f>
        <v>0000</v>
      </c>
      <c r="I1481" t="s">
        <v>83</v>
      </c>
      <c r="J1481">
        <v>0</v>
      </c>
      <c r="K1481">
        <v>1</v>
      </c>
      <c r="L1481">
        <v>3</v>
      </c>
      <c r="M1481">
        <v>188</v>
      </c>
      <c r="N1481">
        <v>550</v>
      </c>
      <c r="O1481">
        <v>0</v>
      </c>
      <c r="P1481" t="s">
        <v>92</v>
      </c>
      <c r="Q1481">
        <v>2</v>
      </c>
      <c r="R1481">
        <v>190</v>
      </c>
      <c r="S1481">
        <v>5</v>
      </c>
      <c r="T1481">
        <v>0</v>
      </c>
      <c r="U1481">
        <v>1</v>
      </c>
      <c r="V1481">
        <v>1</v>
      </c>
      <c r="W1481">
        <v>0</v>
      </c>
      <c r="X1481">
        <v>344</v>
      </c>
      <c r="Y1481">
        <v>0</v>
      </c>
      <c r="Z1481">
        <v>0</v>
      </c>
      <c r="AA1481">
        <v>1</v>
      </c>
      <c r="AB1481">
        <v>0</v>
      </c>
      <c r="AF1481">
        <v>0</v>
      </c>
      <c r="AG1481">
        <v>0</v>
      </c>
      <c r="AH1481">
        <v>0</v>
      </c>
      <c r="AI1481">
        <v>0</v>
      </c>
      <c r="AU1481">
        <v>0</v>
      </c>
      <c r="AW1481">
        <v>0</v>
      </c>
      <c r="AX1481">
        <v>6</v>
      </c>
      <c r="AY1481">
        <v>550</v>
      </c>
      <c r="AZ1481">
        <v>550</v>
      </c>
      <c r="BA1481">
        <v>694</v>
      </c>
      <c r="BB1481">
        <v>44</v>
      </c>
      <c r="BD1481">
        <v>1</v>
      </c>
      <c r="BF1481" t="s">
        <v>1621</v>
      </c>
      <c r="BG1481" s="1">
        <v>44354.042361111111</v>
      </c>
      <c r="BH1481" s="1">
        <v>44354.051192129627</v>
      </c>
      <c r="BI1481" s="1">
        <v>44354.051550925928</v>
      </c>
      <c r="BJ1481" t="s">
        <v>85</v>
      </c>
      <c r="BK1481" t="s">
        <v>86</v>
      </c>
      <c r="BL1481" t="s">
        <v>87</v>
      </c>
    </row>
    <row r="1482" spans="1:64" x14ac:dyDescent="0.3">
      <c r="A1482" t="str">
        <f>"200819C0100"</f>
        <v>200819C0100</v>
      </c>
      <c r="B1482" t="str">
        <f>"200819C01003"</f>
        <v>200819C01003</v>
      </c>
      <c r="C1482" t="str">
        <f t="shared" si="87"/>
        <v>20</v>
      </c>
      <c r="D1482" t="s">
        <v>81</v>
      </c>
      <c r="E1482" t="str">
        <f t="shared" si="86"/>
        <v>121</v>
      </c>
      <c r="F1482" t="s">
        <v>1606</v>
      </c>
      <c r="G1482" t="str">
        <f>"0819"</f>
        <v>0819</v>
      </c>
      <c r="H1482" t="str">
        <f>"0001"</f>
        <v>0001</v>
      </c>
      <c r="I1482" t="s">
        <v>89</v>
      </c>
      <c r="J1482">
        <v>0</v>
      </c>
      <c r="K1482">
        <v>1</v>
      </c>
      <c r="L1482">
        <v>3</v>
      </c>
      <c r="M1482">
        <v>195</v>
      </c>
      <c r="N1482">
        <v>533</v>
      </c>
      <c r="O1482">
        <v>533</v>
      </c>
      <c r="P1482">
        <v>536</v>
      </c>
      <c r="Q1482">
        <v>0</v>
      </c>
      <c r="R1482">
        <v>205</v>
      </c>
      <c r="S1482">
        <v>6</v>
      </c>
      <c r="T1482">
        <v>3</v>
      </c>
      <c r="U1482">
        <v>3</v>
      </c>
      <c r="V1482">
        <v>1</v>
      </c>
      <c r="W1482">
        <v>0</v>
      </c>
      <c r="X1482">
        <v>319</v>
      </c>
      <c r="Y1482">
        <v>0</v>
      </c>
      <c r="Z1482">
        <v>1</v>
      </c>
      <c r="AA1482">
        <v>1</v>
      </c>
      <c r="AB1482">
        <v>0</v>
      </c>
      <c r="AF1482">
        <v>0</v>
      </c>
      <c r="AG1482">
        <v>0</v>
      </c>
      <c r="AH1482">
        <v>0</v>
      </c>
      <c r="AI1482">
        <v>0</v>
      </c>
      <c r="AU1482">
        <v>0</v>
      </c>
      <c r="AW1482">
        <v>0</v>
      </c>
      <c r="AX1482">
        <v>0</v>
      </c>
      <c r="AY1482">
        <v>536</v>
      </c>
      <c r="AZ1482">
        <v>539</v>
      </c>
      <c r="BA1482">
        <v>694</v>
      </c>
      <c r="BB1482">
        <v>44</v>
      </c>
      <c r="BD1482">
        <v>1</v>
      </c>
      <c r="BF1482" t="s">
        <v>1622</v>
      </c>
      <c r="BG1482" s="1">
        <v>44354.040277777778</v>
      </c>
      <c r="BH1482" s="1">
        <v>44354.048414351855</v>
      </c>
      <c r="BI1482" s="1">
        <v>44354.049351851849</v>
      </c>
      <c r="BJ1482" t="s">
        <v>85</v>
      </c>
      <c r="BK1482" t="s">
        <v>86</v>
      </c>
      <c r="BL1482" t="s">
        <v>87</v>
      </c>
    </row>
    <row r="1483" spans="1:64" x14ac:dyDescent="0.3">
      <c r="A1483" t="str">
        <f>"200819C0200"</f>
        <v>200819C0200</v>
      </c>
      <c r="B1483" t="str">
        <f>"200819C02003"</f>
        <v>200819C02003</v>
      </c>
      <c r="C1483" t="str">
        <f t="shared" si="87"/>
        <v>20</v>
      </c>
      <c r="D1483" t="s">
        <v>81</v>
      </c>
      <c r="E1483" t="str">
        <f t="shared" si="86"/>
        <v>121</v>
      </c>
      <c r="F1483" t="s">
        <v>1606</v>
      </c>
      <c r="G1483" t="str">
        <f>"0819"</f>
        <v>0819</v>
      </c>
      <c r="H1483" t="str">
        <f>"0002"</f>
        <v>0002</v>
      </c>
      <c r="I1483" t="s">
        <v>89</v>
      </c>
      <c r="J1483">
        <v>0</v>
      </c>
      <c r="K1483">
        <v>1</v>
      </c>
      <c r="L1483">
        <v>3</v>
      </c>
      <c r="M1483">
        <v>179</v>
      </c>
      <c r="N1483">
        <v>537</v>
      </c>
      <c r="O1483">
        <v>0</v>
      </c>
      <c r="P1483">
        <v>558</v>
      </c>
      <c r="Q1483">
        <v>0</v>
      </c>
      <c r="R1483">
        <v>233</v>
      </c>
      <c r="S1483">
        <v>4</v>
      </c>
      <c r="T1483">
        <v>0</v>
      </c>
      <c r="U1483">
        <v>5</v>
      </c>
      <c r="V1483">
        <v>0</v>
      </c>
      <c r="W1483">
        <v>0</v>
      </c>
      <c r="X1483">
        <v>314</v>
      </c>
      <c r="Y1483">
        <v>0</v>
      </c>
      <c r="Z1483">
        <v>0</v>
      </c>
      <c r="AA1483">
        <v>0</v>
      </c>
      <c r="AB1483">
        <v>0</v>
      </c>
      <c r="AF1483">
        <v>0</v>
      </c>
      <c r="AG1483">
        <v>0</v>
      </c>
      <c r="AH1483">
        <v>0</v>
      </c>
      <c r="AI1483">
        <v>0</v>
      </c>
      <c r="AU1483">
        <v>0</v>
      </c>
      <c r="AW1483">
        <v>0</v>
      </c>
      <c r="AX1483">
        <v>2</v>
      </c>
      <c r="AY1483">
        <v>558</v>
      </c>
      <c r="AZ1483">
        <v>558</v>
      </c>
      <c r="BA1483">
        <v>693</v>
      </c>
      <c r="BB1483">
        <v>44</v>
      </c>
      <c r="BD1483">
        <v>1</v>
      </c>
      <c r="BF1483" t="s">
        <v>1623</v>
      </c>
      <c r="BG1483" s="1">
        <v>44354.038194444445</v>
      </c>
      <c r="BH1483" s="1">
        <v>44354.058599537035</v>
      </c>
      <c r="BI1483" s="1">
        <v>44354.063333333332</v>
      </c>
      <c r="BJ1483" t="s">
        <v>85</v>
      </c>
      <c r="BK1483" t="s">
        <v>86</v>
      </c>
      <c r="BL1483" t="s">
        <v>87</v>
      </c>
    </row>
    <row r="1484" spans="1:64" x14ac:dyDescent="0.3">
      <c r="A1484" t="str">
        <f>"200819E0100"</f>
        <v>200819E0100</v>
      </c>
      <c r="B1484" t="str">
        <f>"200819E01003"</f>
        <v>200819E01003</v>
      </c>
      <c r="C1484" t="str">
        <f t="shared" si="87"/>
        <v>20</v>
      </c>
      <c r="D1484" t="s">
        <v>81</v>
      </c>
      <c r="E1484" t="str">
        <f t="shared" si="86"/>
        <v>121</v>
      </c>
      <c r="F1484" t="s">
        <v>1606</v>
      </c>
      <c r="G1484" t="str">
        <f>"0819"</f>
        <v>0819</v>
      </c>
      <c r="H1484" t="str">
        <f>"0001"</f>
        <v>0001</v>
      </c>
      <c r="I1484" t="s">
        <v>122</v>
      </c>
      <c r="J1484">
        <v>0</v>
      </c>
      <c r="K1484">
        <v>1</v>
      </c>
      <c r="L1484">
        <v>3</v>
      </c>
      <c r="M1484">
        <v>112</v>
      </c>
      <c r="N1484">
        <v>322</v>
      </c>
      <c r="O1484">
        <v>0</v>
      </c>
      <c r="P1484">
        <v>322</v>
      </c>
      <c r="Q1484">
        <v>3</v>
      </c>
      <c r="R1484">
        <v>114</v>
      </c>
      <c r="S1484">
        <v>3</v>
      </c>
      <c r="T1484">
        <v>0</v>
      </c>
      <c r="U1484">
        <v>11</v>
      </c>
      <c r="V1484">
        <v>4</v>
      </c>
      <c r="W1484">
        <v>0</v>
      </c>
      <c r="X1484">
        <v>170</v>
      </c>
      <c r="Y1484">
        <v>3</v>
      </c>
      <c r="Z1484">
        <v>1</v>
      </c>
      <c r="AA1484">
        <v>5</v>
      </c>
      <c r="AB1484">
        <v>3</v>
      </c>
      <c r="AF1484">
        <v>1</v>
      </c>
      <c r="AG1484">
        <v>0</v>
      </c>
      <c r="AH1484">
        <v>0</v>
      </c>
      <c r="AI1484">
        <v>0</v>
      </c>
      <c r="AU1484">
        <v>0</v>
      </c>
      <c r="AW1484">
        <v>0</v>
      </c>
      <c r="AX1484">
        <v>4</v>
      </c>
      <c r="AY1484">
        <v>322</v>
      </c>
      <c r="AZ1484">
        <v>322</v>
      </c>
      <c r="BA1484">
        <v>390</v>
      </c>
      <c r="BB1484">
        <v>44</v>
      </c>
      <c r="BD1484">
        <v>1</v>
      </c>
      <c r="BF1484" t="s">
        <v>1624</v>
      </c>
      <c r="BG1484" s="1">
        <v>44353.95</v>
      </c>
      <c r="BH1484" s="1">
        <v>44353.951782407406</v>
      </c>
      <c r="BI1484" s="1">
        <v>44353.952349537038</v>
      </c>
      <c r="BJ1484" t="s">
        <v>85</v>
      </c>
      <c r="BK1484" t="s">
        <v>86</v>
      </c>
      <c r="BL1484" t="s">
        <v>87</v>
      </c>
    </row>
    <row r="1485" spans="1:64" x14ac:dyDescent="0.3">
      <c r="A1485" t="str">
        <f>"200819E0101"</f>
        <v>200819E0101</v>
      </c>
      <c r="B1485" t="str">
        <f>"200819E01013"</f>
        <v>200819E01013</v>
      </c>
      <c r="C1485" t="str">
        <f t="shared" si="87"/>
        <v>20</v>
      </c>
      <c r="D1485" t="s">
        <v>81</v>
      </c>
      <c r="E1485" t="str">
        <f t="shared" si="86"/>
        <v>121</v>
      </c>
      <c r="F1485" t="s">
        <v>1606</v>
      </c>
      <c r="G1485" t="str">
        <f>"0819"</f>
        <v>0819</v>
      </c>
      <c r="H1485" t="str">
        <f>"0001"</f>
        <v>0001</v>
      </c>
      <c r="I1485" t="s">
        <v>122</v>
      </c>
      <c r="J1485">
        <v>1</v>
      </c>
      <c r="K1485">
        <v>1</v>
      </c>
      <c r="L1485">
        <v>3</v>
      </c>
      <c r="M1485">
        <v>124</v>
      </c>
      <c r="N1485">
        <v>310</v>
      </c>
      <c r="O1485">
        <v>0</v>
      </c>
      <c r="P1485">
        <v>310</v>
      </c>
      <c r="Q1485">
        <v>2</v>
      </c>
      <c r="R1485">
        <v>113</v>
      </c>
      <c r="S1485">
        <v>7</v>
      </c>
      <c r="T1485">
        <v>0</v>
      </c>
      <c r="U1485">
        <v>17</v>
      </c>
      <c r="V1485">
        <v>2</v>
      </c>
      <c r="W1485">
        <v>1</v>
      </c>
      <c r="X1485">
        <v>152</v>
      </c>
      <c r="Y1485">
        <v>0</v>
      </c>
      <c r="Z1485">
        <v>3</v>
      </c>
      <c r="AA1485">
        <v>9</v>
      </c>
      <c r="AB1485">
        <v>0</v>
      </c>
      <c r="AF1485">
        <v>2</v>
      </c>
      <c r="AG1485">
        <v>0</v>
      </c>
      <c r="AH1485">
        <v>0</v>
      </c>
      <c r="AI1485">
        <v>0</v>
      </c>
      <c r="AU1485">
        <v>0</v>
      </c>
      <c r="AW1485">
        <v>0</v>
      </c>
      <c r="AX1485">
        <v>2</v>
      </c>
      <c r="AY1485">
        <v>310</v>
      </c>
      <c r="AZ1485">
        <v>310</v>
      </c>
      <c r="BA1485">
        <v>390</v>
      </c>
      <c r="BB1485">
        <v>44</v>
      </c>
      <c r="BD1485">
        <v>1</v>
      </c>
      <c r="BF1485" t="s">
        <v>1625</v>
      </c>
      <c r="BG1485" s="1">
        <v>44353.948611111111</v>
      </c>
      <c r="BH1485" s="1">
        <v>44353.950810185182</v>
      </c>
      <c r="BI1485" s="1">
        <v>44353.95207175926</v>
      </c>
      <c r="BJ1485" t="s">
        <v>85</v>
      </c>
      <c r="BK1485" t="s">
        <v>86</v>
      </c>
      <c r="BL1485" t="s">
        <v>87</v>
      </c>
    </row>
    <row r="1486" spans="1:64" x14ac:dyDescent="0.3">
      <c r="A1486" t="str">
        <f>"202465B0000"</f>
        <v>202465B0000</v>
      </c>
      <c r="B1486" t="str">
        <f>"202465B00003"</f>
        <v>202465B00003</v>
      </c>
      <c r="C1486" t="str">
        <f t="shared" si="87"/>
        <v>20</v>
      </c>
      <c r="D1486" t="s">
        <v>81</v>
      </c>
      <c r="E1486" t="str">
        <f t="shared" si="86"/>
        <v>121</v>
      </c>
      <c r="F1486" t="s">
        <v>1606</v>
      </c>
      <c r="G1486" t="str">
        <f>"2465"</f>
        <v>2465</v>
      </c>
      <c r="H1486" t="str">
        <f>"0000"</f>
        <v>0000</v>
      </c>
      <c r="I1486" t="s">
        <v>83</v>
      </c>
      <c r="J1486">
        <v>0</v>
      </c>
      <c r="K1486">
        <v>1</v>
      </c>
      <c r="L1486">
        <v>3</v>
      </c>
      <c r="M1486">
        <v>130</v>
      </c>
      <c r="N1486">
        <v>554</v>
      </c>
      <c r="O1486">
        <v>0</v>
      </c>
      <c r="P1486">
        <v>551</v>
      </c>
      <c r="Q1486">
        <v>4</v>
      </c>
      <c r="R1486">
        <v>196</v>
      </c>
      <c r="S1486">
        <v>13</v>
      </c>
      <c r="T1486">
        <v>0</v>
      </c>
      <c r="U1486">
        <v>38</v>
      </c>
      <c r="V1486">
        <v>1</v>
      </c>
      <c r="W1486">
        <v>0</v>
      </c>
      <c r="X1486">
        <v>251</v>
      </c>
      <c r="Y1486">
        <v>0</v>
      </c>
      <c r="Z1486">
        <v>1</v>
      </c>
      <c r="AA1486">
        <v>15</v>
      </c>
      <c r="AB1486">
        <v>0</v>
      </c>
      <c r="AF1486">
        <v>5</v>
      </c>
      <c r="AG1486">
        <v>0</v>
      </c>
      <c r="AH1486">
        <v>0</v>
      </c>
      <c r="AI1486">
        <v>0</v>
      </c>
      <c r="AU1486">
        <v>0</v>
      </c>
      <c r="AW1486">
        <v>0</v>
      </c>
      <c r="AX1486">
        <v>27</v>
      </c>
      <c r="AY1486">
        <v>551</v>
      </c>
      <c r="AZ1486">
        <v>551</v>
      </c>
      <c r="BA1486">
        <v>637</v>
      </c>
      <c r="BB1486">
        <v>44</v>
      </c>
      <c r="BD1486">
        <v>1</v>
      </c>
      <c r="BF1486" t="s">
        <v>1626</v>
      </c>
      <c r="BG1486" s="1">
        <v>44353.994444444441</v>
      </c>
      <c r="BH1486" s="1">
        <v>44353.998842592591</v>
      </c>
      <c r="BI1486" s="1">
        <v>44354.000567129631</v>
      </c>
      <c r="BJ1486" t="s">
        <v>85</v>
      </c>
      <c r="BK1486" t="s">
        <v>86</v>
      </c>
      <c r="BL1486" t="s">
        <v>87</v>
      </c>
    </row>
    <row r="1487" spans="1:64" x14ac:dyDescent="0.3">
      <c r="A1487" t="str">
        <f>"202466B0000"</f>
        <v>202466B0000</v>
      </c>
      <c r="B1487" t="str">
        <f>"202466B00003"</f>
        <v>202466B00003</v>
      </c>
      <c r="C1487" t="str">
        <f t="shared" si="87"/>
        <v>20</v>
      </c>
      <c r="D1487" t="s">
        <v>81</v>
      </c>
      <c r="E1487" t="str">
        <f t="shared" si="86"/>
        <v>121</v>
      </c>
      <c r="F1487" t="s">
        <v>1606</v>
      </c>
      <c r="G1487" t="str">
        <f>"2466"</f>
        <v>2466</v>
      </c>
      <c r="H1487" t="str">
        <f>"0000"</f>
        <v>0000</v>
      </c>
      <c r="I1487" t="s">
        <v>83</v>
      </c>
      <c r="J1487">
        <v>0</v>
      </c>
      <c r="K1487">
        <v>1</v>
      </c>
      <c r="L1487">
        <v>3</v>
      </c>
      <c r="M1487">
        <v>176</v>
      </c>
      <c r="N1487">
        <v>446</v>
      </c>
      <c r="O1487">
        <v>7</v>
      </c>
      <c r="P1487">
        <v>446</v>
      </c>
      <c r="Q1487">
        <v>3</v>
      </c>
      <c r="R1487">
        <v>282</v>
      </c>
      <c r="S1487">
        <v>11</v>
      </c>
      <c r="T1487">
        <v>0</v>
      </c>
      <c r="U1487">
        <v>16</v>
      </c>
      <c r="V1487">
        <v>1</v>
      </c>
      <c r="W1487">
        <v>1</v>
      </c>
      <c r="X1487">
        <v>111</v>
      </c>
      <c r="Y1487">
        <v>0</v>
      </c>
      <c r="Z1487">
        <v>1</v>
      </c>
      <c r="AA1487">
        <v>9</v>
      </c>
      <c r="AB1487">
        <v>1</v>
      </c>
      <c r="AF1487">
        <v>1</v>
      </c>
      <c r="AG1487">
        <v>1</v>
      </c>
      <c r="AH1487">
        <v>0</v>
      </c>
      <c r="AI1487">
        <v>2</v>
      </c>
      <c r="AU1487">
        <v>0</v>
      </c>
      <c r="AW1487">
        <v>0</v>
      </c>
      <c r="AX1487">
        <v>6</v>
      </c>
      <c r="AY1487">
        <v>446</v>
      </c>
      <c r="AZ1487">
        <v>446</v>
      </c>
      <c r="BA1487">
        <v>578</v>
      </c>
      <c r="BB1487">
        <v>44</v>
      </c>
      <c r="BD1487">
        <v>1</v>
      </c>
      <c r="BF1487" t="s">
        <v>1627</v>
      </c>
      <c r="BG1487" s="1">
        <v>44353.935416666667</v>
      </c>
      <c r="BH1487" s="1">
        <v>44353.93855324074</v>
      </c>
      <c r="BI1487" s="1">
        <v>44353.939803240741</v>
      </c>
      <c r="BJ1487" t="s">
        <v>85</v>
      </c>
      <c r="BK1487" t="s">
        <v>86</v>
      </c>
      <c r="BL1487" t="s">
        <v>87</v>
      </c>
    </row>
    <row r="1488" spans="1:64" x14ac:dyDescent="0.3">
      <c r="A1488" t="str">
        <f>"202467B0000"</f>
        <v>202467B0000</v>
      </c>
      <c r="B1488" t="str">
        <f>"202467B00003"</f>
        <v>202467B00003</v>
      </c>
      <c r="C1488" t="str">
        <f t="shared" si="87"/>
        <v>20</v>
      </c>
      <c r="D1488" t="s">
        <v>81</v>
      </c>
      <c r="E1488" t="str">
        <f t="shared" si="86"/>
        <v>121</v>
      </c>
      <c r="F1488" t="s">
        <v>1606</v>
      </c>
      <c r="G1488" t="str">
        <f>"2467"</f>
        <v>2467</v>
      </c>
      <c r="H1488" t="str">
        <f>"0000"</f>
        <v>0000</v>
      </c>
      <c r="I1488" t="s">
        <v>83</v>
      </c>
      <c r="J1488">
        <v>0</v>
      </c>
      <c r="K1488">
        <v>1</v>
      </c>
      <c r="L1488">
        <v>3</v>
      </c>
      <c r="BA1488">
        <v>570</v>
      </c>
      <c r="BB1488">
        <v>44</v>
      </c>
      <c r="BC1488" t="s">
        <v>161</v>
      </c>
      <c r="BD1488">
        <v>0</v>
      </c>
      <c r="BF1488" t="s">
        <v>1628</v>
      </c>
      <c r="BG1488" s="1">
        <v>44354.146527777775</v>
      </c>
      <c r="BH1488" s="1">
        <v>44354.169722222221</v>
      </c>
      <c r="BI1488" s="1">
        <v>44354.169722222221</v>
      </c>
      <c r="BJ1488" t="s">
        <v>85</v>
      </c>
      <c r="BK1488" t="s">
        <v>86</v>
      </c>
      <c r="BL1488" t="s">
        <v>87</v>
      </c>
    </row>
    <row r="1489" spans="1:64" x14ac:dyDescent="0.3">
      <c r="A1489" t="str">
        <f>"202467C0100"</f>
        <v>202467C0100</v>
      </c>
      <c r="B1489" t="str">
        <f>"202467C01003"</f>
        <v>202467C01003</v>
      </c>
      <c r="C1489" t="str">
        <f t="shared" si="87"/>
        <v>20</v>
      </c>
      <c r="D1489" t="s">
        <v>81</v>
      </c>
      <c r="E1489" t="str">
        <f t="shared" si="86"/>
        <v>121</v>
      </c>
      <c r="F1489" t="s">
        <v>1606</v>
      </c>
      <c r="G1489" t="str">
        <f>"2467"</f>
        <v>2467</v>
      </c>
      <c r="H1489" t="str">
        <f>"0001"</f>
        <v>0001</v>
      </c>
      <c r="I1489" t="s">
        <v>89</v>
      </c>
      <c r="J1489">
        <v>0</v>
      </c>
      <c r="K1489">
        <v>1</v>
      </c>
      <c r="L1489">
        <v>3</v>
      </c>
      <c r="M1489">
        <v>185</v>
      </c>
      <c r="N1489">
        <v>431</v>
      </c>
      <c r="O1489">
        <v>427</v>
      </c>
      <c r="P1489">
        <v>427</v>
      </c>
      <c r="Q1489">
        <v>7</v>
      </c>
      <c r="R1489">
        <v>172</v>
      </c>
      <c r="S1489">
        <v>5</v>
      </c>
      <c r="T1489">
        <v>0</v>
      </c>
      <c r="U1489">
        <v>20</v>
      </c>
      <c r="V1489">
        <v>0</v>
      </c>
      <c r="W1489">
        <v>0</v>
      </c>
      <c r="X1489">
        <v>189</v>
      </c>
      <c r="Y1489">
        <v>0</v>
      </c>
      <c r="Z1489">
        <v>2</v>
      </c>
      <c r="AA1489">
        <v>11</v>
      </c>
      <c r="AB1489">
        <v>5</v>
      </c>
      <c r="AF1489">
        <v>5</v>
      </c>
      <c r="AG1489">
        <v>0</v>
      </c>
      <c r="AH1489">
        <v>0</v>
      </c>
      <c r="AI1489">
        <v>4</v>
      </c>
      <c r="AU1489">
        <v>0</v>
      </c>
      <c r="AW1489">
        <v>0</v>
      </c>
      <c r="AX1489">
        <v>7</v>
      </c>
      <c r="AY1489">
        <v>427</v>
      </c>
      <c r="AZ1489">
        <v>427</v>
      </c>
      <c r="BA1489">
        <v>569</v>
      </c>
      <c r="BB1489">
        <v>44</v>
      </c>
      <c r="BD1489">
        <v>1</v>
      </c>
      <c r="BF1489" t="s">
        <v>1629</v>
      </c>
      <c r="BG1489" s="1">
        <v>44353.993055555555</v>
      </c>
      <c r="BH1489" s="1">
        <v>44353.997499999998</v>
      </c>
      <c r="BI1489" s="1">
        <v>44353.998356481483</v>
      </c>
      <c r="BJ1489" t="s">
        <v>85</v>
      </c>
      <c r="BK1489" t="s">
        <v>86</v>
      </c>
      <c r="BL1489" t="s">
        <v>87</v>
      </c>
    </row>
    <row r="1490" spans="1:64" x14ac:dyDescent="0.3">
      <c r="A1490" t="str">
        <f>"202467C0200"</f>
        <v>202467C0200</v>
      </c>
      <c r="B1490" t="str">
        <f>"202467C02003"</f>
        <v>202467C02003</v>
      </c>
      <c r="C1490" t="str">
        <f t="shared" si="87"/>
        <v>20</v>
      </c>
      <c r="D1490" t="s">
        <v>81</v>
      </c>
      <c r="E1490" t="str">
        <f t="shared" si="86"/>
        <v>121</v>
      </c>
      <c r="F1490" t="s">
        <v>1606</v>
      </c>
      <c r="G1490" t="str">
        <f>"2467"</f>
        <v>2467</v>
      </c>
      <c r="H1490" t="str">
        <f>"0002"</f>
        <v>0002</v>
      </c>
      <c r="I1490" t="s">
        <v>89</v>
      </c>
      <c r="J1490">
        <v>0</v>
      </c>
      <c r="K1490">
        <v>1</v>
      </c>
      <c r="L1490">
        <v>3</v>
      </c>
      <c r="M1490">
        <v>144</v>
      </c>
      <c r="N1490">
        <v>467</v>
      </c>
      <c r="O1490">
        <v>4</v>
      </c>
      <c r="P1490">
        <v>467</v>
      </c>
      <c r="Q1490">
        <v>4</v>
      </c>
      <c r="R1490">
        <v>188</v>
      </c>
      <c r="S1490">
        <v>13</v>
      </c>
      <c r="T1490">
        <v>0</v>
      </c>
      <c r="U1490">
        <v>13</v>
      </c>
      <c r="V1490">
        <v>3</v>
      </c>
      <c r="W1490">
        <v>0</v>
      </c>
      <c r="X1490">
        <v>210</v>
      </c>
      <c r="Y1490">
        <v>2</v>
      </c>
      <c r="Z1490">
        <v>7</v>
      </c>
      <c r="AA1490">
        <v>19</v>
      </c>
      <c r="AB1490">
        <v>2</v>
      </c>
      <c r="AF1490">
        <v>1</v>
      </c>
      <c r="AG1490">
        <v>1</v>
      </c>
      <c r="AH1490">
        <v>0</v>
      </c>
      <c r="AI1490">
        <v>0</v>
      </c>
      <c r="AU1490">
        <v>0</v>
      </c>
      <c r="AW1490">
        <v>0</v>
      </c>
      <c r="AX1490">
        <v>4</v>
      </c>
      <c r="AY1490">
        <v>467</v>
      </c>
      <c r="AZ1490">
        <v>467</v>
      </c>
      <c r="BA1490">
        <v>569</v>
      </c>
      <c r="BB1490">
        <v>44</v>
      </c>
      <c r="BD1490">
        <v>1</v>
      </c>
      <c r="BF1490" t="s">
        <v>1630</v>
      </c>
      <c r="BG1490" s="1">
        <v>44353.998611111114</v>
      </c>
      <c r="BH1490" s="1">
        <v>44354.004513888889</v>
      </c>
      <c r="BI1490" s="1">
        <v>44354.005243055559</v>
      </c>
      <c r="BJ1490" t="s">
        <v>85</v>
      </c>
      <c r="BK1490" t="s">
        <v>86</v>
      </c>
      <c r="BL1490" t="s">
        <v>87</v>
      </c>
    </row>
    <row r="1491" spans="1:64" x14ac:dyDescent="0.3">
      <c r="A1491" t="str">
        <f>"202467C0300"</f>
        <v>202467C0300</v>
      </c>
      <c r="B1491" t="str">
        <f>"202467C03003"</f>
        <v>202467C03003</v>
      </c>
      <c r="C1491" t="str">
        <f t="shared" si="87"/>
        <v>20</v>
      </c>
      <c r="D1491" t="s">
        <v>81</v>
      </c>
      <c r="E1491" t="str">
        <f t="shared" si="86"/>
        <v>121</v>
      </c>
      <c r="F1491" t="s">
        <v>1606</v>
      </c>
      <c r="G1491" t="str">
        <f>"2467"</f>
        <v>2467</v>
      </c>
      <c r="H1491" t="str">
        <f>"0003"</f>
        <v>0003</v>
      </c>
      <c r="I1491" t="s">
        <v>89</v>
      </c>
      <c r="J1491">
        <v>0</v>
      </c>
      <c r="K1491">
        <v>1</v>
      </c>
      <c r="L1491">
        <v>3</v>
      </c>
      <c r="M1491">
        <v>159</v>
      </c>
      <c r="N1491">
        <v>454</v>
      </c>
      <c r="O1491">
        <v>9</v>
      </c>
      <c r="P1491">
        <v>458</v>
      </c>
      <c r="Q1491">
        <v>5</v>
      </c>
      <c r="R1491">
        <v>194</v>
      </c>
      <c r="S1491">
        <v>11</v>
      </c>
      <c r="T1491">
        <v>1</v>
      </c>
      <c r="U1491">
        <v>14</v>
      </c>
      <c r="V1491">
        <v>0</v>
      </c>
      <c r="W1491">
        <v>0</v>
      </c>
      <c r="X1491">
        <v>200</v>
      </c>
      <c r="Y1491">
        <v>1</v>
      </c>
      <c r="Z1491">
        <v>3</v>
      </c>
      <c r="AA1491">
        <v>10</v>
      </c>
      <c r="AB1491">
        <v>4</v>
      </c>
      <c r="AF1491">
        <v>7</v>
      </c>
      <c r="AG1491">
        <v>0</v>
      </c>
      <c r="AH1491">
        <v>0</v>
      </c>
      <c r="AI1491">
        <v>0</v>
      </c>
      <c r="AU1491">
        <v>0</v>
      </c>
      <c r="AW1491" t="s">
        <v>95</v>
      </c>
      <c r="AX1491">
        <v>7</v>
      </c>
      <c r="AY1491">
        <v>457</v>
      </c>
      <c r="AZ1491">
        <v>457</v>
      </c>
      <c r="BA1491">
        <v>569</v>
      </c>
      <c r="BB1491">
        <v>44</v>
      </c>
      <c r="BC1491" t="s">
        <v>96</v>
      </c>
      <c r="BD1491">
        <v>1</v>
      </c>
      <c r="BF1491" t="s">
        <v>1631</v>
      </c>
      <c r="BG1491" s="1">
        <v>44353.942361111112</v>
      </c>
      <c r="BH1491" s="1">
        <v>44353.9452662037</v>
      </c>
      <c r="BI1491" s="1">
        <v>44353.945879629631</v>
      </c>
      <c r="BJ1491" t="s">
        <v>85</v>
      </c>
      <c r="BK1491" t="s">
        <v>86</v>
      </c>
      <c r="BL1491" t="s">
        <v>87</v>
      </c>
    </row>
    <row r="1492" spans="1:64" x14ac:dyDescent="0.3">
      <c r="A1492" t="str">
        <f>"200838B0000"</f>
        <v>200838B0000</v>
      </c>
      <c r="B1492" t="str">
        <f>"200838B00003"</f>
        <v>200838B00003</v>
      </c>
      <c r="C1492" t="str">
        <f t="shared" si="87"/>
        <v>20</v>
      </c>
      <c r="D1492" t="s">
        <v>81</v>
      </c>
      <c r="E1492" t="str">
        <f t="shared" ref="E1492:E1498" si="88">"127"</f>
        <v>127</v>
      </c>
      <c r="F1492" t="s">
        <v>1632</v>
      </c>
      <c r="G1492" t="str">
        <f>"0838"</f>
        <v>0838</v>
      </c>
      <c r="H1492" t="str">
        <f>"0000"</f>
        <v>0000</v>
      </c>
      <c r="I1492" t="s">
        <v>83</v>
      </c>
      <c r="J1492">
        <v>0</v>
      </c>
      <c r="K1492">
        <v>1</v>
      </c>
      <c r="L1492">
        <v>3</v>
      </c>
      <c r="M1492" t="s">
        <v>92</v>
      </c>
      <c r="N1492" t="s">
        <v>92</v>
      </c>
      <c r="O1492" t="s">
        <v>92</v>
      </c>
      <c r="P1492">
        <v>376</v>
      </c>
      <c r="Q1492">
        <v>0</v>
      </c>
      <c r="R1492">
        <v>118</v>
      </c>
      <c r="S1492">
        <v>21</v>
      </c>
      <c r="T1492">
        <v>1</v>
      </c>
      <c r="U1492">
        <v>0</v>
      </c>
      <c r="V1492">
        <v>4</v>
      </c>
      <c r="W1492">
        <v>0</v>
      </c>
      <c r="X1492">
        <v>23</v>
      </c>
      <c r="Y1492">
        <v>0</v>
      </c>
      <c r="Z1492">
        <v>7</v>
      </c>
      <c r="AA1492">
        <v>113</v>
      </c>
      <c r="AB1492">
        <v>76</v>
      </c>
      <c r="AF1492">
        <v>0</v>
      </c>
      <c r="AG1492">
        <v>0</v>
      </c>
      <c r="AH1492">
        <v>0</v>
      </c>
      <c r="AI1492">
        <v>0</v>
      </c>
      <c r="AU1492">
        <v>0</v>
      </c>
      <c r="AW1492">
        <v>0</v>
      </c>
      <c r="AX1492">
        <v>13</v>
      </c>
      <c r="AY1492">
        <v>376</v>
      </c>
      <c r="AZ1492">
        <v>376</v>
      </c>
      <c r="BA1492">
        <v>547</v>
      </c>
      <c r="BB1492">
        <v>44</v>
      </c>
      <c r="BD1492">
        <v>1</v>
      </c>
      <c r="BF1492" t="s">
        <v>1633</v>
      </c>
      <c r="BG1492" s="1">
        <v>44354.111111111109</v>
      </c>
      <c r="BH1492" s="1">
        <v>44354.115740740737</v>
      </c>
      <c r="BI1492" s="1">
        <v>44354.11614583333</v>
      </c>
      <c r="BJ1492" t="s">
        <v>85</v>
      </c>
      <c r="BK1492" t="s">
        <v>86</v>
      </c>
      <c r="BL1492" t="s">
        <v>87</v>
      </c>
    </row>
    <row r="1493" spans="1:64" x14ac:dyDescent="0.3">
      <c r="A1493" t="str">
        <f>"200838C0100"</f>
        <v>200838C0100</v>
      </c>
      <c r="B1493" t="str">
        <f>"200838C01003"</f>
        <v>200838C01003</v>
      </c>
      <c r="C1493" t="str">
        <f t="shared" si="87"/>
        <v>20</v>
      </c>
      <c r="D1493" t="s">
        <v>81</v>
      </c>
      <c r="E1493" t="str">
        <f t="shared" si="88"/>
        <v>127</v>
      </c>
      <c r="F1493" t="s">
        <v>1632</v>
      </c>
      <c r="G1493" t="str">
        <f>"0838"</f>
        <v>0838</v>
      </c>
      <c r="H1493" t="str">
        <f>"0001"</f>
        <v>0001</v>
      </c>
      <c r="I1493" t="s">
        <v>89</v>
      </c>
      <c r="J1493">
        <v>0</v>
      </c>
      <c r="K1493">
        <v>1</v>
      </c>
      <c r="L1493">
        <v>3</v>
      </c>
      <c r="M1493">
        <v>182</v>
      </c>
      <c r="N1493">
        <v>408</v>
      </c>
      <c r="O1493">
        <v>0</v>
      </c>
      <c r="P1493">
        <v>408</v>
      </c>
      <c r="Q1493">
        <v>0</v>
      </c>
      <c r="R1493">
        <v>126</v>
      </c>
      <c r="S1493">
        <v>45</v>
      </c>
      <c r="T1493">
        <v>0</v>
      </c>
      <c r="U1493">
        <v>0</v>
      </c>
      <c r="V1493">
        <v>5</v>
      </c>
      <c r="W1493">
        <v>1</v>
      </c>
      <c r="X1493">
        <v>28</v>
      </c>
      <c r="Y1493">
        <v>0</v>
      </c>
      <c r="Z1493">
        <v>2</v>
      </c>
      <c r="AA1493">
        <v>120</v>
      </c>
      <c r="AB1493">
        <v>74</v>
      </c>
      <c r="AF1493">
        <v>2</v>
      </c>
      <c r="AG1493">
        <v>0</v>
      </c>
      <c r="AH1493">
        <v>0</v>
      </c>
      <c r="AI1493">
        <v>0</v>
      </c>
      <c r="AU1493">
        <v>0</v>
      </c>
      <c r="AW1493">
        <v>0</v>
      </c>
      <c r="AX1493">
        <v>5</v>
      </c>
      <c r="AY1493">
        <v>408</v>
      </c>
      <c r="AZ1493">
        <v>408</v>
      </c>
      <c r="BA1493">
        <v>547</v>
      </c>
      <c r="BB1493">
        <v>44</v>
      </c>
      <c r="BD1493">
        <v>1</v>
      </c>
      <c r="BF1493" t="s">
        <v>1634</v>
      </c>
      <c r="BG1493" s="1">
        <v>44354.112500000003</v>
      </c>
      <c r="BH1493" s="1">
        <v>44354.118043981478</v>
      </c>
      <c r="BI1493" s="1">
        <v>44354.118726851855</v>
      </c>
      <c r="BJ1493" t="s">
        <v>85</v>
      </c>
      <c r="BK1493" t="s">
        <v>86</v>
      </c>
      <c r="BL1493" t="s">
        <v>87</v>
      </c>
    </row>
    <row r="1494" spans="1:64" x14ac:dyDescent="0.3">
      <c r="A1494" t="str">
        <f>"200838C0200"</f>
        <v>200838C0200</v>
      </c>
      <c r="B1494" t="str">
        <f>"200838C02003"</f>
        <v>200838C02003</v>
      </c>
      <c r="C1494" t="str">
        <f t="shared" si="87"/>
        <v>20</v>
      </c>
      <c r="D1494" t="s">
        <v>81</v>
      </c>
      <c r="E1494" t="str">
        <f t="shared" si="88"/>
        <v>127</v>
      </c>
      <c r="F1494" t="s">
        <v>1632</v>
      </c>
      <c r="G1494" t="str">
        <f>"0838"</f>
        <v>0838</v>
      </c>
      <c r="H1494" t="str">
        <f>"0002"</f>
        <v>0002</v>
      </c>
      <c r="I1494" t="s">
        <v>89</v>
      </c>
      <c r="J1494">
        <v>0</v>
      </c>
      <c r="K1494">
        <v>1</v>
      </c>
      <c r="L1494">
        <v>3</v>
      </c>
      <c r="M1494" t="s">
        <v>92</v>
      </c>
      <c r="N1494" t="s">
        <v>92</v>
      </c>
      <c r="O1494" t="s">
        <v>92</v>
      </c>
      <c r="P1494" t="s">
        <v>92</v>
      </c>
      <c r="Q1494">
        <v>0</v>
      </c>
      <c r="R1494">
        <v>94</v>
      </c>
      <c r="S1494">
        <v>33</v>
      </c>
      <c r="T1494">
        <v>0</v>
      </c>
      <c r="U1494">
        <v>1</v>
      </c>
      <c r="V1494">
        <v>3</v>
      </c>
      <c r="W1494">
        <v>0</v>
      </c>
      <c r="X1494">
        <v>30</v>
      </c>
      <c r="Y1494">
        <v>2</v>
      </c>
      <c r="Z1494">
        <v>8</v>
      </c>
      <c r="AA1494">
        <v>130</v>
      </c>
      <c r="AB1494">
        <v>99</v>
      </c>
      <c r="AF1494">
        <v>0</v>
      </c>
      <c r="AG1494">
        <v>0</v>
      </c>
      <c r="AH1494">
        <v>0</v>
      </c>
      <c r="AI1494">
        <v>0</v>
      </c>
      <c r="AU1494">
        <v>0</v>
      </c>
      <c r="AW1494">
        <v>0</v>
      </c>
      <c r="AX1494">
        <v>2</v>
      </c>
      <c r="AY1494">
        <v>402</v>
      </c>
      <c r="AZ1494">
        <v>402</v>
      </c>
      <c r="BA1494">
        <v>546</v>
      </c>
      <c r="BB1494">
        <v>44</v>
      </c>
      <c r="BD1494">
        <v>1</v>
      </c>
      <c r="BF1494" t="s">
        <v>1635</v>
      </c>
      <c r="BG1494" s="1">
        <v>44354.11041666667</v>
      </c>
      <c r="BH1494" s="1">
        <v>44354.115891203706</v>
      </c>
      <c r="BI1494" s="1">
        <v>44354.116701388892</v>
      </c>
      <c r="BJ1494" t="s">
        <v>85</v>
      </c>
      <c r="BK1494" t="s">
        <v>86</v>
      </c>
      <c r="BL1494" t="s">
        <v>87</v>
      </c>
    </row>
    <row r="1495" spans="1:64" x14ac:dyDescent="0.3">
      <c r="A1495" t="str">
        <f>"200839B0000"</f>
        <v>200839B0000</v>
      </c>
      <c r="B1495" t="str">
        <f>"200839B00003"</f>
        <v>200839B00003</v>
      </c>
      <c r="C1495" t="str">
        <f t="shared" si="87"/>
        <v>20</v>
      </c>
      <c r="D1495" t="s">
        <v>81</v>
      </c>
      <c r="E1495" t="str">
        <f t="shared" si="88"/>
        <v>127</v>
      </c>
      <c r="F1495" t="s">
        <v>1632</v>
      </c>
      <c r="G1495" t="str">
        <f>"0839"</f>
        <v>0839</v>
      </c>
      <c r="H1495" t="str">
        <f>"0000"</f>
        <v>0000</v>
      </c>
      <c r="I1495" t="s">
        <v>83</v>
      </c>
      <c r="J1495">
        <v>0</v>
      </c>
      <c r="K1495">
        <v>1</v>
      </c>
      <c r="L1495">
        <v>3</v>
      </c>
      <c r="M1495">
        <v>177</v>
      </c>
      <c r="N1495">
        <v>410</v>
      </c>
      <c r="O1495">
        <v>2</v>
      </c>
      <c r="P1495">
        <v>410</v>
      </c>
      <c r="Q1495">
        <v>0</v>
      </c>
      <c r="R1495">
        <v>125</v>
      </c>
      <c r="S1495">
        <v>21</v>
      </c>
      <c r="T1495">
        <v>1</v>
      </c>
      <c r="U1495">
        <v>4</v>
      </c>
      <c r="V1495">
        <v>2</v>
      </c>
      <c r="W1495">
        <v>1</v>
      </c>
      <c r="X1495">
        <v>32</v>
      </c>
      <c r="Y1495">
        <v>1</v>
      </c>
      <c r="Z1495">
        <v>3</v>
      </c>
      <c r="AA1495">
        <v>139</v>
      </c>
      <c r="AB1495">
        <v>66</v>
      </c>
      <c r="AF1495">
        <v>1</v>
      </c>
      <c r="AG1495">
        <v>0</v>
      </c>
      <c r="AH1495">
        <v>0</v>
      </c>
      <c r="AI1495">
        <v>1</v>
      </c>
      <c r="AU1495">
        <v>0</v>
      </c>
      <c r="AW1495">
        <v>0</v>
      </c>
      <c r="AX1495">
        <v>13</v>
      </c>
      <c r="AY1495">
        <v>410</v>
      </c>
      <c r="AZ1495">
        <v>410</v>
      </c>
      <c r="BA1495">
        <v>543</v>
      </c>
      <c r="BB1495">
        <v>44</v>
      </c>
      <c r="BD1495">
        <v>1</v>
      </c>
      <c r="BF1495" t="s">
        <v>1636</v>
      </c>
      <c r="BG1495" s="1">
        <v>44353.945879629631</v>
      </c>
      <c r="BH1495" s="1">
        <v>44353.948275462964</v>
      </c>
      <c r="BI1495" s="1">
        <v>44353.948819444442</v>
      </c>
      <c r="BJ1495" t="s">
        <v>197</v>
      </c>
      <c r="BK1495" t="s">
        <v>198</v>
      </c>
      <c r="BL1495" t="s">
        <v>87</v>
      </c>
    </row>
    <row r="1496" spans="1:64" x14ac:dyDescent="0.3">
      <c r="A1496" t="str">
        <f>"200839C0100"</f>
        <v>200839C0100</v>
      </c>
      <c r="B1496" t="str">
        <f>"200839C01003"</f>
        <v>200839C01003</v>
      </c>
      <c r="C1496" t="str">
        <f t="shared" si="87"/>
        <v>20</v>
      </c>
      <c r="D1496" t="s">
        <v>81</v>
      </c>
      <c r="E1496" t="str">
        <f t="shared" si="88"/>
        <v>127</v>
      </c>
      <c r="F1496" t="s">
        <v>1632</v>
      </c>
      <c r="G1496" t="str">
        <f>"0839"</f>
        <v>0839</v>
      </c>
      <c r="H1496" t="str">
        <f>"0001"</f>
        <v>0001</v>
      </c>
      <c r="I1496" t="s">
        <v>89</v>
      </c>
      <c r="J1496">
        <v>0</v>
      </c>
      <c r="K1496">
        <v>1</v>
      </c>
      <c r="L1496">
        <v>3</v>
      </c>
      <c r="M1496">
        <v>404</v>
      </c>
      <c r="N1496">
        <v>405</v>
      </c>
      <c r="O1496">
        <v>1</v>
      </c>
      <c r="P1496">
        <v>0</v>
      </c>
      <c r="Q1496">
        <v>0</v>
      </c>
      <c r="R1496">
        <v>127</v>
      </c>
      <c r="S1496">
        <v>19</v>
      </c>
      <c r="T1496">
        <v>2</v>
      </c>
      <c r="U1496">
        <v>4</v>
      </c>
      <c r="V1496">
        <v>5</v>
      </c>
      <c r="W1496">
        <v>0</v>
      </c>
      <c r="X1496">
        <v>32</v>
      </c>
      <c r="Y1496">
        <v>0</v>
      </c>
      <c r="Z1496">
        <v>7</v>
      </c>
      <c r="AA1496">
        <v>109</v>
      </c>
      <c r="AB1496">
        <v>86</v>
      </c>
      <c r="AF1496">
        <v>0</v>
      </c>
      <c r="AG1496">
        <v>0</v>
      </c>
      <c r="AH1496">
        <v>0</v>
      </c>
      <c r="AI1496">
        <v>0</v>
      </c>
      <c r="AU1496">
        <v>0</v>
      </c>
      <c r="AW1496">
        <v>0</v>
      </c>
      <c r="AX1496">
        <v>14</v>
      </c>
      <c r="AY1496">
        <v>405</v>
      </c>
      <c r="AZ1496">
        <v>405</v>
      </c>
      <c r="BA1496">
        <v>543</v>
      </c>
      <c r="BB1496">
        <v>44</v>
      </c>
      <c r="BD1496">
        <v>1</v>
      </c>
      <c r="BF1496" t="s">
        <v>1637</v>
      </c>
      <c r="BG1496" s="1">
        <v>44353.962488425925</v>
      </c>
      <c r="BH1496" s="1">
        <v>44353.964814814812</v>
      </c>
      <c r="BI1496" s="1">
        <v>44353.965381944443</v>
      </c>
      <c r="BJ1496" t="s">
        <v>197</v>
      </c>
      <c r="BK1496" t="s">
        <v>198</v>
      </c>
      <c r="BL1496" t="s">
        <v>87</v>
      </c>
    </row>
    <row r="1497" spans="1:64" x14ac:dyDescent="0.3">
      <c r="A1497" t="str">
        <f>"200840B0000"</f>
        <v>200840B0000</v>
      </c>
      <c r="B1497" t="str">
        <f>"200840B00003"</f>
        <v>200840B00003</v>
      </c>
      <c r="C1497" t="str">
        <f t="shared" si="87"/>
        <v>20</v>
      </c>
      <c r="D1497" t="s">
        <v>81</v>
      </c>
      <c r="E1497" t="str">
        <f t="shared" si="88"/>
        <v>127</v>
      </c>
      <c r="F1497" t="s">
        <v>1632</v>
      </c>
      <c r="G1497" t="str">
        <f>"0840"</f>
        <v>0840</v>
      </c>
      <c r="H1497" t="str">
        <f>"0000"</f>
        <v>0000</v>
      </c>
      <c r="I1497" t="s">
        <v>83</v>
      </c>
      <c r="J1497">
        <v>0</v>
      </c>
      <c r="K1497">
        <v>1</v>
      </c>
      <c r="L1497">
        <v>3</v>
      </c>
      <c r="BA1497">
        <v>698</v>
      </c>
      <c r="BB1497">
        <v>44</v>
      </c>
      <c r="BC1497" t="s">
        <v>161</v>
      </c>
      <c r="BD1497">
        <v>0</v>
      </c>
      <c r="BF1497" t="s">
        <v>1638</v>
      </c>
      <c r="BG1497" s="1">
        <v>44354.15347222222</v>
      </c>
      <c r="BH1497" s="1">
        <v>44354.655231481483</v>
      </c>
      <c r="BI1497" s="1">
        <v>44354.655231481483</v>
      </c>
      <c r="BJ1497" t="s">
        <v>85</v>
      </c>
      <c r="BK1497" t="s">
        <v>86</v>
      </c>
      <c r="BL1497" t="s">
        <v>87</v>
      </c>
    </row>
    <row r="1498" spans="1:64" x14ac:dyDescent="0.3">
      <c r="A1498" t="str">
        <f>"200840C0100"</f>
        <v>200840C0100</v>
      </c>
      <c r="B1498" t="str">
        <f>"200840C01003"</f>
        <v>200840C01003</v>
      </c>
      <c r="C1498" t="str">
        <f t="shared" si="87"/>
        <v>20</v>
      </c>
      <c r="D1498" t="s">
        <v>81</v>
      </c>
      <c r="E1498" t="str">
        <f t="shared" si="88"/>
        <v>127</v>
      </c>
      <c r="F1498" t="s">
        <v>1632</v>
      </c>
      <c r="G1498" t="str">
        <f>"0840"</f>
        <v>0840</v>
      </c>
      <c r="H1498" t="str">
        <f>"0001"</f>
        <v>0001</v>
      </c>
      <c r="I1498" t="s">
        <v>89</v>
      </c>
      <c r="J1498">
        <v>0</v>
      </c>
      <c r="K1498">
        <v>1</v>
      </c>
      <c r="L1498">
        <v>3</v>
      </c>
      <c r="BA1498">
        <v>698</v>
      </c>
      <c r="BB1498">
        <v>44</v>
      </c>
      <c r="BC1498" t="s">
        <v>161</v>
      </c>
      <c r="BD1498">
        <v>0</v>
      </c>
      <c r="BF1498" t="s">
        <v>1639</v>
      </c>
      <c r="BG1498" s="1">
        <v>44354.665277777778</v>
      </c>
      <c r="BH1498" s="1">
        <v>44354.666678240741</v>
      </c>
      <c r="BI1498" s="1">
        <v>44354.666678240741</v>
      </c>
      <c r="BJ1498" t="s">
        <v>85</v>
      </c>
      <c r="BK1498" t="s">
        <v>86</v>
      </c>
      <c r="BL1498" t="s">
        <v>87</v>
      </c>
    </row>
    <row r="1499" spans="1:64" x14ac:dyDescent="0.3">
      <c r="A1499" t="str">
        <f>"200851B0000"</f>
        <v>200851B0000</v>
      </c>
      <c r="B1499" t="str">
        <f>"200851B00003"</f>
        <v>200851B00003</v>
      </c>
      <c r="C1499" t="str">
        <f t="shared" si="87"/>
        <v>20</v>
      </c>
      <c r="D1499" t="s">
        <v>81</v>
      </c>
      <c r="E1499" t="str">
        <f t="shared" ref="E1499:E1534" si="89">"131"</f>
        <v>131</v>
      </c>
      <c r="F1499" t="s">
        <v>1640</v>
      </c>
      <c r="G1499" t="str">
        <f>"0851"</f>
        <v>0851</v>
      </c>
      <c r="H1499" t="str">
        <f>"0000"</f>
        <v>0000</v>
      </c>
      <c r="I1499" t="s">
        <v>83</v>
      </c>
      <c r="J1499">
        <v>0</v>
      </c>
      <c r="K1499">
        <v>1</v>
      </c>
      <c r="L1499">
        <v>3</v>
      </c>
      <c r="M1499">
        <v>121</v>
      </c>
      <c r="N1499">
        <v>484</v>
      </c>
      <c r="O1499">
        <v>2</v>
      </c>
      <c r="P1499">
        <v>484</v>
      </c>
      <c r="Q1499">
        <v>1</v>
      </c>
      <c r="R1499">
        <v>132</v>
      </c>
      <c r="S1499">
        <v>2</v>
      </c>
      <c r="T1499">
        <v>133</v>
      </c>
      <c r="U1499">
        <v>0</v>
      </c>
      <c r="V1499">
        <v>1</v>
      </c>
      <c r="W1499">
        <v>2</v>
      </c>
      <c r="X1499">
        <v>182</v>
      </c>
      <c r="Y1499">
        <v>6</v>
      </c>
      <c r="Z1499">
        <v>1</v>
      </c>
      <c r="AA1499">
        <v>12</v>
      </c>
      <c r="AB1499">
        <v>1</v>
      </c>
      <c r="AW1499">
        <v>0</v>
      </c>
      <c r="AX1499">
        <v>11</v>
      </c>
      <c r="AY1499">
        <v>484</v>
      </c>
      <c r="AZ1499">
        <v>484</v>
      </c>
      <c r="BA1499">
        <v>561</v>
      </c>
      <c r="BB1499">
        <v>44</v>
      </c>
      <c r="BD1499">
        <v>1</v>
      </c>
      <c r="BF1499" t="s">
        <v>1641</v>
      </c>
      <c r="BG1499" s="1">
        <v>44354.12777777778</v>
      </c>
      <c r="BH1499" s="1">
        <v>44354.129942129628</v>
      </c>
      <c r="BI1499" s="1">
        <v>44354.13040509259</v>
      </c>
      <c r="BJ1499" t="s">
        <v>85</v>
      </c>
      <c r="BK1499" t="s">
        <v>86</v>
      </c>
      <c r="BL1499" t="s">
        <v>87</v>
      </c>
    </row>
    <row r="1500" spans="1:64" x14ac:dyDescent="0.3">
      <c r="A1500" t="str">
        <f>"200851C0100"</f>
        <v>200851C0100</v>
      </c>
      <c r="B1500" t="str">
        <f>"200851C01003"</f>
        <v>200851C01003</v>
      </c>
      <c r="C1500" t="str">
        <f t="shared" si="87"/>
        <v>20</v>
      </c>
      <c r="D1500" t="s">
        <v>81</v>
      </c>
      <c r="E1500" t="str">
        <f t="shared" si="89"/>
        <v>131</v>
      </c>
      <c r="F1500" t="s">
        <v>1640</v>
      </c>
      <c r="G1500" t="str">
        <f>"0851"</f>
        <v>0851</v>
      </c>
      <c r="H1500" t="str">
        <f>"0001"</f>
        <v>0001</v>
      </c>
      <c r="I1500" t="s">
        <v>89</v>
      </c>
      <c r="J1500">
        <v>0</v>
      </c>
      <c r="K1500">
        <v>1</v>
      </c>
      <c r="L1500">
        <v>3</v>
      </c>
      <c r="M1500">
        <v>125</v>
      </c>
      <c r="N1500">
        <v>480</v>
      </c>
      <c r="O1500">
        <v>3</v>
      </c>
      <c r="P1500">
        <v>479</v>
      </c>
      <c r="Q1500">
        <v>1</v>
      </c>
      <c r="R1500">
        <v>132</v>
      </c>
      <c r="S1500">
        <v>8</v>
      </c>
      <c r="T1500">
        <v>138</v>
      </c>
      <c r="U1500">
        <v>0</v>
      </c>
      <c r="V1500">
        <v>1</v>
      </c>
      <c r="W1500">
        <v>3</v>
      </c>
      <c r="X1500">
        <v>163</v>
      </c>
      <c r="Y1500">
        <v>7</v>
      </c>
      <c r="Z1500">
        <v>3</v>
      </c>
      <c r="AA1500">
        <v>17</v>
      </c>
      <c r="AB1500">
        <v>2</v>
      </c>
      <c r="AW1500">
        <v>0</v>
      </c>
      <c r="AX1500">
        <v>4</v>
      </c>
      <c r="AY1500">
        <v>479</v>
      </c>
      <c r="AZ1500">
        <v>479</v>
      </c>
      <c r="BA1500">
        <v>560</v>
      </c>
      <c r="BB1500">
        <v>44</v>
      </c>
      <c r="BD1500">
        <v>1</v>
      </c>
      <c r="BF1500" t="s">
        <v>1642</v>
      </c>
      <c r="BG1500" s="1">
        <v>44354.129861111112</v>
      </c>
      <c r="BH1500" s="1">
        <v>44354.131886574076</v>
      </c>
      <c r="BI1500" s="1">
        <v>44354.132997685185</v>
      </c>
      <c r="BJ1500" t="s">
        <v>85</v>
      </c>
      <c r="BK1500" t="s">
        <v>86</v>
      </c>
      <c r="BL1500" t="s">
        <v>87</v>
      </c>
    </row>
    <row r="1501" spans="1:64" x14ac:dyDescent="0.3">
      <c r="A1501" t="str">
        <f>"200851C0200"</f>
        <v>200851C0200</v>
      </c>
      <c r="B1501" t="str">
        <f>"200851C02003"</f>
        <v>200851C02003</v>
      </c>
      <c r="C1501" t="str">
        <f t="shared" si="87"/>
        <v>20</v>
      </c>
      <c r="D1501" t="s">
        <v>81</v>
      </c>
      <c r="E1501" t="str">
        <f t="shared" si="89"/>
        <v>131</v>
      </c>
      <c r="F1501" t="s">
        <v>1640</v>
      </c>
      <c r="G1501" t="str">
        <f>"0851"</f>
        <v>0851</v>
      </c>
      <c r="H1501" t="str">
        <f>"0002"</f>
        <v>0002</v>
      </c>
      <c r="I1501" t="s">
        <v>89</v>
      </c>
      <c r="J1501">
        <v>0</v>
      </c>
      <c r="K1501">
        <v>1</v>
      </c>
      <c r="L1501">
        <v>3</v>
      </c>
      <c r="M1501">
        <v>136</v>
      </c>
      <c r="N1501">
        <v>468</v>
      </c>
      <c r="O1501">
        <v>2</v>
      </c>
      <c r="P1501">
        <v>468</v>
      </c>
      <c r="Q1501">
        <v>1</v>
      </c>
      <c r="R1501">
        <v>132</v>
      </c>
      <c r="S1501">
        <v>1</v>
      </c>
      <c r="T1501">
        <v>153</v>
      </c>
      <c r="U1501">
        <v>1</v>
      </c>
      <c r="V1501">
        <v>1</v>
      </c>
      <c r="W1501">
        <v>0</v>
      </c>
      <c r="X1501">
        <v>151</v>
      </c>
      <c r="Y1501">
        <v>10</v>
      </c>
      <c r="Z1501">
        <v>2</v>
      </c>
      <c r="AA1501">
        <v>13</v>
      </c>
      <c r="AB1501">
        <v>1</v>
      </c>
      <c r="AW1501">
        <v>0</v>
      </c>
      <c r="AX1501">
        <v>2</v>
      </c>
      <c r="AY1501">
        <v>468</v>
      </c>
      <c r="AZ1501">
        <v>468</v>
      </c>
      <c r="BA1501">
        <v>560</v>
      </c>
      <c r="BB1501">
        <v>44</v>
      </c>
      <c r="BD1501">
        <v>1</v>
      </c>
      <c r="BF1501" t="s">
        <v>1643</v>
      </c>
      <c r="BG1501" s="1">
        <v>44354.132638888892</v>
      </c>
      <c r="BH1501" s="1">
        <v>44354.13484953704</v>
      </c>
      <c r="BI1501" s="1">
        <v>44354.13548611111</v>
      </c>
      <c r="BJ1501" t="s">
        <v>85</v>
      </c>
      <c r="BK1501" t="s">
        <v>86</v>
      </c>
      <c r="BL1501" t="s">
        <v>87</v>
      </c>
    </row>
    <row r="1502" spans="1:64" x14ac:dyDescent="0.3">
      <c r="A1502" t="str">
        <f>"200852B0000"</f>
        <v>200852B0000</v>
      </c>
      <c r="B1502" t="str">
        <f>"200852B00003"</f>
        <v>200852B00003</v>
      </c>
      <c r="C1502" t="str">
        <f t="shared" si="87"/>
        <v>20</v>
      </c>
      <c r="D1502" t="s">
        <v>81</v>
      </c>
      <c r="E1502" t="str">
        <f t="shared" si="89"/>
        <v>131</v>
      </c>
      <c r="F1502" t="s">
        <v>1640</v>
      </c>
      <c r="G1502" t="str">
        <f>"0852"</f>
        <v>0852</v>
      </c>
      <c r="H1502" t="str">
        <f>"0000"</f>
        <v>0000</v>
      </c>
      <c r="I1502" t="s">
        <v>83</v>
      </c>
      <c r="J1502">
        <v>0</v>
      </c>
      <c r="K1502">
        <v>1</v>
      </c>
      <c r="L1502">
        <v>3</v>
      </c>
      <c r="M1502">
        <v>146</v>
      </c>
      <c r="N1502">
        <v>563</v>
      </c>
      <c r="O1502">
        <v>7</v>
      </c>
      <c r="P1502">
        <v>562</v>
      </c>
      <c r="Q1502">
        <v>0</v>
      </c>
      <c r="R1502">
        <v>123</v>
      </c>
      <c r="S1502">
        <v>0</v>
      </c>
      <c r="T1502">
        <v>166</v>
      </c>
      <c r="U1502">
        <v>1</v>
      </c>
      <c r="V1502">
        <v>3</v>
      </c>
      <c r="W1502">
        <v>20</v>
      </c>
      <c r="X1502">
        <v>228</v>
      </c>
      <c r="Y1502">
        <v>4</v>
      </c>
      <c r="Z1502">
        <v>1</v>
      </c>
      <c r="AA1502">
        <v>9</v>
      </c>
      <c r="AB1502">
        <v>0</v>
      </c>
      <c r="AW1502">
        <v>0</v>
      </c>
      <c r="AX1502">
        <v>7</v>
      </c>
      <c r="AY1502">
        <v>562</v>
      </c>
      <c r="AZ1502">
        <v>562</v>
      </c>
      <c r="BA1502">
        <v>665</v>
      </c>
      <c r="BB1502">
        <v>44</v>
      </c>
      <c r="BD1502">
        <v>1</v>
      </c>
      <c r="BF1502" s="2" t="s">
        <v>1644</v>
      </c>
      <c r="BG1502" s="1">
        <v>44354.020138888889</v>
      </c>
      <c r="BH1502" s="1">
        <v>44354.029930555553</v>
      </c>
      <c r="BI1502" s="1">
        <v>44354.030775462961</v>
      </c>
      <c r="BJ1502" t="s">
        <v>85</v>
      </c>
      <c r="BK1502" t="s">
        <v>86</v>
      </c>
      <c r="BL1502" t="s">
        <v>87</v>
      </c>
    </row>
    <row r="1503" spans="1:64" x14ac:dyDescent="0.3">
      <c r="A1503" t="str">
        <f>"200852C0100"</f>
        <v>200852C0100</v>
      </c>
      <c r="B1503" t="str">
        <f>"200852C01003"</f>
        <v>200852C01003</v>
      </c>
      <c r="C1503" t="str">
        <f t="shared" si="87"/>
        <v>20</v>
      </c>
      <c r="D1503" t="s">
        <v>81</v>
      </c>
      <c r="E1503" t="str">
        <f t="shared" si="89"/>
        <v>131</v>
      </c>
      <c r="F1503" t="s">
        <v>1640</v>
      </c>
      <c r="G1503" t="str">
        <f>"0852"</f>
        <v>0852</v>
      </c>
      <c r="H1503" t="str">
        <f>"0001"</f>
        <v>0001</v>
      </c>
      <c r="I1503" t="s">
        <v>89</v>
      </c>
      <c r="J1503">
        <v>0</v>
      </c>
      <c r="K1503">
        <v>1</v>
      </c>
      <c r="L1503">
        <v>3</v>
      </c>
      <c r="M1503">
        <v>168</v>
      </c>
      <c r="N1503">
        <v>540</v>
      </c>
      <c r="O1503">
        <v>6</v>
      </c>
      <c r="P1503">
        <v>540</v>
      </c>
      <c r="Q1503">
        <v>2</v>
      </c>
      <c r="R1503">
        <v>123</v>
      </c>
      <c r="S1503">
        <v>1</v>
      </c>
      <c r="T1503">
        <v>177</v>
      </c>
      <c r="U1503">
        <v>1</v>
      </c>
      <c r="V1503">
        <v>3</v>
      </c>
      <c r="W1503">
        <v>6</v>
      </c>
      <c r="X1503">
        <v>206</v>
      </c>
      <c r="Y1503">
        <v>7</v>
      </c>
      <c r="Z1503">
        <v>1</v>
      </c>
      <c r="AA1503">
        <v>7</v>
      </c>
      <c r="AB1503">
        <v>2</v>
      </c>
      <c r="AW1503">
        <v>0</v>
      </c>
      <c r="AX1503">
        <v>4</v>
      </c>
      <c r="AY1503">
        <v>540</v>
      </c>
      <c r="AZ1503">
        <v>540</v>
      </c>
      <c r="BA1503">
        <v>664</v>
      </c>
      <c r="BB1503">
        <v>44</v>
      </c>
      <c r="BD1503">
        <v>1</v>
      </c>
      <c r="BF1503" t="s">
        <v>1645</v>
      </c>
      <c r="BG1503" s="1">
        <v>44354.018055555556</v>
      </c>
      <c r="BH1503" s="1">
        <v>44354.026504629626</v>
      </c>
      <c r="BI1503" s="1">
        <v>44354.026898148149</v>
      </c>
      <c r="BJ1503" t="s">
        <v>85</v>
      </c>
      <c r="BK1503" t="s">
        <v>86</v>
      </c>
      <c r="BL1503" t="s">
        <v>87</v>
      </c>
    </row>
    <row r="1504" spans="1:64" x14ac:dyDescent="0.3">
      <c r="A1504" t="str">
        <f>"200853B0000"</f>
        <v>200853B0000</v>
      </c>
      <c r="B1504" t="str">
        <f>"200853B00003"</f>
        <v>200853B00003</v>
      </c>
      <c r="C1504" t="str">
        <f t="shared" si="87"/>
        <v>20</v>
      </c>
      <c r="D1504" t="s">
        <v>81</v>
      </c>
      <c r="E1504" t="str">
        <f t="shared" si="89"/>
        <v>131</v>
      </c>
      <c r="F1504" t="s">
        <v>1640</v>
      </c>
      <c r="G1504" t="str">
        <f>"0853"</f>
        <v>0853</v>
      </c>
      <c r="H1504" t="str">
        <f>"0000"</f>
        <v>0000</v>
      </c>
      <c r="I1504" t="s">
        <v>83</v>
      </c>
      <c r="J1504">
        <v>0</v>
      </c>
      <c r="K1504">
        <v>1</v>
      </c>
      <c r="L1504">
        <v>3</v>
      </c>
      <c r="M1504">
        <v>149</v>
      </c>
      <c r="N1504">
        <v>517</v>
      </c>
      <c r="O1504">
        <v>0</v>
      </c>
      <c r="P1504">
        <v>517</v>
      </c>
      <c r="Q1504">
        <v>1</v>
      </c>
      <c r="R1504">
        <v>123</v>
      </c>
      <c r="S1504">
        <v>3</v>
      </c>
      <c r="T1504">
        <v>114</v>
      </c>
      <c r="U1504">
        <v>2</v>
      </c>
      <c r="V1504">
        <v>1</v>
      </c>
      <c r="W1504">
        <v>22</v>
      </c>
      <c r="X1504">
        <v>227</v>
      </c>
      <c r="Y1504">
        <v>10</v>
      </c>
      <c r="Z1504">
        <v>1</v>
      </c>
      <c r="AA1504">
        <v>5</v>
      </c>
      <c r="AB1504">
        <v>0</v>
      </c>
      <c r="AW1504" t="s">
        <v>95</v>
      </c>
      <c r="AX1504">
        <v>8</v>
      </c>
      <c r="AY1504">
        <v>517</v>
      </c>
      <c r="AZ1504">
        <v>517</v>
      </c>
      <c r="BA1504">
        <v>622</v>
      </c>
      <c r="BB1504">
        <v>44</v>
      </c>
      <c r="BC1504" t="s">
        <v>96</v>
      </c>
      <c r="BD1504">
        <v>1</v>
      </c>
      <c r="BF1504" t="s">
        <v>1646</v>
      </c>
      <c r="BG1504" s="1">
        <v>44354.015972222223</v>
      </c>
      <c r="BH1504" s="1">
        <v>44354.025520833333</v>
      </c>
      <c r="BI1504" s="1">
        <v>44354.025972222225</v>
      </c>
      <c r="BJ1504" t="s">
        <v>85</v>
      </c>
      <c r="BK1504" t="s">
        <v>86</v>
      </c>
      <c r="BL1504" t="s">
        <v>87</v>
      </c>
    </row>
    <row r="1505" spans="1:64" x14ac:dyDescent="0.3">
      <c r="A1505" t="str">
        <f>"200853C0100"</f>
        <v>200853C0100</v>
      </c>
      <c r="B1505" t="str">
        <f>"200853C01003"</f>
        <v>200853C01003</v>
      </c>
      <c r="C1505" t="str">
        <f t="shared" si="87"/>
        <v>20</v>
      </c>
      <c r="D1505" t="s">
        <v>81</v>
      </c>
      <c r="E1505" t="str">
        <f t="shared" si="89"/>
        <v>131</v>
      </c>
      <c r="F1505" t="s">
        <v>1640</v>
      </c>
      <c r="G1505" t="str">
        <f>"0853"</f>
        <v>0853</v>
      </c>
      <c r="H1505" t="str">
        <f>"0001"</f>
        <v>0001</v>
      </c>
      <c r="I1505" t="s">
        <v>89</v>
      </c>
      <c r="J1505">
        <v>0</v>
      </c>
      <c r="K1505">
        <v>1</v>
      </c>
      <c r="L1505">
        <v>3</v>
      </c>
      <c r="M1505">
        <v>147</v>
      </c>
      <c r="N1505">
        <v>519</v>
      </c>
      <c r="O1505">
        <v>0</v>
      </c>
      <c r="P1505">
        <v>519</v>
      </c>
      <c r="Q1505">
        <v>0</v>
      </c>
      <c r="R1505">
        <v>145</v>
      </c>
      <c r="S1505">
        <v>1</v>
      </c>
      <c r="T1505">
        <v>107</v>
      </c>
      <c r="U1505">
        <v>1</v>
      </c>
      <c r="V1505">
        <v>4</v>
      </c>
      <c r="W1505">
        <v>11</v>
      </c>
      <c r="X1505">
        <v>213</v>
      </c>
      <c r="Y1505">
        <v>18</v>
      </c>
      <c r="Z1505">
        <v>1</v>
      </c>
      <c r="AA1505">
        <v>4</v>
      </c>
      <c r="AB1505">
        <v>0</v>
      </c>
      <c r="AW1505">
        <v>0</v>
      </c>
      <c r="AX1505">
        <v>14</v>
      </c>
      <c r="AY1505">
        <v>519</v>
      </c>
      <c r="AZ1505">
        <v>519</v>
      </c>
      <c r="BA1505">
        <v>622</v>
      </c>
      <c r="BB1505">
        <v>44</v>
      </c>
      <c r="BD1505">
        <v>1</v>
      </c>
      <c r="BF1505" t="s">
        <v>1647</v>
      </c>
      <c r="BG1505" s="1">
        <v>44354.01458333333</v>
      </c>
      <c r="BH1505" s="1">
        <v>44354.023032407407</v>
      </c>
      <c r="BI1505" s="1">
        <v>44354.023622685185</v>
      </c>
      <c r="BJ1505" t="s">
        <v>85</v>
      </c>
      <c r="BK1505" t="s">
        <v>86</v>
      </c>
      <c r="BL1505" t="s">
        <v>87</v>
      </c>
    </row>
    <row r="1506" spans="1:64" x14ac:dyDescent="0.3">
      <c r="A1506" t="str">
        <f>"200853E0100"</f>
        <v>200853E0100</v>
      </c>
      <c r="B1506" t="str">
        <f>"200853E01003"</f>
        <v>200853E01003</v>
      </c>
      <c r="C1506" t="str">
        <f t="shared" si="87"/>
        <v>20</v>
      </c>
      <c r="D1506" t="s">
        <v>81</v>
      </c>
      <c r="E1506" t="str">
        <f t="shared" si="89"/>
        <v>131</v>
      </c>
      <c r="F1506" t="s">
        <v>1640</v>
      </c>
      <c r="G1506" t="str">
        <f>"0853"</f>
        <v>0853</v>
      </c>
      <c r="H1506" t="str">
        <f>"0001"</f>
        <v>0001</v>
      </c>
      <c r="I1506" t="s">
        <v>122</v>
      </c>
      <c r="J1506">
        <v>0</v>
      </c>
      <c r="K1506">
        <v>1</v>
      </c>
      <c r="L1506">
        <v>3</v>
      </c>
      <c r="M1506">
        <v>104</v>
      </c>
      <c r="N1506">
        <v>319</v>
      </c>
      <c r="O1506">
        <v>0</v>
      </c>
      <c r="P1506">
        <v>319</v>
      </c>
      <c r="Q1506">
        <v>2</v>
      </c>
      <c r="R1506">
        <v>76</v>
      </c>
      <c r="S1506">
        <v>0</v>
      </c>
      <c r="T1506">
        <v>111</v>
      </c>
      <c r="U1506">
        <v>0</v>
      </c>
      <c r="V1506">
        <v>0</v>
      </c>
      <c r="W1506">
        <v>7</v>
      </c>
      <c r="X1506">
        <v>104</v>
      </c>
      <c r="Y1506">
        <v>6</v>
      </c>
      <c r="Z1506">
        <v>1</v>
      </c>
      <c r="AA1506">
        <v>9</v>
      </c>
      <c r="AB1506">
        <v>0</v>
      </c>
      <c r="AW1506">
        <v>0</v>
      </c>
      <c r="AX1506">
        <v>3</v>
      </c>
      <c r="AY1506">
        <v>319</v>
      </c>
      <c r="AZ1506">
        <v>319</v>
      </c>
      <c r="BA1506">
        <v>379</v>
      </c>
      <c r="BB1506">
        <v>44</v>
      </c>
      <c r="BD1506">
        <v>1</v>
      </c>
      <c r="BF1506" t="s">
        <v>1648</v>
      </c>
      <c r="BG1506" s="1">
        <v>44354.023611111108</v>
      </c>
      <c r="BH1506" s="1">
        <v>44354.031504629631</v>
      </c>
      <c r="BI1506" s="1">
        <v>44354.031944444447</v>
      </c>
      <c r="BJ1506" t="s">
        <v>85</v>
      </c>
      <c r="BK1506" t="s">
        <v>86</v>
      </c>
      <c r="BL1506" t="s">
        <v>87</v>
      </c>
    </row>
    <row r="1507" spans="1:64" x14ac:dyDescent="0.3">
      <c r="A1507" t="str">
        <f>"200853E0101"</f>
        <v>200853E0101</v>
      </c>
      <c r="B1507" t="str">
        <f>"200853E01013"</f>
        <v>200853E01013</v>
      </c>
      <c r="C1507" t="str">
        <f t="shared" si="87"/>
        <v>20</v>
      </c>
      <c r="D1507" t="s">
        <v>81</v>
      </c>
      <c r="E1507" t="str">
        <f t="shared" si="89"/>
        <v>131</v>
      </c>
      <c r="F1507" t="s">
        <v>1640</v>
      </c>
      <c r="G1507" t="str">
        <f>"0853"</f>
        <v>0853</v>
      </c>
      <c r="H1507" t="str">
        <f>"0001"</f>
        <v>0001</v>
      </c>
      <c r="I1507" t="s">
        <v>122</v>
      </c>
      <c r="J1507">
        <v>1</v>
      </c>
      <c r="K1507">
        <v>1</v>
      </c>
      <c r="L1507">
        <v>3</v>
      </c>
      <c r="M1507">
        <v>86</v>
      </c>
      <c r="N1507">
        <v>338</v>
      </c>
      <c r="O1507">
        <v>1</v>
      </c>
      <c r="P1507">
        <v>337</v>
      </c>
      <c r="Q1507">
        <v>0</v>
      </c>
      <c r="R1507">
        <v>85</v>
      </c>
      <c r="S1507">
        <v>0</v>
      </c>
      <c r="T1507">
        <v>105</v>
      </c>
      <c r="U1507">
        <v>0</v>
      </c>
      <c r="V1507">
        <v>1</v>
      </c>
      <c r="W1507">
        <v>17</v>
      </c>
      <c r="X1507">
        <v>104</v>
      </c>
      <c r="Y1507">
        <v>13</v>
      </c>
      <c r="Z1507">
        <v>0</v>
      </c>
      <c r="AA1507">
        <v>6</v>
      </c>
      <c r="AB1507">
        <v>0</v>
      </c>
      <c r="AW1507">
        <v>0</v>
      </c>
      <c r="AX1507">
        <v>6</v>
      </c>
      <c r="AY1507">
        <v>337</v>
      </c>
      <c r="AZ1507">
        <v>337</v>
      </c>
      <c r="BA1507">
        <v>379</v>
      </c>
      <c r="BB1507">
        <v>44</v>
      </c>
      <c r="BD1507">
        <v>1</v>
      </c>
      <c r="BF1507" t="s">
        <v>1649</v>
      </c>
      <c r="BG1507" s="1">
        <v>44353.989583333336</v>
      </c>
      <c r="BH1507" s="1">
        <v>44353.999027777776</v>
      </c>
      <c r="BI1507" s="1">
        <v>44353.999247685184</v>
      </c>
      <c r="BJ1507" t="s">
        <v>85</v>
      </c>
      <c r="BK1507" t="s">
        <v>86</v>
      </c>
      <c r="BL1507" t="s">
        <v>87</v>
      </c>
    </row>
    <row r="1508" spans="1:64" x14ac:dyDescent="0.3">
      <c r="A1508" t="str">
        <f>"200854B0000"</f>
        <v>200854B0000</v>
      </c>
      <c r="B1508" t="str">
        <f>"200854B00003"</f>
        <v>200854B00003</v>
      </c>
      <c r="C1508" t="str">
        <f t="shared" si="87"/>
        <v>20</v>
      </c>
      <c r="D1508" t="s">
        <v>81</v>
      </c>
      <c r="E1508" t="str">
        <f t="shared" si="89"/>
        <v>131</v>
      </c>
      <c r="F1508" t="s">
        <v>1640</v>
      </c>
      <c r="G1508" t="str">
        <f>"0854"</f>
        <v>0854</v>
      </c>
      <c r="H1508" t="str">
        <f>"0000"</f>
        <v>0000</v>
      </c>
      <c r="I1508" t="s">
        <v>83</v>
      </c>
      <c r="J1508">
        <v>0</v>
      </c>
      <c r="K1508">
        <v>1</v>
      </c>
      <c r="L1508">
        <v>3</v>
      </c>
      <c r="M1508">
        <v>161</v>
      </c>
      <c r="N1508">
        <v>595</v>
      </c>
      <c r="O1508">
        <v>1</v>
      </c>
      <c r="P1508">
        <v>595</v>
      </c>
      <c r="Q1508">
        <v>131</v>
      </c>
      <c r="R1508" t="s">
        <v>95</v>
      </c>
      <c r="S1508" t="s">
        <v>95</v>
      </c>
      <c r="T1508">
        <v>157</v>
      </c>
      <c r="U1508">
        <v>1</v>
      </c>
      <c r="V1508">
        <v>4</v>
      </c>
      <c r="W1508">
        <v>11</v>
      </c>
      <c r="X1508">
        <v>246</v>
      </c>
      <c r="Y1508">
        <v>18</v>
      </c>
      <c r="Z1508">
        <v>1</v>
      </c>
      <c r="AA1508">
        <v>18</v>
      </c>
      <c r="AB1508">
        <v>2</v>
      </c>
      <c r="AW1508" t="s">
        <v>95</v>
      </c>
      <c r="AX1508">
        <v>6</v>
      </c>
      <c r="AY1508" t="s">
        <v>95</v>
      </c>
      <c r="AZ1508">
        <v>595</v>
      </c>
      <c r="BA1508">
        <v>712</v>
      </c>
      <c r="BB1508">
        <v>44</v>
      </c>
      <c r="BC1508" t="s">
        <v>96</v>
      </c>
      <c r="BD1508">
        <v>1</v>
      </c>
      <c r="BF1508" t="s">
        <v>1650</v>
      </c>
      <c r="BG1508" s="1">
        <v>44354.091666666667</v>
      </c>
      <c r="BH1508" s="1">
        <v>44354.097754629627</v>
      </c>
      <c r="BI1508" s="1">
        <v>44354.098333333335</v>
      </c>
      <c r="BJ1508" t="s">
        <v>85</v>
      </c>
      <c r="BK1508" t="s">
        <v>86</v>
      </c>
      <c r="BL1508" t="s">
        <v>87</v>
      </c>
    </row>
    <row r="1509" spans="1:64" x14ac:dyDescent="0.3">
      <c r="A1509" t="str">
        <f>"200854C0100"</f>
        <v>200854C0100</v>
      </c>
      <c r="B1509" t="str">
        <f>"200854C01003"</f>
        <v>200854C01003</v>
      </c>
      <c r="C1509" t="str">
        <f t="shared" si="87"/>
        <v>20</v>
      </c>
      <c r="D1509" t="s">
        <v>81</v>
      </c>
      <c r="E1509" t="str">
        <f t="shared" si="89"/>
        <v>131</v>
      </c>
      <c r="F1509" t="s">
        <v>1640</v>
      </c>
      <c r="G1509" t="str">
        <f>"0854"</f>
        <v>0854</v>
      </c>
      <c r="H1509" t="str">
        <f>"0001"</f>
        <v>0001</v>
      </c>
      <c r="I1509" t="s">
        <v>89</v>
      </c>
      <c r="J1509">
        <v>0</v>
      </c>
      <c r="K1509">
        <v>1</v>
      </c>
      <c r="L1509">
        <v>3</v>
      </c>
      <c r="M1509">
        <v>164</v>
      </c>
      <c r="N1509">
        <v>592</v>
      </c>
      <c r="O1509">
        <v>9</v>
      </c>
      <c r="P1509">
        <v>592</v>
      </c>
      <c r="Q1509">
        <v>3</v>
      </c>
      <c r="R1509">
        <v>117</v>
      </c>
      <c r="S1509">
        <v>1</v>
      </c>
      <c r="T1509">
        <v>126</v>
      </c>
      <c r="U1509">
        <v>2</v>
      </c>
      <c r="V1509">
        <v>6</v>
      </c>
      <c r="W1509">
        <v>23</v>
      </c>
      <c r="X1509">
        <v>277</v>
      </c>
      <c r="Y1509">
        <v>8</v>
      </c>
      <c r="Z1509">
        <v>0</v>
      </c>
      <c r="AA1509">
        <v>19</v>
      </c>
      <c r="AB1509">
        <v>0</v>
      </c>
      <c r="AW1509" t="s">
        <v>95</v>
      </c>
      <c r="AX1509">
        <v>10</v>
      </c>
      <c r="AY1509">
        <v>592</v>
      </c>
      <c r="AZ1509">
        <v>592</v>
      </c>
      <c r="BA1509">
        <v>712</v>
      </c>
      <c r="BB1509">
        <v>44</v>
      </c>
      <c r="BC1509" t="s">
        <v>96</v>
      </c>
      <c r="BD1509">
        <v>1</v>
      </c>
      <c r="BF1509" t="s">
        <v>1651</v>
      </c>
      <c r="BG1509" s="1">
        <v>44354.09375</v>
      </c>
      <c r="BH1509" s="1">
        <v>44354.098182870373</v>
      </c>
      <c r="BI1509" s="1">
        <v>44354.098553240743</v>
      </c>
      <c r="BJ1509" t="s">
        <v>85</v>
      </c>
      <c r="BK1509" t="s">
        <v>86</v>
      </c>
      <c r="BL1509" t="s">
        <v>87</v>
      </c>
    </row>
    <row r="1510" spans="1:64" x14ac:dyDescent="0.3">
      <c r="A1510" t="str">
        <f>"200854C0200"</f>
        <v>200854C0200</v>
      </c>
      <c r="B1510" t="str">
        <f>"200854C02003"</f>
        <v>200854C02003</v>
      </c>
      <c r="C1510" t="str">
        <f t="shared" si="87"/>
        <v>20</v>
      </c>
      <c r="D1510" t="s">
        <v>81</v>
      </c>
      <c r="E1510" t="str">
        <f t="shared" si="89"/>
        <v>131</v>
      </c>
      <c r="F1510" t="s">
        <v>1640</v>
      </c>
      <c r="G1510" t="str">
        <f>"0854"</f>
        <v>0854</v>
      </c>
      <c r="H1510" t="str">
        <f>"0002"</f>
        <v>0002</v>
      </c>
      <c r="I1510" t="s">
        <v>89</v>
      </c>
      <c r="J1510">
        <v>0</v>
      </c>
      <c r="K1510">
        <v>1</v>
      </c>
      <c r="L1510">
        <v>3</v>
      </c>
      <c r="M1510">
        <v>168</v>
      </c>
      <c r="N1510">
        <v>588</v>
      </c>
      <c r="O1510">
        <v>10</v>
      </c>
      <c r="P1510">
        <v>588</v>
      </c>
      <c r="Q1510">
        <v>2</v>
      </c>
      <c r="R1510">
        <v>179</v>
      </c>
      <c r="S1510">
        <v>0</v>
      </c>
      <c r="T1510">
        <v>108</v>
      </c>
      <c r="U1510">
        <v>2</v>
      </c>
      <c r="V1510">
        <v>7</v>
      </c>
      <c r="W1510">
        <v>12</v>
      </c>
      <c r="X1510">
        <v>241</v>
      </c>
      <c r="Y1510">
        <v>16</v>
      </c>
      <c r="Z1510">
        <v>0</v>
      </c>
      <c r="AA1510">
        <v>8</v>
      </c>
      <c r="AB1510">
        <v>1</v>
      </c>
      <c r="AW1510">
        <v>0</v>
      </c>
      <c r="AX1510">
        <v>12</v>
      </c>
      <c r="AY1510">
        <v>588</v>
      </c>
      <c r="AZ1510">
        <v>588</v>
      </c>
      <c r="BA1510">
        <v>712</v>
      </c>
      <c r="BB1510">
        <v>44</v>
      </c>
      <c r="BD1510">
        <v>1</v>
      </c>
      <c r="BF1510" s="2" t="s">
        <v>1652</v>
      </c>
      <c r="BG1510" s="1">
        <v>44354.039583333331</v>
      </c>
      <c r="BH1510" s="1">
        <v>44354.051481481481</v>
      </c>
      <c r="BI1510" s="1">
        <v>44354.052349537036</v>
      </c>
      <c r="BJ1510" t="s">
        <v>85</v>
      </c>
      <c r="BK1510" t="s">
        <v>86</v>
      </c>
      <c r="BL1510" t="s">
        <v>87</v>
      </c>
    </row>
    <row r="1511" spans="1:64" x14ac:dyDescent="0.3">
      <c r="A1511" t="str">
        <f>"200854E0100"</f>
        <v>200854E0100</v>
      </c>
      <c r="B1511" t="str">
        <f>"200854E01003"</f>
        <v>200854E01003</v>
      </c>
      <c r="C1511" t="str">
        <f t="shared" si="87"/>
        <v>20</v>
      </c>
      <c r="D1511" t="s">
        <v>81</v>
      </c>
      <c r="E1511" t="str">
        <f t="shared" si="89"/>
        <v>131</v>
      </c>
      <c r="F1511" t="s">
        <v>1640</v>
      </c>
      <c r="G1511" t="str">
        <f>"0854"</f>
        <v>0854</v>
      </c>
      <c r="H1511" t="str">
        <f>"0001"</f>
        <v>0001</v>
      </c>
      <c r="I1511" t="s">
        <v>122</v>
      </c>
      <c r="J1511">
        <v>0</v>
      </c>
      <c r="K1511">
        <v>1</v>
      </c>
      <c r="L1511">
        <v>3</v>
      </c>
      <c r="M1511">
        <v>95</v>
      </c>
      <c r="N1511">
        <v>323</v>
      </c>
      <c r="O1511">
        <v>11</v>
      </c>
      <c r="P1511">
        <v>323</v>
      </c>
      <c r="Q1511">
        <v>3</v>
      </c>
      <c r="R1511">
        <v>136</v>
      </c>
      <c r="S1511">
        <v>0</v>
      </c>
      <c r="T1511">
        <v>36</v>
      </c>
      <c r="U1511">
        <v>0</v>
      </c>
      <c r="V1511">
        <v>0</v>
      </c>
      <c r="W1511">
        <v>8</v>
      </c>
      <c r="X1511">
        <v>128</v>
      </c>
      <c r="Y1511">
        <v>0</v>
      </c>
      <c r="Z1511">
        <v>0</v>
      </c>
      <c r="AA1511">
        <v>6</v>
      </c>
      <c r="AB1511">
        <v>2</v>
      </c>
      <c r="AW1511">
        <v>0</v>
      </c>
      <c r="AX1511">
        <v>1</v>
      </c>
      <c r="AY1511">
        <v>320</v>
      </c>
      <c r="AZ1511">
        <v>320</v>
      </c>
      <c r="BA1511">
        <v>374</v>
      </c>
      <c r="BB1511">
        <v>44</v>
      </c>
      <c r="BD1511">
        <v>1</v>
      </c>
      <c r="BF1511" t="s">
        <v>1653</v>
      </c>
      <c r="BG1511" s="1">
        <v>44354.003472222219</v>
      </c>
      <c r="BH1511" s="1">
        <v>44354.010312500002</v>
      </c>
      <c r="BI1511" s="1">
        <v>44354.01085648148</v>
      </c>
      <c r="BJ1511" t="s">
        <v>85</v>
      </c>
      <c r="BK1511" t="s">
        <v>86</v>
      </c>
      <c r="BL1511" t="s">
        <v>87</v>
      </c>
    </row>
    <row r="1512" spans="1:64" x14ac:dyDescent="0.3">
      <c r="A1512" t="str">
        <f>"200855B0000"</f>
        <v>200855B0000</v>
      </c>
      <c r="B1512" t="str">
        <f>"200855B00003"</f>
        <v>200855B00003</v>
      </c>
      <c r="C1512" t="str">
        <f t="shared" si="87"/>
        <v>20</v>
      </c>
      <c r="D1512" t="s">
        <v>81</v>
      </c>
      <c r="E1512" t="str">
        <f t="shared" si="89"/>
        <v>131</v>
      </c>
      <c r="F1512" t="s">
        <v>1640</v>
      </c>
      <c r="G1512" t="str">
        <f>"0855"</f>
        <v>0855</v>
      </c>
      <c r="H1512" t="str">
        <f>"0000"</f>
        <v>0000</v>
      </c>
      <c r="I1512" t="s">
        <v>83</v>
      </c>
      <c r="J1512">
        <v>0</v>
      </c>
      <c r="K1512">
        <v>1</v>
      </c>
      <c r="L1512">
        <v>3</v>
      </c>
      <c r="M1512">
        <v>135</v>
      </c>
      <c r="N1512">
        <v>422</v>
      </c>
      <c r="O1512">
        <v>12</v>
      </c>
      <c r="P1512">
        <v>410</v>
      </c>
      <c r="Q1512">
        <v>0</v>
      </c>
      <c r="R1512">
        <v>124</v>
      </c>
      <c r="S1512">
        <v>0</v>
      </c>
      <c r="T1512">
        <v>122</v>
      </c>
      <c r="U1512">
        <v>0</v>
      </c>
      <c r="V1512">
        <v>2</v>
      </c>
      <c r="W1512">
        <v>2</v>
      </c>
      <c r="X1512">
        <v>134</v>
      </c>
      <c r="Y1512">
        <v>7</v>
      </c>
      <c r="Z1512">
        <v>1</v>
      </c>
      <c r="AA1512">
        <v>11</v>
      </c>
      <c r="AB1512">
        <v>1</v>
      </c>
      <c r="AW1512">
        <v>0</v>
      </c>
      <c r="AX1512">
        <v>6</v>
      </c>
      <c r="AY1512">
        <v>410</v>
      </c>
      <c r="AZ1512">
        <v>410</v>
      </c>
      <c r="BA1512">
        <v>501</v>
      </c>
      <c r="BB1512">
        <v>44</v>
      </c>
      <c r="BD1512">
        <v>1</v>
      </c>
      <c r="BF1512" t="s">
        <v>1654</v>
      </c>
      <c r="BG1512" s="1">
        <v>44354.101354166669</v>
      </c>
      <c r="BH1512" s="1">
        <v>44354.102893518517</v>
      </c>
      <c r="BI1512" s="1">
        <v>44354.10359953704</v>
      </c>
      <c r="BJ1512" t="s">
        <v>85</v>
      </c>
      <c r="BK1512" t="s">
        <v>86</v>
      </c>
      <c r="BL1512" t="s">
        <v>87</v>
      </c>
    </row>
    <row r="1513" spans="1:64" x14ac:dyDescent="0.3">
      <c r="A1513" t="str">
        <f>"200855C0100"</f>
        <v>200855C0100</v>
      </c>
      <c r="B1513" t="str">
        <f>"200855C01003"</f>
        <v>200855C01003</v>
      </c>
      <c r="C1513" t="str">
        <f t="shared" si="87"/>
        <v>20</v>
      </c>
      <c r="D1513" t="s">
        <v>81</v>
      </c>
      <c r="E1513" t="str">
        <f t="shared" si="89"/>
        <v>131</v>
      </c>
      <c r="F1513" t="s">
        <v>1640</v>
      </c>
      <c r="G1513" t="str">
        <f>"0855"</f>
        <v>0855</v>
      </c>
      <c r="H1513" t="str">
        <f>"0001"</f>
        <v>0001</v>
      </c>
      <c r="I1513" t="s">
        <v>89</v>
      </c>
      <c r="J1513">
        <v>0</v>
      </c>
      <c r="K1513">
        <v>1</v>
      </c>
      <c r="L1513">
        <v>3</v>
      </c>
      <c r="M1513">
        <v>100</v>
      </c>
      <c r="N1513">
        <v>544</v>
      </c>
      <c r="O1513">
        <v>10</v>
      </c>
      <c r="P1513">
        <v>444</v>
      </c>
      <c r="Q1513">
        <v>1</v>
      </c>
      <c r="R1513">
        <v>169</v>
      </c>
      <c r="S1513">
        <v>0</v>
      </c>
      <c r="T1513">
        <v>120</v>
      </c>
      <c r="U1513">
        <v>0</v>
      </c>
      <c r="V1513">
        <v>3</v>
      </c>
      <c r="W1513">
        <v>3</v>
      </c>
      <c r="X1513">
        <v>126</v>
      </c>
      <c r="Y1513">
        <v>9</v>
      </c>
      <c r="Z1513">
        <v>1</v>
      </c>
      <c r="AA1513">
        <v>6</v>
      </c>
      <c r="AB1513">
        <v>2</v>
      </c>
      <c r="AW1513">
        <v>0</v>
      </c>
      <c r="AX1513">
        <v>4</v>
      </c>
      <c r="AY1513">
        <v>444</v>
      </c>
      <c r="AZ1513">
        <v>444</v>
      </c>
      <c r="BA1513">
        <v>500</v>
      </c>
      <c r="BB1513">
        <v>44</v>
      </c>
      <c r="BD1513">
        <v>1</v>
      </c>
      <c r="BF1513" t="s">
        <v>1655</v>
      </c>
      <c r="BG1513" s="1">
        <v>44354.095138888886</v>
      </c>
      <c r="BH1513" s="1">
        <v>44354.099675925929</v>
      </c>
      <c r="BI1513" s="1">
        <v>44354.100173611114</v>
      </c>
      <c r="BJ1513" t="s">
        <v>85</v>
      </c>
      <c r="BK1513" t="s">
        <v>86</v>
      </c>
      <c r="BL1513" t="s">
        <v>87</v>
      </c>
    </row>
    <row r="1514" spans="1:64" x14ac:dyDescent="0.3">
      <c r="A1514" t="str">
        <f>"200856B0000"</f>
        <v>200856B0000</v>
      </c>
      <c r="B1514" t="str">
        <f>"200856B00003"</f>
        <v>200856B00003</v>
      </c>
      <c r="C1514" t="str">
        <f t="shared" si="87"/>
        <v>20</v>
      </c>
      <c r="D1514" t="s">
        <v>81</v>
      </c>
      <c r="E1514" t="str">
        <f t="shared" si="89"/>
        <v>131</v>
      </c>
      <c r="F1514" t="s">
        <v>1640</v>
      </c>
      <c r="G1514" t="str">
        <f>"0856"</f>
        <v>0856</v>
      </c>
      <c r="H1514" t="str">
        <f>"0000"</f>
        <v>0000</v>
      </c>
      <c r="I1514" t="s">
        <v>83</v>
      </c>
      <c r="J1514">
        <v>0</v>
      </c>
      <c r="K1514">
        <v>1</v>
      </c>
      <c r="L1514">
        <v>3</v>
      </c>
      <c r="M1514">
        <v>146</v>
      </c>
      <c r="N1514">
        <v>637</v>
      </c>
      <c r="O1514">
        <v>12</v>
      </c>
      <c r="P1514">
        <v>637</v>
      </c>
      <c r="Q1514">
        <v>0</v>
      </c>
      <c r="R1514">
        <v>172</v>
      </c>
      <c r="S1514">
        <v>1</v>
      </c>
      <c r="T1514">
        <v>201</v>
      </c>
      <c r="U1514">
        <v>2</v>
      </c>
      <c r="V1514">
        <v>0</v>
      </c>
      <c r="W1514">
        <v>8</v>
      </c>
      <c r="X1514">
        <v>225</v>
      </c>
      <c r="Y1514">
        <v>5</v>
      </c>
      <c r="Z1514">
        <v>1</v>
      </c>
      <c r="AA1514">
        <v>15</v>
      </c>
      <c r="AB1514">
        <v>3</v>
      </c>
      <c r="AW1514">
        <v>0</v>
      </c>
      <c r="AX1514">
        <v>4</v>
      </c>
      <c r="AY1514">
        <v>637</v>
      </c>
      <c r="AZ1514">
        <v>637</v>
      </c>
      <c r="BA1514">
        <v>739</v>
      </c>
      <c r="BB1514">
        <v>44</v>
      </c>
      <c r="BD1514">
        <v>1</v>
      </c>
      <c r="BF1514" t="s">
        <v>1656</v>
      </c>
      <c r="BG1514" s="1">
        <v>44354.160416666666</v>
      </c>
      <c r="BH1514" s="1">
        <v>44354.163437499999</v>
      </c>
      <c r="BI1514" s="1">
        <v>44354.164050925923</v>
      </c>
      <c r="BJ1514" t="s">
        <v>85</v>
      </c>
      <c r="BK1514" t="s">
        <v>86</v>
      </c>
      <c r="BL1514" t="s">
        <v>87</v>
      </c>
    </row>
    <row r="1515" spans="1:64" x14ac:dyDescent="0.3">
      <c r="A1515" t="str">
        <f>"200856C0100"</f>
        <v>200856C0100</v>
      </c>
      <c r="B1515" t="str">
        <f>"200856C01003"</f>
        <v>200856C01003</v>
      </c>
      <c r="C1515" t="str">
        <f t="shared" si="87"/>
        <v>20</v>
      </c>
      <c r="D1515" t="s">
        <v>81</v>
      </c>
      <c r="E1515" t="str">
        <f t="shared" si="89"/>
        <v>131</v>
      </c>
      <c r="F1515" t="s">
        <v>1640</v>
      </c>
      <c r="G1515" t="str">
        <f>"0856"</f>
        <v>0856</v>
      </c>
      <c r="H1515" t="str">
        <f>"0001"</f>
        <v>0001</v>
      </c>
      <c r="I1515" t="s">
        <v>89</v>
      </c>
      <c r="J1515">
        <v>0</v>
      </c>
      <c r="K1515">
        <v>1</v>
      </c>
      <c r="L1515">
        <v>3</v>
      </c>
      <c r="M1515">
        <v>132</v>
      </c>
      <c r="N1515" t="s">
        <v>92</v>
      </c>
      <c r="O1515">
        <v>9</v>
      </c>
      <c r="P1515" t="s">
        <v>92</v>
      </c>
      <c r="Q1515">
        <v>0</v>
      </c>
      <c r="R1515">
        <v>199</v>
      </c>
      <c r="S1515">
        <v>1</v>
      </c>
      <c r="T1515">
        <v>190</v>
      </c>
      <c r="U1515">
        <v>0</v>
      </c>
      <c r="V1515">
        <v>3</v>
      </c>
      <c r="W1515">
        <v>3</v>
      </c>
      <c r="X1515">
        <v>223</v>
      </c>
      <c r="Y1515">
        <v>12</v>
      </c>
      <c r="Z1515">
        <v>2</v>
      </c>
      <c r="AA1515">
        <v>7</v>
      </c>
      <c r="AB1515">
        <v>1</v>
      </c>
      <c r="AW1515" t="s">
        <v>95</v>
      </c>
      <c r="AX1515">
        <v>8</v>
      </c>
      <c r="AY1515">
        <v>150</v>
      </c>
      <c r="AZ1515">
        <v>649</v>
      </c>
      <c r="BA1515">
        <v>738</v>
      </c>
      <c r="BB1515">
        <v>44</v>
      </c>
      <c r="BC1515" t="s">
        <v>96</v>
      </c>
      <c r="BD1515">
        <v>1</v>
      </c>
      <c r="BF1515" t="s">
        <v>1657</v>
      </c>
      <c r="BG1515" s="1">
        <v>44354.162499999999</v>
      </c>
      <c r="BH1515" s="1">
        <v>44354.16479166667</v>
      </c>
      <c r="BI1515" s="1">
        <v>44354.165648148148</v>
      </c>
      <c r="BJ1515" t="s">
        <v>85</v>
      </c>
      <c r="BK1515" t="s">
        <v>86</v>
      </c>
      <c r="BL1515" t="s">
        <v>87</v>
      </c>
    </row>
    <row r="1516" spans="1:64" x14ac:dyDescent="0.3">
      <c r="A1516" t="str">
        <f>"200856E0100"</f>
        <v>200856E0100</v>
      </c>
      <c r="B1516" t="str">
        <f>"200856E01003"</f>
        <v>200856E01003</v>
      </c>
      <c r="C1516" t="str">
        <f t="shared" si="87"/>
        <v>20</v>
      </c>
      <c r="D1516" t="s">
        <v>81</v>
      </c>
      <c r="E1516" t="str">
        <f t="shared" si="89"/>
        <v>131</v>
      </c>
      <c r="F1516" t="s">
        <v>1640</v>
      </c>
      <c r="G1516" t="str">
        <f>"0856"</f>
        <v>0856</v>
      </c>
      <c r="H1516" t="str">
        <f>"0001"</f>
        <v>0001</v>
      </c>
      <c r="I1516" t="s">
        <v>122</v>
      </c>
      <c r="J1516">
        <v>0</v>
      </c>
      <c r="K1516">
        <v>1</v>
      </c>
      <c r="L1516">
        <v>3</v>
      </c>
      <c r="M1516">
        <v>132</v>
      </c>
      <c r="N1516">
        <v>585</v>
      </c>
      <c r="O1516">
        <v>0</v>
      </c>
      <c r="P1516">
        <v>585</v>
      </c>
      <c r="Q1516">
        <v>3</v>
      </c>
      <c r="R1516">
        <v>200</v>
      </c>
      <c r="S1516">
        <v>2</v>
      </c>
      <c r="T1516">
        <v>140</v>
      </c>
      <c r="U1516">
        <v>0</v>
      </c>
      <c r="V1516">
        <v>0</v>
      </c>
      <c r="W1516">
        <v>3</v>
      </c>
      <c r="X1516">
        <v>210</v>
      </c>
      <c r="Y1516">
        <v>0</v>
      </c>
      <c r="Z1516">
        <v>0</v>
      </c>
      <c r="AA1516">
        <v>9</v>
      </c>
      <c r="AB1516">
        <v>0</v>
      </c>
      <c r="AW1516">
        <v>0</v>
      </c>
      <c r="AX1516">
        <v>18</v>
      </c>
      <c r="AY1516">
        <v>585</v>
      </c>
      <c r="AZ1516">
        <v>585</v>
      </c>
      <c r="BA1516">
        <v>673</v>
      </c>
      <c r="BB1516">
        <v>44</v>
      </c>
      <c r="BD1516">
        <v>1</v>
      </c>
      <c r="BF1516" t="s">
        <v>1658</v>
      </c>
      <c r="BG1516" s="1">
        <v>44354.011805555558</v>
      </c>
      <c r="BH1516" s="1">
        <v>44354.020254629628</v>
      </c>
      <c r="BI1516" s="1">
        <v>44354.02070601852</v>
      </c>
      <c r="BJ1516" t="s">
        <v>85</v>
      </c>
      <c r="BK1516" t="s">
        <v>86</v>
      </c>
      <c r="BL1516" t="s">
        <v>87</v>
      </c>
    </row>
    <row r="1517" spans="1:64" x14ac:dyDescent="0.3">
      <c r="A1517" t="str">
        <f>"200856E0200"</f>
        <v>200856E0200</v>
      </c>
      <c r="B1517" t="str">
        <f>"200856E02003"</f>
        <v>200856E02003</v>
      </c>
      <c r="C1517" t="str">
        <f t="shared" si="87"/>
        <v>20</v>
      </c>
      <c r="D1517" t="s">
        <v>81</v>
      </c>
      <c r="E1517" t="str">
        <f t="shared" si="89"/>
        <v>131</v>
      </c>
      <c r="F1517" t="s">
        <v>1640</v>
      </c>
      <c r="G1517" t="str">
        <f>"0856"</f>
        <v>0856</v>
      </c>
      <c r="H1517" t="str">
        <f>"0002"</f>
        <v>0002</v>
      </c>
      <c r="I1517" t="s">
        <v>122</v>
      </c>
      <c r="J1517">
        <v>0</v>
      </c>
      <c r="K1517">
        <v>1</v>
      </c>
      <c r="L1517">
        <v>3</v>
      </c>
      <c r="M1517">
        <v>144</v>
      </c>
      <c r="N1517">
        <v>520</v>
      </c>
      <c r="O1517">
        <v>6</v>
      </c>
      <c r="P1517">
        <v>520</v>
      </c>
      <c r="Q1517">
        <v>1</v>
      </c>
      <c r="R1517">
        <v>183</v>
      </c>
      <c r="S1517">
        <v>4</v>
      </c>
      <c r="T1517">
        <v>186</v>
      </c>
      <c r="U1517">
        <v>1</v>
      </c>
      <c r="V1517">
        <v>1</v>
      </c>
      <c r="W1517">
        <v>1</v>
      </c>
      <c r="X1517">
        <v>121</v>
      </c>
      <c r="Y1517">
        <v>0</v>
      </c>
      <c r="Z1517">
        <v>1</v>
      </c>
      <c r="AA1517">
        <v>12</v>
      </c>
      <c r="AB1517">
        <v>0</v>
      </c>
      <c r="AW1517">
        <v>0</v>
      </c>
      <c r="AX1517">
        <v>9</v>
      </c>
      <c r="AY1517">
        <v>520</v>
      </c>
      <c r="AZ1517">
        <v>520</v>
      </c>
      <c r="BA1517">
        <v>620</v>
      </c>
      <c r="BB1517">
        <v>44</v>
      </c>
      <c r="BD1517">
        <v>1</v>
      </c>
      <c r="BF1517" t="s">
        <v>1659</v>
      </c>
      <c r="BG1517" s="1">
        <v>44354.018750000003</v>
      </c>
      <c r="BH1517" s="1">
        <v>44354.027939814812</v>
      </c>
      <c r="BI1517" s="1">
        <v>44354.028668981482</v>
      </c>
      <c r="BJ1517" t="s">
        <v>85</v>
      </c>
      <c r="BK1517" t="s">
        <v>86</v>
      </c>
      <c r="BL1517" t="s">
        <v>87</v>
      </c>
    </row>
    <row r="1518" spans="1:64" x14ac:dyDescent="0.3">
      <c r="A1518" t="str">
        <f>"200857B0000"</f>
        <v>200857B0000</v>
      </c>
      <c r="B1518" t="str">
        <f>"200857B00003"</f>
        <v>200857B00003</v>
      </c>
      <c r="C1518" t="str">
        <f t="shared" si="87"/>
        <v>20</v>
      </c>
      <c r="D1518" t="s">
        <v>81</v>
      </c>
      <c r="E1518" t="str">
        <f t="shared" si="89"/>
        <v>131</v>
      </c>
      <c r="F1518" t="s">
        <v>1640</v>
      </c>
      <c r="G1518" t="str">
        <f>"0857"</f>
        <v>0857</v>
      </c>
      <c r="H1518" t="str">
        <f>"0000"</f>
        <v>0000</v>
      </c>
      <c r="I1518" t="s">
        <v>83</v>
      </c>
      <c r="J1518">
        <v>0</v>
      </c>
      <c r="K1518">
        <v>1</v>
      </c>
      <c r="L1518">
        <v>3</v>
      </c>
      <c r="M1518">
        <v>141</v>
      </c>
      <c r="N1518">
        <v>427</v>
      </c>
      <c r="O1518">
        <v>8</v>
      </c>
      <c r="P1518">
        <v>427</v>
      </c>
      <c r="Q1518">
        <v>1</v>
      </c>
      <c r="R1518">
        <v>171</v>
      </c>
      <c r="S1518">
        <v>0</v>
      </c>
      <c r="T1518">
        <v>66</v>
      </c>
      <c r="U1518">
        <v>0</v>
      </c>
      <c r="V1518">
        <v>1</v>
      </c>
      <c r="W1518">
        <v>1</v>
      </c>
      <c r="X1518">
        <v>174</v>
      </c>
      <c r="Y1518">
        <v>4</v>
      </c>
      <c r="Z1518">
        <v>7</v>
      </c>
      <c r="AA1518">
        <v>7</v>
      </c>
      <c r="AB1518">
        <v>0</v>
      </c>
      <c r="AW1518">
        <v>0</v>
      </c>
      <c r="AX1518">
        <v>2</v>
      </c>
      <c r="AY1518">
        <v>427</v>
      </c>
      <c r="AZ1518">
        <v>434</v>
      </c>
      <c r="BA1518">
        <v>524</v>
      </c>
      <c r="BB1518">
        <v>44</v>
      </c>
      <c r="BD1518">
        <v>1</v>
      </c>
      <c r="BF1518" t="s">
        <v>1660</v>
      </c>
      <c r="BG1518" s="1">
        <v>44354.088888888888</v>
      </c>
      <c r="BH1518" s="1">
        <v>44354.096909722219</v>
      </c>
      <c r="BI1518" s="1">
        <v>44354.097615740742</v>
      </c>
      <c r="BJ1518" t="s">
        <v>85</v>
      </c>
      <c r="BK1518" t="s">
        <v>86</v>
      </c>
      <c r="BL1518" t="s">
        <v>87</v>
      </c>
    </row>
    <row r="1519" spans="1:64" x14ac:dyDescent="0.3">
      <c r="A1519" t="str">
        <f>"200857C0100"</f>
        <v>200857C0100</v>
      </c>
      <c r="B1519" t="str">
        <f>"200857C01003"</f>
        <v>200857C01003</v>
      </c>
      <c r="C1519" t="str">
        <f t="shared" si="87"/>
        <v>20</v>
      </c>
      <c r="D1519" t="s">
        <v>81</v>
      </c>
      <c r="E1519" t="str">
        <f t="shared" si="89"/>
        <v>131</v>
      </c>
      <c r="F1519" t="s">
        <v>1640</v>
      </c>
      <c r="G1519" t="str">
        <f>"0857"</f>
        <v>0857</v>
      </c>
      <c r="H1519" t="str">
        <f>"0001"</f>
        <v>0001</v>
      </c>
      <c r="I1519" t="s">
        <v>89</v>
      </c>
      <c r="J1519">
        <v>0</v>
      </c>
      <c r="K1519">
        <v>1</v>
      </c>
      <c r="L1519">
        <v>3</v>
      </c>
      <c r="M1519">
        <v>148</v>
      </c>
      <c r="N1519">
        <v>420</v>
      </c>
      <c r="O1519">
        <v>0</v>
      </c>
      <c r="P1519">
        <v>420</v>
      </c>
      <c r="Q1519">
        <v>0</v>
      </c>
      <c r="R1519">
        <v>199</v>
      </c>
      <c r="S1519">
        <v>1</v>
      </c>
      <c r="T1519">
        <v>57</v>
      </c>
      <c r="U1519">
        <v>0</v>
      </c>
      <c r="V1519">
        <v>2</v>
      </c>
      <c r="W1519">
        <v>3</v>
      </c>
      <c r="X1519">
        <v>135</v>
      </c>
      <c r="Y1519">
        <v>9</v>
      </c>
      <c r="Z1519">
        <v>0</v>
      </c>
      <c r="AA1519">
        <v>7</v>
      </c>
      <c r="AB1519">
        <v>1</v>
      </c>
      <c r="AW1519">
        <v>0</v>
      </c>
      <c r="AX1519">
        <v>6</v>
      </c>
      <c r="AY1519">
        <v>420</v>
      </c>
      <c r="AZ1519">
        <v>420</v>
      </c>
      <c r="BA1519">
        <v>524</v>
      </c>
      <c r="BB1519">
        <v>44</v>
      </c>
      <c r="BD1519">
        <v>1</v>
      </c>
      <c r="BF1519" t="s">
        <v>1661</v>
      </c>
      <c r="BG1519" s="1">
        <v>44354.090277777781</v>
      </c>
      <c r="BH1519" s="1">
        <v>44354.096724537034</v>
      </c>
      <c r="BI1519" s="1">
        <v>44354.097361111111</v>
      </c>
      <c r="BJ1519" t="s">
        <v>85</v>
      </c>
      <c r="BK1519" t="s">
        <v>86</v>
      </c>
      <c r="BL1519" t="s">
        <v>87</v>
      </c>
    </row>
    <row r="1520" spans="1:64" x14ac:dyDescent="0.3">
      <c r="A1520" t="str">
        <f>"200857E0100"</f>
        <v>200857E0100</v>
      </c>
      <c r="B1520" t="str">
        <f>"200857E01003"</f>
        <v>200857E01003</v>
      </c>
      <c r="C1520" t="str">
        <f t="shared" si="87"/>
        <v>20</v>
      </c>
      <c r="D1520" t="s">
        <v>81</v>
      </c>
      <c r="E1520" t="str">
        <f t="shared" si="89"/>
        <v>131</v>
      </c>
      <c r="F1520" t="s">
        <v>1640</v>
      </c>
      <c r="G1520" t="str">
        <f>"0857"</f>
        <v>0857</v>
      </c>
      <c r="H1520" t="str">
        <f>"0001"</f>
        <v>0001</v>
      </c>
      <c r="I1520" t="s">
        <v>122</v>
      </c>
      <c r="J1520">
        <v>0</v>
      </c>
      <c r="K1520">
        <v>1</v>
      </c>
      <c r="L1520">
        <v>3</v>
      </c>
      <c r="M1520">
        <v>118</v>
      </c>
      <c r="N1520">
        <v>465</v>
      </c>
      <c r="O1520">
        <v>6</v>
      </c>
      <c r="P1520">
        <v>465</v>
      </c>
      <c r="Q1520">
        <v>1</v>
      </c>
      <c r="R1520">
        <v>153</v>
      </c>
      <c r="S1520">
        <v>6</v>
      </c>
      <c r="T1520">
        <v>140</v>
      </c>
      <c r="U1520">
        <v>0</v>
      </c>
      <c r="V1520">
        <v>2</v>
      </c>
      <c r="W1520">
        <v>2</v>
      </c>
      <c r="X1520">
        <v>41</v>
      </c>
      <c r="Y1520">
        <v>3</v>
      </c>
      <c r="Z1520">
        <v>2</v>
      </c>
      <c r="AA1520">
        <v>7</v>
      </c>
      <c r="AB1520">
        <v>1</v>
      </c>
      <c r="AW1520">
        <v>0</v>
      </c>
      <c r="AX1520">
        <v>7</v>
      </c>
      <c r="AY1520">
        <v>465</v>
      </c>
      <c r="AZ1520">
        <v>365</v>
      </c>
      <c r="BA1520">
        <v>539</v>
      </c>
      <c r="BB1520">
        <v>44</v>
      </c>
      <c r="BD1520">
        <v>1</v>
      </c>
      <c r="BF1520" t="s">
        <v>1662</v>
      </c>
      <c r="BG1520" s="1">
        <v>44354.086805555555</v>
      </c>
      <c r="BH1520" s="1">
        <v>44354.099953703706</v>
      </c>
      <c r="BI1520" s="1">
        <v>44354.100497685184</v>
      </c>
      <c r="BJ1520" t="s">
        <v>85</v>
      </c>
      <c r="BK1520" t="s">
        <v>86</v>
      </c>
      <c r="BL1520" t="s">
        <v>1390</v>
      </c>
    </row>
    <row r="1521" spans="1:64" x14ac:dyDescent="0.3">
      <c r="A1521" t="str">
        <f>"200857E0200"</f>
        <v>200857E0200</v>
      </c>
      <c r="B1521" t="str">
        <f>"200857E02003"</f>
        <v>200857E02003</v>
      </c>
      <c r="C1521" t="str">
        <f t="shared" si="87"/>
        <v>20</v>
      </c>
      <c r="D1521" t="s">
        <v>81</v>
      </c>
      <c r="E1521" t="str">
        <f t="shared" si="89"/>
        <v>131</v>
      </c>
      <c r="F1521" t="s">
        <v>1640</v>
      </c>
      <c r="G1521" t="str">
        <f>"0857"</f>
        <v>0857</v>
      </c>
      <c r="H1521" t="str">
        <f>"0002"</f>
        <v>0002</v>
      </c>
      <c r="I1521" t="s">
        <v>122</v>
      </c>
      <c r="J1521">
        <v>0</v>
      </c>
      <c r="K1521">
        <v>1</v>
      </c>
      <c r="L1521">
        <v>3</v>
      </c>
      <c r="M1521">
        <v>73</v>
      </c>
      <c r="N1521">
        <v>350</v>
      </c>
      <c r="O1521">
        <v>11</v>
      </c>
      <c r="P1521">
        <v>350</v>
      </c>
      <c r="Q1521">
        <v>0</v>
      </c>
      <c r="R1521">
        <v>156</v>
      </c>
      <c r="S1521">
        <v>1</v>
      </c>
      <c r="T1521">
        <v>51</v>
      </c>
      <c r="U1521">
        <v>0</v>
      </c>
      <c r="V1521">
        <v>0</v>
      </c>
      <c r="W1521">
        <v>0</v>
      </c>
      <c r="X1521">
        <v>134</v>
      </c>
      <c r="Y1521">
        <v>0</v>
      </c>
      <c r="Z1521">
        <v>0</v>
      </c>
      <c r="AA1521">
        <v>5</v>
      </c>
      <c r="AB1521">
        <v>1</v>
      </c>
      <c r="AW1521">
        <v>0</v>
      </c>
      <c r="AX1521">
        <v>2</v>
      </c>
      <c r="AY1521">
        <v>350</v>
      </c>
      <c r="AZ1521">
        <v>350</v>
      </c>
      <c r="BA1521">
        <v>379</v>
      </c>
      <c r="BB1521">
        <v>44</v>
      </c>
      <c r="BD1521">
        <v>1</v>
      </c>
      <c r="BF1521" t="s">
        <v>1663</v>
      </c>
      <c r="BG1521" s="1">
        <v>44354.056944444441</v>
      </c>
      <c r="BH1521" s="1">
        <v>44354.065405092595</v>
      </c>
      <c r="BI1521" s="1">
        <v>44354.06585648148</v>
      </c>
      <c r="BJ1521" t="s">
        <v>85</v>
      </c>
      <c r="BK1521" t="s">
        <v>86</v>
      </c>
      <c r="BL1521" t="s">
        <v>87</v>
      </c>
    </row>
    <row r="1522" spans="1:64" x14ac:dyDescent="0.3">
      <c r="A1522" t="str">
        <f>"200857E0300"</f>
        <v>200857E0300</v>
      </c>
      <c r="B1522" t="str">
        <f>"200857E03003"</f>
        <v>200857E03003</v>
      </c>
      <c r="C1522" t="str">
        <f t="shared" si="87"/>
        <v>20</v>
      </c>
      <c r="D1522" t="s">
        <v>81</v>
      </c>
      <c r="E1522" t="str">
        <f t="shared" si="89"/>
        <v>131</v>
      </c>
      <c r="F1522" t="s">
        <v>1640</v>
      </c>
      <c r="G1522" t="str">
        <f>"0857"</f>
        <v>0857</v>
      </c>
      <c r="H1522" t="str">
        <f>"0003"</f>
        <v>0003</v>
      </c>
      <c r="I1522" t="s">
        <v>122</v>
      </c>
      <c r="J1522">
        <v>0</v>
      </c>
      <c r="K1522">
        <v>1</v>
      </c>
      <c r="L1522">
        <v>3</v>
      </c>
      <c r="M1522">
        <v>111</v>
      </c>
      <c r="N1522">
        <v>415</v>
      </c>
      <c r="O1522">
        <v>7</v>
      </c>
      <c r="P1522">
        <v>415</v>
      </c>
      <c r="Q1522">
        <v>1</v>
      </c>
      <c r="R1522">
        <v>100</v>
      </c>
      <c r="S1522">
        <v>1</v>
      </c>
      <c r="T1522">
        <v>79</v>
      </c>
      <c r="U1522">
        <v>0</v>
      </c>
      <c r="V1522">
        <v>1</v>
      </c>
      <c r="W1522">
        <v>0</v>
      </c>
      <c r="X1522">
        <v>215</v>
      </c>
      <c r="Y1522">
        <v>1</v>
      </c>
      <c r="Z1522">
        <v>0</v>
      </c>
      <c r="AA1522">
        <v>9</v>
      </c>
      <c r="AB1522">
        <v>0</v>
      </c>
      <c r="AW1522">
        <v>0</v>
      </c>
      <c r="AX1522">
        <v>8</v>
      </c>
      <c r="AY1522">
        <v>415</v>
      </c>
      <c r="AZ1522">
        <v>415</v>
      </c>
      <c r="BA1522">
        <v>482</v>
      </c>
      <c r="BB1522">
        <v>44</v>
      </c>
      <c r="BD1522">
        <v>1</v>
      </c>
      <c r="BF1522" t="s">
        <v>1664</v>
      </c>
      <c r="BG1522" s="1">
        <v>44353.993055555555</v>
      </c>
      <c r="BH1522" s="1">
        <v>44354.000914351855</v>
      </c>
      <c r="BI1522" s="1">
        <v>44354.001319444447</v>
      </c>
      <c r="BJ1522" t="s">
        <v>85</v>
      </c>
      <c r="BK1522" t="s">
        <v>86</v>
      </c>
      <c r="BL1522" t="s">
        <v>87</v>
      </c>
    </row>
    <row r="1523" spans="1:64" x14ac:dyDescent="0.3">
      <c r="A1523" t="str">
        <f>"200858B0000"</f>
        <v>200858B0000</v>
      </c>
      <c r="B1523" t="str">
        <f>"200858B00003"</f>
        <v>200858B00003</v>
      </c>
      <c r="C1523" t="str">
        <f t="shared" si="87"/>
        <v>20</v>
      </c>
      <c r="D1523" t="s">
        <v>81</v>
      </c>
      <c r="E1523" t="str">
        <f t="shared" si="89"/>
        <v>131</v>
      </c>
      <c r="F1523" t="s">
        <v>1640</v>
      </c>
      <c r="G1523" t="str">
        <f>"0858"</f>
        <v>0858</v>
      </c>
      <c r="H1523" t="str">
        <f>"0000"</f>
        <v>0000</v>
      </c>
      <c r="I1523" t="s">
        <v>83</v>
      </c>
      <c r="J1523">
        <v>0</v>
      </c>
      <c r="K1523">
        <v>1</v>
      </c>
      <c r="L1523">
        <v>3</v>
      </c>
      <c r="M1523">
        <v>137</v>
      </c>
      <c r="N1523">
        <v>430</v>
      </c>
      <c r="O1523">
        <v>9</v>
      </c>
      <c r="P1523">
        <v>430</v>
      </c>
      <c r="Q1523">
        <v>0</v>
      </c>
      <c r="R1523">
        <v>156</v>
      </c>
      <c r="S1523">
        <v>0</v>
      </c>
      <c r="T1523">
        <v>64</v>
      </c>
      <c r="U1523">
        <v>0</v>
      </c>
      <c r="V1523">
        <v>2</v>
      </c>
      <c r="W1523">
        <v>24</v>
      </c>
      <c r="X1523">
        <v>146</v>
      </c>
      <c r="Y1523">
        <v>24</v>
      </c>
      <c r="Z1523">
        <v>2</v>
      </c>
      <c r="AA1523">
        <v>4</v>
      </c>
      <c r="AB1523">
        <v>1</v>
      </c>
      <c r="AW1523">
        <v>0</v>
      </c>
      <c r="AX1523">
        <v>7</v>
      </c>
      <c r="AY1523">
        <v>430</v>
      </c>
      <c r="AZ1523">
        <v>430</v>
      </c>
      <c r="BA1523">
        <v>523</v>
      </c>
      <c r="BB1523">
        <v>44</v>
      </c>
      <c r="BD1523">
        <v>1</v>
      </c>
      <c r="BF1523" t="s">
        <v>1665</v>
      </c>
      <c r="BG1523" s="1">
        <v>44354.097916666666</v>
      </c>
      <c r="BH1523" s="1">
        <v>44354.104768518519</v>
      </c>
      <c r="BI1523" s="1">
        <v>44354.105416666665</v>
      </c>
      <c r="BJ1523" t="s">
        <v>85</v>
      </c>
      <c r="BK1523" t="s">
        <v>86</v>
      </c>
      <c r="BL1523" t="s">
        <v>87</v>
      </c>
    </row>
    <row r="1524" spans="1:64" x14ac:dyDescent="0.3">
      <c r="A1524" t="str">
        <f>"200858C0100"</f>
        <v>200858C0100</v>
      </c>
      <c r="B1524" t="str">
        <f>"200858C01003"</f>
        <v>200858C01003</v>
      </c>
      <c r="C1524" t="str">
        <f t="shared" si="87"/>
        <v>20</v>
      </c>
      <c r="D1524" t="s">
        <v>81</v>
      </c>
      <c r="E1524" t="str">
        <f t="shared" si="89"/>
        <v>131</v>
      </c>
      <c r="F1524" t="s">
        <v>1640</v>
      </c>
      <c r="G1524" t="str">
        <f>"0858"</f>
        <v>0858</v>
      </c>
      <c r="H1524" t="str">
        <f>"0001"</f>
        <v>0001</v>
      </c>
      <c r="I1524" t="s">
        <v>89</v>
      </c>
      <c r="J1524">
        <v>0</v>
      </c>
      <c r="K1524">
        <v>1</v>
      </c>
      <c r="L1524">
        <v>3</v>
      </c>
      <c r="M1524">
        <v>130</v>
      </c>
      <c r="N1524">
        <v>437</v>
      </c>
      <c r="O1524">
        <v>5</v>
      </c>
      <c r="P1524">
        <v>437</v>
      </c>
      <c r="Q1524">
        <v>0</v>
      </c>
      <c r="R1524">
        <v>117</v>
      </c>
      <c r="S1524">
        <v>0</v>
      </c>
      <c r="T1524">
        <v>75</v>
      </c>
      <c r="U1524">
        <v>0</v>
      </c>
      <c r="V1524">
        <v>4</v>
      </c>
      <c r="W1524">
        <v>9</v>
      </c>
      <c r="X1524">
        <v>159</v>
      </c>
      <c r="Y1524">
        <v>59</v>
      </c>
      <c r="Z1524">
        <v>0</v>
      </c>
      <c r="AA1524">
        <v>6</v>
      </c>
      <c r="AB1524">
        <v>1</v>
      </c>
      <c r="AW1524">
        <v>0</v>
      </c>
      <c r="AX1524">
        <v>7</v>
      </c>
      <c r="AY1524">
        <v>437</v>
      </c>
      <c r="AZ1524">
        <v>437</v>
      </c>
      <c r="BA1524">
        <v>523</v>
      </c>
      <c r="BB1524">
        <v>44</v>
      </c>
      <c r="BD1524">
        <v>1</v>
      </c>
      <c r="BF1524" t="s">
        <v>1666</v>
      </c>
      <c r="BG1524" s="1">
        <v>44354.097222222219</v>
      </c>
      <c r="BH1524" s="1">
        <v>44354.103715277779</v>
      </c>
      <c r="BI1524" s="1">
        <v>44354.104155092595</v>
      </c>
      <c r="BJ1524" t="s">
        <v>85</v>
      </c>
      <c r="BK1524" t="s">
        <v>86</v>
      </c>
      <c r="BL1524" t="s">
        <v>87</v>
      </c>
    </row>
    <row r="1525" spans="1:64" x14ac:dyDescent="0.3">
      <c r="A1525" t="str">
        <f>"200858E0100"</f>
        <v>200858E0100</v>
      </c>
      <c r="B1525" t="str">
        <f>"200858E01003"</f>
        <v>200858E01003</v>
      </c>
      <c r="C1525" t="str">
        <f t="shared" si="87"/>
        <v>20</v>
      </c>
      <c r="D1525" t="s">
        <v>81</v>
      </c>
      <c r="E1525" t="str">
        <f t="shared" si="89"/>
        <v>131</v>
      </c>
      <c r="F1525" t="s">
        <v>1640</v>
      </c>
      <c r="G1525" t="str">
        <f>"0858"</f>
        <v>0858</v>
      </c>
      <c r="H1525" t="str">
        <f>"0001"</f>
        <v>0001</v>
      </c>
      <c r="I1525" t="s">
        <v>122</v>
      </c>
      <c r="J1525">
        <v>0</v>
      </c>
      <c r="K1525">
        <v>1</v>
      </c>
      <c r="L1525">
        <v>3</v>
      </c>
      <c r="M1525">
        <v>114</v>
      </c>
      <c r="N1525">
        <v>359</v>
      </c>
      <c r="O1525">
        <v>6</v>
      </c>
      <c r="P1525">
        <v>359</v>
      </c>
      <c r="Q1525">
        <v>0</v>
      </c>
      <c r="R1525">
        <v>96</v>
      </c>
      <c r="S1525">
        <v>0</v>
      </c>
      <c r="T1525">
        <v>57</v>
      </c>
      <c r="U1525">
        <v>2</v>
      </c>
      <c r="V1525">
        <v>0</v>
      </c>
      <c r="W1525">
        <v>5</v>
      </c>
      <c r="X1525">
        <v>178</v>
      </c>
      <c r="Y1525">
        <v>6</v>
      </c>
      <c r="Z1525">
        <v>1</v>
      </c>
      <c r="AA1525">
        <v>7</v>
      </c>
      <c r="AB1525">
        <v>0</v>
      </c>
      <c r="AW1525">
        <v>0</v>
      </c>
      <c r="AX1525">
        <v>7</v>
      </c>
      <c r="AY1525">
        <v>359</v>
      </c>
      <c r="AZ1525">
        <v>359</v>
      </c>
      <c r="BA1525">
        <v>429</v>
      </c>
      <c r="BB1525">
        <v>44</v>
      </c>
      <c r="BD1525">
        <v>1</v>
      </c>
      <c r="BF1525" t="s">
        <v>1667</v>
      </c>
      <c r="BG1525" s="1">
        <v>44354.078472222223</v>
      </c>
      <c r="BH1525" s="1">
        <v>44354.085856481484</v>
      </c>
      <c r="BI1525" s="1">
        <v>44354.086446759262</v>
      </c>
      <c r="BJ1525" t="s">
        <v>85</v>
      </c>
      <c r="BK1525" t="s">
        <v>86</v>
      </c>
      <c r="BL1525" t="s">
        <v>87</v>
      </c>
    </row>
    <row r="1526" spans="1:64" x14ac:dyDescent="0.3">
      <c r="A1526" t="str">
        <f>"200858E0101"</f>
        <v>200858E0101</v>
      </c>
      <c r="B1526" t="str">
        <f>"200858E01013"</f>
        <v>200858E01013</v>
      </c>
      <c r="C1526" t="str">
        <f t="shared" si="87"/>
        <v>20</v>
      </c>
      <c r="D1526" t="s">
        <v>81</v>
      </c>
      <c r="E1526" t="str">
        <f t="shared" si="89"/>
        <v>131</v>
      </c>
      <c r="F1526" t="s">
        <v>1640</v>
      </c>
      <c r="G1526" t="str">
        <f>"0858"</f>
        <v>0858</v>
      </c>
      <c r="H1526" t="str">
        <f>"0001"</f>
        <v>0001</v>
      </c>
      <c r="I1526" t="s">
        <v>122</v>
      </c>
      <c r="J1526">
        <v>1</v>
      </c>
      <c r="K1526">
        <v>1</v>
      </c>
      <c r="L1526">
        <v>3</v>
      </c>
      <c r="M1526">
        <v>115</v>
      </c>
      <c r="N1526">
        <v>358</v>
      </c>
      <c r="O1526">
        <v>10</v>
      </c>
      <c r="P1526">
        <v>358</v>
      </c>
      <c r="Q1526">
        <v>0</v>
      </c>
      <c r="R1526">
        <v>130</v>
      </c>
      <c r="S1526">
        <v>1</v>
      </c>
      <c r="T1526">
        <v>53</v>
      </c>
      <c r="U1526">
        <v>1</v>
      </c>
      <c r="V1526">
        <v>0</v>
      </c>
      <c r="W1526">
        <v>2</v>
      </c>
      <c r="X1526">
        <v>151</v>
      </c>
      <c r="Y1526">
        <v>6</v>
      </c>
      <c r="Z1526">
        <v>2</v>
      </c>
      <c r="AA1526">
        <v>8</v>
      </c>
      <c r="AB1526">
        <v>0</v>
      </c>
      <c r="AW1526">
        <v>0</v>
      </c>
      <c r="AX1526">
        <v>4</v>
      </c>
      <c r="AY1526">
        <v>358</v>
      </c>
      <c r="AZ1526">
        <v>358</v>
      </c>
      <c r="BA1526">
        <v>429</v>
      </c>
      <c r="BB1526">
        <v>44</v>
      </c>
      <c r="BD1526">
        <v>1</v>
      </c>
      <c r="BF1526" t="s">
        <v>1668</v>
      </c>
      <c r="BG1526" s="1">
        <v>44354.080555555556</v>
      </c>
      <c r="BH1526" s="1">
        <v>44354.088287037041</v>
      </c>
      <c r="BI1526" s="1">
        <v>44354.088506944441</v>
      </c>
      <c r="BJ1526" t="s">
        <v>85</v>
      </c>
      <c r="BK1526" t="s">
        <v>86</v>
      </c>
      <c r="BL1526" t="s">
        <v>87</v>
      </c>
    </row>
    <row r="1527" spans="1:64" x14ac:dyDescent="0.3">
      <c r="A1527" t="str">
        <f>"200858E0200"</f>
        <v>200858E0200</v>
      </c>
      <c r="B1527" t="str">
        <f>"200858E02003"</f>
        <v>200858E02003</v>
      </c>
      <c r="C1527" t="str">
        <f t="shared" si="87"/>
        <v>20</v>
      </c>
      <c r="D1527" t="s">
        <v>81</v>
      </c>
      <c r="E1527" t="str">
        <f t="shared" si="89"/>
        <v>131</v>
      </c>
      <c r="F1527" t="s">
        <v>1640</v>
      </c>
      <c r="G1527" t="str">
        <f>"0858"</f>
        <v>0858</v>
      </c>
      <c r="H1527" t="str">
        <f>"0002"</f>
        <v>0002</v>
      </c>
      <c r="I1527" t="s">
        <v>122</v>
      </c>
      <c r="J1527">
        <v>0</v>
      </c>
      <c r="K1527">
        <v>1</v>
      </c>
      <c r="L1527">
        <v>3</v>
      </c>
      <c r="M1527">
        <v>135</v>
      </c>
      <c r="N1527">
        <v>116</v>
      </c>
      <c r="O1527">
        <v>6</v>
      </c>
      <c r="P1527" t="s">
        <v>92</v>
      </c>
      <c r="Q1527">
        <v>0</v>
      </c>
      <c r="R1527">
        <v>45</v>
      </c>
      <c r="S1527">
        <v>0</v>
      </c>
      <c r="T1527">
        <v>0</v>
      </c>
      <c r="U1527">
        <v>0</v>
      </c>
      <c r="V1527">
        <v>0</v>
      </c>
      <c r="W1527">
        <v>3</v>
      </c>
      <c r="X1527">
        <v>57</v>
      </c>
      <c r="Y1527">
        <v>7</v>
      </c>
      <c r="Z1527">
        <v>1</v>
      </c>
      <c r="AA1527">
        <v>1</v>
      </c>
      <c r="AB1527">
        <v>0</v>
      </c>
      <c r="AW1527">
        <v>0</v>
      </c>
      <c r="AX1527">
        <v>2</v>
      </c>
      <c r="AY1527" t="s">
        <v>131</v>
      </c>
      <c r="AZ1527">
        <v>116</v>
      </c>
      <c r="BA1527">
        <v>207</v>
      </c>
      <c r="BB1527">
        <v>44</v>
      </c>
      <c r="BD1527">
        <v>1</v>
      </c>
      <c r="BF1527" t="s">
        <v>1669</v>
      </c>
      <c r="BG1527" s="1">
        <v>44354.146527777775</v>
      </c>
      <c r="BH1527" s="1">
        <v>44354.150034722225</v>
      </c>
      <c r="BI1527" s="1">
        <v>44354.150439814817</v>
      </c>
      <c r="BJ1527" t="s">
        <v>85</v>
      </c>
      <c r="BK1527" t="s">
        <v>86</v>
      </c>
      <c r="BL1527" t="s">
        <v>87</v>
      </c>
    </row>
    <row r="1528" spans="1:64" x14ac:dyDescent="0.3">
      <c r="A1528" t="str">
        <f>"200859B0000"</f>
        <v>200859B0000</v>
      </c>
      <c r="B1528" t="str">
        <f>"200859B00003"</f>
        <v>200859B00003</v>
      </c>
      <c r="C1528" t="str">
        <f t="shared" si="87"/>
        <v>20</v>
      </c>
      <c r="D1528" t="s">
        <v>81</v>
      </c>
      <c r="E1528" t="str">
        <f t="shared" si="89"/>
        <v>131</v>
      </c>
      <c r="F1528" t="s">
        <v>1640</v>
      </c>
      <c r="G1528" t="str">
        <f>"0859"</f>
        <v>0859</v>
      </c>
      <c r="H1528" t="str">
        <f>"0000"</f>
        <v>0000</v>
      </c>
      <c r="I1528" t="s">
        <v>83</v>
      </c>
      <c r="J1528">
        <v>0</v>
      </c>
      <c r="K1528">
        <v>1</v>
      </c>
      <c r="L1528">
        <v>3</v>
      </c>
      <c r="M1528">
        <v>121</v>
      </c>
      <c r="N1528">
        <v>453</v>
      </c>
      <c r="O1528">
        <v>5</v>
      </c>
      <c r="P1528" t="s">
        <v>92</v>
      </c>
      <c r="Q1528">
        <v>2</v>
      </c>
      <c r="R1528">
        <v>135</v>
      </c>
      <c r="S1528">
        <v>0</v>
      </c>
      <c r="T1528">
        <v>88</v>
      </c>
      <c r="U1528">
        <v>1</v>
      </c>
      <c r="V1528">
        <v>3</v>
      </c>
      <c r="W1528">
        <v>11</v>
      </c>
      <c r="X1528">
        <v>207</v>
      </c>
      <c r="Y1528">
        <v>1</v>
      </c>
      <c r="Z1528">
        <v>1</v>
      </c>
      <c r="AA1528">
        <v>3</v>
      </c>
      <c r="AB1528">
        <v>0</v>
      </c>
      <c r="AW1528">
        <v>0</v>
      </c>
      <c r="AX1528">
        <v>1</v>
      </c>
      <c r="AY1528">
        <v>453</v>
      </c>
      <c r="AZ1528">
        <v>453</v>
      </c>
      <c r="BA1528">
        <v>530</v>
      </c>
      <c r="BB1528">
        <v>44</v>
      </c>
      <c r="BD1528">
        <v>1</v>
      </c>
      <c r="BF1528" t="s">
        <v>1670</v>
      </c>
      <c r="BG1528" s="1">
        <v>44354.159722222219</v>
      </c>
      <c r="BH1528" s="1">
        <v>44354.162951388891</v>
      </c>
      <c r="BI1528" s="1">
        <v>44354.163946759261</v>
      </c>
      <c r="BJ1528" t="s">
        <v>85</v>
      </c>
      <c r="BK1528" t="s">
        <v>86</v>
      </c>
      <c r="BL1528" t="s">
        <v>87</v>
      </c>
    </row>
    <row r="1529" spans="1:64" x14ac:dyDescent="0.3">
      <c r="A1529" t="str">
        <f>"200859C0100"</f>
        <v>200859C0100</v>
      </c>
      <c r="B1529" t="str">
        <f>"200859C01003"</f>
        <v>200859C01003</v>
      </c>
      <c r="C1529" t="str">
        <f t="shared" si="87"/>
        <v>20</v>
      </c>
      <c r="D1529" t="s">
        <v>81</v>
      </c>
      <c r="E1529" t="str">
        <f t="shared" si="89"/>
        <v>131</v>
      </c>
      <c r="F1529" t="s">
        <v>1640</v>
      </c>
      <c r="G1529" t="str">
        <f>"0859"</f>
        <v>0859</v>
      </c>
      <c r="H1529" t="str">
        <f>"0001"</f>
        <v>0001</v>
      </c>
      <c r="I1529" t="s">
        <v>89</v>
      </c>
      <c r="J1529">
        <v>0</v>
      </c>
      <c r="K1529">
        <v>1</v>
      </c>
      <c r="L1529">
        <v>3</v>
      </c>
      <c r="BA1529">
        <v>529</v>
      </c>
      <c r="BB1529">
        <v>44</v>
      </c>
      <c r="BC1529" t="s">
        <v>381</v>
      </c>
      <c r="BD1529">
        <v>0</v>
      </c>
      <c r="BF1529" t="s">
        <v>1671</v>
      </c>
      <c r="BG1529" s="1">
        <v>44354.234722222223</v>
      </c>
      <c r="BH1529" s="1">
        <v>44354.24113425926</v>
      </c>
      <c r="BI1529" s="1">
        <v>44354.24113425926</v>
      </c>
      <c r="BJ1529" t="s">
        <v>85</v>
      </c>
      <c r="BK1529" t="s">
        <v>86</v>
      </c>
      <c r="BL1529" t="s">
        <v>87</v>
      </c>
    </row>
    <row r="1530" spans="1:64" x14ac:dyDescent="0.3">
      <c r="A1530" t="str">
        <f>"200860B0000"</f>
        <v>200860B0000</v>
      </c>
      <c r="B1530" t="str">
        <f>"200860B00003"</f>
        <v>200860B00003</v>
      </c>
      <c r="C1530" t="str">
        <f t="shared" si="87"/>
        <v>20</v>
      </c>
      <c r="D1530" t="s">
        <v>81</v>
      </c>
      <c r="E1530" t="str">
        <f t="shared" si="89"/>
        <v>131</v>
      </c>
      <c r="F1530" t="s">
        <v>1640</v>
      </c>
      <c r="G1530" t="str">
        <f>"0860"</f>
        <v>0860</v>
      </c>
      <c r="H1530" t="str">
        <f>"0000"</f>
        <v>0000</v>
      </c>
      <c r="I1530" t="s">
        <v>83</v>
      </c>
      <c r="J1530">
        <v>0</v>
      </c>
      <c r="K1530">
        <v>1</v>
      </c>
      <c r="L1530">
        <v>3</v>
      </c>
      <c r="M1530">
        <v>142</v>
      </c>
      <c r="N1530">
        <v>558</v>
      </c>
      <c r="O1530">
        <v>10</v>
      </c>
      <c r="P1530">
        <v>558</v>
      </c>
      <c r="Q1530" t="s">
        <v>131</v>
      </c>
      <c r="R1530">
        <v>208</v>
      </c>
      <c r="S1530">
        <v>2</v>
      </c>
      <c r="T1530">
        <v>91</v>
      </c>
      <c r="U1530">
        <v>3</v>
      </c>
      <c r="V1530">
        <v>0</v>
      </c>
      <c r="W1530">
        <v>8</v>
      </c>
      <c r="X1530">
        <v>198</v>
      </c>
      <c r="Y1530">
        <v>15</v>
      </c>
      <c r="Z1530">
        <v>0</v>
      </c>
      <c r="AA1530">
        <v>18</v>
      </c>
      <c r="AB1530">
        <v>3</v>
      </c>
      <c r="AW1530">
        <v>0</v>
      </c>
      <c r="AX1530">
        <v>12</v>
      </c>
      <c r="AY1530">
        <v>558</v>
      </c>
      <c r="AZ1530">
        <v>558</v>
      </c>
      <c r="BA1530">
        <v>656</v>
      </c>
      <c r="BB1530">
        <v>44</v>
      </c>
      <c r="BC1530" t="s">
        <v>96</v>
      </c>
      <c r="BD1530">
        <v>1</v>
      </c>
      <c r="BF1530" t="s">
        <v>1672</v>
      </c>
      <c r="BG1530" s="1">
        <v>44354.105555555558</v>
      </c>
      <c r="BH1530" s="1">
        <v>44354.108796296299</v>
      </c>
      <c r="BI1530" s="1">
        <v>44354.109224537038</v>
      </c>
      <c r="BJ1530" t="s">
        <v>85</v>
      </c>
      <c r="BK1530" t="s">
        <v>86</v>
      </c>
      <c r="BL1530" t="s">
        <v>87</v>
      </c>
    </row>
    <row r="1531" spans="1:64" x14ac:dyDescent="0.3">
      <c r="A1531" t="str">
        <f>"200861B0000"</f>
        <v>200861B0000</v>
      </c>
      <c r="B1531" t="str">
        <f>"200861B00003"</f>
        <v>200861B00003</v>
      </c>
      <c r="C1531" t="str">
        <f t="shared" si="87"/>
        <v>20</v>
      </c>
      <c r="D1531" t="s">
        <v>81</v>
      </c>
      <c r="E1531" t="str">
        <f t="shared" si="89"/>
        <v>131</v>
      </c>
      <c r="F1531" t="s">
        <v>1640</v>
      </c>
      <c r="G1531" t="str">
        <f>"0861"</f>
        <v>0861</v>
      </c>
      <c r="H1531" t="str">
        <f>"0000"</f>
        <v>0000</v>
      </c>
      <c r="I1531" t="s">
        <v>83</v>
      </c>
      <c r="J1531">
        <v>0</v>
      </c>
      <c r="K1531">
        <v>1</v>
      </c>
      <c r="L1531">
        <v>3</v>
      </c>
      <c r="M1531">
        <v>157</v>
      </c>
      <c r="N1531">
        <v>544</v>
      </c>
      <c r="O1531">
        <v>0</v>
      </c>
      <c r="P1531" t="s">
        <v>92</v>
      </c>
      <c r="Q1531">
        <v>0</v>
      </c>
      <c r="R1531">
        <v>126</v>
      </c>
      <c r="S1531">
        <v>0</v>
      </c>
      <c r="T1531">
        <v>205</v>
      </c>
      <c r="U1531">
        <v>0</v>
      </c>
      <c r="V1531">
        <v>3</v>
      </c>
      <c r="W1531">
        <v>5</v>
      </c>
      <c r="X1531">
        <v>173</v>
      </c>
      <c r="Y1531">
        <v>12</v>
      </c>
      <c r="Z1531">
        <v>1</v>
      </c>
      <c r="AA1531">
        <v>5</v>
      </c>
      <c r="AB1531">
        <v>3</v>
      </c>
      <c r="AW1531">
        <v>0</v>
      </c>
      <c r="AX1531">
        <v>10</v>
      </c>
      <c r="AY1531">
        <v>543</v>
      </c>
      <c r="AZ1531">
        <v>543</v>
      </c>
      <c r="BA1531">
        <v>657</v>
      </c>
      <c r="BB1531">
        <v>44</v>
      </c>
      <c r="BD1531">
        <v>1</v>
      </c>
      <c r="BF1531" t="s">
        <v>1673</v>
      </c>
      <c r="BG1531" s="1">
        <v>44353.998611111114</v>
      </c>
      <c r="BH1531" s="1">
        <v>44354.004895833335</v>
      </c>
      <c r="BI1531" s="1">
        <v>44354.005520833336</v>
      </c>
      <c r="BJ1531" t="s">
        <v>85</v>
      </c>
      <c r="BK1531" t="s">
        <v>86</v>
      </c>
      <c r="BL1531" t="s">
        <v>87</v>
      </c>
    </row>
    <row r="1532" spans="1:64" x14ac:dyDescent="0.3">
      <c r="A1532" t="str">
        <f>"200861C0100"</f>
        <v>200861C0100</v>
      </c>
      <c r="B1532" t="str">
        <f>"200861C01003"</f>
        <v>200861C01003</v>
      </c>
      <c r="C1532" t="str">
        <f t="shared" si="87"/>
        <v>20</v>
      </c>
      <c r="D1532" t="s">
        <v>81</v>
      </c>
      <c r="E1532" t="str">
        <f t="shared" si="89"/>
        <v>131</v>
      </c>
      <c r="F1532" t="s">
        <v>1640</v>
      </c>
      <c r="G1532" t="str">
        <f>"0861"</f>
        <v>0861</v>
      </c>
      <c r="H1532" t="str">
        <f>"0001"</f>
        <v>0001</v>
      </c>
      <c r="I1532" t="s">
        <v>89</v>
      </c>
      <c r="J1532">
        <v>0</v>
      </c>
      <c r="K1532">
        <v>1</v>
      </c>
      <c r="L1532">
        <v>3</v>
      </c>
      <c r="M1532">
        <v>119</v>
      </c>
      <c r="N1532">
        <v>581</v>
      </c>
      <c r="O1532">
        <v>0</v>
      </c>
      <c r="P1532">
        <v>583</v>
      </c>
      <c r="Q1532">
        <v>0</v>
      </c>
      <c r="R1532">
        <v>141</v>
      </c>
      <c r="S1532">
        <v>1</v>
      </c>
      <c r="T1532">
        <v>163</v>
      </c>
      <c r="U1532">
        <v>1</v>
      </c>
      <c r="V1532">
        <v>0</v>
      </c>
      <c r="W1532">
        <v>4</v>
      </c>
      <c r="X1532">
        <v>254</v>
      </c>
      <c r="Y1532">
        <v>6</v>
      </c>
      <c r="Z1532">
        <v>0</v>
      </c>
      <c r="AA1532">
        <v>6</v>
      </c>
      <c r="AB1532">
        <v>1</v>
      </c>
      <c r="AW1532" t="s">
        <v>95</v>
      </c>
      <c r="AX1532">
        <v>5</v>
      </c>
      <c r="AY1532">
        <v>582</v>
      </c>
      <c r="AZ1532">
        <v>582</v>
      </c>
      <c r="BA1532">
        <v>657</v>
      </c>
      <c r="BB1532">
        <v>44</v>
      </c>
      <c r="BC1532" t="s">
        <v>96</v>
      </c>
      <c r="BD1532">
        <v>1</v>
      </c>
      <c r="BF1532" t="s">
        <v>1674</v>
      </c>
      <c r="BG1532" s="1">
        <v>44354.000694444447</v>
      </c>
      <c r="BH1532" s="1">
        <v>44354.006006944444</v>
      </c>
      <c r="BI1532" s="1">
        <v>44354.006678240738</v>
      </c>
      <c r="BJ1532" t="s">
        <v>85</v>
      </c>
      <c r="BK1532" t="s">
        <v>86</v>
      </c>
      <c r="BL1532" t="s">
        <v>87</v>
      </c>
    </row>
    <row r="1533" spans="1:64" x14ac:dyDescent="0.3">
      <c r="A1533" t="str">
        <f>"200861E0100"</f>
        <v>200861E0100</v>
      </c>
      <c r="B1533" t="str">
        <f>"200861E01003"</f>
        <v>200861E01003</v>
      </c>
      <c r="C1533" t="str">
        <f t="shared" si="87"/>
        <v>20</v>
      </c>
      <c r="D1533" t="s">
        <v>81</v>
      </c>
      <c r="E1533" t="str">
        <f t="shared" si="89"/>
        <v>131</v>
      </c>
      <c r="F1533" t="s">
        <v>1640</v>
      </c>
      <c r="G1533" t="str">
        <f>"0861"</f>
        <v>0861</v>
      </c>
      <c r="H1533" t="str">
        <f>"0001"</f>
        <v>0001</v>
      </c>
      <c r="I1533" t="s">
        <v>122</v>
      </c>
      <c r="J1533">
        <v>0</v>
      </c>
      <c r="K1533">
        <v>1</v>
      </c>
      <c r="L1533">
        <v>3</v>
      </c>
      <c r="M1533">
        <v>163</v>
      </c>
      <c r="N1533">
        <v>605</v>
      </c>
      <c r="O1533">
        <v>0</v>
      </c>
      <c r="P1533">
        <v>605</v>
      </c>
      <c r="Q1533">
        <v>1</v>
      </c>
      <c r="R1533">
        <v>224</v>
      </c>
      <c r="S1533">
        <v>1</v>
      </c>
      <c r="T1533">
        <v>117</v>
      </c>
      <c r="U1533">
        <v>1</v>
      </c>
      <c r="V1533">
        <v>2</v>
      </c>
      <c r="W1533">
        <v>10</v>
      </c>
      <c r="X1533">
        <v>212</v>
      </c>
      <c r="Y1533">
        <v>3</v>
      </c>
      <c r="Z1533">
        <v>1</v>
      </c>
      <c r="AA1533">
        <v>22</v>
      </c>
      <c r="AB1533">
        <v>1</v>
      </c>
      <c r="AW1533" t="s">
        <v>95</v>
      </c>
      <c r="AX1533">
        <v>10</v>
      </c>
      <c r="AY1533">
        <v>605</v>
      </c>
      <c r="AZ1533">
        <v>605</v>
      </c>
      <c r="BA1533">
        <v>724</v>
      </c>
      <c r="BB1533">
        <v>44</v>
      </c>
      <c r="BC1533" t="s">
        <v>96</v>
      </c>
      <c r="BD1533">
        <v>1</v>
      </c>
      <c r="BF1533" t="s">
        <v>1675</v>
      </c>
      <c r="BG1533" s="1">
        <v>44354.109027777777</v>
      </c>
      <c r="BH1533" s="1">
        <v>44354.113252314812</v>
      </c>
      <c r="BI1533" s="1">
        <v>44354.113923611112</v>
      </c>
      <c r="BJ1533" t="s">
        <v>85</v>
      </c>
      <c r="BK1533" t="s">
        <v>86</v>
      </c>
      <c r="BL1533" t="s">
        <v>87</v>
      </c>
    </row>
    <row r="1534" spans="1:64" x14ac:dyDescent="0.3">
      <c r="A1534" t="str">
        <f>"200861E0200"</f>
        <v>200861E0200</v>
      </c>
      <c r="B1534" t="str">
        <f>"200861E02003"</f>
        <v>200861E02003</v>
      </c>
      <c r="C1534" t="str">
        <f t="shared" si="87"/>
        <v>20</v>
      </c>
      <c r="D1534" t="s">
        <v>81</v>
      </c>
      <c r="E1534" t="str">
        <f t="shared" si="89"/>
        <v>131</v>
      </c>
      <c r="F1534" t="s">
        <v>1640</v>
      </c>
      <c r="G1534" t="str">
        <f>"0861"</f>
        <v>0861</v>
      </c>
      <c r="H1534" t="str">
        <f>"0002"</f>
        <v>0002</v>
      </c>
      <c r="I1534" t="s">
        <v>122</v>
      </c>
      <c r="J1534">
        <v>0</v>
      </c>
      <c r="K1534">
        <v>1</v>
      </c>
      <c r="L1534">
        <v>3</v>
      </c>
      <c r="M1534">
        <v>109</v>
      </c>
      <c r="N1534">
        <v>383</v>
      </c>
      <c r="O1534">
        <v>0</v>
      </c>
      <c r="P1534">
        <v>386</v>
      </c>
      <c r="Q1534">
        <v>0</v>
      </c>
      <c r="R1534">
        <v>157</v>
      </c>
      <c r="S1534">
        <v>2</v>
      </c>
      <c r="T1534">
        <v>49</v>
      </c>
      <c r="U1534">
        <v>2</v>
      </c>
      <c r="V1534">
        <v>2</v>
      </c>
      <c r="W1534">
        <v>1</v>
      </c>
      <c r="X1534">
        <v>159</v>
      </c>
      <c r="Y1534">
        <v>1</v>
      </c>
      <c r="Z1534">
        <v>0</v>
      </c>
      <c r="AA1534">
        <v>7</v>
      </c>
      <c r="AB1534">
        <v>3</v>
      </c>
      <c r="AW1534">
        <v>0</v>
      </c>
      <c r="AX1534">
        <v>3</v>
      </c>
      <c r="AY1534">
        <v>386</v>
      </c>
      <c r="AZ1534">
        <v>386</v>
      </c>
      <c r="BA1534">
        <v>451</v>
      </c>
      <c r="BB1534">
        <v>44</v>
      </c>
      <c r="BD1534">
        <v>1</v>
      </c>
      <c r="BF1534" t="s">
        <v>1676</v>
      </c>
      <c r="BG1534" s="1">
        <v>44354.022222222222</v>
      </c>
      <c r="BH1534" s="1">
        <v>44354.030046296299</v>
      </c>
      <c r="BI1534" s="1">
        <v>44354.030717592592</v>
      </c>
      <c r="BJ1534" t="s">
        <v>85</v>
      </c>
      <c r="BK1534" t="s">
        <v>86</v>
      </c>
      <c r="BL1534" t="s">
        <v>87</v>
      </c>
    </row>
    <row r="1535" spans="1:64" x14ac:dyDescent="0.3">
      <c r="A1535" t="str">
        <f>"200866B0000"</f>
        <v>200866B0000</v>
      </c>
      <c r="B1535" t="str">
        <f>"200866B00003"</f>
        <v>200866B00003</v>
      </c>
      <c r="C1535" t="str">
        <f t="shared" si="87"/>
        <v>20</v>
      </c>
      <c r="D1535" t="s">
        <v>81</v>
      </c>
      <c r="E1535" t="str">
        <f t="shared" ref="E1535:E1552" si="90">"133"</f>
        <v>133</v>
      </c>
      <c r="F1535" t="s">
        <v>1677</v>
      </c>
      <c r="G1535" t="str">
        <f>"0866"</f>
        <v>0866</v>
      </c>
      <c r="H1535" t="str">
        <f>"0000"</f>
        <v>0000</v>
      </c>
      <c r="I1535" t="s">
        <v>83</v>
      </c>
      <c r="J1535">
        <v>0</v>
      </c>
      <c r="K1535">
        <v>1</v>
      </c>
      <c r="L1535">
        <v>3</v>
      </c>
      <c r="M1535">
        <v>129</v>
      </c>
      <c r="N1535">
        <v>575</v>
      </c>
      <c r="O1535">
        <v>0</v>
      </c>
      <c r="P1535">
        <v>575</v>
      </c>
      <c r="Q1535">
        <v>109</v>
      </c>
      <c r="R1535">
        <v>21</v>
      </c>
      <c r="S1535">
        <v>3</v>
      </c>
      <c r="T1535">
        <v>101</v>
      </c>
      <c r="U1535">
        <v>0</v>
      </c>
      <c r="V1535">
        <v>13</v>
      </c>
      <c r="W1535">
        <v>112</v>
      </c>
      <c r="X1535">
        <v>204</v>
      </c>
      <c r="Y1535">
        <v>0</v>
      </c>
      <c r="Z1535">
        <v>0</v>
      </c>
      <c r="AA1535">
        <v>3</v>
      </c>
      <c r="AF1535">
        <v>3</v>
      </c>
      <c r="AG1535">
        <v>1</v>
      </c>
      <c r="AH1535">
        <v>0</v>
      </c>
      <c r="AI1535">
        <v>0</v>
      </c>
      <c r="AV1535">
        <v>0</v>
      </c>
      <c r="AW1535">
        <v>0</v>
      </c>
      <c r="AX1535">
        <v>5</v>
      </c>
      <c r="AY1535">
        <v>575</v>
      </c>
      <c r="AZ1535">
        <v>575</v>
      </c>
      <c r="BA1535">
        <v>660</v>
      </c>
      <c r="BB1535">
        <v>44</v>
      </c>
      <c r="BD1535">
        <v>1</v>
      </c>
      <c r="BF1535" t="s">
        <v>1678</v>
      </c>
      <c r="BG1535" s="1">
        <v>44354.068749999999</v>
      </c>
      <c r="BH1535" s="1">
        <v>44354.075636574074</v>
      </c>
      <c r="BI1535" s="1">
        <v>44354.076319444444</v>
      </c>
      <c r="BJ1535" t="s">
        <v>85</v>
      </c>
      <c r="BK1535" t="s">
        <v>86</v>
      </c>
      <c r="BL1535" t="s">
        <v>87</v>
      </c>
    </row>
    <row r="1536" spans="1:64" x14ac:dyDescent="0.3">
      <c r="A1536" t="str">
        <f>"200866C0100"</f>
        <v>200866C0100</v>
      </c>
      <c r="B1536" t="str">
        <f>"200866C01003"</f>
        <v>200866C01003</v>
      </c>
      <c r="C1536" t="str">
        <f t="shared" si="87"/>
        <v>20</v>
      </c>
      <c r="D1536" t="s">
        <v>81</v>
      </c>
      <c r="E1536" t="str">
        <f t="shared" si="90"/>
        <v>133</v>
      </c>
      <c r="F1536" t="s">
        <v>1677</v>
      </c>
      <c r="G1536" t="str">
        <f>"0866"</f>
        <v>0866</v>
      </c>
      <c r="H1536" t="str">
        <f>"0001"</f>
        <v>0001</v>
      </c>
      <c r="I1536" t="s">
        <v>89</v>
      </c>
      <c r="J1536">
        <v>0</v>
      </c>
      <c r="K1536">
        <v>1</v>
      </c>
      <c r="L1536">
        <v>3</v>
      </c>
      <c r="M1536">
        <v>128</v>
      </c>
      <c r="N1536">
        <v>575</v>
      </c>
      <c r="O1536">
        <v>4</v>
      </c>
      <c r="P1536">
        <v>575</v>
      </c>
      <c r="Q1536">
        <v>144</v>
      </c>
      <c r="R1536">
        <v>30</v>
      </c>
      <c r="S1536">
        <v>2</v>
      </c>
      <c r="T1536">
        <v>93</v>
      </c>
      <c r="U1536">
        <v>0</v>
      </c>
      <c r="V1536">
        <v>14</v>
      </c>
      <c r="W1536">
        <v>106</v>
      </c>
      <c r="X1536">
        <v>180</v>
      </c>
      <c r="Y1536">
        <v>1</v>
      </c>
      <c r="Z1536">
        <v>1</v>
      </c>
      <c r="AA1536">
        <v>2</v>
      </c>
      <c r="AF1536">
        <v>2</v>
      </c>
      <c r="AG1536">
        <v>0</v>
      </c>
      <c r="AH1536">
        <v>0</v>
      </c>
      <c r="AI1536">
        <v>0</v>
      </c>
      <c r="AV1536">
        <v>0</v>
      </c>
      <c r="AW1536">
        <v>0</v>
      </c>
      <c r="AX1536">
        <v>0</v>
      </c>
      <c r="AY1536">
        <v>575</v>
      </c>
      <c r="AZ1536">
        <v>575</v>
      </c>
      <c r="BA1536">
        <v>659</v>
      </c>
      <c r="BB1536">
        <v>44</v>
      </c>
      <c r="BD1536">
        <v>1</v>
      </c>
      <c r="BF1536" s="2" t="s">
        <v>1679</v>
      </c>
      <c r="BG1536" s="1">
        <v>44354.042361111111</v>
      </c>
      <c r="BH1536" s="1">
        <v>44354.052546296298</v>
      </c>
      <c r="BI1536" s="1">
        <v>44354.052928240744</v>
      </c>
      <c r="BJ1536" t="s">
        <v>85</v>
      </c>
      <c r="BK1536" t="s">
        <v>86</v>
      </c>
      <c r="BL1536" t="s">
        <v>87</v>
      </c>
    </row>
    <row r="1537" spans="1:64" x14ac:dyDescent="0.3">
      <c r="A1537" t="str">
        <f>"200866C0200"</f>
        <v>200866C0200</v>
      </c>
      <c r="B1537" t="str">
        <f>"200866C02003"</f>
        <v>200866C02003</v>
      </c>
      <c r="C1537" t="str">
        <f t="shared" si="87"/>
        <v>20</v>
      </c>
      <c r="D1537" t="s">
        <v>81</v>
      </c>
      <c r="E1537" t="str">
        <f t="shared" si="90"/>
        <v>133</v>
      </c>
      <c r="F1537" t="s">
        <v>1677</v>
      </c>
      <c r="G1537" t="str">
        <f>"0866"</f>
        <v>0866</v>
      </c>
      <c r="H1537" t="str">
        <f>"0002"</f>
        <v>0002</v>
      </c>
      <c r="I1537" t="s">
        <v>89</v>
      </c>
      <c r="J1537">
        <v>0</v>
      </c>
      <c r="K1537">
        <v>1</v>
      </c>
      <c r="L1537">
        <v>3</v>
      </c>
      <c r="M1537">
        <v>108</v>
      </c>
      <c r="N1537">
        <v>595</v>
      </c>
      <c r="O1537">
        <v>9</v>
      </c>
      <c r="P1537">
        <v>595</v>
      </c>
      <c r="Q1537">
        <v>118</v>
      </c>
      <c r="R1537">
        <v>34</v>
      </c>
      <c r="S1537">
        <v>2</v>
      </c>
      <c r="T1537">
        <v>89</v>
      </c>
      <c r="U1537">
        <v>0</v>
      </c>
      <c r="V1537">
        <v>14</v>
      </c>
      <c r="W1537">
        <v>142</v>
      </c>
      <c r="X1537">
        <v>189</v>
      </c>
      <c r="Y1537">
        <v>0</v>
      </c>
      <c r="Z1537">
        <v>0</v>
      </c>
      <c r="AA1537">
        <v>0</v>
      </c>
      <c r="AF1537">
        <v>5</v>
      </c>
      <c r="AG1537">
        <v>0</v>
      </c>
      <c r="AH1537">
        <v>0</v>
      </c>
      <c r="AI1537">
        <v>1</v>
      </c>
      <c r="AV1537">
        <v>0</v>
      </c>
      <c r="AW1537">
        <v>0</v>
      </c>
      <c r="AX1537">
        <v>1</v>
      </c>
      <c r="AY1537">
        <v>595</v>
      </c>
      <c r="AZ1537">
        <v>595</v>
      </c>
      <c r="BA1537">
        <v>659</v>
      </c>
      <c r="BB1537">
        <v>44</v>
      </c>
      <c r="BD1537">
        <v>1</v>
      </c>
      <c r="BF1537" t="s">
        <v>1680</v>
      </c>
      <c r="BG1537" s="1">
        <v>44354.045138888891</v>
      </c>
      <c r="BH1537" s="1">
        <v>44354.053055555552</v>
      </c>
      <c r="BI1537" s="1">
        <v>44354.053854166668</v>
      </c>
      <c r="BJ1537" t="s">
        <v>85</v>
      </c>
      <c r="BK1537" t="s">
        <v>86</v>
      </c>
      <c r="BL1537" t="s">
        <v>87</v>
      </c>
    </row>
    <row r="1538" spans="1:64" x14ac:dyDescent="0.3">
      <c r="A1538" t="str">
        <f>"200866E0100"</f>
        <v>200866E0100</v>
      </c>
      <c r="B1538" t="str">
        <f>"200866E01003"</f>
        <v>200866E01003</v>
      </c>
      <c r="C1538" t="str">
        <f t="shared" si="87"/>
        <v>20</v>
      </c>
      <c r="D1538" t="s">
        <v>81</v>
      </c>
      <c r="E1538" t="str">
        <f t="shared" si="90"/>
        <v>133</v>
      </c>
      <c r="F1538" t="s">
        <v>1677</v>
      </c>
      <c r="G1538" t="str">
        <f>"0866"</f>
        <v>0866</v>
      </c>
      <c r="H1538" t="str">
        <f>"0001"</f>
        <v>0001</v>
      </c>
      <c r="I1538" t="s">
        <v>122</v>
      </c>
      <c r="J1538">
        <v>0</v>
      </c>
      <c r="K1538">
        <v>1</v>
      </c>
      <c r="L1538">
        <v>3</v>
      </c>
      <c r="M1538">
        <v>72</v>
      </c>
      <c r="N1538">
        <v>166</v>
      </c>
      <c r="O1538">
        <v>8</v>
      </c>
      <c r="P1538">
        <v>166</v>
      </c>
      <c r="Q1538">
        <v>68</v>
      </c>
      <c r="R1538">
        <v>2</v>
      </c>
      <c r="S1538">
        <v>0</v>
      </c>
      <c r="T1538">
        <v>15</v>
      </c>
      <c r="U1538">
        <v>0</v>
      </c>
      <c r="V1538">
        <v>0</v>
      </c>
      <c r="W1538">
        <v>45</v>
      </c>
      <c r="X1538">
        <v>36</v>
      </c>
      <c r="Y1538">
        <v>0</v>
      </c>
      <c r="Z1538">
        <v>0</v>
      </c>
      <c r="AA1538">
        <v>0</v>
      </c>
      <c r="AF1538">
        <v>0</v>
      </c>
      <c r="AG1538">
        <v>0</v>
      </c>
      <c r="AH1538">
        <v>0</v>
      </c>
      <c r="AI1538">
        <v>0</v>
      </c>
      <c r="AV1538">
        <v>0</v>
      </c>
      <c r="AW1538">
        <v>0</v>
      </c>
      <c r="AX1538">
        <v>0</v>
      </c>
      <c r="AY1538">
        <v>166</v>
      </c>
      <c r="AZ1538">
        <v>166</v>
      </c>
      <c r="BA1538">
        <v>194</v>
      </c>
      <c r="BB1538">
        <v>44</v>
      </c>
      <c r="BD1538">
        <v>1</v>
      </c>
      <c r="BF1538" t="s">
        <v>1681</v>
      </c>
      <c r="BG1538" s="1">
        <v>44353.990277777775</v>
      </c>
      <c r="BH1538" s="1">
        <v>44354.028229166666</v>
      </c>
      <c r="BI1538" s="1">
        <v>44354.028680555559</v>
      </c>
      <c r="BJ1538" t="s">
        <v>85</v>
      </c>
      <c r="BK1538" t="s">
        <v>86</v>
      </c>
      <c r="BL1538" t="s">
        <v>87</v>
      </c>
    </row>
    <row r="1539" spans="1:64" x14ac:dyDescent="0.3">
      <c r="A1539" t="str">
        <f>"200867B0000"</f>
        <v>200867B0000</v>
      </c>
      <c r="B1539" t="str">
        <f>"200867B00003"</f>
        <v>200867B00003</v>
      </c>
      <c r="C1539" t="str">
        <f t="shared" si="87"/>
        <v>20</v>
      </c>
      <c r="D1539" t="s">
        <v>81</v>
      </c>
      <c r="E1539" t="str">
        <f t="shared" si="90"/>
        <v>133</v>
      </c>
      <c r="F1539" t="s">
        <v>1677</v>
      </c>
      <c r="G1539" t="str">
        <f>"0867"</f>
        <v>0867</v>
      </c>
      <c r="H1539" t="str">
        <f>"0000"</f>
        <v>0000</v>
      </c>
      <c r="I1539" t="s">
        <v>83</v>
      </c>
      <c r="J1539">
        <v>0</v>
      </c>
      <c r="K1539">
        <v>1</v>
      </c>
      <c r="L1539">
        <v>3</v>
      </c>
      <c r="M1539">
        <v>116</v>
      </c>
      <c r="N1539">
        <v>512</v>
      </c>
      <c r="O1539">
        <v>7</v>
      </c>
      <c r="P1539" t="s">
        <v>92</v>
      </c>
      <c r="Q1539">
        <v>123</v>
      </c>
      <c r="R1539">
        <v>22</v>
      </c>
      <c r="S1539">
        <v>4</v>
      </c>
      <c r="T1539">
        <v>114</v>
      </c>
      <c r="U1539">
        <v>0</v>
      </c>
      <c r="V1539">
        <v>16</v>
      </c>
      <c r="W1539">
        <v>44</v>
      </c>
      <c r="X1539">
        <v>186</v>
      </c>
      <c r="Y1539">
        <v>0</v>
      </c>
      <c r="Z1539">
        <v>0</v>
      </c>
      <c r="AA1539">
        <v>0</v>
      </c>
      <c r="AF1539">
        <v>1</v>
      </c>
      <c r="AG1539">
        <v>0</v>
      </c>
      <c r="AH1539">
        <v>1</v>
      </c>
      <c r="AI1539">
        <v>0</v>
      </c>
      <c r="AV1539">
        <v>0</v>
      </c>
      <c r="AW1539">
        <v>0</v>
      </c>
      <c r="AX1539">
        <v>5</v>
      </c>
      <c r="AY1539">
        <v>516</v>
      </c>
      <c r="AZ1539">
        <v>516</v>
      </c>
      <c r="BA1539">
        <v>588</v>
      </c>
      <c r="BB1539">
        <v>44</v>
      </c>
      <c r="BD1539">
        <v>1</v>
      </c>
      <c r="BF1539" t="s">
        <v>1682</v>
      </c>
      <c r="BG1539" s="1">
        <v>44353.897916666669</v>
      </c>
      <c r="BH1539" s="1">
        <v>44354.051585648151</v>
      </c>
      <c r="BI1539" s="1">
        <v>44354.052418981482</v>
      </c>
      <c r="BJ1539" t="s">
        <v>85</v>
      </c>
      <c r="BK1539" t="s">
        <v>86</v>
      </c>
      <c r="BL1539" t="s">
        <v>87</v>
      </c>
    </row>
    <row r="1540" spans="1:64" x14ac:dyDescent="0.3">
      <c r="A1540" t="str">
        <f>"200867C0100"</f>
        <v>200867C0100</v>
      </c>
      <c r="B1540" t="str">
        <f>"200867C01003"</f>
        <v>200867C01003</v>
      </c>
      <c r="C1540" t="str">
        <f t="shared" si="87"/>
        <v>20</v>
      </c>
      <c r="D1540" t="s">
        <v>81</v>
      </c>
      <c r="E1540" t="str">
        <f t="shared" si="90"/>
        <v>133</v>
      </c>
      <c r="F1540" t="s">
        <v>1677</v>
      </c>
      <c r="G1540" t="str">
        <f>"0867"</f>
        <v>0867</v>
      </c>
      <c r="H1540" t="str">
        <f>"0001"</f>
        <v>0001</v>
      </c>
      <c r="I1540" t="s">
        <v>89</v>
      </c>
      <c r="J1540">
        <v>0</v>
      </c>
      <c r="K1540">
        <v>1</v>
      </c>
      <c r="L1540">
        <v>3</v>
      </c>
      <c r="M1540">
        <v>112</v>
      </c>
      <c r="N1540">
        <v>520</v>
      </c>
      <c r="O1540">
        <v>5</v>
      </c>
      <c r="P1540" t="s">
        <v>92</v>
      </c>
      <c r="Q1540">
        <v>126</v>
      </c>
      <c r="R1540">
        <v>31</v>
      </c>
      <c r="S1540">
        <v>2</v>
      </c>
      <c r="T1540">
        <v>128</v>
      </c>
      <c r="U1540">
        <v>0</v>
      </c>
      <c r="V1540">
        <v>4</v>
      </c>
      <c r="W1540">
        <v>41</v>
      </c>
      <c r="X1540">
        <v>183</v>
      </c>
      <c r="Y1540">
        <v>0</v>
      </c>
      <c r="Z1540">
        <v>1</v>
      </c>
      <c r="AA1540">
        <v>1</v>
      </c>
      <c r="AF1540">
        <v>0</v>
      </c>
      <c r="AG1540">
        <v>0</v>
      </c>
      <c r="AH1540">
        <v>0</v>
      </c>
      <c r="AI1540">
        <v>0</v>
      </c>
      <c r="AV1540">
        <v>0</v>
      </c>
      <c r="AW1540">
        <v>0</v>
      </c>
      <c r="AX1540">
        <v>3</v>
      </c>
      <c r="AY1540">
        <v>520</v>
      </c>
      <c r="AZ1540">
        <v>520</v>
      </c>
      <c r="BA1540">
        <v>588</v>
      </c>
      <c r="BB1540">
        <v>44</v>
      </c>
      <c r="BD1540">
        <v>1</v>
      </c>
      <c r="BF1540" t="s">
        <v>1683</v>
      </c>
      <c r="BG1540" s="1">
        <v>44354.054166666669</v>
      </c>
      <c r="BH1540" s="1">
        <v>44354.06013888889</v>
      </c>
      <c r="BI1540" s="1">
        <v>44354.060740740744</v>
      </c>
      <c r="BJ1540" t="s">
        <v>85</v>
      </c>
      <c r="BK1540" t="s">
        <v>86</v>
      </c>
      <c r="BL1540" t="s">
        <v>87</v>
      </c>
    </row>
    <row r="1541" spans="1:64" x14ac:dyDescent="0.3">
      <c r="A1541" t="str">
        <f>"200867C0200"</f>
        <v>200867C0200</v>
      </c>
      <c r="B1541" t="str">
        <f>"200867C02003"</f>
        <v>200867C02003</v>
      </c>
      <c r="C1541" t="str">
        <f t="shared" si="87"/>
        <v>20</v>
      </c>
      <c r="D1541" t="s">
        <v>81</v>
      </c>
      <c r="E1541" t="str">
        <f t="shared" si="90"/>
        <v>133</v>
      </c>
      <c r="F1541" t="s">
        <v>1677</v>
      </c>
      <c r="G1541" t="str">
        <f>"0867"</f>
        <v>0867</v>
      </c>
      <c r="H1541" t="str">
        <f>"0002"</f>
        <v>0002</v>
      </c>
      <c r="I1541" t="s">
        <v>89</v>
      </c>
      <c r="J1541">
        <v>0</v>
      </c>
      <c r="K1541">
        <v>1</v>
      </c>
      <c r="L1541">
        <v>3</v>
      </c>
      <c r="M1541">
        <v>110</v>
      </c>
      <c r="N1541">
        <v>522</v>
      </c>
      <c r="O1541">
        <v>9</v>
      </c>
      <c r="P1541">
        <v>522</v>
      </c>
      <c r="Q1541">
        <v>143</v>
      </c>
      <c r="R1541">
        <v>31</v>
      </c>
      <c r="S1541">
        <v>4</v>
      </c>
      <c r="T1541">
        <v>106</v>
      </c>
      <c r="U1541">
        <v>0</v>
      </c>
      <c r="V1541">
        <v>12</v>
      </c>
      <c r="W1541">
        <v>60</v>
      </c>
      <c r="X1541">
        <v>164</v>
      </c>
      <c r="Y1541">
        <v>0</v>
      </c>
      <c r="Z1541">
        <v>0</v>
      </c>
      <c r="AA1541">
        <v>1</v>
      </c>
      <c r="AF1541">
        <v>0</v>
      </c>
      <c r="AG1541">
        <v>0</v>
      </c>
      <c r="AH1541">
        <v>0</v>
      </c>
      <c r="AI1541">
        <v>0</v>
      </c>
      <c r="AV1541">
        <v>0</v>
      </c>
      <c r="AW1541">
        <v>0</v>
      </c>
      <c r="AX1541">
        <v>1</v>
      </c>
      <c r="AY1541">
        <v>522</v>
      </c>
      <c r="AZ1541">
        <v>522</v>
      </c>
      <c r="BA1541">
        <v>588</v>
      </c>
      <c r="BB1541">
        <v>44</v>
      </c>
      <c r="BD1541">
        <v>1</v>
      </c>
      <c r="BF1541" t="s">
        <v>1684</v>
      </c>
      <c r="BG1541" s="1">
        <v>44354.068055555559</v>
      </c>
      <c r="BH1541" s="1">
        <v>44354.072858796295</v>
      </c>
      <c r="BI1541" s="1">
        <v>44354.073912037034</v>
      </c>
      <c r="BJ1541" t="s">
        <v>85</v>
      </c>
      <c r="BK1541" t="s">
        <v>86</v>
      </c>
      <c r="BL1541" t="s">
        <v>1390</v>
      </c>
    </row>
    <row r="1542" spans="1:64" x14ac:dyDescent="0.3">
      <c r="A1542" t="str">
        <f>"200867C0300"</f>
        <v>200867C0300</v>
      </c>
      <c r="B1542" t="str">
        <f>"200867C03003"</f>
        <v>200867C03003</v>
      </c>
      <c r="C1542" t="str">
        <f t="shared" si="87"/>
        <v>20</v>
      </c>
      <c r="D1542" t="s">
        <v>81</v>
      </c>
      <c r="E1542" t="str">
        <f t="shared" si="90"/>
        <v>133</v>
      </c>
      <c r="F1542" t="s">
        <v>1677</v>
      </c>
      <c r="G1542" t="str">
        <f>"0867"</f>
        <v>0867</v>
      </c>
      <c r="H1542" t="str">
        <f>"0003"</f>
        <v>0003</v>
      </c>
      <c r="I1542" t="s">
        <v>89</v>
      </c>
      <c r="J1542">
        <v>0</v>
      </c>
      <c r="K1542">
        <v>1</v>
      </c>
      <c r="L1542">
        <v>3</v>
      </c>
      <c r="M1542">
        <v>121</v>
      </c>
      <c r="N1542">
        <v>510</v>
      </c>
      <c r="O1542">
        <v>9</v>
      </c>
      <c r="P1542">
        <v>510</v>
      </c>
      <c r="Q1542">
        <v>147</v>
      </c>
      <c r="R1542">
        <v>19</v>
      </c>
      <c r="S1542">
        <v>4</v>
      </c>
      <c r="T1542">
        <v>120</v>
      </c>
      <c r="U1542" t="s">
        <v>95</v>
      </c>
      <c r="V1542">
        <v>14</v>
      </c>
      <c r="W1542">
        <v>46</v>
      </c>
      <c r="X1542">
        <v>158</v>
      </c>
      <c r="Y1542">
        <v>1</v>
      </c>
      <c r="Z1542" t="s">
        <v>95</v>
      </c>
      <c r="AA1542" t="s">
        <v>95</v>
      </c>
      <c r="AF1542" t="s">
        <v>95</v>
      </c>
      <c r="AG1542">
        <v>1</v>
      </c>
      <c r="AH1542" t="s">
        <v>95</v>
      </c>
      <c r="AI1542" t="s">
        <v>95</v>
      </c>
      <c r="AV1542" t="s">
        <v>95</v>
      </c>
      <c r="AW1542" t="s">
        <v>95</v>
      </c>
      <c r="AX1542">
        <v>7</v>
      </c>
      <c r="AY1542" t="s">
        <v>95</v>
      </c>
      <c r="AZ1542">
        <v>517</v>
      </c>
      <c r="BA1542">
        <v>587</v>
      </c>
      <c r="BB1542">
        <v>44</v>
      </c>
      <c r="BC1542" t="s">
        <v>96</v>
      </c>
      <c r="BD1542">
        <v>1</v>
      </c>
      <c r="BF1542" t="s">
        <v>1685</v>
      </c>
      <c r="BG1542" s="1">
        <v>44354.061111111114</v>
      </c>
      <c r="BH1542" s="1">
        <v>44354.073738425926</v>
      </c>
      <c r="BI1542" s="1">
        <v>44354.075266203705</v>
      </c>
      <c r="BJ1542" t="s">
        <v>85</v>
      </c>
      <c r="BK1542" t="s">
        <v>86</v>
      </c>
      <c r="BL1542" t="s">
        <v>87</v>
      </c>
    </row>
    <row r="1543" spans="1:64" x14ac:dyDescent="0.3">
      <c r="A1543" t="str">
        <f>"200867E0100"</f>
        <v>200867E0100</v>
      </c>
      <c r="B1543" t="str">
        <f>"200867E01003"</f>
        <v>200867E01003</v>
      </c>
      <c r="C1543" t="str">
        <f t="shared" ref="C1543:C1606" si="91">"20"</f>
        <v>20</v>
      </c>
      <c r="D1543" t="s">
        <v>81</v>
      </c>
      <c r="E1543" t="str">
        <f t="shared" si="90"/>
        <v>133</v>
      </c>
      <c r="F1543" t="s">
        <v>1677</v>
      </c>
      <c r="G1543" t="str">
        <f>"0867"</f>
        <v>0867</v>
      </c>
      <c r="H1543" t="str">
        <f>"0001"</f>
        <v>0001</v>
      </c>
      <c r="I1543" t="s">
        <v>122</v>
      </c>
      <c r="J1543">
        <v>0</v>
      </c>
      <c r="K1543">
        <v>1</v>
      </c>
      <c r="L1543">
        <v>3</v>
      </c>
      <c r="M1543">
        <v>115</v>
      </c>
      <c r="N1543">
        <v>405</v>
      </c>
      <c r="O1543">
        <v>10</v>
      </c>
      <c r="P1543">
        <v>405</v>
      </c>
      <c r="Q1543">
        <v>100</v>
      </c>
      <c r="R1543">
        <v>6</v>
      </c>
      <c r="S1543" t="s">
        <v>95</v>
      </c>
      <c r="T1543">
        <v>70</v>
      </c>
      <c r="U1543" t="s">
        <v>95</v>
      </c>
      <c r="V1543">
        <v>41</v>
      </c>
      <c r="W1543">
        <v>67</v>
      </c>
      <c r="X1543">
        <v>113</v>
      </c>
      <c r="Y1543" t="s">
        <v>95</v>
      </c>
      <c r="Z1543" t="s">
        <v>95</v>
      </c>
      <c r="AA1543" t="s">
        <v>95</v>
      </c>
      <c r="AF1543" t="s">
        <v>95</v>
      </c>
      <c r="AG1543" t="s">
        <v>95</v>
      </c>
      <c r="AH1543" t="s">
        <v>95</v>
      </c>
      <c r="AI1543" t="s">
        <v>95</v>
      </c>
      <c r="AV1543" t="s">
        <v>95</v>
      </c>
      <c r="AW1543" t="s">
        <v>95</v>
      </c>
      <c r="AX1543">
        <v>8</v>
      </c>
      <c r="AY1543">
        <v>405</v>
      </c>
      <c r="AZ1543">
        <v>405</v>
      </c>
      <c r="BA1543">
        <v>476</v>
      </c>
      <c r="BB1543">
        <v>44</v>
      </c>
      <c r="BC1543" t="s">
        <v>96</v>
      </c>
      <c r="BD1543">
        <v>1</v>
      </c>
      <c r="BF1543" t="s">
        <v>1686</v>
      </c>
      <c r="BG1543" s="1">
        <v>44354.032638888886</v>
      </c>
      <c r="BH1543" s="1">
        <v>44354.040636574071</v>
      </c>
      <c r="BI1543" s="1">
        <v>44354.04111111111</v>
      </c>
      <c r="BJ1543" t="s">
        <v>85</v>
      </c>
      <c r="BK1543" t="s">
        <v>86</v>
      </c>
      <c r="BL1543" t="s">
        <v>87</v>
      </c>
    </row>
    <row r="1544" spans="1:64" x14ac:dyDescent="0.3">
      <c r="A1544" t="str">
        <f>"200868B0000"</f>
        <v>200868B0000</v>
      </c>
      <c r="B1544" t="str">
        <f>"200868B00003"</f>
        <v>200868B00003</v>
      </c>
      <c r="C1544" t="str">
        <f t="shared" si="91"/>
        <v>20</v>
      </c>
      <c r="D1544" t="s">
        <v>81</v>
      </c>
      <c r="E1544" t="str">
        <f t="shared" si="90"/>
        <v>133</v>
      </c>
      <c r="F1544" t="s">
        <v>1677</v>
      </c>
      <c r="G1544" t="str">
        <f>"0868"</f>
        <v>0868</v>
      </c>
      <c r="H1544" t="str">
        <f>"0000"</f>
        <v>0000</v>
      </c>
      <c r="I1544" t="s">
        <v>83</v>
      </c>
      <c r="J1544">
        <v>0</v>
      </c>
      <c r="K1544">
        <v>1</v>
      </c>
      <c r="L1544">
        <v>3</v>
      </c>
      <c r="M1544">
        <v>106</v>
      </c>
      <c r="N1544">
        <v>571</v>
      </c>
      <c r="O1544">
        <v>3</v>
      </c>
      <c r="P1544">
        <v>571</v>
      </c>
      <c r="Q1544">
        <v>115</v>
      </c>
      <c r="R1544">
        <v>22</v>
      </c>
      <c r="S1544">
        <v>4</v>
      </c>
      <c r="T1544">
        <v>88</v>
      </c>
      <c r="U1544">
        <v>0</v>
      </c>
      <c r="V1544">
        <v>15</v>
      </c>
      <c r="W1544">
        <v>97</v>
      </c>
      <c r="X1544">
        <v>230</v>
      </c>
      <c r="Y1544">
        <v>0</v>
      </c>
      <c r="Z1544">
        <v>0</v>
      </c>
      <c r="AA1544">
        <v>0</v>
      </c>
      <c r="AF1544">
        <v>0</v>
      </c>
      <c r="AG1544">
        <v>0</v>
      </c>
      <c r="AH1544">
        <v>0</v>
      </c>
      <c r="AI1544">
        <v>0</v>
      </c>
      <c r="AV1544">
        <v>0</v>
      </c>
      <c r="AW1544">
        <v>0</v>
      </c>
      <c r="AX1544">
        <v>0</v>
      </c>
      <c r="AY1544">
        <v>571</v>
      </c>
      <c r="AZ1544">
        <v>571</v>
      </c>
      <c r="BA1544">
        <v>633</v>
      </c>
      <c r="BB1544">
        <v>44</v>
      </c>
      <c r="BD1544">
        <v>1</v>
      </c>
      <c r="BF1544" t="s">
        <v>1687</v>
      </c>
      <c r="BG1544" s="1">
        <v>44354.04791666667</v>
      </c>
      <c r="BH1544" s="1">
        <v>44354.054756944446</v>
      </c>
      <c r="BI1544" s="1">
        <v>44354.055717592593</v>
      </c>
      <c r="BJ1544" t="s">
        <v>85</v>
      </c>
      <c r="BK1544" t="s">
        <v>86</v>
      </c>
      <c r="BL1544" t="s">
        <v>87</v>
      </c>
    </row>
    <row r="1545" spans="1:64" x14ac:dyDescent="0.3">
      <c r="A1545" t="str">
        <f>"200868C0100"</f>
        <v>200868C0100</v>
      </c>
      <c r="B1545" t="str">
        <f>"200868C01003"</f>
        <v>200868C01003</v>
      </c>
      <c r="C1545" t="str">
        <f t="shared" si="91"/>
        <v>20</v>
      </c>
      <c r="D1545" t="s">
        <v>81</v>
      </c>
      <c r="E1545" t="str">
        <f t="shared" si="90"/>
        <v>133</v>
      </c>
      <c r="F1545" t="s">
        <v>1677</v>
      </c>
      <c r="G1545" t="str">
        <f>"0868"</f>
        <v>0868</v>
      </c>
      <c r="H1545" t="str">
        <f>"0001"</f>
        <v>0001</v>
      </c>
      <c r="I1545" t="s">
        <v>89</v>
      </c>
      <c r="J1545">
        <v>0</v>
      </c>
      <c r="K1545">
        <v>1</v>
      </c>
      <c r="L1545">
        <v>3</v>
      </c>
      <c r="M1545">
        <v>112</v>
      </c>
      <c r="N1545">
        <v>564</v>
      </c>
      <c r="O1545">
        <v>7</v>
      </c>
      <c r="P1545">
        <v>564</v>
      </c>
      <c r="Q1545">
        <v>121</v>
      </c>
      <c r="R1545">
        <v>24</v>
      </c>
      <c r="S1545">
        <v>3</v>
      </c>
      <c r="T1545">
        <v>91</v>
      </c>
      <c r="U1545">
        <v>0</v>
      </c>
      <c r="V1545">
        <v>8</v>
      </c>
      <c r="W1545">
        <v>105</v>
      </c>
      <c r="X1545">
        <v>211</v>
      </c>
      <c r="Y1545">
        <v>0</v>
      </c>
      <c r="Z1545">
        <v>0</v>
      </c>
      <c r="AA1545">
        <v>1</v>
      </c>
      <c r="AF1545">
        <v>0</v>
      </c>
      <c r="AG1545">
        <v>0</v>
      </c>
      <c r="AH1545">
        <v>0</v>
      </c>
      <c r="AI1545">
        <v>0</v>
      </c>
      <c r="AV1545">
        <v>0</v>
      </c>
      <c r="AW1545">
        <v>0</v>
      </c>
      <c r="AX1545">
        <v>0</v>
      </c>
      <c r="AY1545">
        <v>564</v>
      </c>
      <c r="AZ1545">
        <v>564</v>
      </c>
      <c r="BA1545">
        <v>632</v>
      </c>
      <c r="BB1545">
        <v>44</v>
      </c>
      <c r="BD1545">
        <v>1</v>
      </c>
      <c r="BF1545" s="2" t="s">
        <v>1688</v>
      </c>
      <c r="BG1545" s="1">
        <v>44354.051388888889</v>
      </c>
      <c r="BH1545" s="1">
        <v>44354.059594907405</v>
      </c>
      <c r="BI1545" s="1">
        <v>44354.060243055559</v>
      </c>
      <c r="BJ1545" t="s">
        <v>85</v>
      </c>
      <c r="BK1545" t="s">
        <v>86</v>
      </c>
      <c r="BL1545" t="s">
        <v>87</v>
      </c>
    </row>
    <row r="1546" spans="1:64" x14ac:dyDescent="0.3">
      <c r="A1546" t="str">
        <f>"200868E0100"</f>
        <v>200868E0100</v>
      </c>
      <c r="B1546" t="str">
        <f>"200868E01003"</f>
        <v>200868E01003</v>
      </c>
      <c r="C1546" t="str">
        <f t="shared" si="91"/>
        <v>20</v>
      </c>
      <c r="D1546" t="s">
        <v>81</v>
      </c>
      <c r="E1546" t="str">
        <f t="shared" si="90"/>
        <v>133</v>
      </c>
      <c r="F1546" t="s">
        <v>1677</v>
      </c>
      <c r="G1546" t="str">
        <f>"0868"</f>
        <v>0868</v>
      </c>
      <c r="H1546" t="str">
        <f>"0001"</f>
        <v>0001</v>
      </c>
      <c r="I1546" t="s">
        <v>122</v>
      </c>
      <c r="J1546">
        <v>0</v>
      </c>
      <c r="K1546">
        <v>1</v>
      </c>
      <c r="L1546">
        <v>3</v>
      </c>
      <c r="M1546">
        <v>101</v>
      </c>
      <c r="N1546">
        <v>349</v>
      </c>
      <c r="O1546">
        <v>2</v>
      </c>
      <c r="P1546">
        <v>349</v>
      </c>
      <c r="Q1546">
        <v>61</v>
      </c>
      <c r="R1546">
        <v>20</v>
      </c>
      <c r="S1546">
        <v>0</v>
      </c>
      <c r="T1546">
        <v>116</v>
      </c>
      <c r="U1546">
        <v>0</v>
      </c>
      <c r="V1546">
        <v>3</v>
      </c>
      <c r="W1546">
        <v>25</v>
      </c>
      <c r="X1546">
        <v>122</v>
      </c>
      <c r="Y1546">
        <v>0</v>
      </c>
      <c r="Z1546">
        <v>0</v>
      </c>
      <c r="AA1546">
        <v>0</v>
      </c>
      <c r="AF1546">
        <v>0</v>
      </c>
      <c r="AG1546">
        <v>0</v>
      </c>
      <c r="AH1546">
        <v>1</v>
      </c>
      <c r="AI1546">
        <v>0</v>
      </c>
      <c r="AV1546">
        <v>0</v>
      </c>
      <c r="AW1546">
        <v>0</v>
      </c>
      <c r="AX1546">
        <v>1</v>
      </c>
      <c r="AY1546">
        <v>349</v>
      </c>
      <c r="AZ1546">
        <v>349</v>
      </c>
      <c r="BA1546">
        <v>406</v>
      </c>
      <c r="BB1546">
        <v>44</v>
      </c>
      <c r="BD1546">
        <v>1</v>
      </c>
      <c r="BF1546" t="s">
        <v>1689</v>
      </c>
      <c r="BG1546" s="1">
        <v>44353.966666666667</v>
      </c>
      <c r="BH1546" s="1">
        <v>44353.971967592595</v>
      </c>
      <c r="BI1546" s="1">
        <v>44353.972766203704</v>
      </c>
      <c r="BJ1546" t="s">
        <v>85</v>
      </c>
      <c r="BK1546" t="s">
        <v>86</v>
      </c>
      <c r="BL1546" t="s">
        <v>87</v>
      </c>
    </row>
    <row r="1547" spans="1:64" x14ac:dyDescent="0.3">
      <c r="A1547" t="str">
        <f>"200868E0200"</f>
        <v>200868E0200</v>
      </c>
      <c r="B1547" t="str">
        <f>"200868E02003"</f>
        <v>200868E02003</v>
      </c>
      <c r="C1547" t="str">
        <f t="shared" si="91"/>
        <v>20</v>
      </c>
      <c r="D1547" t="s">
        <v>81</v>
      </c>
      <c r="E1547" t="str">
        <f t="shared" si="90"/>
        <v>133</v>
      </c>
      <c r="F1547" t="s">
        <v>1677</v>
      </c>
      <c r="G1547" t="str">
        <f>"0868"</f>
        <v>0868</v>
      </c>
      <c r="H1547" t="str">
        <f>"0002"</f>
        <v>0002</v>
      </c>
      <c r="I1547" t="s">
        <v>122</v>
      </c>
      <c r="J1547">
        <v>0</v>
      </c>
      <c r="K1547">
        <v>1</v>
      </c>
      <c r="L1547">
        <v>3</v>
      </c>
      <c r="M1547">
        <v>86</v>
      </c>
      <c r="N1547">
        <v>300</v>
      </c>
      <c r="O1547">
        <v>3</v>
      </c>
      <c r="P1547">
        <v>300</v>
      </c>
      <c r="Q1547">
        <v>43</v>
      </c>
      <c r="R1547">
        <v>6</v>
      </c>
      <c r="S1547" t="s">
        <v>95</v>
      </c>
      <c r="T1547">
        <v>69</v>
      </c>
      <c r="U1547" t="s">
        <v>95</v>
      </c>
      <c r="V1547" t="s">
        <v>95</v>
      </c>
      <c r="W1547">
        <v>119</v>
      </c>
      <c r="X1547">
        <v>58</v>
      </c>
      <c r="Y1547" t="s">
        <v>95</v>
      </c>
      <c r="Z1547" t="s">
        <v>95</v>
      </c>
      <c r="AA1547">
        <v>1</v>
      </c>
      <c r="AF1547" t="s">
        <v>95</v>
      </c>
      <c r="AG1547" t="s">
        <v>95</v>
      </c>
      <c r="AH1547" t="s">
        <v>95</v>
      </c>
      <c r="AI1547" t="s">
        <v>95</v>
      </c>
      <c r="AV1547" t="s">
        <v>95</v>
      </c>
      <c r="AW1547" t="s">
        <v>95</v>
      </c>
      <c r="AX1547">
        <v>4</v>
      </c>
      <c r="AY1547">
        <v>300</v>
      </c>
      <c r="AZ1547">
        <v>300</v>
      </c>
      <c r="BA1547">
        <v>342</v>
      </c>
      <c r="BB1547">
        <v>44</v>
      </c>
      <c r="BC1547" t="s">
        <v>96</v>
      </c>
      <c r="BD1547">
        <v>1</v>
      </c>
      <c r="BF1547" t="s">
        <v>1690</v>
      </c>
      <c r="BG1547" s="1">
        <v>44354.071527777778</v>
      </c>
      <c r="BH1547" s="1">
        <v>44354.079745370371</v>
      </c>
      <c r="BI1547" s="1">
        <v>44354.080196759256</v>
      </c>
      <c r="BJ1547" t="s">
        <v>85</v>
      </c>
      <c r="BK1547" t="s">
        <v>86</v>
      </c>
      <c r="BL1547" t="s">
        <v>87</v>
      </c>
    </row>
    <row r="1548" spans="1:64" x14ac:dyDescent="0.3">
      <c r="A1548" t="str">
        <f>"200868E0300"</f>
        <v>200868E0300</v>
      </c>
      <c r="B1548" t="str">
        <f>"200868E03003"</f>
        <v>200868E03003</v>
      </c>
      <c r="C1548" t="str">
        <f t="shared" si="91"/>
        <v>20</v>
      </c>
      <c r="D1548" t="s">
        <v>81</v>
      </c>
      <c r="E1548" t="str">
        <f t="shared" si="90"/>
        <v>133</v>
      </c>
      <c r="F1548" t="s">
        <v>1677</v>
      </c>
      <c r="G1548" t="str">
        <f>"0868"</f>
        <v>0868</v>
      </c>
      <c r="H1548" t="str">
        <f>"0003"</f>
        <v>0003</v>
      </c>
      <c r="I1548" t="s">
        <v>122</v>
      </c>
      <c r="J1548">
        <v>0</v>
      </c>
      <c r="K1548">
        <v>1</v>
      </c>
      <c r="L1548">
        <v>3</v>
      </c>
      <c r="M1548">
        <v>72</v>
      </c>
      <c r="N1548">
        <v>140</v>
      </c>
      <c r="O1548">
        <v>140</v>
      </c>
      <c r="P1548">
        <v>140</v>
      </c>
      <c r="Q1548">
        <v>9</v>
      </c>
      <c r="R1548">
        <v>2</v>
      </c>
      <c r="S1548">
        <v>0</v>
      </c>
      <c r="T1548">
        <v>14</v>
      </c>
      <c r="U1548">
        <v>0</v>
      </c>
      <c r="V1548">
        <v>1</v>
      </c>
      <c r="W1548">
        <v>69</v>
      </c>
      <c r="X1548">
        <v>43</v>
      </c>
      <c r="Y1548">
        <v>2</v>
      </c>
      <c r="Z1548">
        <v>0</v>
      </c>
      <c r="AA1548">
        <v>0</v>
      </c>
      <c r="AF1548">
        <v>0</v>
      </c>
      <c r="AG1548">
        <v>0</v>
      </c>
      <c r="AH1548">
        <v>0</v>
      </c>
      <c r="AI1548">
        <v>0</v>
      </c>
      <c r="AV1548">
        <v>0</v>
      </c>
      <c r="AW1548">
        <v>0</v>
      </c>
      <c r="AX1548">
        <v>0</v>
      </c>
      <c r="AY1548">
        <v>140</v>
      </c>
      <c r="AZ1548">
        <v>140</v>
      </c>
      <c r="BA1548">
        <v>168</v>
      </c>
      <c r="BB1548">
        <v>44</v>
      </c>
      <c r="BD1548">
        <v>1</v>
      </c>
      <c r="BF1548" t="s">
        <v>1691</v>
      </c>
      <c r="BG1548" s="1">
        <v>44353.979166666664</v>
      </c>
      <c r="BH1548" s="1">
        <v>44353.982592592591</v>
      </c>
      <c r="BI1548" s="1">
        <v>44353.982928240737</v>
      </c>
      <c r="BJ1548" t="s">
        <v>85</v>
      </c>
      <c r="BK1548" t="s">
        <v>86</v>
      </c>
      <c r="BL1548" t="s">
        <v>87</v>
      </c>
    </row>
    <row r="1549" spans="1:64" x14ac:dyDescent="0.3">
      <c r="A1549" t="str">
        <f>"200869B0000"</f>
        <v>200869B0000</v>
      </c>
      <c r="B1549" t="str">
        <f>"200869B00003"</f>
        <v>200869B00003</v>
      </c>
      <c r="C1549" t="str">
        <f t="shared" si="91"/>
        <v>20</v>
      </c>
      <c r="D1549" t="s">
        <v>81</v>
      </c>
      <c r="E1549" t="str">
        <f t="shared" si="90"/>
        <v>133</v>
      </c>
      <c r="F1549" t="s">
        <v>1677</v>
      </c>
      <c r="G1549" t="str">
        <f>"0869"</f>
        <v>0869</v>
      </c>
      <c r="H1549" t="str">
        <f>"0000"</f>
        <v>0000</v>
      </c>
      <c r="I1549" t="s">
        <v>83</v>
      </c>
      <c r="J1549">
        <v>0</v>
      </c>
      <c r="K1549">
        <v>1</v>
      </c>
      <c r="L1549">
        <v>3</v>
      </c>
      <c r="M1549">
        <v>129</v>
      </c>
      <c r="N1549">
        <v>561</v>
      </c>
      <c r="O1549">
        <v>5</v>
      </c>
      <c r="P1549">
        <v>561</v>
      </c>
      <c r="Q1549">
        <v>154</v>
      </c>
      <c r="R1549">
        <v>36</v>
      </c>
      <c r="S1549">
        <v>1</v>
      </c>
      <c r="T1549">
        <v>76</v>
      </c>
      <c r="U1549">
        <v>0</v>
      </c>
      <c r="V1549">
        <v>12</v>
      </c>
      <c r="W1549">
        <v>71</v>
      </c>
      <c r="X1549">
        <v>201</v>
      </c>
      <c r="Y1549">
        <v>0</v>
      </c>
      <c r="Z1549">
        <v>0</v>
      </c>
      <c r="AA1549">
        <v>0</v>
      </c>
      <c r="AF1549">
        <v>4</v>
      </c>
      <c r="AG1549">
        <v>0</v>
      </c>
      <c r="AH1549">
        <v>1</v>
      </c>
      <c r="AI1549">
        <v>0</v>
      </c>
      <c r="AV1549">
        <v>0</v>
      </c>
      <c r="AW1549">
        <v>0</v>
      </c>
      <c r="AX1549">
        <v>4</v>
      </c>
      <c r="AY1549">
        <v>561</v>
      </c>
      <c r="AZ1549">
        <v>560</v>
      </c>
      <c r="BA1549">
        <v>646</v>
      </c>
      <c r="BB1549">
        <v>44</v>
      </c>
      <c r="BD1549">
        <v>1</v>
      </c>
      <c r="BF1549" t="s">
        <v>1692</v>
      </c>
      <c r="BG1549" s="1">
        <v>44354.073611111111</v>
      </c>
      <c r="BH1549" s="1">
        <v>44354.081134259257</v>
      </c>
      <c r="BI1549" s="1">
        <v>44354.081782407404</v>
      </c>
      <c r="BJ1549" t="s">
        <v>85</v>
      </c>
      <c r="BK1549" t="s">
        <v>86</v>
      </c>
      <c r="BL1549" t="s">
        <v>87</v>
      </c>
    </row>
    <row r="1550" spans="1:64" x14ac:dyDescent="0.3">
      <c r="A1550" t="str">
        <f>"200869C0100"</f>
        <v>200869C0100</v>
      </c>
      <c r="B1550" t="str">
        <f>"200869C01003"</f>
        <v>200869C01003</v>
      </c>
      <c r="C1550" t="str">
        <f t="shared" si="91"/>
        <v>20</v>
      </c>
      <c r="D1550" t="s">
        <v>81</v>
      </c>
      <c r="E1550" t="str">
        <f t="shared" si="90"/>
        <v>133</v>
      </c>
      <c r="F1550" t="s">
        <v>1677</v>
      </c>
      <c r="G1550" t="str">
        <f>"0869"</f>
        <v>0869</v>
      </c>
      <c r="H1550" t="str">
        <f>"0001"</f>
        <v>0001</v>
      </c>
      <c r="I1550" t="s">
        <v>89</v>
      </c>
      <c r="J1550">
        <v>0</v>
      </c>
      <c r="K1550">
        <v>1</v>
      </c>
      <c r="L1550">
        <v>3</v>
      </c>
      <c r="M1550">
        <v>141</v>
      </c>
      <c r="N1550">
        <v>548</v>
      </c>
      <c r="O1550">
        <v>0</v>
      </c>
      <c r="P1550">
        <v>548</v>
      </c>
      <c r="Q1550">
        <v>155</v>
      </c>
      <c r="R1550">
        <v>18</v>
      </c>
      <c r="S1550">
        <v>4</v>
      </c>
      <c r="T1550">
        <v>54</v>
      </c>
      <c r="U1550">
        <v>1</v>
      </c>
      <c r="V1550">
        <v>11</v>
      </c>
      <c r="W1550">
        <v>70</v>
      </c>
      <c r="X1550">
        <v>228</v>
      </c>
      <c r="Y1550">
        <v>0</v>
      </c>
      <c r="Z1550">
        <v>0</v>
      </c>
      <c r="AA1550">
        <v>4</v>
      </c>
      <c r="AF1550">
        <v>0</v>
      </c>
      <c r="AG1550">
        <v>0</v>
      </c>
      <c r="AH1550">
        <v>0</v>
      </c>
      <c r="AI1550">
        <v>0</v>
      </c>
      <c r="AV1550">
        <v>0</v>
      </c>
      <c r="AW1550" t="s">
        <v>95</v>
      </c>
      <c r="AX1550">
        <v>3</v>
      </c>
      <c r="AY1550">
        <v>548</v>
      </c>
      <c r="AZ1550">
        <v>548</v>
      </c>
      <c r="BA1550">
        <v>645</v>
      </c>
      <c r="BB1550">
        <v>44</v>
      </c>
      <c r="BC1550" t="s">
        <v>96</v>
      </c>
      <c r="BD1550">
        <v>1</v>
      </c>
      <c r="BF1550" t="s">
        <v>1693</v>
      </c>
      <c r="BG1550" s="1">
        <v>44354.077777777777</v>
      </c>
      <c r="BH1550" s="1">
        <v>44354.085462962961</v>
      </c>
      <c r="BI1550" s="1">
        <v>44354.086099537039</v>
      </c>
      <c r="BJ1550" t="s">
        <v>85</v>
      </c>
      <c r="BK1550" t="s">
        <v>86</v>
      </c>
      <c r="BL1550" t="s">
        <v>87</v>
      </c>
    </row>
    <row r="1551" spans="1:64" x14ac:dyDescent="0.3">
      <c r="A1551" t="str">
        <f>"200869E0100"</f>
        <v>200869E0100</v>
      </c>
      <c r="B1551" t="str">
        <f>"200869E01003"</f>
        <v>200869E01003</v>
      </c>
      <c r="C1551" t="str">
        <f t="shared" si="91"/>
        <v>20</v>
      </c>
      <c r="D1551" t="s">
        <v>81</v>
      </c>
      <c r="E1551" t="str">
        <f t="shared" si="90"/>
        <v>133</v>
      </c>
      <c r="F1551" t="s">
        <v>1677</v>
      </c>
      <c r="G1551" t="str">
        <f>"0869"</f>
        <v>0869</v>
      </c>
      <c r="H1551" t="str">
        <f>"0001"</f>
        <v>0001</v>
      </c>
      <c r="I1551" t="s">
        <v>122</v>
      </c>
      <c r="J1551">
        <v>0</v>
      </c>
      <c r="K1551">
        <v>1</v>
      </c>
      <c r="L1551">
        <v>3</v>
      </c>
      <c r="M1551">
        <v>56</v>
      </c>
      <c r="N1551">
        <v>122</v>
      </c>
      <c r="O1551">
        <v>7</v>
      </c>
      <c r="P1551">
        <v>122</v>
      </c>
      <c r="Q1551">
        <v>5</v>
      </c>
      <c r="R1551">
        <v>2</v>
      </c>
      <c r="S1551">
        <v>7</v>
      </c>
      <c r="T1551">
        <v>29</v>
      </c>
      <c r="U1551">
        <v>0</v>
      </c>
      <c r="V1551">
        <v>2</v>
      </c>
      <c r="W1551">
        <v>48</v>
      </c>
      <c r="X1551">
        <v>23</v>
      </c>
      <c r="Y1551">
        <v>0</v>
      </c>
      <c r="Z1551">
        <v>1</v>
      </c>
      <c r="AA1551">
        <v>0</v>
      </c>
      <c r="AF1551">
        <v>0</v>
      </c>
      <c r="AG1551">
        <v>0</v>
      </c>
      <c r="AH1551">
        <v>0</v>
      </c>
      <c r="AI1551">
        <v>0</v>
      </c>
      <c r="AV1551">
        <v>0</v>
      </c>
      <c r="AW1551">
        <v>0</v>
      </c>
      <c r="AX1551">
        <v>5</v>
      </c>
      <c r="AY1551">
        <v>122</v>
      </c>
      <c r="AZ1551">
        <v>122</v>
      </c>
      <c r="BA1551">
        <v>134</v>
      </c>
      <c r="BB1551">
        <v>44</v>
      </c>
      <c r="BD1551">
        <v>1</v>
      </c>
      <c r="BF1551" t="s">
        <v>1694</v>
      </c>
      <c r="BG1551" s="1">
        <v>44354.050694444442</v>
      </c>
      <c r="BH1551" s="1">
        <v>44354.056967592594</v>
      </c>
      <c r="BI1551" s="1">
        <v>44354.05736111111</v>
      </c>
      <c r="BJ1551" t="s">
        <v>85</v>
      </c>
      <c r="BK1551" t="s">
        <v>86</v>
      </c>
      <c r="BL1551" t="s">
        <v>1390</v>
      </c>
    </row>
    <row r="1552" spans="1:64" x14ac:dyDescent="0.3">
      <c r="A1552" t="str">
        <f>"200870B0000"</f>
        <v>200870B0000</v>
      </c>
      <c r="B1552" t="str">
        <f>"200870B00003"</f>
        <v>200870B00003</v>
      </c>
      <c r="C1552" t="str">
        <f t="shared" si="91"/>
        <v>20</v>
      </c>
      <c r="D1552" t="s">
        <v>81</v>
      </c>
      <c r="E1552" t="str">
        <f t="shared" si="90"/>
        <v>133</v>
      </c>
      <c r="F1552" t="s">
        <v>1677</v>
      </c>
      <c r="G1552" t="str">
        <f>"0870"</f>
        <v>0870</v>
      </c>
      <c r="H1552" t="str">
        <f>"0000"</f>
        <v>0000</v>
      </c>
      <c r="I1552" t="s">
        <v>83</v>
      </c>
      <c r="J1552">
        <v>0</v>
      </c>
      <c r="K1552">
        <v>1</v>
      </c>
      <c r="L1552">
        <v>3</v>
      </c>
      <c r="M1552">
        <v>116</v>
      </c>
      <c r="N1552">
        <v>400</v>
      </c>
      <c r="O1552">
        <v>1</v>
      </c>
      <c r="P1552">
        <v>400</v>
      </c>
      <c r="Q1552">
        <v>47</v>
      </c>
      <c r="R1552">
        <v>28</v>
      </c>
      <c r="S1552">
        <v>19</v>
      </c>
      <c r="T1552">
        <v>120</v>
      </c>
      <c r="U1552">
        <v>0</v>
      </c>
      <c r="V1552">
        <v>2</v>
      </c>
      <c r="W1552">
        <v>80</v>
      </c>
      <c r="X1552">
        <v>98</v>
      </c>
      <c r="Y1552">
        <v>1</v>
      </c>
      <c r="Z1552">
        <v>1</v>
      </c>
      <c r="AA1552">
        <v>3</v>
      </c>
      <c r="AF1552">
        <v>0</v>
      </c>
      <c r="AG1552">
        <v>0</v>
      </c>
      <c r="AH1552">
        <v>0</v>
      </c>
      <c r="AI1552">
        <v>0</v>
      </c>
      <c r="AV1552">
        <v>0</v>
      </c>
      <c r="AW1552">
        <v>0</v>
      </c>
      <c r="AX1552">
        <v>1</v>
      </c>
      <c r="AY1552">
        <v>400</v>
      </c>
      <c r="AZ1552">
        <v>400</v>
      </c>
      <c r="BA1552">
        <v>472</v>
      </c>
      <c r="BB1552">
        <v>44</v>
      </c>
      <c r="BD1552">
        <v>1</v>
      </c>
      <c r="BF1552" t="s">
        <v>1695</v>
      </c>
      <c r="BG1552" s="1">
        <v>44354.283333333333</v>
      </c>
      <c r="BH1552" s="1">
        <v>44354.286805555559</v>
      </c>
      <c r="BI1552" s="1">
        <v>44354.287280092591</v>
      </c>
      <c r="BJ1552" t="s">
        <v>85</v>
      </c>
      <c r="BK1552" t="s">
        <v>86</v>
      </c>
      <c r="BL1552" t="s">
        <v>87</v>
      </c>
    </row>
    <row r="1553" spans="1:64" x14ac:dyDescent="0.3">
      <c r="A1553" t="str">
        <f>"200877B0000"</f>
        <v>200877B0000</v>
      </c>
      <c r="B1553" t="str">
        <f>"200877B00003"</f>
        <v>200877B00003</v>
      </c>
      <c r="C1553" t="str">
        <f t="shared" si="91"/>
        <v>20</v>
      </c>
      <c r="D1553" t="s">
        <v>81</v>
      </c>
      <c r="E1553" t="str">
        <f t="shared" ref="E1553:E1564" si="92">"138"</f>
        <v>138</v>
      </c>
      <c r="F1553" t="s">
        <v>1696</v>
      </c>
      <c r="G1553" t="str">
        <f>"0877"</f>
        <v>0877</v>
      </c>
      <c r="H1553" t="str">
        <f>"0000"</f>
        <v>0000</v>
      </c>
      <c r="I1553" t="s">
        <v>83</v>
      </c>
      <c r="J1553">
        <v>0</v>
      </c>
      <c r="K1553">
        <v>1</v>
      </c>
      <c r="L1553">
        <v>3</v>
      </c>
      <c r="M1553">
        <v>166</v>
      </c>
      <c r="N1553">
        <v>628</v>
      </c>
      <c r="O1553">
        <v>0</v>
      </c>
      <c r="P1553">
        <v>462</v>
      </c>
      <c r="Q1553">
        <v>0</v>
      </c>
      <c r="R1553">
        <v>76</v>
      </c>
      <c r="S1553">
        <v>1</v>
      </c>
      <c r="T1553">
        <v>1</v>
      </c>
      <c r="U1553">
        <v>82</v>
      </c>
      <c r="V1553">
        <v>0</v>
      </c>
      <c r="W1553">
        <v>128</v>
      </c>
      <c r="Y1553">
        <v>0</v>
      </c>
      <c r="Z1553">
        <v>1</v>
      </c>
      <c r="AA1553">
        <v>170</v>
      </c>
      <c r="AF1553" t="s">
        <v>131</v>
      </c>
      <c r="AG1553" t="s">
        <v>131</v>
      </c>
      <c r="AH1553" t="s">
        <v>131</v>
      </c>
      <c r="AI1553" t="s">
        <v>131</v>
      </c>
      <c r="AU1553" t="s">
        <v>131</v>
      </c>
      <c r="AW1553" t="s">
        <v>131</v>
      </c>
      <c r="AX1553">
        <v>3</v>
      </c>
      <c r="AY1553">
        <v>462</v>
      </c>
      <c r="AZ1553">
        <v>462</v>
      </c>
      <c r="BA1553">
        <v>584</v>
      </c>
      <c r="BB1553">
        <v>44</v>
      </c>
      <c r="BC1553" t="s">
        <v>96</v>
      </c>
      <c r="BD1553">
        <v>1</v>
      </c>
      <c r="BF1553" t="s">
        <v>1697</v>
      </c>
      <c r="BG1553" s="1">
        <v>44353.968055555553</v>
      </c>
      <c r="BH1553" s="1">
        <v>44353.979849537034</v>
      </c>
      <c r="BI1553" s="1">
        <v>44353.981435185182</v>
      </c>
      <c r="BJ1553" t="s">
        <v>85</v>
      </c>
      <c r="BK1553" t="s">
        <v>86</v>
      </c>
      <c r="BL1553" t="s">
        <v>87</v>
      </c>
    </row>
    <row r="1554" spans="1:64" x14ac:dyDescent="0.3">
      <c r="A1554" t="str">
        <f>"200877C0100"</f>
        <v>200877C0100</v>
      </c>
      <c r="B1554" t="str">
        <f>"200877C01003"</f>
        <v>200877C01003</v>
      </c>
      <c r="C1554" t="str">
        <f t="shared" si="91"/>
        <v>20</v>
      </c>
      <c r="D1554" t="s">
        <v>81</v>
      </c>
      <c r="E1554" t="str">
        <f t="shared" si="92"/>
        <v>138</v>
      </c>
      <c r="F1554" t="s">
        <v>1696</v>
      </c>
      <c r="G1554" t="str">
        <f>"0877"</f>
        <v>0877</v>
      </c>
      <c r="H1554" t="str">
        <f>"0001"</f>
        <v>0001</v>
      </c>
      <c r="I1554" t="s">
        <v>89</v>
      </c>
      <c r="J1554">
        <v>0</v>
      </c>
      <c r="K1554">
        <v>1</v>
      </c>
      <c r="L1554">
        <v>3</v>
      </c>
      <c r="M1554">
        <v>161</v>
      </c>
      <c r="N1554">
        <v>467</v>
      </c>
      <c r="O1554">
        <v>9</v>
      </c>
      <c r="P1554" t="s">
        <v>92</v>
      </c>
      <c r="Q1554">
        <v>0</v>
      </c>
      <c r="R1554">
        <v>101</v>
      </c>
      <c r="S1554">
        <v>1</v>
      </c>
      <c r="T1554">
        <v>7</v>
      </c>
      <c r="U1554">
        <v>88</v>
      </c>
      <c r="V1554">
        <v>1</v>
      </c>
      <c r="W1554">
        <v>122</v>
      </c>
      <c r="Y1554">
        <v>0</v>
      </c>
      <c r="Z1554">
        <v>3</v>
      </c>
      <c r="AA1554">
        <v>139</v>
      </c>
      <c r="AF1554">
        <v>0</v>
      </c>
      <c r="AG1554">
        <v>0</v>
      </c>
      <c r="AH1554">
        <v>0</v>
      </c>
      <c r="AI1554">
        <v>0</v>
      </c>
      <c r="AU1554">
        <v>0</v>
      </c>
      <c r="AW1554">
        <v>0</v>
      </c>
      <c r="AX1554">
        <v>5</v>
      </c>
      <c r="AY1554">
        <v>467</v>
      </c>
      <c r="AZ1554">
        <v>467</v>
      </c>
      <c r="BA1554">
        <v>584</v>
      </c>
      <c r="BB1554">
        <v>44</v>
      </c>
      <c r="BD1554">
        <v>1</v>
      </c>
      <c r="BF1554" t="s">
        <v>1698</v>
      </c>
      <c r="BG1554" s="1">
        <v>44353.883657407408</v>
      </c>
      <c r="BH1554" s="1">
        <v>44353.886689814812</v>
      </c>
      <c r="BI1554" s="1">
        <v>44353.8909375</v>
      </c>
      <c r="BJ1554" t="s">
        <v>197</v>
      </c>
      <c r="BK1554" t="s">
        <v>198</v>
      </c>
      <c r="BL1554" t="s">
        <v>87</v>
      </c>
    </row>
    <row r="1555" spans="1:64" x14ac:dyDescent="0.3">
      <c r="A1555" t="str">
        <f>"200877C0200"</f>
        <v>200877C0200</v>
      </c>
      <c r="B1555" t="str">
        <f>"200877C02003"</f>
        <v>200877C02003</v>
      </c>
      <c r="C1555" t="str">
        <f t="shared" si="91"/>
        <v>20</v>
      </c>
      <c r="D1555" t="s">
        <v>81</v>
      </c>
      <c r="E1555" t="str">
        <f t="shared" si="92"/>
        <v>138</v>
      </c>
      <c r="F1555" t="s">
        <v>1696</v>
      </c>
      <c r="G1555" t="str">
        <f>"0877"</f>
        <v>0877</v>
      </c>
      <c r="H1555" t="str">
        <f>"0002"</f>
        <v>0002</v>
      </c>
      <c r="I1555" t="s">
        <v>89</v>
      </c>
      <c r="J1555">
        <v>0</v>
      </c>
      <c r="K1555">
        <v>1</v>
      </c>
      <c r="L1555">
        <v>3</v>
      </c>
      <c r="M1555">
        <v>149</v>
      </c>
      <c r="N1555">
        <v>478</v>
      </c>
      <c r="O1555">
        <v>6</v>
      </c>
      <c r="P1555">
        <v>479</v>
      </c>
      <c r="Q1555">
        <v>0</v>
      </c>
      <c r="R1555">
        <v>89</v>
      </c>
      <c r="S1555">
        <v>0</v>
      </c>
      <c r="T1555">
        <v>0</v>
      </c>
      <c r="U1555">
        <v>71</v>
      </c>
      <c r="V1555">
        <v>0</v>
      </c>
      <c r="W1555">
        <v>165</v>
      </c>
      <c r="Y1555">
        <v>0</v>
      </c>
      <c r="Z1555">
        <v>2</v>
      </c>
      <c r="AA1555">
        <v>150</v>
      </c>
      <c r="AF1555">
        <v>0</v>
      </c>
      <c r="AG1555">
        <v>0</v>
      </c>
      <c r="AH1555">
        <v>0</v>
      </c>
      <c r="AI1555">
        <v>1</v>
      </c>
      <c r="AU1555">
        <v>0</v>
      </c>
      <c r="AW1555">
        <v>0</v>
      </c>
      <c r="AX1555">
        <v>1</v>
      </c>
      <c r="AY1555">
        <v>479</v>
      </c>
      <c r="AZ1555">
        <v>479</v>
      </c>
      <c r="BA1555">
        <v>584</v>
      </c>
      <c r="BB1555">
        <v>44</v>
      </c>
      <c r="BD1555">
        <v>1</v>
      </c>
      <c r="BF1555" t="s">
        <v>1699</v>
      </c>
      <c r="BG1555" s="1">
        <v>44353.902708333335</v>
      </c>
      <c r="BH1555" s="1">
        <v>44353.905127314814</v>
      </c>
      <c r="BI1555" s="1">
        <v>44353.905682870369</v>
      </c>
      <c r="BJ1555" t="s">
        <v>197</v>
      </c>
      <c r="BK1555" t="s">
        <v>198</v>
      </c>
      <c r="BL1555" t="s">
        <v>87</v>
      </c>
    </row>
    <row r="1556" spans="1:64" x14ac:dyDescent="0.3">
      <c r="A1556" t="str">
        <f>"200877C0300"</f>
        <v>200877C0300</v>
      </c>
      <c r="B1556" t="str">
        <f>"200877C03003"</f>
        <v>200877C03003</v>
      </c>
      <c r="C1556" t="str">
        <f t="shared" si="91"/>
        <v>20</v>
      </c>
      <c r="D1556" t="s">
        <v>81</v>
      </c>
      <c r="E1556" t="str">
        <f t="shared" si="92"/>
        <v>138</v>
      </c>
      <c r="F1556" t="s">
        <v>1696</v>
      </c>
      <c r="G1556" t="str">
        <f>"0877"</f>
        <v>0877</v>
      </c>
      <c r="H1556" t="str">
        <f>"0003"</f>
        <v>0003</v>
      </c>
      <c r="I1556" t="s">
        <v>89</v>
      </c>
      <c r="J1556">
        <v>0</v>
      </c>
      <c r="K1556">
        <v>1</v>
      </c>
      <c r="L1556">
        <v>3</v>
      </c>
      <c r="M1556">
        <v>158</v>
      </c>
      <c r="N1556">
        <v>470</v>
      </c>
      <c r="O1556">
        <v>6</v>
      </c>
      <c r="P1556">
        <v>470</v>
      </c>
      <c r="Q1556">
        <v>1</v>
      </c>
      <c r="R1556">
        <v>77</v>
      </c>
      <c r="S1556">
        <v>0</v>
      </c>
      <c r="T1556">
        <v>3</v>
      </c>
      <c r="U1556">
        <v>61</v>
      </c>
      <c r="V1556">
        <v>0</v>
      </c>
      <c r="W1556">
        <v>171</v>
      </c>
      <c r="Y1556">
        <v>0</v>
      </c>
      <c r="Z1556">
        <v>0</v>
      </c>
      <c r="AA1556">
        <v>155</v>
      </c>
      <c r="AF1556">
        <v>0</v>
      </c>
      <c r="AG1556">
        <v>0</v>
      </c>
      <c r="AH1556">
        <v>0</v>
      </c>
      <c r="AI1556">
        <v>0</v>
      </c>
      <c r="AU1556">
        <v>1</v>
      </c>
      <c r="AW1556">
        <v>0</v>
      </c>
      <c r="AX1556">
        <v>1</v>
      </c>
      <c r="AY1556">
        <v>470</v>
      </c>
      <c r="AZ1556">
        <v>470</v>
      </c>
      <c r="BA1556">
        <v>584</v>
      </c>
      <c r="BB1556">
        <v>44</v>
      </c>
      <c r="BD1556">
        <v>1</v>
      </c>
      <c r="BF1556" t="s">
        <v>1700</v>
      </c>
      <c r="BG1556" s="1">
        <v>44353.88177083333</v>
      </c>
      <c r="BH1556" s="1">
        <v>44353.889687499999</v>
      </c>
      <c r="BI1556" s="1">
        <v>44353.890567129631</v>
      </c>
      <c r="BJ1556" t="s">
        <v>197</v>
      </c>
      <c r="BK1556" t="s">
        <v>198</v>
      </c>
      <c r="BL1556" t="s">
        <v>87</v>
      </c>
    </row>
    <row r="1557" spans="1:64" x14ac:dyDescent="0.3">
      <c r="A1557" t="str">
        <f>"200878B0000"</f>
        <v>200878B0000</v>
      </c>
      <c r="B1557" t="str">
        <f>"200878B00003"</f>
        <v>200878B00003</v>
      </c>
      <c r="C1557" t="str">
        <f t="shared" si="91"/>
        <v>20</v>
      </c>
      <c r="D1557" t="s">
        <v>81</v>
      </c>
      <c r="E1557" t="str">
        <f t="shared" si="92"/>
        <v>138</v>
      </c>
      <c r="F1557" t="s">
        <v>1696</v>
      </c>
      <c r="G1557" t="str">
        <f>"0878"</f>
        <v>0878</v>
      </c>
      <c r="H1557" t="str">
        <f>"0000"</f>
        <v>0000</v>
      </c>
      <c r="I1557" t="s">
        <v>83</v>
      </c>
      <c r="J1557">
        <v>0</v>
      </c>
      <c r="K1557">
        <v>1</v>
      </c>
      <c r="L1557">
        <v>3</v>
      </c>
      <c r="M1557">
        <v>179</v>
      </c>
      <c r="N1557">
        <v>520</v>
      </c>
      <c r="O1557">
        <v>6</v>
      </c>
      <c r="P1557">
        <v>520</v>
      </c>
      <c r="Q1557">
        <v>0</v>
      </c>
      <c r="R1557">
        <v>84</v>
      </c>
      <c r="S1557">
        <v>0</v>
      </c>
      <c r="T1557">
        <v>1</v>
      </c>
      <c r="U1557">
        <v>40</v>
      </c>
      <c r="V1557">
        <v>1</v>
      </c>
      <c r="W1557">
        <v>177</v>
      </c>
      <c r="Y1557">
        <v>0</v>
      </c>
      <c r="Z1557">
        <v>2</v>
      </c>
      <c r="AA1557">
        <v>211</v>
      </c>
      <c r="AF1557">
        <v>0</v>
      </c>
      <c r="AG1557">
        <v>0</v>
      </c>
      <c r="AH1557">
        <v>0</v>
      </c>
      <c r="AI1557">
        <v>0</v>
      </c>
      <c r="AU1557">
        <v>0</v>
      </c>
      <c r="AW1557">
        <v>0</v>
      </c>
      <c r="AX1557">
        <v>4</v>
      </c>
      <c r="AY1557">
        <v>520</v>
      </c>
      <c r="AZ1557">
        <v>520</v>
      </c>
      <c r="BA1557">
        <v>655</v>
      </c>
      <c r="BB1557">
        <v>44</v>
      </c>
      <c r="BD1557">
        <v>1</v>
      </c>
      <c r="BF1557" t="s">
        <v>1701</v>
      </c>
      <c r="BG1557" s="1">
        <v>44353.993055555555</v>
      </c>
      <c r="BH1557" s="1">
        <v>44354.000289351854</v>
      </c>
      <c r="BI1557" s="1">
        <v>44354.001076388886</v>
      </c>
      <c r="BJ1557" t="s">
        <v>85</v>
      </c>
      <c r="BK1557" t="s">
        <v>86</v>
      </c>
      <c r="BL1557" t="s">
        <v>87</v>
      </c>
    </row>
    <row r="1558" spans="1:64" x14ac:dyDescent="0.3">
      <c r="A1558" t="str">
        <f>"200878C0100"</f>
        <v>200878C0100</v>
      </c>
      <c r="B1558" t="str">
        <f>"200878C01003"</f>
        <v>200878C01003</v>
      </c>
      <c r="C1558" t="str">
        <f t="shared" si="91"/>
        <v>20</v>
      </c>
      <c r="D1558" t="s">
        <v>81</v>
      </c>
      <c r="E1558" t="str">
        <f t="shared" si="92"/>
        <v>138</v>
      </c>
      <c r="F1558" t="s">
        <v>1696</v>
      </c>
      <c r="G1558" t="str">
        <f>"0878"</f>
        <v>0878</v>
      </c>
      <c r="H1558" t="str">
        <f>"0001"</f>
        <v>0001</v>
      </c>
      <c r="I1558" t="s">
        <v>89</v>
      </c>
      <c r="J1558">
        <v>0</v>
      </c>
      <c r="K1558">
        <v>1</v>
      </c>
      <c r="L1558">
        <v>3</v>
      </c>
      <c r="M1558">
        <v>174</v>
      </c>
      <c r="N1558">
        <v>532</v>
      </c>
      <c r="O1558">
        <v>9</v>
      </c>
      <c r="P1558">
        <v>523</v>
      </c>
      <c r="Q1558">
        <v>0</v>
      </c>
      <c r="R1558">
        <v>117</v>
      </c>
      <c r="S1558">
        <v>3</v>
      </c>
      <c r="T1558">
        <v>2</v>
      </c>
      <c r="U1558">
        <v>61</v>
      </c>
      <c r="V1558">
        <v>0</v>
      </c>
      <c r="W1558">
        <v>149</v>
      </c>
      <c r="Y1558">
        <v>0</v>
      </c>
      <c r="Z1558">
        <v>3</v>
      </c>
      <c r="AA1558">
        <v>184</v>
      </c>
      <c r="AF1558">
        <v>0</v>
      </c>
      <c r="AG1558">
        <v>0</v>
      </c>
      <c r="AH1558">
        <v>0</v>
      </c>
      <c r="AI1558">
        <v>0</v>
      </c>
      <c r="AU1558">
        <v>0</v>
      </c>
      <c r="AW1558">
        <v>0</v>
      </c>
      <c r="AX1558">
        <v>6</v>
      </c>
      <c r="AY1558">
        <v>523</v>
      </c>
      <c r="AZ1558">
        <v>525</v>
      </c>
      <c r="BA1558">
        <v>654</v>
      </c>
      <c r="BB1558">
        <v>44</v>
      </c>
      <c r="BD1558">
        <v>1</v>
      </c>
      <c r="BF1558" t="s">
        <v>1702</v>
      </c>
      <c r="BG1558" s="1">
        <v>44353.984027777777</v>
      </c>
      <c r="BH1558" s="1">
        <v>44353.992812500001</v>
      </c>
      <c r="BI1558" s="1">
        <v>44353.994027777779</v>
      </c>
      <c r="BJ1558" t="s">
        <v>85</v>
      </c>
      <c r="BK1558" t="s">
        <v>86</v>
      </c>
      <c r="BL1558" t="s">
        <v>87</v>
      </c>
    </row>
    <row r="1559" spans="1:64" x14ac:dyDescent="0.3">
      <c r="A1559" t="str">
        <f>"200878C0200"</f>
        <v>200878C0200</v>
      </c>
      <c r="B1559" t="str">
        <f>"200878C02003"</f>
        <v>200878C02003</v>
      </c>
      <c r="C1559" t="str">
        <f t="shared" si="91"/>
        <v>20</v>
      </c>
      <c r="D1559" t="s">
        <v>81</v>
      </c>
      <c r="E1559" t="str">
        <f t="shared" si="92"/>
        <v>138</v>
      </c>
      <c r="F1559" t="s">
        <v>1696</v>
      </c>
      <c r="G1559" t="str">
        <f>"0878"</f>
        <v>0878</v>
      </c>
      <c r="H1559" t="str">
        <f>"0002"</f>
        <v>0002</v>
      </c>
      <c r="I1559" t="s">
        <v>89</v>
      </c>
      <c r="J1559">
        <v>0</v>
      </c>
      <c r="K1559">
        <v>1</v>
      </c>
      <c r="L1559">
        <v>3</v>
      </c>
      <c r="M1559">
        <v>179</v>
      </c>
      <c r="N1559">
        <v>0</v>
      </c>
      <c r="O1559">
        <v>0</v>
      </c>
      <c r="P1559">
        <v>519</v>
      </c>
      <c r="Q1559">
        <v>0</v>
      </c>
      <c r="R1559">
        <v>119</v>
      </c>
      <c r="S1559">
        <v>0</v>
      </c>
      <c r="T1559">
        <v>4</v>
      </c>
      <c r="U1559">
        <v>33</v>
      </c>
      <c r="V1559">
        <v>0</v>
      </c>
      <c r="W1559">
        <v>167</v>
      </c>
      <c r="Y1559">
        <v>1</v>
      </c>
      <c r="Z1559">
        <v>2</v>
      </c>
      <c r="AA1559">
        <v>187</v>
      </c>
      <c r="AF1559">
        <v>1</v>
      </c>
      <c r="AG1559">
        <v>0</v>
      </c>
      <c r="AH1559">
        <v>0</v>
      </c>
      <c r="AI1559">
        <v>0</v>
      </c>
      <c r="AU1559">
        <v>1</v>
      </c>
      <c r="AW1559">
        <v>0</v>
      </c>
      <c r="AX1559">
        <v>4</v>
      </c>
      <c r="AY1559">
        <v>519</v>
      </c>
      <c r="AZ1559">
        <v>519</v>
      </c>
      <c r="BA1559">
        <v>654</v>
      </c>
      <c r="BB1559">
        <v>44</v>
      </c>
      <c r="BD1559">
        <v>1</v>
      </c>
      <c r="BF1559" t="s">
        <v>1703</v>
      </c>
      <c r="BG1559" s="1">
        <v>44354.039583333331</v>
      </c>
      <c r="BH1559" s="1">
        <v>44354.050069444442</v>
      </c>
      <c r="BI1559" s="1">
        <v>44354.051678240743</v>
      </c>
      <c r="BJ1559" t="s">
        <v>85</v>
      </c>
      <c r="BK1559" t="s">
        <v>86</v>
      </c>
      <c r="BL1559" t="s">
        <v>87</v>
      </c>
    </row>
    <row r="1560" spans="1:64" x14ac:dyDescent="0.3">
      <c r="A1560" t="str">
        <f>"200879B0000"</f>
        <v>200879B0000</v>
      </c>
      <c r="B1560" t="str">
        <f>"200879B00003"</f>
        <v>200879B00003</v>
      </c>
      <c r="C1560" t="str">
        <f t="shared" si="91"/>
        <v>20</v>
      </c>
      <c r="D1560" t="s">
        <v>81</v>
      </c>
      <c r="E1560" t="str">
        <f t="shared" si="92"/>
        <v>138</v>
      </c>
      <c r="F1560" t="s">
        <v>1696</v>
      </c>
      <c r="G1560" t="str">
        <f>"0879"</f>
        <v>0879</v>
      </c>
      <c r="H1560" t="str">
        <f>"0000"</f>
        <v>0000</v>
      </c>
      <c r="I1560" t="s">
        <v>83</v>
      </c>
      <c r="J1560">
        <v>0</v>
      </c>
      <c r="K1560">
        <v>1</v>
      </c>
      <c r="L1560">
        <v>3</v>
      </c>
      <c r="M1560">
        <v>135</v>
      </c>
      <c r="N1560">
        <v>610</v>
      </c>
      <c r="O1560">
        <v>7</v>
      </c>
      <c r="P1560">
        <v>610</v>
      </c>
      <c r="Q1560">
        <v>0</v>
      </c>
      <c r="R1560">
        <v>282</v>
      </c>
      <c r="S1560">
        <v>1</v>
      </c>
      <c r="T1560">
        <v>1</v>
      </c>
      <c r="U1560">
        <v>39</v>
      </c>
      <c r="V1560">
        <v>1</v>
      </c>
      <c r="W1560">
        <v>3</v>
      </c>
      <c r="Y1560">
        <v>0</v>
      </c>
      <c r="Z1560">
        <v>0</v>
      </c>
      <c r="AA1560">
        <v>274</v>
      </c>
      <c r="AF1560">
        <v>0</v>
      </c>
      <c r="AG1560">
        <v>0</v>
      </c>
      <c r="AH1560">
        <v>0</v>
      </c>
      <c r="AI1560">
        <v>0</v>
      </c>
      <c r="AU1560">
        <v>2</v>
      </c>
      <c r="AW1560">
        <v>0</v>
      </c>
      <c r="AX1560">
        <v>7</v>
      </c>
      <c r="AY1560">
        <v>610</v>
      </c>
      <c r="AZ1560">
        <v>610</v>
      </c>
      <c r="BA1560">
        <v>701</v>
      </c>
      <c r="BB1560">
        <v>44</v>
      </c>
      <c r="BD1560">
        <v>1</v>
      </c>
      <c r="BF1560" t="s">
        <v>1704</v>
      </c>
      <c r="BG1560" s="1">
        <v>44354.018750000003</v>
      </c>
      <c r="BH1560" s="1">
        <v>44354.030150462961</v>
      </c>
      <c r="BI1560" s="1">
        <v>44354.030717592592</v>
      </c>
      <c r="BJ1560" t="s">
        <v>85</v>
      </c>
      <c r="BK1560" t="s">
        <v>86</v>
      </c>
      <c r="BL1560" t="s">
        <v>87</v>
      </c>
    </row>
    <row r="1561" spans="1:64" x14ac:dyDescent="0.3">
      <c r="A1561" t="str">
        <f>"200879E0100"</f>
        <v>200879E0100</v>
      </c>
      <c r="B1561" t="str">
        <f>"200879E01003"</f>
        <v>200879E01003</v>
      </c>
      <c r="C1561" t="str">
        <f t="shared" si="91"/>
        <v>20</v>
      </c>
      <c r="D1561" t="s">
        <v>81</v>
      </c>
      <c r="E1561" t="str">
        <f t="shared" si="92"/>
        <v>138</v>
      </c>
      <c r="F1561" t="s">
        <v>1696</v>
      </c>
      <c r="G1561" t="str">
        <f>"0879"</f>
        <v>0879</v>
      </c>
      <c r="H1561" t="str">
        <f>"0001"</f>
        <v>0001</v>
      </c>
      <c r="I1561" t="s">
        <v>122</v>
      </c>
      <c r="J1561">
        <v>0</v>
      </c>
      <c r="K1561">
        <v>1</v>
      </c>
      <c r="L1561">
        <v>3</v>
      </c>
      <c r="M1561">
        <v>69</v>
      </c>
      <c r="N1561">
        <v>94</v>
      </c>
      <c r="O1561">
        <v>4</v>
      </c>
      <c r="P1561">
        <v>94</v>
      </c>
      <c r="Q1561">
        <v>0</v>
      </c>
      <c r="R1561">
        <v>4</v>
      </c>
      <c r="S1561">
        <v>0</v>
      </c>
      <c r="T1561">
        <v>0</v>
      </c>
      <c r="U1561">
        <v>42</v>
      </c>
      <c r="V1561">
        <v>0</v>
      </c>
      <c r="W1561">
        <v>24</v>
      </c>
      <c r="Y1561">
        <v>0</v>
      </c>
      <c r="Z1561">
        <v>0</v>
      </c>
      <c r="AA1561">
        <v>24</v>
      </c>
      <c r="AF1561">
        <v>0</v>
      </c>
      <c r="AG1561">
        <v>0</v>
      </c>
      <c r="AH1561">
        <v>0</v>
      </c>
      <c r="AI1561">
        <v>0</v>
      </c>
      <c r="AU1561">
        <v>0</v>
      </c>
      <c r="AW1561">
        <v>0</v>
      </c>
      <c r="AX1561">
        <v>0</v>
      </c>
      <c r="AY1561">
        <v>94</v>
      </c>
      <c r="AZ1561">
        <v>94</v>
      </c>
      <c r="BA1561">
        <v>119</v>
      </c>
      <c r="BB1561">
        <v>44</v>
      </c>
      <c r="BD1561">
        <v>1</v>
      </c>
      <c r="BF1561" t="s">
        <v>1705</v>
      </c>
      <c r="BG1561" s="1">
        <v>44354.01666666667</v>
      </c>
      <c r="BH1561" s="1">
        <v>44354.025601851848</v>
      </c>
      <c r="BI1561" s="1">
        <v>44354.026273148149</v>
      </c>
      <c r="BJ1561" t="s">
        <v>85</v>
      </c>
      <c r="BK1561" t="s">
        <v>86</v>
      </c>
      <c r="BL1561" t="s">
        <v>87</v>
      </c>
    </row>
    <row r="1562" spans="1:64" x14ac:dyDescent="0.3">
      <c r="A1562" t="str">
        <f>"200880B0000"</f>
        <v>200880B0000</v>
      </c>
      <c r="B1562" t="str">
        <f>"200880B00003"</f>
        <v>200880B00003</v>
      </c>
      <c r="C1562" t="str">
        <f t="shared" si="91"/>
        <v>20</v>
      </c>
      <c r="D1562" t="s">
        <v>81</v>
      </c>
      <c r="E1562" t="str">
        <f t="shared" si="92"/>
        <v>138</v>
      </c>
      <c r="F1562" t="s">
        <v>1696</v>
      </c>
      <c r="G1562" t="str">
        <f>"0880"</f>
        <v>0880</v>
      </c>
      <c r="H1562" t="str">
        <f>"0000"</f>
        <v>0000</v>
      </c>
      <c r="I1562" t="s">
        <v>83</v>
      </c>
      <c r="J1562">
        <v>0</v>
      </c>
      <c r="K1562">
        <v>1</v>
      </c>
      <c r="L1562">
        <v>3</v>
      </c>
      <c r="M1562">
        <v>65</v>
      </c>
      <c r="N1562">
        <v>311</v>
      </c>
      <c r="O1562">
        <v>10</v>
      </c>
      <c r="P1562">
        <v>311</v>
      </c>
      <c r="Q1562">
        <v>0</v>
      </c>
      <c r="R1562">
        <v>119</v>
      </c>
      <c r="S1562">
        <v>0</v>
      </c>
      <c r="T1562">
        <v>0</v>
      </c>
      <c r="U1562">
        <v>113</v>
      </c>
      <c r="V1562">
        <v>1</v>
      </c>
      <c r="W1562">
        <v>43</v>
      </c>
      <c r="Y1562">
        <v>0</v>
      </c>
      <c r="Z1562">
        <v>0</v>
      </c>
      <c r="AA1562">
        <v>32</v>
      </c>
      <c r="AF1562">
        <v>0</v>
      </c>
      <c r="AG1562">
        <v>0</v>
      </c>
      <c r="AH1562">
        <v>0</v>
      </c>
      <c r="AI1562">
        <v>0</v>
      </c>
      <c r="AU1562">
        <v>0</v>
      </c>
      <c r="AW1562">
        <v>0</v>
      </c>
      <c r="AX1562">
        <v>3</v>
      </c>
      <c r="AY1562">
        <v>311</v>
      </c>
      <c r="AZ1562">
        <v>311</v>
      </c>
      <c r="BA1562">
        <v>332</v>
      </c>
      <c r="BB1562">
        <v>44</v>
      </c>
      <c r="BD1562">
        <v>1</v>
      </c>
      <c r="BF1562" t="s">
        <v>1706</v>
      </c>
      <c r="BG1562" s="1">
        <v>44353.822916666664</v>
      </c>
      <c r="BH1562" s="1">
        <v>44353.887094907404</v>
      </c>
      <c r="BI1562" s="1">
        <v>44353.887615740743</v>
      </c>
      <c r="BJ1562" t="s">
        <v>85</v>
      </c>
      <c r="BK1562" t="s">
        <v>86</v>
      </c>
      <c r="BL1562" t="s">
        <v>87</v>
      </c>
    </row>
    <row r="1563" spans="1:64" x14ac:dyDescent="0.3">
      <c r="A1563" t="str">
        <f>"200881B0000"</f>
        <v>200881B0000</v>
      </c>
      <c r="B1563" t="str">
        <f>"200881B00003"</f>
        <v>200881B00003</v>
      </c>
      <c r="C1563" t="str">
        <f t="shared" si="91"/>
        <v>20</v>
      </c>
      <c r="D1563" t="s">
        <v>81</v>
      </c>
      <c r="E1563" t="str">
        <f t="shared" si="92"/>
        <v>138</v>
      </c>
      <c r="F1563" t="s">
        <v>1696</v>
      </c>
      <c r="G1563" t="str">
        <f>"0881"</f>
        <v>0881</v>
      </c>
      <c r="H1563" t="str">
        <f>"0000"</f>
        <v>0000</v>
      </c>
      <c r="I1563" t="s">
        <v>83</v>
      </c>
      <c r="J1563">
        <v>0</v>
      </c>
      <c r="K1563">
        <v>1</v>
      </c>
      <c r="L1563">
        <v>3</v>
      </c>
      <c r="M1563">
        <v>117</v>
      </c>
      <c r="N1563">
        <v>447</v>
      </c>
      <c r="O1563">
        <v>1</v>
      </c>
      <c r="P1563">
        <v>447</v>
      </c>
      <c r="Q1563">
        <v>0</v>
      </c>
      <c r="R1563">
        <v>107</v>
      </c>
      <c r="S1563">
        <v>0</v>
      </c>
      <c r="T1563">
        <v>3</v>
      </c>
      <c r="U1563">
        <v>123</v>
      </c>
      <c r="V1563">
        <v>0</v>
      </c>
      <c r="W1563">
        <v>130</v>
      </c>
      <c r="Y1563">
        <v>1</v>
      </c>
      <c r="Z1563">
        <v>1</v>
      </c>
      <c r="AA1563">
        <v>80</v>
      </c>
      <c r="AF1563">
        <v>0</v>
      </c>
      <c r="AG1563">
        <v>0</v>
      </c>
      <c r="AH1563">
        <v>0</v>
      </c>
      <c r="AI1563">
        <v>0</v>
      </c>
      <c r="AU1563">
        <v>0</v>
      </c>
      <c r="AW1563">
        <v>0</v>
      </c>
      <c r="AX1563">
        <v>2</v>
      </c>
      <c r="AY1563">
        <v>447</v>
      </c>
      <c r="AZ1563">
        <v>447</v>
      </c>
      <c r="BA1563">
        <v>520</v>
      </c>
      <c r="BB1563">
        <v>44</v>
      </c>
      <c r="BD1563">
        <v>1</v>
      </c>
      <c r="BF1563" t="s">
        <v>1707</v>
      </c>
      <c r="BG1563" s="1">
        <v>44354.093055555553</v>
      </c>
      <c r="BH1563" s="1">
        <v>44354.097986111112</v>
      </c>
      <c r="BI1563" s="1">
        <v>44354.098611111112</v>
      </c>
      <c r="BJ1563" t="s">
        <v>85</v>
      </c>
      <c r="BK1563" t="s">
        <v>86</v>
      </c>
      <c r="BL1563" t="s">
        <v>1390</v>
      </c>
    </row>
    <row r="1564" spans="1:64" x14ac:dyDescent="0.3">
      <c r="A1564" t="str">
        <f>"200881C0100"</f>
        <v>200881C0100</v>
      </c>
      <c r="B1564" t="str">
        <f>"200881C01003"</f>
        <v>200881C01003</v>
      </c>
      <c r="C1564" t="str">
        <f t="shared" si="91"/>
        <v>20</v>
      </c>
      <c r="D1564" t="s">
        <v>81</v>
      </c>
      <c r="E1564" t="str">
        <f t="shared" si="92"/>
        <v>138</v>
      </c>
      <c r="F1564" t="s">
        <v>1696</v>
      </c>
      <c r="G1564" t="str">
        <f>"0881"</f>
        <v>0881</v>
      </c>
      <c r="H1564" t="str">
        <f>"0001"</f>
        <v>0001</v>
      </c>
      <c r="I1564" t="s">
        <v>89</v>
      </c>
      <c r="J1564">
        <v>0</v>
      </c>
      <c r="K1564">
        <v>1</v>
      </c>
      <c r="L1564">
        <v>3</v>
      </c>
      <c r="M1564">
        <v>115</v>
      </c>
      <c r="N1564">
        <v>564</v>
      </c>
      <c r="O1564">
        <v>7</v>
      </c>
      <c r="P1564" t="s">
        <v>92</v>
      </c>
      <c r="Q1564">
        <v>0</v>
      </c>
      <c r="R1564">
        <v>96</v>
      </c>
      <c r="S1564">
        <v>0</v>
      </c>
      <c r="T1564">
        <v>3</v>
      </c>
      <c r="U1564">
        <v>153</v>
      </c>
      <c r="V1564">
        <v>0</v>
      </c>
      <c r="W1564">
        <v>147</v>
      </c>
      <c r="Y1564">
        <v>0</v>
      </c>
      <c r="Z1564">
        <v>44</v>
      </c>
      <c r="AA1564">
        <v>0</v>
      </c>
      <c r="AF1564">
        <v>0</v>
      </c>
      <c r="AG1564">
        <v>0</v>
      </c>
      <c r="AH1564">
        <v>0</v>
      </c>
      <c r="AI1564">
        <v>0</v>
      </c>
      <c r="AU1564">
        <v>0</v>
      </c>
      <c r="AW1564">
        <v>0</v>
      </c>
      <c r="AX1564">
        <v>4</v>
      </c>
      <c r="AY1564">
        <v>449</v>
      </c>
      <c r="AZ1564">
        <v>447</v>
      </c>
      <c r="BA1564">
        <v>520</v>
      </c>
      <c r="BB1564">
        <v>44</v>
      </c>
      <c r="BD1564">
        <v>1</v>
      </c>
      <c r="BF1564" t="s">
        <v>1708</v>
      </c>
      <c r="BG1564" s="1">
        <v>44354.078472222223</v>
      </c>
      <c r="BH1564" s="1">
        <v>44354.091365740744</v>
      </c>
      <c r="BI1564" s="1">
        <v>44354.092094907406</v>
      </c>
      <c r="BJ1564" t="s">
        <v>85</v>
      </c>
      <c r="BK1564" t="s">
        <v>86</v>
      </c>
      <c r="BL1564" t="s">
        <v>87</v>
      </c>
    </row>
    <row r="1565" spans="1:64" x14ac:dyDescent="0.3">
      <c r="A1565" t="str">
        <f>"200883B0000"</f>
        <v>200883B0000</v>
      </c>
      <c r="B1565" t="str">
        <f>"200883B00003"</f>
        <v>200883B00003</v>
      </c>
      <c r="C1565" t="str">
        <f t="shared" si="91"/>
        <v>20</v>
      </c>
      <c r="D1565" t="s">
        <v>81</v>
      </c>
      <c r="E1565" t="str">
        <f t="shared" ref="E1565:E1580" si="93">"140"</f>
        <v>140</v>
      </c>
      <c r="F1565" t="s">
        <v>1709</v>
      </c>
      <c r="G1565" t="str">
        <f>"0883"</f>
        <v>0883</v>
      </c>
      <c r="H1565" t="str">
        <f>"0000"</f>
        <v>0000</v>
      </c>
      <c r="I1565" t="s">
        <v>83</v>
      </c>
      <c r="J1565">
        <v>0</v>
      </c>
      <c r="K1565">
        <v>1</v>
      </c>
      <c r="L1565">
        <v>3</v>
      </c>
      <c r="M1565">
        <v>202</v>
      </c>
      <c r="N1565">
        <v>568</v>
      </c>
      <c r="O1565">
        <v>2</v>
      </c>
      <c r="P1565">
        <v>568</v>
      </c>
      <c r="Q1565">
        <v>3</v>
      </c>
      <c r="R1565">
        <v>94</v>
      </c>
      <c r="S1565">
        <v>0</v>
      </c>
      <c r="U1565">
        <v>3</v>
      </c>
      <c r="V1565">
        <v>0</v>
      </c>
      <c r="X1565">
        <v>121</v>
      </c>
      <c r="Y1565">
        <v>42</v>
      </c>
      <c r="Z1565">
        <v>0</v>
      </c>
      <c r="AC1565">
        <v>291</v>
      </c>
      <c r="AO1565">
        <v>0</v>
      </c>
      <c r="AW1565">
        <v>0</v>
      </c>
      <c r="AX1565">
        <v>14</v>
      </c>
      <c r="AY1565">
        <v>568</v>
      </c>
      <c r="AZ1565">
        <v>568</v>
      </c>
      <c r="BA1565">
        <v>724</v>
      </c>
      <c r="BB1565">
        <v>46</v>
      </c>
      <c r="BD1565">
        <v>1</v>
      </c>
      <c r="BF1565" t="s">
        <v>1710</v>
      </c>
      <c r="BG1565" s="1">
        <v>44353.935196759259</v>
      </c>
      <c r="BH1565" s="1">
        <v>44353.936516203707</v>
      </c>
      <c r="BI1565" s="1">
        <v>44353.937222222223</v>
      </c>
      <c r="BJ1565" t="s">
        <v>197</v>
      </c>
      <c r="BK1565" t="s">
        <v>198</v>
      </c>
      <c r="BL1565" t="s">
        <v>87</v>
      </c>
    </row>
    <row r="1566" spans="1:64" x14ac:dyDescent="0.3">
      <c r="A1566" t="str">
        <f>"200883E0100"</f>
        <v>200883E0100</v>
      </c>
      <c r="B1566" t="str">
        <f>"200883E01003"</f>
        <v>200883E01003</v>
      </c>
      <c r="C1566" t="str">
        <f t="shared" si="91"/>
        <v>20</v>
      </c>
      <c r="D1566" t="s">
        <v>81</v>
      </c>
      <c r="E1566" t="str">
        <f t="shared" si="93"/>
        <v>140</v>
      </c>
      <c r="F1566" t="s">
        <v>1709</v>
      </c>
      <c r="G1566" t="str">
        <f>"0883"</f>
        <v>0883</v>
      </c>
      <c r="H1566" t="str">
        <f>"0001"</f>
        <v>0001</v>
      </c>
      <c r="I1566" t="s">
        <v>122</v>
      </c>
      <c r="J1566">
        <v>0</v>
      </c>
      <c r="K1566">
        <v>1</v>
      </c>
      <c r="L1566">
        <v>3</v>
      </c>
      <c r="BA1566">
        <v>415</v>
      </c>
      <c r="BB1566">
        <v>46</v>
      </c>
      <c r="BC1566" t="s">
        <v>161</v>
      </c>
      <c r="BD1566">
        <v>0</v>
      </c>
      <c r="BF1566" t="s">
        <v>1711</v>
      </c>
      <c r="BG1566" s="1">
        <v>44354.522916666669</v>
      </c>
      <c r="BH1566" s="1">
        <v>44354.538287037038</v>
      </c>
      <c r="BI1566" s="1">
        <v>44354.538287037038</v>
      </c>
      <c r="BJ1566" t="s">
        <v>85</v>
      </c>
      <c r="BK1566" t="s">
        <v>86</v>
      </c>
      <c r="BL1566" t="s">
        <v>87</v>
      </c>
    </row>
    <row r="1567" spans="1:64" x14ac:dyDescent="0.3">
      <c r="A1567" t="str">
        <f>"200884B0000"</f>
        <v>200884B0000</v>
      </c>
      <c r="B1567" t="str">
        <f>"200884B00003"</f>
        <v>200884B00003</v>
      </c>
      <c r="C1567" t="str">
        <f t="shared" si="91"/>
        <v>20</v>
      </c>
      <c r="D1567" t="s">
        <v>81</v>
      </c>
      <c r="E1567" t="str">
        <f t="shared" si="93"/>
        <v>140</v>
      </c>
      <c r="F1567" t="s">
        <v>1709</v>
      </c>
      <c r="G1567" t="str">
        <f>"0884"</f>
        <v>0884</v>
      </c>
      <c r="H1567" t="str">
        <f>"0000"</f>
        <v>0000</v>
      </c>
      <c r="I1567" t="s">
        <v>83</v>
      </c>
      <c r="J1567">
        <v>0</v>
      </c>
      <c r="K1567">
        <v>1</v>
      </c>
      <c r="L1567">
        <v>3</v>
      </c>
      <c r="M1567">
        <v>165</v>
      </c>
      <c r="N1567">
        <v>486</v>
      </c>
      <c r="O1567">
        <v>6</v>
      </c>
      <c r="P1567">
        <v>486</v>
      </c>
      <c r="Q1567">
        <v>2</v>
      </c>
      <c r="R1567">
        <v>70</v>
      </c>
      <c r="S1567">
        <v>0</v>
      </c>
      <c r="U1567">
        <v>7</v>
      </c>
      <c r="V1567">
        <v>1</v>
      </c>
      <c r="X1567">
        <v>135</v>
      </c>
      <c r="Y1567">
        <v>59</v>
      </c>
      <c r="Z1567">
        <v>0</v>
      </c>
      <c r="AC1567">
        <v>204</v>
      </c>
      <c r="AO1567">
        <v>0</v>
      </c>
      <c r="AW1567">
        <v>0</v>
      </c>
      <c r="AX1567">
        <v>8</v>
      </c>
      <c r="AY1567">
        <v>486</v>
      </c>
      <c r="AZ1567">
        <v>486</v>
      </c>
      <c r="BA1567">
        <v>605</v>
      </c>
      <c r="BB1567">
        <v>46</v>
      </c>
      <c r="BD1567">
        <v>1</v>
      </c>
      <c r="BF1567" t="s">
        <v>1712</v>
      </c>
      <c r="BG1567" s="1">
        <v>44353.958460648151</v>
      </c>
      <c r="BH1567" s="1">
        <v>44353.960277777776</v>
      </c>
      <c r="BI1567" s="1">
        <v>44353.960729166669</v>
      </c>
      <c r="BJ1567" t="s">
        <v>197</v>
      </c>
      <c r="BK1567" t="s">
        <v>198</v>
      </c>
      <c r="BL1567" t="s">
        <v>87</v>
      </c>
    </row>
    <row r="1568" spans="1:64" x14ac:dyDescent="0.3">
      <c r="A1568" t="str">
        <f>"200884C0100"</f>
        <v>200884C0100</v>
      </c>
      <c r="B1568" t="str">
        <f>"200884C01003"</f>
        <v>200884C01003</v>
      </c>
      <c r="C1568" t="str">
        <f t="shared" si="91"/>
        <v>20</v>
      </c>
      <c r="D1568" t="s">
        <v>81</v>
      </c>
      <c r="E1568" t="str">
        <f t="shared" si="93"/>
        <v>140</v>
      </c>
      <c r="F1568" t="s">
        <v>1709</v>
      </c>
      <c r="G1568" t="str">
        <f>"0884"</f>
        <v>0884</v>
      </c>
      <c r="H1568" t="str">
        <f>"0001"</f>
        <v>0001</v>
      </c>
      <c r="I1568" t="s">
        <v>89</v>
      </c>
      <c r="J1568">
        <v>0</v>
      </c>
      <c r="K1568">
        <v>1</v>
      </c>
      <c r="L1568">
        <v>3</v>
      </c>
      <c r="M1568">
        <v>196</v>
      </c>
      <c r="N1568">
        <v>454</v>
      </c>
      <c r="O1568">
        <v>7</v>
      </c>
      <c r="P1568">
        <v>454</v>
      </c>
      <c r="Q1568">
        <v>3</v>
      </c>
      <c r="R1568">
        <v>72</v>
      </c>
      <c r="S1568">
        <v>2</v>
      </c>
      <c r="U1568">
        <v>18</v>
      </c>
      <c r="V1568">
        <v>1</v>
      </c>
      <c r="X1568">
        <v>114</v>
      </c>
      <c r="Y1568">
        <v>47</v>
      </c>
      <c r="Z1568">
        <v>0</v>
      </c>
      <c r="AC1568">
        <v>188</v>
      </c>
      <c r="AO1568">
        <v>0</v>
      </c>
      <c r="AW1568">
        <v>0</v>
      </c>
      <c r="AX1568">
        <v>9</v>
      </c>
      <c r="AY1568">
        <v>451</v>
      </c>
      <c r="AZ1568">
        <v>454</v>
      </c>
      <c r="BA1568">
        <v>604</v>
      </c>
      <c r="BB1568">
        <v>46</v>
      </c>
      <c r="BD1568">
        <v>1</v>
      </c>
      <c r="BF1568" t="s">
        <v>1713</v>
      </c>
      <c r="BG1568" s="1">
        <v>44353.954270833332</v>
      </c>
      <c r="BH1568" s="1">
        <v>44353.957094907404</v>
      </c>
      <c r="BI1568" s="1">
        <v>44353.957430555558</v>
      </c>
      <c r="BJ1568" t="s">
        <v>197</v>
      </c>
      <c r="BK1568" t="s">
        <v>198</v>
      </c>
      <c r="BL1568" t="s">
        <v>87</v>
      </c>
    </row>
    <row r="1569" spans="1:64" x14ac:dyDescent="0.3">
      <c r="A1569" t="str">
        <f>"200884E0100"</f>
        <v>200884E0100</v>
      </c>
      <c r="B1569" t="str">
        <f>"200884E01003"</f>
        <v>200884E01003</v>
      </c>
      <c r="C1569" t="str">
        <f t="shared" si="91"/>
        <v>20</v>
      </c>
      <c r="D1569" t="s">
        <v>81</v>
      </c>
      <c r="E1569" t="str">
        <f t="shared" si="93"/>
        <v>140</v>
      </c>
      <c r="F1569" t="s">
        <v>1709</v>
      </c>
      <c r="G1569" t="str">
        <f>"0884"</f>
        <v>0884</v>
      </c>
      <c r="H1569" t="str">
        <f>"0001"</f>
        <v>0001</v>
      </c>
      <c r="I1569" t="s">
        <v>122</v>
      </c>
      <c r="J1569">
        <v>0</v>
      </c>
      <c r="K1569">
        <v>1</v>
      </c>
      <c r="L1569">
        <v>3</v>
      </c>
      <c r="M1569">
        <v>17</v>
      </c>
      <c r="N1569">
        <v>232</v>
      </c>
      <c r="O1569">
        <v>6</v>
      </c>
      <c r="P1569">
        <v>227</v>
      </c>
      <c r="Q1569">
        <v>0</v>
      </c>
      <c r="R1569">
        <v>7</v>
      </c>
      <c r="S1569">
        <v>0</v>
      </c>
      <c r="U1569">
        <v>5</v>
      </c>
      <c r="V1569">
        <v>0</v>
      </c>
      <c r="X1569">
        <v>121</v>
      </c>
      <c r="Y1569">
        <v>16</v>
      </c>
      <c r="Z1569">
        <v>0</v>
      </c>
      <c r="AC1569">
        <v>86</v>
      </c>
      <c r="AO1569">
        <v>0</v>
      </c>
      <c r="AW1569">
        <v>0</v>
      </c>
      <c r="AX1569">
        <v>5</v>
      </c>
      <c r="AY1569">
        <v>232</v>
      </c>
      <c r="AZ1569">
        <v>240</v>
      </c>
      <c r="BA1569">
        <v>263</v>
      </c>
      <c r="BB1569">
        <v>46</v>
      </c>
      <c r="BD1569">
        <v>1</v>
      </c>
      <c r="BF1569" t="s">
        <v>1714</v>
      </c>
      <c r="BG1569" s="1">
        <v>44353.92083333333</v>
      </c>
      <c r="BH1569" s="1">
        <v>44353.92392361111</v>
      </c>
      <c r="BI1569" s="1">
        <v>44353.924490740741</v>
      </c>
      <c r="BJ1569" t="s">
        <v>85</v>
      </c>
      <c r="BK1569" t="s">
        <v>86</v>
      </c>
      <c r="BL1569" t="s">
        <v>87</v>
      </c>
    </row>
    <row r="1570" spans="1:64" x14ac:dyDescent="0.3">
      <c r="A1570" t="str">
        <f>"200885B0000"</f>
        <v>200885B0000</v>
      </c>
      <c r="B1570" t="str">
        <f>"200885B00003"</f>
        <v>200885B00003</v>
      </c>
      <c r="C1570" t="str">
        <f t="shared" si="91"/>
        <v>20</v>
      </c>
      <c r="D1570" t="s">
        <v>81</v>
      </c>
      <c r="E1570" t="str">
        <f t="shared" si="93"/>
        <v>140</v>
      </c>
      <c r="F1570" t="s">
        <v>1709</v>
      </c>
      <c r="G1570" t="str">
        <f>"0885"</f>
        <v>0885</v>
      </c>
      <c r="H1570" t="str">
        <f>"0000"</f>
        <v>0000</v>
      </c>
      <c r="I1570" t="s">
        <v>83</v>
      </c>
      <c r="J1570">
        <v>0</v>
      </c>
      <c r="K1570">
        <v>1</v>
      </c>
      <c r="L1570">
        <v>3</v>
      </c>
      <c r="M1570">
        <v>205</v>
      </c>
      <c r="N1570">
        <v>561</v>
      </c>
      <c r="O1570">
        <v>1</v>
      </c>
      <c r="P1570">
        <v>561</v>
      </c>
      <c r="Q1570">
        <v>0</v>
      </c>
      <c r="R1570">
        <v>60</v>
      </c>
      <c r="S1570">
        <v>0</v>
      </c>
      <c r="U1570">
        <v>3</v>
      </c>
      <c r="V1570">
        <v>0</v>
      </c>
      <c r="X1570">
        <v>158</v>
      </c>
      <c r="Y1570">
        <v>39</v>
      </c>
      <c r="Z1570">
        <v>0</v>
      </c>
      <c r="AC1570">
        <v>286</v>
      </c>
      <c r="AO1570">
        <v>0</v>
      </c>
      <c r="AW1570">
        <v>0</v>
      </c>
      <c r="AX1570">
        <v>15</v>
      </c>
      <c r="AY1570">
        <v>551</v>
      </c>
      <c r="AZ1570">
        <v>561</v>
      </c>
      <c r="BA1570">
        <v>720</v>
      </c>
      <c r="BB1570">
        <v>46</v>
      </c>
      <c r="BD1570">
        <v>1</v>
      </c>
      <c r="BF1570" t="s">
        <v>1715</v>
      </c>
      <c r="BG1570" s="1">
        <v>44354.072916666664</v>
      </c>
      <c r="BH1570" s="1">
        <v>44354.085312499999</v>
      </c>
      <c r="BI1570" s="1">
        <v>44354.0862037037</v>
      </c>
      <c r="BJ1570" t="s">
        <v>85</v>
      </c>
      <c r="BK1570" t="s">
        <v>86</v>
      </c>
      <c r="BL1570" t="s">
        <v>87</v>
      </c>
    </row>
    <row r="1571" spans="1:64" x14ac:dyDescent="0.3">
      <c r="A1571" t="str">
        <f>"200885C0100"</f>
        <v>200885C0100</v>
      </c>
      <c r="B1571" t="str">
        <f>"200885C01003"</f>
        <v>200885C01003</v>
      </c>
      <c r="C1571" t="str">
        <f t="shared" si="91"/>
        <v>20</v>
      </c>
      <c r="D1571" t="s">
        <v>81</v>
      </c>
      <c r="E1571" t="str">
        <f t="shared" si="93"/>
        <v>140</v>
      </c>
      <c r="F1571" t="s">
        <v>1709</v>
      </c>
      <c r="G1571" t="str">
        <f>"0885"</f>
        <v>0885</v>
      </c>
      <c r="H1571" t="str">
        <f>"0001"</f>
        <v>0001</v>
      </c>
      <c r="I1571" t="s">
        <v>89</v>
      </c>
      <c r="J1571">
        <v>0</v>
      </c>
      <c r="K1571">
        <v>1</v>
      </c>
      <c r="L1571">
        <v>3</v>
      </c>
      <c r="M1571">
        <v>243</v>
      </c>
      <c r="N1571">
        <v>521</v>
      </c>
      <c r="O1571">
        <v>0</v>
      </c>
      <c r="P1571">
        <v>522</v>
      </c>
      <c r="Q1571">
        <v>3</v>
      </c>
      <c r="R1571">
        <v>61</v>
      </c>
      <c r="S1571">
        <v>0</v>
      </c>
      <c r="U1571">
        <v>4</v>
      </c>
      <c r="V1571">
        <v>1</v>
      </c>
      <c r="X1571">
        <v>133</v>
      </c>
      <c r="Y1571">
        <v>28</v>
      </c>
      <c r="Z1571">
        <v>0</v>
      </c>
      <c r="AC1571">
        <v>274</v>
      </c>
      <c r="AO1571">
        <v>0</v>
      </c>
      <c r="AW1571">
        <v>0</v>
      </c>
      <c r="AX1571">
        <v>18</v>
      </c>
      <c r="AY1571">
        <v>521</v>
      </c>
      <c r="AZ1571">
        <v>522</v>
      </c>
      <c r="BA1571">
        <v>719</v>
      </c>
      <c r="BB1571">
        <v>46</v>
      </c>
      <c r="BD1571">
        <v>1</v>
      </c>
      <c r="BF1571" t="s">
        <v>1716</v>
      </c>
      <c r="BG1571" s="1">
        <v>44354.070833333331</v>
      </c>
      <c r="BH1571" s="1">
        <v>44354.08326388889</v>
      </c>
      <c r="BI1571" s="1">
        <v>44354.083472222221</v>
      </c>
      <c r="BJ1571" t="s">
        <v>85</v>
      </c>
      <c r="BK1571" t="s">
        <v>86</v>
      </c>
      <c r="BL1571" t="s">
        <v>87</v>
      </c>
    </row>
    <row r="1572" spans="1:64" x14ac:dyDescent="0.3">
      <c r="A1572" t="str">
        <f>"200886B0000"</f>
        <v>200886B0000</v>
      </c>
      <c r="B1572" t="str">
        <f>"200886B00003"</f>
        <v>200886B00003</v>
      </c>
      <c r="C1572" t="str">
        <f t="shared" si="91"/>
        <v>20</v>
      </c>
      <c r="D1572" t="s">
        <v>81</v>
      </c>
      <c r="E1572" t="str">
        <f t="shared" si="93"/>
        <v>140</v>
      </c>
      <c r="F1572" t="s">
        <v>1709</v>
      </c>
      <c r="G1572" t="str">
        <f>"0886"</f>
        <v>0886</v>
      </c>
      <c r="H1572" t="str">
        <f>"0000"</f>
        <v>0000</v>
      </c>
      <c r="I1572" t="s">
        <v>83</v>
      </c>
      <c r="J1572">
        <v>0</v>
      </c>
      <c r="K1572">
        <v>1</v>
      </c>
      <c r="L1572">
        <v>3</v>
      </c>
      <c r="M1572">
        <v>131</v>
      </c>
      <c r="N1572">
        <v>311</v>
      </c>
      <c r="O1572">
        <v>10</v>
      </c>
      <c r="P1572">
        <v>311</v>
      </c>
      <c r="Q1572">
        <v>0</v>
      </c>
      <c r="R1572">
        <v>34</v>
      </c>
      <c r="S1572">
        <v>0</v>
      </c>
      <c r="U1572">
        <v>2</v>
      </c>
      <c r="V1572">
        <v>0</v>
      </c>
      <c r="X1572">
        <v>92</v>
      </c>
      <c r="Y1572">
        <v>18</v>
      </c>
      <c r="Z1572">
        <v>0</v>
      </c>
      <c r="AC1572" t="s">
        <v>131</v>
      </c>
      <c r="AO1572">
        <v>0</v>
      </c>
      <c r="AW1572">
        <v>0</v>
      </c>
      <c r="AX1572">
        <v>6</v>
      </c>
      <c r="AY1572">
        <v>311</v>
      </c>
      <c r="AZ1572">
        <v>152</v>
      </c>
      <c r="BA1572">
        <v>396</v>
      </c>
      <c r="BB1572">
        <v>46</v>
      </c>
      <c r="BC1572" t="s">
        <v>96</v>
      </c>
      <c r="BD1572">
        <v>1</v>
      </c>
      <c r="BF1572" t="s">
        <v>1717</v>
      </c>
      <c r="BG1572" s="1">
        <v>44353.907638888886</v>
      </c>
      <c r="BH1572" s="1">
        <v>44353.915150462963</v>
      </c>
      <c r="BI1572" s="1">
        <v>44353.916435185187</v>
      </c>
      <c r="BJ1572" t="s">
        <v>85</v>
      </c>
      <c r="BK1572" t="s">
        <v>86</v>
      </c>
      <c r="BL1572" t="s">
        <v>87</v>
      </c>
    </row>
    <row r="1573" spans="1:64" x14ac:dyDescent="0.3">
      <c r="A1573" t="str">
        <f>"200886C0100"</f>
        <v>200886C0100</v>
      </c>
      <c r="B1573" t="str">
        <f>"200886C01003"</f>
        <v>200886C01003</v>
      </c>
      <c r="C1573" t="str">
        <f t="shared" si="91"/>
        <v>20</v>
      </c>
      <c r="D1573" t="s">
        <v>81</v>
      </c>
      <c r="E1573" t="str">
        <f t="shared" si="93"/>
        <v>140</v>
      </c>
      <c r="F1573" t="s">
        <v>1709</v>
      </c>
      <c r="G1573" t="str">
        <f>"0886"</f>
        <v>0886</v>
      </c>
      <c r="H1573" t="str">
        <f>"0001"</f>
        <v>0001</v>
      </c>
      <c r="I1573" t="s">
        <v>89</v>
      </c>
      <c r="J1573">
        <v>0</v>
      </c>
      <c r="K1573">
        <v>1</v>
      </c>
      <c r="L1573">
        <v>3</v>
      </c>
      <c r="M1573">
        <v>138</v>
      </c>
      <c r="N1573">
        <v>303</v>
      </c>
      <c r="O1573">
        <v>8</v>
      </c>
      <c r="P1573">
        <v>303</v>
      </c>
      <c r="Q1573">
        <v>0</v>
      </c>
      <c r="R1573">
        <v>30</v>
      </c>
      <c r="S1573">
        <v>0</v>
      </c>
      <c r="U1573">
        <v>11</v>
      </c>
      <c r="V1573">
        <v>0</v>
      </c>
      <c r="X1573">
        <v>73</v>
      </c>
      <c r="Y1573">
        <v>14</v>
      </c>
      <c r="Z1573">
        <v>1</v>
      </c>
      <c r="AC1573">
        <v>166</v>
      </c>
      <c r="AO1573">
        <v>0</v>
      </c>
      <c r="AW1573">
        <v>0</v>
      </c>
      <c r="AX1573">
        <v>8</v>
      </c>
      <c r="AY1573">
        <v>303</v>
      </c>
      <c r="AZ1573">
        <v>303</v>
      </c>
      <c r="BA1573">
        <v>395</v>
      </c>
      <c r="BB1573">
        <v>46</v>
      </c>
      <c r="BD1573">
        <v>1</v>
      </c>
      <c r="BF1573" t="s">
        <v>1718</v>
      </c>
      <c r="BG1573" s="1">
        <v>44353.910416666666</v>
      </c>
      <c r="BH1573" s="1">
        <v>44353.913472222222</v>
      </c>
      <c r="BI1573" s="1">
        <v>44353.914120370369</v>
      </c>
      <c r="BJ1573" t="s">
        <v>85</v>
      </c>
      <c r="BK1573" t="s">
        <v>86</v>
      </c>
      <c r="BL1573" t="s">
        <v>87</v>
      </c>
    </row>
    <row r="1574" spans="1:64" x14ac:dyDescent="0.3">
      <c r="A1574" t="str">
        <f>"200887B0000"</f>
        <v>200887B0000</v>
      </c>
      <c r="B1574" t="str">
        <f>"200887B00003"</f>
        <v>200887B00003</v>
      </c>
      <c r="C1574" t="str">
        <f t="shared" si="91"/>
        <v>20</v>
      </c>
      <c r="D1574" t="s">
        <v>81</v>
      </c>
      <c r="E1574" t="str">
        <f t="shared" si="93"/>
        <v>140</v>
      </c>
      <c r="F1574" t="s">
        <v>1709</v>
      </c>
      <c r="G1574" t="str">
        <f>"0887"</f>
        <v>0887</v>
      </c>
      <c r="H1574" t="str">
        <f>"0000"</f>
        <v>0000</v>
      </c>
      <c r="I1574" t="s">
        <v>83</v>
      </c>
      <c r="J1574">
        <v>0</v>
      </c>
      <c r="K1574">
        <v>1</v>
      </c>
      <c r="L1574">
        <v>3</v>
      </c>
      <c r="M1574">
        <v>199</v>
      </c>
      <c r="N1574">
        <v>546</v>
      </c>
      <c r="O1574">
        <v>5</v>
      </c>
      <c r="P1574">
        <v>547</v>
      </c>
      <c r="Q1574">
        <v>4</v>
      </c>
      <c r="R1574">
        <v>45</v>
      </c>
      <c r="S1574">
        <v>1</v>
      </c>
      <c r="U1574">
        <v>4</v>
      </c>
      <c r="V1574">
        <v>1</v>
      </c>
      <c r="X1574">
        <v>108</v>
      </c>
      <c r="Y1574">
        <v>66</v>
      </c>
      <c r="Z1574">
        <v>1</v>
      </c>
      <c r="AC1574">
        <v>309</v>
      </c>
      <c r="AO1574">
        <v>0</v>
      </c>
      <c r="AW1574">
        <v>0</v>
      </c>
      <c r="AX1574">
        <v>8</v>
      </c>
      <c r="AY1574">
        <v>547</v>
      </c>
      <c r="AZ1574">
        <v>547</v>
      </c>
      <c r="BA1574">
        <v>700</v>
      </c>
      <c r="BB1574">
        <v>46</v>
      </c>
      <c r="BD1574">
        <v>1</v>
      </c>
      <c r="BF1574" t="s">
        <v>1719</v>
      </c>
      <c r="BG1574" s="1">
        <v>44353.974374999998</v>
      </c>
      <c r="BH1574" s="1">
        <v>44353.976678240739</v>
      </c>
      <c r="BI1574" s="1">
        <v>44353.977233796293</v>
      </c>
      <c r="BJ1574" t="s">
        <v>197</v>
      </c>
      <c r="BK1574" t="s">
        <v>198</v>
      </c>
      <c r="BL1574" t="s">
        <v>87</v>
      </c>
    </row>
    <row r="1575" spans="1:64" x14ac:dyDescent="0.3">
      <c r="A1575" t="str">
        <f>"200887E0100"</f>
        <v>200887E0100</v>
      </c>
      <c r="B1575" t="str">
        <f>"200887E01003"</f>
        <v>200887E01003</v>
      </c>
      <c r="C1575" t="str">
        <f t="shared" si="91"/>
        <v>20</v>
      </c>
      <c r="D1575" t="s">
        <v>81</v>
      </c>
      <c r="E1575" t="str">
        <f t="shared" si="93"/>
        <v>140</v>
      </c>
      <c r="F1575" t="s">
        <v>1709</v>
      </c>
      <c r="G1575" t="str">
        <f>"0887"</f>
        <v>0887</v>
      </c>
      <c r="H1575" t="str">
        <f>"0001"</f>
        <v>0001</v>
      </c>
      <c r="I1575" t="s">
        <v>122</v>
      </c>
      <c r="J1575">
        <v>0</v>
      </c>
      <c r="K1575">
        <v>1</v>
      </c>
      <c r="L1575">
        <v>3</v>
      </c>
      <c r="M1575">
        <v>125</v>
      </c>
      <c r="N1575">
        <v>316</v>
      </c>
      <c r="O1575">
        <v>9</v>
      </c>
      <c r="P1575" t="s">
        <v>92</v>
      </c>
      <c r="Q1575">
        <v>12</v>
      </c>
      <c r="R1575">
        <v>41</v>
      </c>
      <c r="S1575">
        <v>5</v>
      </c>
      <c r="U1575">
        <v>8</v>
      </c>
      <c r="V1575">
        <v>19</v>
      </c>
      <c r="X1575">
        <v>160</v>
      </c>
      <c r="Y1575">
        <v>39</v>
      </c>
      <c r="Z1575">
        <v>0</v>
      </c>
      <c r="AC1575">
        <v>132</v>
      </c>
      <c r="AO1575">
        <v>0</v>
      </c>
      <c r="AW1575">
        <v>0</v>
      </c>
      <c r="AX1575">
        <v>16</v>
      </c>
      <c r="AY1575">
        <v>316</v>
      </c>
      <c r="AZ1575">
        <v>432</v>
      </c>
      <c r="BA1575">
        <v>395</v>
      </c>
      <c r="BB1575">
        <v>46</v>
      </c>
      <c r="BD1575">
        <v>1</v>
      </c>
      <c r="BF1575" t="s">
        <v>1720</v>
      </c>
      <c r="BG1575" s="1">
        <v>44353.982638888891</v>
      </c>
      <c r="BH1575" s="1">
        <v>44353.998865740738</v>
      </c>
      <c r="BI1575" s="1">
        <v>44353.999479166669</v>
      </c>
      <c r="BJ1575" t="s">
        <v>85</v>
      </c>
      <c r="BK1575" t="s">
        <v>86</v>
      </c>
      <c r="BL1575" t="s">
        <v>87</v>
      </c>
    </row>
    <row r="1576" spans="1:64" x14ac:dyDescent="0.3">
      <c r="A1576" t="str">
        <f>"200887E0101"</f>
        <v>200887E0101</v>
      </c>
      <c r="B1576" t="str">
        <f>"200887E01013"</f>
        <v>200887E01013</v>
      </c>
      <c r="C1576" t="str">
        <f t="shared" si="91"/>
        <v>20</v>
      </c>
      <c r="D1576" t="s">
        <v>81</v>
      </c>
      <c r="E1576" t="str">
        <f t="shared" si="93"/>
        <v>140</v>
      </c>
      <c r="F1576" t="s">
        <v>1709</v>
      </c>
      <c r="G1576" t="str">
        <f>"0887"</f>
        <v>0887</v>
      </c>
      <c r="H1576" t="str">
        <f>"0001"</f>
        <v>0001</v>
      </c>
      <c r="I1576" t="s">
        <v>122</v>
      </c>
      <c r="J1576">
        <v>1</v>
      </c>
      <c r="K1576">
        <v>1</v>
      </c>
      <c r="L1576">
        <v>3</v>
      </c>
      <c r="M1576" t="s">
        <v>92</v>
      </c>
      <c r="N1576" t="s">
        <v>131</v>
      </c>
      <c r="O1576" t="s">
        <v>92</v>
      </c>
      <c r="P1576" t="s">
        <v>92</v>
      </c>
      <c r="Q1576">
        <v>4</v>
      </c>
      <c r="R1576">
        <v>20</v>
      </c>
      <c r="S1576">
        <v>0</v>
      </c>
      <c r="U1576">
        <v>4</v>
      </c>
      <c r="V1576">
        <v>1</v>
      </c>
      <c r="X1576">
        <v>120</v>
      </c>
      <c r="Y1576">
        <v>41</v>
      </c>
      <c r="Z1576">
        <v>1</v>
      </c>
      <c r="AC1576">
        <v>110</v>
      </c>
      <c r="AO1576">
        <v>0</v>
      </c>
      <c r="AW1576">
        <v>0</v>
      </c>
      <c r="AX1576">
        <v>13</v>
      </c>
      <c r="AY1576" t="s">
        <v>131</v>
      </c>
      <c r="AZ1576">
        <v>314</v>
      </c>
      <c r="BA1576">
        <v>395</v>
      </c>
      <c r="BB1576">
        <v>46</v>
      </c>
      <c r="BD1576">
        <v>1</v>
      </c>
      <c r="BF1576" t="s">
        <v>1721</v>
      </c>
      <c r="BG1576" s="1">
        <v>44353.484027777777</v>
      </c>
      <c r="BH1576" s="1">
        <v>44353.9925</v>
      </c>
      <c r="BI1576" s="1">
        <v>44353.993136574078</v>
      </c>
      <c r="BJ1576" t="s">
        <v>85</v>
      </c>
      <c r="BK1576" t="s">
        <v>86</v>
      </c>
      <c r="BL1576" t="s">
        <v>87</v>
      </c>
    </row>
    <row r="1577" spans="1:64" x14ac:dyDescent="0.3">
      <c r="A1577" t="str">
        <f>"200888B0000"</f>
        <v>200888B0000</v>
      </c>
      <c r="B1577" t="str">
        <f>"200888B00003"</f>
        <v>200888B00003</v>
      </c>
      <c r="C1577" t="str">
        <f t="shared" si="91"/>
        <v>20</v>
      </c>
      <c r="D1577" t="s">
        <v>81</v>
      </c>
      <c r="E1577" t="str">
        <f t="shared" si="93"/>
        <v>140</v>
      </c>
      <c r="F1577" t="s">
        <v>1709</v>
      </c>
      <c r="G1577" t="str">
        <f>"0888"</f>
        <v>0888</v>
      </c>
      <c r="H1577" t="str">
        <f>"0000"</f>
        <v>0000</v>
      </c>
      <c r="I1577" t="s">
        <v>83</v>
      </c>
      <c r="J1577">
        <v>0</v>
      </c>
      <c r="K1577">
        <v>1</v>
      </c>
      <c r="L1577">
        <v>3</v>
      </c>
      <c r="M1577">
        <v>64</v>
      </c>
      <c r="N1577">
        <v>191</v>
      </c>
      <c r="O1577">
        <v>9</v>
      </c>
      <c r="P1577">
        <v>191</v>
      </c>
      <c r="Q1577">
        <v>1</v>
      </c>
      <c r="R1577">
        <v>8</v>
      </c>
      <c r="S1577">
        <v>0</v>
      </c>
      <c r="U1577">
        <v>1</v>
      </c>
      <c r="V1577">
        <v>4</v>
      </c>
      <c r="X1577">
        <v>94</v>
      </c>
      <c r="Y1577">
        <v>21</v>
      </c>
      <c r="Z1577">
        <v>0</v>
      </c>
      <c r="AC1577">
        <v>60</v>
      </c>
      <c r="AO1577" t="s">
        <v>95</v>
      </c>
      <c r="AW1577" t="s">
        <v>95</v>
      </c>
      <c r="AX1577">
        <v>2</v>
      </c>
      <c r="AY1577">
        <v>191</v>
      </c>
      <c r="AZ1577">
        <v>191</v>
      </c>
      <c r="BA1577">
        <v>209</v>
      </c>
      <c r="BB1577">
        <v>46</v>
      </c>
      <c r="BC1577" t="s">
        <v>96</v>
      </c>
      <c r="BD1577">
        <v>1</v>
      </c>
      <c r="BF1577" t="s">
        <v>1722</v>
      </c>
      <c r="BG1577" s="1">
        <v>44353.924305555556</v>
      </c>
      <c r="BH1577" s="1">
        <v>44353.926805555559</v>
      </c>
      <c r="BI1577" s="1">
        <v>44353.927256944444</v>
      </c>
      <c r="BJ1577" t="s">
        <v>85</v>
      </c>
      <c r="BK1577" t="s">
        <v>86</v>
      </c>
      <c r="BL1577" t="s">
        <v>87</v>
      </c>
    </row>
    <row r="1578" spans="1:64" x14ac:dyDescent="0.3">
      <c r="A1578" t="str">
        <f>"200889B0000"</f>
        <v>200889B0000</v>
      </c>
      <c r="B1578" t="str">
        <f>"200889B00003"</f>
        <v>200889B00003</v>
      </c>
      <c r="C1578" t="str">
        <f t="shared" si="91"/>
        <v>20</v>
      </c>
      <c r="D1578" t="s">
        <v>81</v>
      </c>
      <c r="E1578" t="str">
        <f t="shared" si="93"/>
        <v>140</v>
      </c>
      <c r="F1578" t="s">
        <v>1709</v>
      </c>
      <c r="G1578" t="str">
        <f>"0889"</f>
        <v>0889</v>
      </c>
      <c r="H1578" t="str">
        <f>"0000"</f>
        <v>0000</v>
      </c>
      <c r="I1578" t="s">
        <v>83</v>
      </c>
      <c r="J1578">
        <v>0</v>
      </c>
      <c r="K1578">
        <v>1</v>
      </c>
      <c r="L1578">
        <v>3</v>
      </c>
      <c r="M1578">
        <v>137</v>
      </c>
      <c r="N1578">
        <v>362</v>
      </c>
      <c r="O1578">
        <v>8</v>
      </c>
      <c r="P1578">
        <v>362</v>
      </c>
      <c r="Q1578">
        <v>0</v>
      </c>
      <c r="R1578">
        <v>55</v>
      </c>
      <c r="S1578">
        <v>0</v>
      </c>
      <c r="U1578">
        <v>0</v>
      </c>
      <c r="V1578">
        <v>2</v>
      </c>
      <c r="X1578">
        <v>137</v>
      </c>
      <c r="Y1578">
        <v>6</v>
      </c>
      <c r="Z1578">
        <v>0</v>
      </c>
      <c r="AC1578">
        <v>158</v>
      </c>
      <c r="AO1578">
        <v>0</v>
      </c>
      <c r="AW1578">
        <v>0</v>
      </c>
      <c r="AX1578">
        <v>4</v>
      </c>
      <c r="AY1578">
        <v>362</v>
      </c>
      <c r="AZ1578">
        <v>362</v>
      </c>
      <c r="BA1578">
        <v>453</v>
      </c>
      <c r="BB1578">
        <v>46</v>
      </c>
      <c r="BD1578">
        <v>1</v>
      </c>
      <c r="BF1578" t="s">
        <v>1723</v>
      </c>
      <c r="BG1578" s="1">
        <v>44353.925243055557</v>
      </c>
      <c r="BH1578" s="1">
        <v>44354.018194444441</v>
      </c>
      <c r="BI1578" s="1">
        <v>44354.018796296295</v>
      </c>
      <c r="BJ1578" t="s">
        <v>197</v>
      </c>
      <c r="BK1578" t="s">
        <v>198</v>
      </c>
      <c r="BL1578" t="s">
        <v>87</v>
      </c>
    </row>
    <row r="1579" spans="1:64" x14ac:dyDescent="0.3">
      <c r="A1579" t="str">
        <f>"200889C0100"</f>
        <v>200889C0100</v>
      </c>
      <c r="B1579" t="str">
        <f>"200889C01003"</f>
        <v>200889C01003</v>
      </c>
      <c r="C1579" t="str">
        <f t="shared" si="91"/>
        <v>20</v>
      </c>
      <c r="D1579" t="s">
        <v>81</v>
      </c>
      <c r="E1579" t="str">
        <f t="shared" si="93"/>
        <v>140</v>
      </c>
      <c r="F1579" t="s">
        <v>1709</v>
      </c>
      <c r="G1579" t="str">
        <f>"0889"</f>
        <v>0889</v>
      </c>
      <c r="H1579" t="str">
        <f>"0001"</f>
        <v>0001</v>
      </c>
      <c r="I1579" t="s">
        <v>89</v>
      </c>
      <c r="J1579">
        <v>0</v>
      </c>
      <c r="K1579">
        <v>1</v>
      </c>
      <c r="L1579">
        <v>3</v>
      </c>
      <c r="M1579">
        <v>112</v>
      </c>
      <c r="N1579">
        <v>386</v>
      </c>
      <c r="O1579">
        <v>9</v>
      </c>
      <c r="P1579" t="s">
        <v>92</v>
      </c>
      <c r="Q1579">
        <v>1</v>
      </c>
      <c r="R1579">
        <v>79</v>
      </c>
      <c r="S1579">
        <v>2</v>
      </c>
      <c r="U1579">
        <v>2</v>
      </c>
      <c r="V1579">
        <v>3</v>
      </c>
      <c r="X1579">
        <v>120</v>
      </c>
      <c r="Y1579">
        <v>12</v>
      </c>
      <c r="Z1579">
        <v>0</v>
      </c>
      <c r="AC1579">
        <v>157</v>
      </c>
      <c r="AO1579">
        <v>0</v>
      </c>
      <c r="AW1579">
        <v>0</v>
      </c>
      <c r="AX1579">
        <v>11</v>
      </c>
      <c r="AY1579">
        <v>387</v>
      </c>
      <c r="AZ1579">
        <v>387</v>
      </c>
      <c r="BA1579">
        <v>453</v>
      </c>
      <c r="BB1579">
        <v>46</v>
      </c>
      <c r="BD1579">
        <v>1</v>
      </c>
      <c r="BF1579" t="s">
        <v>1724</v>
      </c>
      <c r="BG1579" s="1">
        <v>44354.029861111114</v>
      </c>
      <c r="BH1579" s="1">
        <v>44354.048668981479</v>
      </c>
      <c r="BI1579" s="1">
        <v>44354.04923611111</v>
      </c>
      <c r="BJ1579" t="s">
        <v>85</v>
      </c>
      <c r="BK1579" t="s">
        <v>86</v>
      </c>
      <c r="BL1579" t="s">
        <v>87</v>
      </c>
    </row>
    <row r="1580" spans="1:64" x14ac:dyDescent="0.3">
      <c r="A1580" t="str">
        <f>"200890B0000"</f>
        <v>200890B0000</v>
      </c>
      <c r="B1580" t="str">
        <f>"200890B00003"</f>
        <v>200890B00003</v>
      </c>
      <c r="C1580" t="str">
        <f t="shared" si="91"/>
        <v>20</v>
      </c>
      <c r="D1580" t="s">
        <v>81</v>
      </c>
      <c r="E1580" t="str">
        <f t="shared" si="93"/>
        <v>140</v>
      </c>
      <c r="F1580" t="s">
        <v>1709</v>
      </c>
      <c r="G1580" t="str">
        <f>"0890"</f>
        <v>0890</v>
      </c>
      <c r="H1580" t="str">
        <f>"0000"</f>
        <v>0000</v>
      </c>
      <c r="I1580" t="s">
        <v>83</v>
      </c>
      <c r="J1580">
        <v>0</v>
      </c>
      <c r="K1580">
        <v>1</v>
      </c>
      <c r="L1580">
        <v>3</v>
      </c>
      <c r="M1580">
        <v>72</v>
      </c>
      <c r="N1580">
        <v>54</v>
      </c>
      <c r="O1580">
        <v>4</v>
      </c>
      <c r="P1580">
        <v>54</v>
      </c>
      <c r="Q1580">
        <v>1</v>
      </c>
      <c r="R1580">
        <v>2</v>
      </c>
      <c r="S1580">
        <v>1</v>
      </c>
      <c r="U1580" t="s">
        <v>95</v>
      </c>
      <c r="V1580">
        <v>1</v>
      </c>
      <c r="X1580">
        <v>16</v>
      </c>
      <c r="Y1580">
        <v>2</v>
      </c>
      <c r="Z1580">
        <v>1</v>
      </c>
      <c r="AC1580">
        <v>33</v>
      </c>
      <c r="AO1580" t="s">
        <v>95</v>
      </c>
      <c r="AW1580" t="s">
        <v>95</v>
      </c>
      <c r="AX1580">
        <v>1</v>
      </c>
      <c r="AY1580">
        <v>57</v>
      </c>
      <c r="AZ1580">
        <v>58</v>
      </c>
      <c r="BA1580">
        <v>80</v>
      </c>
      <c r="BB1580">
        <v>46</v>
      </c>
      <c r="BC1580" t="s">
        <v>96</v>
      </c>
      <c r="BD1580">
        <v>1</v>
      </c>
      <c r="BF1580" t="s">
        <v>1725</v>
      </c>
      <c r="BG1580" s="1">
        <v>44353.854861111111</v>
      </c>
      <c r="BH1580" s="1">
        <v>44353.866689814815</v>
      </c>
      <c r="BI1580" s="1">
        <v>44353.867430555554</v>
      </c>
      <c r="BJ1580" t="s">
        <v>85</v>
      </c>
      <c r="BK1580" t="s">
        <v>86</v>
      </c>
      <c r="BL1580" t="s">
        <v>87</v>
      </c>
    </row>
    <row r="1581" spans="1:64" x14ac:dyDescent="0.3">
      <c r="A1581" t="str">
        <f>"200900B0000"</f>
        <v>200900B0000</v>
      </c>
      <c r="B1581" t="str">
        <f>"200900B00003"</f>
        <v>200900B00003</v>
      </c>
      <c r="C1581" t="str">
        <f t="shared" si="91"/>
        <v>20</v>
      </c>
      <c r="D1581" t="s">
        <v>81</v>
      </c>
      <c r="E1581" t="str">
        <f t="shared" ref="E1581:E1597" si="94">"147"</f>
        <v>147</v>
      </c>
      <c r="F1581" t="s">
        <v>1726</v>
      </c>
      <c r="G1581" t="str">
        <f>"0900"</f>
        <v>0900</v>
      </c>
      <c r="H1581" t="str">
        <f>"0000"</f>
        <v>0000</v>
      </c>
      <c r="I1581" t="s">
        <v>83</v>
      </c>
      <c r="J1581">
        <v>0</v>
      </c>
      <c r="K1581">
        <v>1</v>
      </c>
      <c r="L1581">
        <v>3</v>
      </c>
      <c r="M1581" t="s">
        <v>92</v>
      </c>
      <c r="N1581" t="s">
        <v>92</v>
      </c>
      <c r="O1581" t="s">
        <v>92</v>
      </c>
      <c r="P1581" t="s">
        <v>92</v>
      </c>
      <c r="Q1581" t="s">
        <v>95</v>
      </c>
      <c r="R1581">
        <v>65</v>
      </c>
      <c r="S1581" t="s">
        <v>95</v>
      </c>
      <c r="T1581">
        <v>2</v>
      </c>
      <c r="U1581">
        <v>30</v>
      </c>
      <c r="V1581">
        <v>50</v>
      </c>
      <c r="W1581">
        <v>50</v>
      </c>
      <c r="X1581">
        <v>87</v>
      </c>
      <c r="Z1581">
        <v>7</v>
      </c>
      <c r="AA1581">
        <v>111</v>
      </c>
      <c r="AB1581">
        <v>23</v>
      </c>
      <c r="AP1581" t="s">
        <v>95</v>
      </c>
      <c r="AW1581" t="s">
        <v>95</v>
      </c>
      <c r="AX1581">
        <v>10</v>
      </c>
      <c r="AY1581">
        <v>435</v>
      </c>
      <c r="AZ1581">
        <v>435</v>
      </c>
      <c r="BA1581">
        <v>650</v>
      </c>
      <c r="BB1581">
        <v>44</v>
      </c>
      <c r="BC1581" t="s">
        <v>96</v>
      </c>
      <c r="BD1581">
        <v>1</v>
      </c>
      <c r="BF1581" t="s">
        <v>1727</v>
      </c>
      <c r="BG1581" s="1">
        <v>44354.060416666667</v>
      </c>
      <c r="BH1581" s="1">
        <v>44354.067465277774</v>
      </c>
      <c r="BI1581" s="1">
        <v>44354.068182870367</v>
      </c>
      <c r="BJ1581" t="s">
        <v>85</v>
      </c>
      <c r="BK1581" t="s">
        <v>86</v>
      </c>
      <c r="BL1581" t="s">
        <v>87</v>
      </c>
    </row>
    <row r="1582" spans="1:64" x14ac:dyDescent="0.3">
      <c r="A1582" t="str">
        <f>"200900C0100"</f>
        <v>200900C0100</v>
      </c>
      <c r="B1582" t="str">
        <f>"200900C01003"</f>
        <v>200900C01003</v>
      </c>
      <c r="C1582" t="str">
        <f t="shared" si="91"/>
        <v>20</v>
      </c>
      <c r="D1582" t="s">
        <v>81</v>
      </c>
      <c r="E1582" t="str">
        <f t="shared" si="94"/>
        <v>147</v>
      </c>
      <c r="F1582" t="s">
        <v>1726</v>
      </c>
      <c r="G1582" t="str">
        <f>"0900"</f>
        <v>0900</v>
      </c>
      <c r="H1582" t="str">
        <f>"0001"</f>
        <v>0001</v>
      </c>
      <c r="I1582" t="s">
        <v>89</v>
      </c>
      <c r="J1582">
        <v>0</v>
      </c>
      <c r="K1582">
        <v>1</v>
      </c>
      <c r="L1582">
        <v>3</v>
      </c>
      <c r="M1582">
        <v>238</v>
      </c>
      <c r="N1582">
        <v>456</v>
      </c>
      <c r="O1582">
        <v>4</v>
      </c>
      <c r="P1582">
        <v>456</v>
      </c>
      <c r="Q1582">
        <v>1</v>
      </c>
      <c r="R1582">
        <v>66</v>
      </c>
      <c r="S1582">
        <v>0</v>
      </c>
      <c r="T1582">
        <v>1</v>
      </c>
      <c r="U1582">
        <v>42</v>
      </c>
      <c r="V1582">
        <v>68</v>
      </c>
      <c r="W1582">
        <v>38</v>
      </c>
      <c r="X1582">
        <v>90</v>
      </c>
      <c r="Z1582">
        <v>7</v>
      </c>
      <c r="AA1582">
        <v>120</v>
      </c>
      <c r="AB1582">
        <v>21</v>
      </c>
      <c r="AP1582">
        <v>0</v>
      </c>
      <c r="AW1582">
        <v>0</v>
      </c>
      <c r="AX1582">
        <v>2</v>
      </c>
      <c r="AY1582">
        <v>456</v>
      </c>
      <c r="AZ1582">
        <v>456</v>
      </c>
      <c r="BA1582">
        <v>650</v>
      </c>
      <c r="BB1582">
        <v>44</v>
      </c>
      <c r="BD1582">
        <v>1</v>
      </c>
      <c r="BF1582" t="s">
        <v>1728</v>
      </c>
      <c r="BG1582" s="1">
        <v>44354.09652777778</v>
      </c>
      <c r="BH1582" s="1">
        <v>44354.100023148145</v>
      </c>
      <c r="BI1582" s="1">
        <v>44354.100486111114</v>
      </c>
      <c r="BJ1582" t="s">
        <v>85</v>
      </c>
      <c r="BK1582" t="s">
        <v>86</v>
      </c>
      <c r="BL1582" t="s">
        <v>87</v>
      </c>
    </row>
    <row r="1583" spans="1:64" x14ac:dyDescent="0.3">
      <c r="A1583" t="str">
        <f>"200900C0200"</f>
        <v>200900C0200</v>
      </c>
      <c r="B1583" t="str">
        <f>"200900C02003"</f>
        <v>200900C02003</v>
      </c>
      <c r="C1583" t="str">
        <f t="shared" si="91"/>
        <v>20</v>
      </c>
      <c r="D1583" t="s">
        <v>81</v>
      </c>
      <c r="E1583" t="str">
        <f t="shared" si="94"/>
        <v>147</v>
      </c>
      <c r="F1583" t="s">
        <v>1726</v>
      </c>
      <c r="G1583" t="str">
        <f>"0900"</f>
        <v>0900</v>
      </c>
      <c r="H1583" t="str">
        <f>"0002"</f>
        <v>0002</v>
      </c>
      <c r="I1583" t="s">
        <v>89</v>
      </c>
      <c r="J1583">
        <v>0</v>
      </c>
      <c r="K1583">
        <v>1</v>
      </c>
      <c r="L1583">
        <v>3</v>
      </c>
      <c r="M1583">
        <v>247</v>
      </c>
      <c r="N1583">
        <v>446</v>
      </c>
      <c r="O1583">
        <v>16</v>
      </c>
      <c r="P1583">
        <v>446</v>
      </c>
      <c r="Q1583">
        <v>0</v>
      </c>
      <c r="R1583">
        <v>49</v>
      </c>
      <c r="S1583">
        <v>1</v>
      </c>
      <c r="T1583">
        <v>2</v>
      </c>
      <c r="U1583">
        <v>24</v>
      </c>
      <c r="V1583">
        <v>75</v>
      </c>
      <c r="W1583">
        <v>57</v>
      </c>
      <c r="X1583">
        <v>70</v>
      </c>
      <c r="Z1583">
        <v>10</v>
      </c>
      <c r="AA1583">
        <v>120</v>
      </c>
      <c r="AB1583">
        <v>34</v>
      </c>
      <c r="AP1583">
        <v>0</v>
      </c>
      <c r="AW1583">
        <v>0</v>
      </c>
      <c r="AX1583">
        <v>4</v>
      </c>
      <c r="AY1583">
        <v>446</v>
      </c>
      <c r="AZ1583">
        <v>446</v>
      </c>
      <c r="BA1583">
        <v>649</v>
      </c>
      <c r="BB1583">
        <v>44</v>
      </c>
      <c r="BD1583">
        <v>1</v>
      </c>
      <c r="BF1583" t="s">
        <v>1729</v>
      </c>
      <c r="BG1583" s="1">
        <v>44354.06527777778</v>
      </c>
      <c r="BH1583" s="1">
        <v>44354.070393518516</v>
      </c>
      <c r="BI1583" s="1">
        <v>44354.071400462963</v>
      </c>
      <c r="BJ1583" t="s">
        <v>85</v>
      </c>
      <c r="BK1583" t="s">
        <v>86</v>
      </c>
      <c r="BL1583" t="s">
        <v>87</v>
      </c>
    </row>
    <row r="1584" spans="1:64" x14ac:dyDescent="0.3">
      <c r="A1584" t="str">
        <f>"200900E0100"</f>
        <v>200900E0100</v>
      </c>
      <c r="B1584" t="str">
        <f>"200900E01003"</f>
        <v>200900E01003</v>
      </c>
      <c r="C1584" t="str">
        <f t="shared" si="91"/>
        <v>20</v>
      </c>
      <c r="D1584" t="s">
        <v>81</v>
      </c>
      <c r="E1584" t="str">
        <f t="shared" si="94"/>
        <v>147</v>
      </c>
      <c r="F1584" t="s">
        <v>1726</v>
      </c>
      <c r="G1584" t="str">
        <f>"0900"</f>
        <v>0900</v>
      </c>
      <c r="H1584" t="str">
        <f>"0001"</f>
        <v>0001</v>
      </c>
      <c r="I1584" t="s">
        <v>122</v>
      </c>
      <c r="J1584">
        <v>0</v>
      </c>
      <c r="K1584">
        <v>1</v>
      </c>
      <c r="L1584">
        <v>3</v>
      </c>
      <c r="M1584">
        <v>91</v>
      </c>
      <c r="N1584">
        <v>218</v>
      </c>
      <c r="O1584">
        <v>10</v>
      </c>
      <c r="P1584" t="s">
        <v>92</v>
      </c>
      <c r="Q1584">
        <v>0</v>
      </c>
      <c r="R1584">
        <v>17</v>
      </c>
      <c r="S1584">
        <v>0</v>
      </c>
      <c r="T1584">
        <v>2</v>
      </c>
      <c r="U1584">
        <v>2</v>
      </c>
      <c r="V1584">
        <v>10</v>
      </c>
      <c r="W1584">
        <v>2</v>
      </c>
      <c r="X1584">
        <v>28</v>
      </c>
      <c r="Z1584">
        <v>2</v>
      </c>
      <c r="AA1584">
        <v>126</v>
      </c>
      <c r="AB1584">
        <v>24</v>
      </c>
      <c r="AP1584">
        <v>0</v>
      </c>
      <c r="AW1584">
        <v>0</v>
      </c>
      <c r="AX1584">
        <v>5</v>
      </c>
      <c r="AY1584">
        <v>218</v>
      </c>
      <c r="AZ1584">
        <v>218</v>
      </c>
      <c r="BA1584">
        <v>265</v>
      </c>
      <c r="BB1584">
        <v>44</v>
      </c>
      <c r="BD1584">
        <v>1</v>
      </c>
      <c r="BF1584" t="s">
        <v>1730</v>
      </c>
      <c r="BG1584" s="1">
        <v>44354.020833333336</v>
      </c>
      <c r="BH1584" s="1">
        <v>44354.029050925928</v>
      </c>
      <c r="BI1584" s="1">
        <v>44354.029675925929</v>
      </c>
      <c r="BJ1584" t="s">
        <v>85</v>
      </c>
      <c r="BK1584" t="s">
        <v>86</v>
      </c>
      <c r="BL1584" t="s">
        <v>87</v>
      </c>
    </row>
    <row r="1585" spans="1:64" x14ac:dyDescent="0.3">
      <c r="A1585" t="str">
        <f>"200901B0000"</f>
        <v>200901B0000</v>
      </c>
      <c r="B1585" t="str">
        <f>"200901B00003"</f>
        <v>200901B00003</v>
      </c>
      <c r="C1585" t="str">
        <f t="shared" si="91"/>
        <v>20</v>
      </c>
      <c r="D1585" t="s">
        <v>81</v>
      </c>
      <c r="E1585" t="str">
        <f t="shared" si="94"/>
        <v>147</v>
      </c>
      <c r="F1585" t="s">
        <v>1726</v>
      </c>
      <c r="G1585" t="str">
        <f>"0901"</f>
        <v>0901</v>
      </c>
      <c r="H1585" t="str">
        <f>"0000"</f>
        <v>0000</v>
      </c>
      <c r="I1585" t="s">
        <v>83</v>
      </c>
      <c r="J1585">
        <v>0</v>
      </c>
      <c r="K1585">
        <v>1</v>
      </c>
      <c r="L1585">
        <v>3</v>
      </c>
      <c r="M1585">
        <v>240</v>
      </c>
      <c r="N1585">
        <v>475</v>
      </c>
      <c r="O1585">
        <v>10</v>
      </c>
      <c r="P1585">
        <v>475</v>
      </c>
      <c r="Q1585">
        <v>1</v>
      </c>
      <c r="R1585">
        <v>79</v>
      </c>
      <c r="S1585">
        <v>0</v>
      </c>
      <c r="T1585">
        <v>0</v>
      </c>
      <c r="U1585">
        <v>39</v>
      </c>
      <c r="V1585">
        <v>74</v>
      </c>
      <c r="W1585">
        <v>30</v>
      </c>
      <c r="X1585">
        <v>50</v>
      </c>
      <c r="Z1585">
        <v>16</v>
      </c>
      <c r="AA1585">
        <v>129</v>
      </c>
      <c r="AB1585">
        <v>41</v>
      </c>
      <c r="AP1585">
        <v>0</v>
      </c>
      <c r="AW1585">
        <v>0</v>
      </c>
      <c r="AX1585">
        <v>16</v>
      </c>
      <c r="AY1585">
        <v>475</v>
      </c>
      <c r="AZ1585">
        <v>475</v>
      </c>
      <c r="BA1585">
        <v>671</v>
      </c>
      <c r="BB1585">
        <v>44</v>
      </c>
      <c r="BD1585">
        <v>1</v>
      </c>
      <c r="BF1585" t="s">
        <v>1731</v>
      </c>
      <c r="BG1585" s="1">
        <v>44354.03125</v>
      </c>
      <c r="BH1585" s="1">
        <v>44354.040659722225</v>
      </c>
      <c r="BI1585" s="1">
        <v>44354.041134259256</v>
      </c>
      <c r="BJ1585" t="s">
        <v>85</v>
      </c>
      <c r="BK1585" t="s">
        <v>86</v>
      </c>
      <c r="BL1585" t="s">
        <v>87</v>
      </c>
    </row>
    <row r="1586" spans="1:64" x14ac:dyDescent="0.3">
      <c r="A1586" t="str">
        <f>"200901C0100"</f>
        <v>200901C0100</v>
      </c>
      <c r="B1586" t="str">
        <f>"200901C01003"</f>
        <v>200901C01003</v>
      </c>
      <c r="C1586" t="str">
        <f t="shared" si="91"/>
        <v>20</v>
      </c>
      <c r="D1586" t="s">
        <v>81</v>
      </c>
      <c r="E1586" t="str">
        <f t="shared" si="94"/>
        <v>147</v>
      </c>
      <c r="F1586" t="s">
        <v>1726</v>
      </c>
      <c r="G1586" t="str">
        <f>"0901"</f>
        <v>0901</v>
      </c>
      <c r="H1586" t="str">
        <f>"0001"</f>
        <v>0001</v>
      </c>
      <c r="I1586" t="s">
        <v>89</v>
      </c>
      <c r="J1586">
        <v>0</v>
      </c>
      <c r="K1586">
        <v>1</v>
      </c>
      <c r="L1586">
        <v>3</v>
      </c>
      <c r="M1586">
        <v>267</v>
      </c>
      <c r="N1586">
        <v>447</v>
      </c>
      <c r="O1586">
        <v>0</v>
      </c>
      <c r="P1586" t="s">
        <v>92</v>
      </c>
      <c r="Q1586">
        <v>4</v>
      </c>
      <c r="R1586">
        <v>42</v>
      </c>
      <c r="S1586">
        <v>0</v>
      </c>
      <c r="T1586">
        <v>0</v>
      </c>
      <c r="U1586">
        <v>14</v>
      </c>
      <c r="V1586">
        <v>75</v>
      </c>
      <c r="W1586">
        <v>30</v>
      </c>
      <c r="X1586">
        <v>70</v>
      </c>
      <c r="Z1586">
        <v>10</v>
      </c>
      <c r="AA1586">
        <v>160</v>
      </c>
      <c r="AB1586">
        <v>29</v>
      </c>
      <c r="AP1586">
        <v>0</v>
      </c>
      <c r="AW1586">
        <v>0</v>
      </c>
      <c r="AX1586">
        <v>13</v>
      </c>
      <c r="AY1586">
        <v>447</v>
      </c>
      <c r="AZ1586">
        <v>447</v>
      </c>
      <c r="BA1586">
        <v>670</v>
      </c>
      <c r="BB1586">
        <v>44</v>
      </c>
      <c r="BD1586">
        <v>1</v>
      </c>
      <c r="BF1586" t="s">
        <v>1732</v>
      </c>
      <c r="BG1586" s="1">
        <v>44354.029861111114</v>
      </c>
      <c r="BH1586" s="1">
        <v>44354.039456018516</v>
      </c>
      <c r="BI1586" s="1">
        <v>44354.04010416667</v>
      </c>
      <c r="BJ1586" t="s">
        <v>85</v>
      </c>
      <c r="BK1586" t="s">
        <v>86</v>
      </c>
      <c r="BL1586" t="s">
        <v>87</v>
      </c>
    </row>
    <row r="1587" spans="1:64" x14ac:dyDescent="0.3">
      <c r="A1587" t="str">
        <f>"200901C0200"</f>
        <v>200901C0200</v>
      </c>
      <c r="B1587" t="str">
        <f>"200901C02003"</f>
        <v>200901C02003</v>
      </c>
      <c r="C1587" t="str">
        <f t="shared" si="91"/>
        <v>20</v>
      </c>
      <c r="D1587" t="s">
        <v>81</v>
      </c>
      <c r="E1587" t="str">
        <f t="shared" si="94"/>
        <v>147</v>
      </c>
      <c r="F1587" t="s">
        <v>1726</v>
      </c>
      <c r="G1587" t="str">
        <f>"0901"</f>
        <v>0901</v>
      </c>
      <c r="H1587" t="str">
        <f>"0002"</f>
        <v>0002</v>
      </c>
      <c r="I1587" t="s">
        <v>89</v>
      </c>
      <c r="J1587">
        <v>0</v>
      </c>
      <c r="K1587">
        <v>1</v>
      </c>
      <c r="L1587">
        <v>3</v>
      </c>
      <c r="M1587">
        <v>248</v>
      </c>
      <c r="N1587">
        <v>466</v>
      </c>
      <c r="O1587">
        <v>7</v>
      </c>
      <c r="P1587">
        <v>466</v>
      </c>
      <c r="Q1587">
        <v>0</v>
      </c>
      <c r="R1587">
        <v>49</v>
      </c>
      <c r="S1587">
        <v>0</v>
      </c>
      <c r="T1587">
        <v>0</v>
      </c>
      <c r="U1587">
        <v>29</v>
      </c>
      <c r="V1587">
        <v>86</v>
      </c>
      <c r="W1587">
        <v>25</v>
      </c>
      <c r="X1587">
        <v>66</v>
      </c>
      <c r="Z1587">
        <v>15</v>
      </c>
      <c r="AA1587">
        <v>154</v>
      </c>
      <c r="AB1587">
        <v>33</v>
      </c>
      <c r="AP1587">
        <v>0</v>
      </c>
      <c r="AW1587">
        <v>0</v>
      </c>
      <c r="AX1587">
        <v>9</v>
      </c>
      <c r="AY1587">
        <v>466</v>
      </c>
      <c r="AZ1587">
        <v>466</v>
      </c>
      <c r="BA1587">
        <v>670</v>
      </c>
      <c r="BB1587">
        <v>44</v>
      </c>
      <c r="BD1587">
        <v>1</v>
      </c>
      <c r="BF1587" t="s">
        <v>1733</v>
      </c>
      <c r="BG1587" s="1">
        <v>44354.032638888886</v>
      </c>
      <c r="BH1587" s="1">
        <v>44354.041030092594</v>
      </c>
      <c r="BI1587" s="1">
        <v>44354.041435185187</v>
      </c>
      <c r="BJ1587" t="s">
        <v>85</v>
      </c>
      <c r="BK1587" t="s">
        <v>86</v>
      </c>
      <c r="BL1587" t="s">
        <v>87</v>
      </c>
    </row>
    <row r="1588" spans="1:64" x14ac:dyDescent="0.3">
      <c r="A1588" t="str">
        <f>"200901C0300"</f>
        <v>200901C0300</v>
      </c>
      <c r="B1588" t="str">
        <f>"200901C03003"</f>
        <v>200901C03003</v>
      </c>
      <c r="C1588" t="str">
        <f t="shared" si="91"/>
        <v>20</v>
      </c>
      <c r="D1588" t="s">
        <v>81</v>
      </c>
      <c r="E1588" t="str">
        <f t="shared" si="94"/>
        <v>147</v>
      </c>
      <c r="F1588" t="s">
        <v>1726</v>
      </c>
      <c r="G1588" t="str">
        <f>"0901"</f>
        <v>0901</v>
      </c>
      <c r="H1588" t="str">
        <f>"0003"</f>
        <v>0003</v>
      </c>
      <c r="I1588" t="s">
        <v>89</v>
      </c>
      <c r="J1588">
        <v>0</v>
      </c>
      <c r="K1588">
        <v>1</v>
      </c>
      <c r="L1588">
        <v>3</v>
      </c>
      <c r="M1588">
        <v>205</v>
      </c>
      <c r="N1588">
        <v>509</v>
      </c>
      <c r="O1588">
        <v>13</v>
      </c>
      <c r="P1588">
        <v>509</v>
      </c>
      <c r="Q1588">
        <v>0</v>
      </c>
      <c r="R1588">
        <v>57</v>
      </c>
      <c r="S1588">
        <v>0</v>
      </c>
      <c r="T1588">
        <v>0</v>
      </c>
      <c r="U1588">
        <v>22</v>
      </c>
      <c r="V1588">
        <v>71</v>
      </c>
      <c r="W1588">
        <v>53</v>
      </c>
      <c r="X1588">
        <v>79</v>
      </c>
      <c r="Z1588">
        <v>18</v>
      </c>
      <c r="AA1588">
        <v>161</v>
      </c>
      <c r="AB1588">
        <v>39</v>
      </c>
      <c r="AP1588">
        <v>0</v>
      </c>
      <c r="AW1588">
        <v>0</v>
      </c>
      <c r="AX1588">
        <v>9</v>
      </c>
      <c r="AY1588">
        <v>509</v>
      </c>
      <c r="AZ1588">
        <v>509</v>
      </c>
      <c r="BA1588">
        <v>670</v>
      </c>
      <c r="BB1588">
        <v>44</v>
      </c>
      <c r="BD1588">
        <v>1</v>
      </c>
      <c r="BF1588" t="s">
        <v>1734</v>
      </c>
      <c r="BG1588" s="1">
        <v>44353.931944444441</v>
      </c>
      <c r="BH1588" s="1">
        <v>44354.037523148145</v>
      </c>
      <c r="BI1588" s="1">
        <v>44354.038576388892</v>
      </c>
      <c r="BJ1588" t="s">
        <v>85</v>
      </c>
      <c r="BK1588" t="s">
        <v>86</v>
      </c>
      <c r="BL1588" t="s">
        <v>87</v>
      </c>
    </row>
    <row r="1589" spans="1:64" x14ac:dyDescent="0.3">
      <c r="A1589" t="str">
        <f>"200902B0000"</f>
        <v>200902B0000</v>
      </c>
      <c r="B1589" t="str">
        <f>"200902B00003"</f>
        <v>200902B00003</v>
      </c>
      <c r="C1589" t="str">
        <f t="shared" si="91"/>
        <v>20</v>
      </c>
      <c r="D1589" t="s">
        <v>81</v>
      </c>
      <c r="E1589" t="str">
        <f t="shared" si="94"/>
        <v>147</v>
      </c>
      <c r="F1589" t="s">
        <v>1726</v>
      </c>
      <c r="G1589" t="str">
        <f>"0902"</f>
        <v>0902</v>
      </c>
      <c r="H1589" t="str">
        <f>"0000"</f>
        <v>0000</v>
      </c>
      <c r="I1589" t="s">
        <v>83</v>
      </c>
      <c r="J1589">
        <v>0</v>
      </c>
      <c r="K1589">
        <v>1</v>
      </c>
      <c r="L1589">
        <v>3</v>
      </c>
      <c r="M1589">
        <v>205</v>
      </c>
      <c r="N1589">
        <v>420</v>
      </c>
      <c r="O1589">
        <v>5</v>
      </c>
      <c r="P1589">
        <v>420</v>
      </c>
      <c r="Q1589">
        <v>1</v>
      </c>
      <c r="R1589">
        <v>63</v>
      </c>
      <c r="S1589">
        <v>0</v>
      </c>
      <c r="T1589">
        <v>0</v>
      </c>
      <c r="U1589">
        <v>11</v>
      </c>
      <c r="V1589">
        <v>57</v>
      </c>
      <c r="W1589">
        <v>35</v>
      </c>
      <c r="X1589">
        <v>108</v>
      </c>
      <c r="Z1589">
        <v>26</v>
      </c>
      <c r="AA1589">
        <v>79</v>
      </c>
      <c r="AB1589">
        <v>24</v>
      </c>
      <c r="AP1589" t="s">
        <v>95</v>
      </c>
      <c r="AW1589">
        <v>16</v>
      </c>
      <c r="AX1589" t="s">
        <v>95</v>
      </c>
      <c r="AY1589">
        <v>420</v>
      </c>
      <c r="AZ1589">
        <v>420</v>
      </c>
      <c r="BA1589">
        <v>581</v>
      </c>
      <c r="BB1589">
        <v>44</v>
      </c>
      <c r="BC1589" t="s">
        <v>96</v>
      </c>
      <c r="BD1589">
        <v>1</v>
      </c>
      <c r="BF1589" t="s">
        <v>1735</v>
      </c>
      <c r="BG1589" s="1">
        <v>44354.065972222219</v>
      </c>
      <c r="BH1589" s="1">
        <v>44354.074062500003</v>
      </c>
      <c r="BI1589" s="1">
        <v>44354.074837962966</v>
      </c>
      <c r="BJ1589" t="s">
        <v>85</v>
      </c>
      <c r="BK1589" t="s">
        <v>86</v>
      </c>
      <c r="BL1589" t="s">
        <v>87</v>
      </c>
    </row>
    <row r="1590" spans="1:64" x14ac:dyDescent="0.3">
      <c r="A1590" t="str">
        <f>"200902C0100"</f>
        <v>200902C0100</v>
      </c>
      <c r="B1590" t="str">
        <f>"200902C01003"</f>
        <v>200902C01003</v>
      </c>
      <c r="C1590" t="str">
        <f t="shared" si="91"/>
        <v>20</v>
      </c>
      <c r="D1590" t="s">
        <v>81</v>
      </c>
      <c r="E1590" t="str">
        <f t="shared" si="94"/>
        <v>147</v>
      </c>
      <c r="F1590" t="s">
        <v>1726</v>
      </c>
      <c r="G1590" t="str">
        <f>"0902"</f>
        <v>0902</v>
      </c>
      <c r="H1590" t="str">
        <f>"0001"</f>
        <v>0001</v>
      </c>
      <c r="I1590" t="s">
        <v>89</v>
      </c>
      <c r="J1590">
        <v>0</v>
      </c>
      <c r="K1590">
        <v>1</v>
      </c>
      <c r="L1590">
        <v>3</v>
      </c>
      <c r="M1590">
        <v>189</v>
      </c>
      <c r="N1590">
        <v>435</v>
      </c>
      <c r="O1590">
        <v>6</v>
      </c>
      <c r="P1590" t="s">
        <v>92</v>
      </c>
      <c r="Q1590">
        <v>1</v>
      </c>
      <c r="R1590">
        <v>49</v>
      </c>
      <c r="S1590">
        <v>0</v>
      </c>
      <c r="T1590">
        <v>0</v>
      </c>
      <c r="U1590">
        <v>22</v>
      </c>
      <c r="V1590">
        <v>51</v>
      </c>
      <c r="W1590">
        <v>30</v>
      </c>
      <c r="X1590">
        <v>119</v>
      </c>
      <c r="Z1590">
        <v>28</v>
      </c>
      <c r="AA1590">
        <v>104</v>
      </c>
      <c r="AB1590">
        <v>22</v>
      </c>
      <c r="AP1590">
        <v>0</v>
      </c>
      <c r="AW1590">
        <v>0</v>
      </c>
      <c r="AX1590">
        <v>9</v>
      </c>
      <c r="AY1590">
        <v>435</v>
      </c>
      <c r="AZ1590">
        <v>435</v>
      </c>
      <c r="BA1590">
        <v>580</v>
      </c>
      <c r="BB1590">
        <v>44</v>
      </c>
      <c r="BD1590">
        <v>1</v>
      </c>
      <c r="BF1590" t="s">
        <v>1736</v>
      </c>
      <c r="BG1590" s="1">
        <v>44354.06527777778</v>
      </c>
      <c r="BH1590" s="1">
        <v>44354.072233796294</v>
      </c>
      <c r="BI1590" s="1">
        <v>44354.072662037041</v>
      </c>
      <c r="BJ1590" t="s">
        <v>85</v>
      </c>
      <c r="BK1590" t="s">
        <v>86</v>
      </c>
      <c r="BL1590" t="s">
        <v>87</v>
      </c>
    </row>
    <row r="1591" spans="1:64" x14ac:dyDescent="0.3">
      <c r="A1591" t="str">
        <f>"200902C0200"</f>
        <v>200902C0200</v>
      </c>
      <c r="B1591" t="str">
        <f>"200902C02003"</f>
        <v>200902C02003</v>
      </c>
      <c r="C1591" t="str">
        <f t="shared" si="91"/>
        <v>20</v>
      </c>
      <c r="D1591" t="s">
        <v>81</v>
      </c>
      <c r="E1591" t="str">
        <f t="shared" si="94"/>
        <v>147</v>
      </c>
      <c r="F1591" t="s">
        <v>1726</v>
      </c>
      <c r="G1591" t="str">
        <f>"0902"</f>
        <v>0902</v>
      </c>
      <c r="H1591" t="str">
        <f>"0002"</f>
        <v>0002</v>
      </c>
      <c r="I1591" t="s">
        <v>89</v>
      </c>
      <c r="J1591">
        <v>0</v>
      </c>
      <c r="K1591">
        <v>1</v>
      </c>
      <c r="L1591">
        <v>3</v>
      </c>
      <c r="M1591">
        <v>190</v>
      </c>
      <c r="N1591">
        <v>434</v>
      </c>
      <c r="O1591">
        <v>5</v>
      </c>
      <c r="P1591">
        <v>434</v>
      </c>
      <c r="Q1591">
        <v>0</v>
      </c>
      <c r="R1591">
        <v>52</v>
      </c>
      <c r="S1591">
        <v>1</v>
      </c>
      <c r="T1591">
        <v>1</v>
      </c>
      <c r="U1591">
        <v>18</v>
      </c>
      <c r="V1591">
        <v>64</v>
      </c>
      <c r="W1591">
        <v>30</v>
      </c>
      <c r="X1591">
        <v>86</v>
      </c>
      <c r="Z1591">
        <v>16</v>
      </c>
      <c r="AA1591">
        <v>123</v>
      </c>
      <c r="AB1591">
        <v>35</v>
      </c>
      <c r="AP1591" t="s">
        <v>95</v>
      </c>
      <c r="AW1591">
        <v>1</v>
      </c>
      <c r="AX1591">
        <v>7</v>
      </c>
      <c r="AY1591">
        <v>434</v>
      </c>
      <c r="AZ1591">
        <v>434</v>
      </c>
      <c r="BA1591">
        <v>580</v>
      </c>
      <c r="BB1591">
        <v>44</v>
      </c>
      <c r="BC1591" t="s">
        <v>96</v>
      </c>
      <c r="BD1591">
        <v>1</v>
      </c>
      <c r="BF1591" t="s">
        <v>1737</v>
      </c>
      <c r="BG1591" s="1">
        <v>44354.05</v>
      </c>
      <c r="BH1591" s="1">
        <v>44354.055659722224</v>
      </c>
      <c r="BI1591" s="1">
        <v>44354.056157407409</v>
      </c>
      <c r="BJ1591" t="s">
        <v>85</v>
      </c>
      <c r="BK1591" t="s">
        <v>86</v>
      </c>
      <c r="BL1591" t="s">
        <v>87</v>
      </c>
    </row>
    <row r="1592" spans="1:64" x14ac:dyDescent="0.3">
      <c r="A1592" t="str">
        <f>"200903B0000"</f>
        <v>200903B0000</v>
      </c>
      <c r="B1592" t="str">
        <f>"200903B00003"</f>
        <v>200903B00003</v>
      </c>
      <c r="C1592" t="str">
        <f t="shared" si="91"/>
        <v>20</v>
      </c>
      <c r="D1592" t="s">
        <v>81</v>
      </c>
      <c r="E1592" t="str">
        <f t="shared" si="94"/>
        <v>147</v>
      </c>
      <c r="F1592" t="s">
        <v>1726</v>
      </c>
      <c r="G1592" t="str">
        <f>"0903"</f>
        <v>0903</v>
      </c>
      <c r="H1592" t="str">
        <f>"0000"</f>
        <v>0000</v>
      </c>
      <c r="I1592" t="s">
        <v>83</v>
      </c>
      <c r="J1592">
        <v>0</v>
      </c>
      <c r="K1592">
        <v>1</v>
      </c>
      <c r="L1592">
        <v>3</v>
      </c>
      <c r="M1592">
        <v>253</v>
      </c>
      <c r="N1592">
        <v>460</v>
      </c>
      <c r="O1592">
        <v>3</v>
      </c>
      <c r="P1592">
        <v>460</v>
      </c>
      <c r="Q1592">
        <v>3</v>
      </c>
      <c r="R1592">
        <v>39</v>
      </c>
      <c r="S1592">
        <v>1</v>
      </c>
      <c r="T1592">
        <v>3</v>
      </c>
      <c r="U1592">
        <v>25</v>
      </c>
      <c r="V1592">
        <v>97</v>
      </c>
      <c r="W1592">
        <v>37</v>
      </c>
      <c r="X1592">
        <v>80</v>
      </c>
      <c r="Z1592">
        <v>18</v>
      </c>
      <c r="AA1592">
        <v>121</v>
      </c>
      <c r="AB1592">
        <v>26</v>
      </c>
      <c r="AP1592">
        <v>0</v>
      </c>
      <c r="AW1592">
        <v>0</v>
      </c>
      <c r="AX1592">
        <v>10</v>
      </c>
      <c r="AY1592">
        <v>460</v>
      </c>
      <c r="AZ1592">
        <v>460</v>
      </c>
      <c r="BA1592">
        <v>669</v>
      </c>
      <c r="BB1592">
        <v>44</v>
      </c>
      <c r="BD1592">
        <v>1</v>
      </c>
      <c r="BF1592" t="s">
        <v>1738</v>
      </c>
      <c r="BG1592" s="1">
        <v>44354.03402777778</v>
      </c>
      <c r="BH1592" s="1">
        <v>44354.042094907411</v>
      </c>
      <c r="BI1592" s="1">
        <v>44354.042800925927</v>
      </c>
      <c r="BJ1592" t="s">
        <v>85</v>
      </c>
      <c r="BK1592" t="s">
        <v>86</v>
      </c>
      <c r="BL1592" t="s">
        <v>87</v>
      </c>
    </row>
    <row r="1593" spans="1:64" x14ac:dyDescent="0.3">
      <c r="A1593" t="str">
        <f>"200903C0100"</f>
        <v>200903C0100</v>
      </c>
      <c r="B1593" t="str">
        <f>"200903C01003"</f>
        <v>200903C01003</v>
      </c>
      <c r="C1593" t="str">
        <f t="shared" si="91"/>
        <v>20</v>
      </c>
      <c r="D1593" t="s">
        <v>81</v>
      </c>
      <c r="E1593" t="str">
        <f t="shared" si="94"/>
        <v>147</v>
      </c>
      <c r="F1593" t="s">
        <v>1726</v>
      </c>
      <c r="G1593" t="str">
        <f>"0903"</f>
        <v>0903</v>
      </c>
      <c r="H1593" t="str">
        <f>"0001"</f>
        <v>0001</v>
      </c>
      <c r="I1593" t="s">
        <v>89</v>
      </c>
      <c r="J1593">
        <v>0</v>
      </c>
      <c r="K1593">
        <v>1</v>
      </c>
      <c r="L1593">
        <v>3</v>
      </c>
      <c r="M1593">
        <v>263</v>
      </c>
      <c r="N1593">
        <v>450</v>
      </c>
      <c r="O1593">
        <v>6</v>
      </c>
      <c r="P1593">
        <v>450</v>
      </c>
      <c r="Q1593">
        <v>3</v>
      </c>
      <c r="R1593">
        <v>37</v>
      </c>
      <c r="S1593">
        <v>0</v>
      </c>
      <c r="T1593">
        <v>0</v>
      </c>
      <c r="U1593">
        <v>19</v>
      </c>
      <c r="V1593">
        <v>85</v>
      </c>
      <c r="W1593">
        <v>22</v>
      </c>
      <c r="X1593">
        <v>103</v>
      </c>
      <c r="Z1593">
        <v>16</v>
      </c>
      <c r="AA1593">
        <v>127</v>
      </c>
      <c r="AB1593">
        <v>29</v>
      </c>
      <c r="AP1593">
        <v>0</v>
      </c>
      <c r="AW1593">
        <v>0</v>
      </c>
      <c r="AX1593">
        <v>9</v>
      </c>
      <c r="AY1593">
        <v>450</v>
      </c>
      <c r="AZ1593">
        <v>450</v>
      </c>
      <c r="BA1593">
        <v>669</v>
      </c>
      <c r="BB1593">
        <v>44</v>
      </c>
      <c r="BD1593">
        <v>1</v>
      </c>
      <c r="BF1593" t="s">
        <v>1739</v>
      </c>
      <c r="BG1593" s="1">
        <v>44354.038888888892</v>
      </c>
      <c r="BH1593" s="1">
        <v>44354.048125000001</v>
      </c>
      <c r="BI1593" s="1">
        <v>44354.048414351855</v>
      </c>
      <c r="BJ1593" t="s">
        <v>85</v>
      </c>
      <c r="BK1593" t="s">
        <v>86</v>
      </c>
      <c r="BL1593" t="s">
        <v>87</v>
      </c>
    </row>
    <row r="1594" spans="1:64" x14ac:dyDescent="0.3">
      <c r="A1594" t="str">
        <f>"200903C0200"</f>
        <v>200903C0200</v>
      </c>
      <c r="B1594" t="str">
        <f>"200903C02003"</f>
        <v>200903C02003</v>
      </c>
      <c r="C1594" t="str">
        <f t="shared" si="91"/>
        <v>20</v>
      </c>
      <c r="D1594" t="s">
        <v>81</v>
      </c>
      <c r="E1594" t="str">
        <f t="shared" si="94"/>
        <v>147</v>
      </c>
      <c r="F1594" t="s">
        <v>1726</v>
      </c>
      <c r="G1594" t="str">
        <f>"0903"</f>
        <v>0903</v>
      </c>
      <c r="H1594" t="str">
        <f>"0002"</f>
        <v>0002</v>
      </c>
      <c r="I1594" t="s">
        <v>89</v>
      </c>
      <c r="J1594">
        <v>0</v>
      </c>
      <c r="K1594">
        <v>1</v>
      </c>
      <c r="L1594">
        <v>3</v>
      </c>
      <c r="M1594">
        <v>242</v>
      </c>
      <c r="N1594">
        <v>471</v>
      </c>
      <c r="O1594">
        <v>3</v>
      </c>
      <c r="P1594" t="s">
        <v>92</v>
      </c>
      <c r="Q1594">
        <v>4</v>
      </c>
      <c r="R1594">
        <v>59</v>
      </c>
      <c r="S1594">
        <v>1</v>
      </c>
      <c r="T1594">
        <v>0</v>
      </c>
      <c r="U1594">
        <v>6</v>
      </c>
      <c r="V1594">
        <v>100</v>
      </c>
      <c r="W1594">
        <v>31</v>
      </c>
      <c r="X1594">
        <v>77</v>
      </c>
      <c r="Z1594">
        <v>19</v>
      </c>
      <c r="AA1594">
        <v>127</v>
      </c>
      <c r="AB1594">
        <v>42</v>
      </c>
      <c r="AP1594">
        <v>0</v>
      </c>
      <c r="AW1594">
        <v>0</v>
      </c>
      <c r="AX1594">
        <v>5</v>
      </c>
      <c r="AY1594">
        <v>471</v>
      </c>
      <c r="AZ1594">
        <v>471</v>
      </c>
      <c r="BA1594">
        <v>669</v>
      </c>
      <c r="BB1594">
        <v>44</v>
      </c>
      <c r="BD1594">
        <v>1</v>
      </c>
      <c r="BF1594" t="s">
        <v>1740</v>
      </c>
      <c r="BG1594" s="1">
        <v>44354.034722222219</v>
      </c>
      <c r="BH1594" s="1">
        <v>44354.042974537035</v>
      </c>
      <c r="BI1594" s="1">
        <v>44354.04347222222</v>
      </c>
      <c r="BJ1594" t="s">
        <v>85</v>
      </c>
      <c r="BK1594" t="s">
        <v>86</v>
      </c>
      <c r="BL1594" t="s">
        <v>87</v>
      </c>
    </row>
    <row r="1595" spans="1:64" x14ac:dyDescent="0.3">
      <c r="A1595" t="str">
        <f>"200903C0300"</f>
        <v>200903C0300</v>
      </c>
      <c r="B1595" t="str">
        <f>"200903C03003"</f>
        <v>200903C03003</v>
      </c>
      <c r="C1595" t="str">
        <f t="shared" si="91"/>
        <v>20</v>
      </c>
      <c r="D1595" t="s">
        <v>81</v>
      </c>
      <c r="E1595" t="str">
        <f t="shared" si="94"/>
        <v>147</v>
      </c>
      <c r="F1595" t="s">
        <v>1726</v>
      </c>
      <c r="G1595" t="str">
        <f>"0903"</f>
        <v>0903</v>
      </c>
      <c r="H1595" t="str">
        <f>"0003"</f>
        <v>0003</v>
      </c>
      <c r="I1595" t="s">
        <v>89</v>
      </c>
      <c r="J1595">
        <v>0</v>
      </c>
      <c r="K1595">
        <v>1</v>
      </c>
      <c r="L1595">
        <v>3</v>
      </c>
      <c r="M1595">
        <v>244</v>
      </c>
      <c r="N1595">
        <v>469</v>
      </c>
      <c r="O1595">
        <v>12</v>
      </c>
      <c r="P1595">
        <v>469</v>
      </c>
      <c r="Q1595">
        <v>2</v>
      </c>
      <c r="R1595">
        <v>64</v>
      </c>
      <c r="S1595">
        <v>0</v>
      </c>
      <c r="T1595">
        <v>0</v>
      </c>
      <c r="U1595">
        <v>15</v>
      </c>
      <c r="V1595">
        <v>111</v>
      </c>
      <c r="W1595">
        <v>19</v>
      </c>
      <c r="X1595">
        <v>65</v>
      </c>
      <c r="Z1595">
        <v>13</v>
      </c>
      <c r="AA1595">
        <v>150</v>
      </c>
      <c r="AB1595">
        <v>26</v>
      </c>
      <c r="AP1595">
        <v>0</v>
      </c>
      <c r="AW1595">
        <v>0</v>
      </c>
      <c r="AX1595">
        <v>4</v>
      </c>
      <c r="AY1595">
        <v>469</v>
      </c>
      <c r="AZ1595">
        <v>469</v>
      </c>
      <c r="BA1595">
        <v>669</v>
      </c>
      <c r="BB1595">
        <v>44</v>
      </c>
      <c r="BD1595">
        <v>1</v>
      </c>
      <c r="BF1595" t="s">
        <v>1741</v>
      </c>
      <c r="BG1595" s="1">
        <v>44354.038888888892</v>
      </c>
      <c r="BH1595" s="1">
        <v>44354.049108796295</v>
      </c>
      <c r="BI1595" s="1">
        <v>44354.049837962964</v>
      </c>
      <c r="BJ1595" t="s">
        <v>85</v>
      </c>
      <c r="BK1595" t="s">
        <v>86</v>
      </c>
      <c r="BL1595" t="s">
        <v>87</v>
      </c>
    </row>
    <row r="1596" spans="1:64" x14ac:dyDescent="0.3">
      <c r="A1596" t="str">
        <f>"200904B0000"</f>
        <v>200904B0000</v>
      </c>
      <c r="B1596" t="str">
        <f>"200904B00003"</f>
        <v>200904B00003</v>
      </c>
      <c r="C1596" t="str">
        <f t="shared" si="91"/>
        <v>20</v>
      </c>
      <c r="D1596" t="s">
        <v>81</v>
      </c>
      <c r="E1596" t="str">
        <f t="shared" si="94"/>
        <v>147</v>
      </c>
      <c r="F1596" t="s">
        <v>1726</v>
      </c>
      <c r="G1596" t="str">
        <f>"0904"</f>
        <v>0904</v>
      </c>
      <c r="H1596" t="str">
        <f>"0000"</f>
        <v>0000</v>
      </c>
      <c r="I1596" t="s">
        <v>83</v>
      </c>
      <c r="J1596">
        <v>0</v>
      </c>
      <c r="K1596">
        <v>1</v>
      </c>
      <c r="L1596">
        <v>3</v>
      </c>
      <c r="M1596">
        <v>51</v>
      </c>
      <c r="N1596">
        <v>75</v>
      </c>
      <c r="O1596">
        <v>8</v>
      </c>
      <c r="P1596">
        <v>75</v>
      </c>
      <c r="Q1596">
        <v>1</v>
      </c>
      <c r="R1596">
        <v>15</v>
      </c>
      <c r="S1596">
        <v>0</v>
      </c>
      <c r="T1596">
        <v>0</v>
      </c>
      <c r="U1596">
        <v>0</v>
      </c>
      <c r="V1596">
        <v>6</v>
      </c>
      <c r="W1596">
        <v>1</v>
      </c>
      <c r="X1596">
        <v>5</v>
      </c>
      <c r="Z1596">
        <v>1</v>
      </c>
      <c r="AA1596">
        <v>35</v>
      </c>
      <c r="AB1596">
        <v>10</v>
      </c>
      <c r="AP1596">
        <v>0</v>
      </c>
      <c r="AW1596">
        <v>0</v>
      </c>
      <c r="AX1596">
        <v>1</v>
      </c>
      <c r="AY1596">
        <v>75</v>
      </c>
      <c r="AZ1596">
        <v>75</v>
      </c>
      <c r="BA1596">
        <v>82</v>
      </c>
      <c r="BB1596">
        <v>44</v>
      </c>
      <c r="BD1596">
        <v>1</v>
      </c>
      <c r="BF1596" t="s">
        <v>1742</v>
      </c>
      <c r="BG1596" s="1">
        <v>44353.988194444442</v>
      </c>
      <c r="BH1596" s="1">
        <v>44353.992037037038</v>
      </c>
      <c r="BI1596" s="1">
        <v>44353.992731481485</v>
      </c>
      <c r="BJ1596" t="s">
        <v>85</v>
      </c>
      <c r="BK1596" t="s">
        <v>86</v>
      </c>
      <c r="BL1596" t="s">
        <v>87</v>
      </c>
    </row>
    <row r="1597" spans="1:64" x14ac:dyDescent="0.3">
      <c r="A1597" t="str">
        <f>"200905B0000"</f>
        <v>200905B0000</v>
      </c>
      <c r="B1597" t="str">
        <f>"200905B00003"</f>
        <v>200905B00003</v>
      </c>
      <c r="C1597" t="str">
        <f t="shared" si="91"/>
        <v>20</v>
      </c>
      <c r="D1597" t="s">
        <v>81</v>
      </c>
      <c r="E1597" t="str">
        <f t="shared" si="94"/>
        <v>147</v>
      </c>
      <c r="F1597" t="s">
        <v>1726</v>
      </c>
      <c r="G1597" t="str">
        <f>"0905"</f>
        <v>0905</v>
      </c>
      <c r="H1597" t="str">
        <f>"0000"</f>
        <v>0000</v>
      </c>
      <c r="I1597" t="s">
        <v>83</v>
      </c>
      <c r="J1597">
        <v>0</v>
      </c>
      <c r="K1597">
        <v>1</v>
      </c>
      <c r="L1597">
        <v>3</v>
      </c>
      <c r="M1597">
        <v>128</v>
      </c>
      <c r="N1597">
        <v>271</v>
      </c>
      <c r="O1597">
        <v>9</v>
      </c>
      <c r="P1597">
        <v>271</v>
      </c>
      <c r="Q1597">
        <v>0</v>
      </c>
      <c r="R1597">
        <v>46</v>
      </c>
      <c r="S1597">
        <v>0</v>
      </c>
      <c r="T1597">
        <v>0</v>
      </c>
      <c r="U1597">
        <v>2</v>
      </c>
      <c r="V1597">
        <v>3</v>
      </c>
      <c r="W1597">
        <v>2</v>
      </c>
      <c r="X1597">
        <v>27</v>
      </c>
      <c r="Z1597">
        <v>6</v>
      </c>
      <c r="AA1597">
        <v>168</v>
      </c>
      <c r="AB1597">
        <v>12</v>
      </c>
      <c r="AP1597">
        <v>0</v>
      </c>
      <c r="AW1597">
        <v>0</v>
      </c>
      <c r="AX1597">
        <v>5</v>
      </c>
      <c r="AY1597">
        <v>271</v>
      </c>
      <c r="AZ1597">
        <v>271</v>
      </c>
      <c r="BA1597">
        <v>355</v>
      </c>
      <c r="BB1597">
        <v>44</v>
      </c>
      <c r="BD1597">
        <v>1</v>
      </c>
      <c r="BF1597" t="s">
        <v>1743</v>
      </c>
      <c r="BG1597" s="1">
        <v>44354.036805555559</v>
      </c>
      <c r="BH1597" s="1">
        <v>44354.047326388885</v>
      </c>
      <c r="BI1597" s="1">
        <v>44354.047789351855</v>
      </c>
      <c r="BJ1597" t="s">
        <v>85</v>
      </c>
      <c r="BK1597" t="s">
        <v>86</v>
      </c>
      <c r="BL1597" t="s">
        <v>87</v>
      </c>
    </row>
    <row r="1598" spans="1:64" x14ac:dyDescent="0.3">
      <c r="A1598" t="str">
        <f>"200917B0000"</f>
        <v>200917B0000</v>
      </c>
      <c r="B1598" t="str">
        <f>"200917B00003"</f>
        <v>200917B00003</v>
      </c>
      <c r="C1598" t="str">
        <f t="shared" si="91"/>
        <v>20</v>
      </c>
      <c r="D1598" t="s">
        <v>81</v>
      </c>
      <c r="E1598" t="str">
        <f t="shared" ref="E1598:E1615" si="95">"154"</f>
        <v>154</v>
      </c>
      <c r="F1598" t="s">
        <v>1744</v>
      </c>
      <c r="G1598" t="str">
        <f>"0917"</f>
        <v>0917</v>
      </c>
      <c r="H1598" t="str">
        <f>"0000"</f>
        <v>0000</v>
      </c>
      <c r="I1598" t="s">
        <v>83</v>
      </c>
      <c r="J1598">
        <v>0</v>
      </c>
      <c r="K1598">
        <v>1</v>
      </c>
      <c r="L1598">
        <v>3</v>
      </c>
      <c r="M1598">
        <v>272</v>
      </c>
      <c r="N1598">
        <v>440</v>
      </c>
      <c r="O1598">
        <v>1</v>
      </c>
      <c r="P1598" t="s">
        <v>92</v>
      </c>
      <c r="Q1598">
        <v>4</v>
      </c>
      <c r="R1598">
        <v>25</v>
      </c>
      <c r="S1598">
        <v>92</v>
      </c>
      <c r="T1598">
        <v>46</v>
      </c>
      <c r="U1598">
        <v>85</v>
      </c>
      <c r="V1598">
        <v>2</v>
      </c>
      <c r="W1598">
        <v>6</v>
      </c>
      <c r="X1598">
        <v>69</v>
      </c>
      <c r="Y1598">
        <v>43</v>
      </c>
      <c r="Z1598">
        <v>6</v>
      </c>
      <c r="AA1598">
        <v>8</v>
      </c>
      <c r="AB1598">
        <v>45</v>
      </c>
      <c r="AW1598">
        <v>1</v>
      </c>
      <c r="AX1598">
        <v>8</v>
      </c>
      <c r="AY1598">
        <v>440</v>
      </c>
      <c r="AZ1598">
        <v>440</v>
      </c>
      <c r="BA1598">
        <v>668</v>
      </c>
      <c r="BB1598">
        <v>44</v>
      </c>
      <c r="BD1598">
        <v>1</v>
      </c>
      <c r="BF1598" t="s">
        <v>1745</v>
      </c>
      <c r="BG1598" s="1">
        <v>44354.004027777781</v>
      </c>
      <c r="BH1598" s="1">
        <v>44354.008946759262</v>
      </c>
      <c r="BI1598" s="1">
        <v>44354.009953703702</v>
      </c>
      <c r="BJ1598" t="s">
        <v>197</v>
      </c>
      <c r="BK1598" t="s">
        <v>198</v>
      </c>
      <c r="BL1598" t="s">
        <v>87</v>
      </c>
    </row>
    <row r="1599" spans="1:64" x14ac:dyDescent="0.3">
      <c r="A1599" t="str">
        <f>"200917C0100"</f>
        <v>200917C0100</v>
      </c>
      <c r="B1599" t="str">
        <f>"200917C01003"</f>
        <v>200917C01003</v>
      </c>
      <c r="C1599" t="str">
        <f t="shared" si="91"/>
        <v>20</v>
      </c>
      <c r="D1599" t="s">
        <v>81</v>
      </c>
      <c r="E1599" t="str">
        <f t="shared" si="95"/>
        <v>154</v>
      </c>
      <c r="F1599" t="s">
        <v>1744</v>
      </c>
      <c r="G1599" t="str">
        <f>"0917"</f>
        <v>0917</v>
      </c>
      <c r="H1599" t="str">
        <f>"0001"</f>
        <v>0001</v>
      </c>
      <c r="I1599" t="s">
        <v>89</v>
      </c>
      <c r="J1599">
        <v>0</v>
      </c>
      <c r="K1599">
        <v>1</v>
      </c>
      <c r="L1599">
        <v>3</v>
      </c>
      <c r="M1599">
        <v>294</v>
      </c>
      <c r="N1599">
        <v>420</v>
      </c>
      <c r="O1599">
        <v>2</v>
      </c>
      <c r="P1599">
        <v>420</v>
      </c>
      <c r="Q1599">
        <v>5</v>
      </c>
      <c r="R1599">
        <v>36</v>
      </c>
      <c r="S1599">
        <v>89</v>
      </c>
      <c r="T1599">
        <v>51</v>
      </c>
      <c r="U1599">
        <v>79</v>
      </c>
      <c r="V1599">
        <v>1</v>
      </c>
      <c r="W1599">
        <v>2</v>
      </c>
      <c r="X1599">
        <v>43</v>
      </c>
      <c r="Y1599">
        <v>49</v>
      </c>
      <c r="Z1599">
        <v>9</v>
      </c>
      <c r="AA1599">
        <v>7</v>
      </c>
      <c r="AB1599">
        <v>39</v>
      </c>
      <c r="AW1599">
        <v>0</v>
      </c>
      <c r="AX1599">
        <v>9</v>
      </c>
      <c r="AY1599">
        <v>419</v>
      </c>
      <c r="AZ1599">
        <v>419</v>
      </c>
      <c r="BA1599">
        <v>668</v>
      </c>
      <c r="BB1599">
        <v>44</v>
      </c>
      <c r="BD1599">
        <v>1</v>
      </c>
      <c r="BF1599" t="s">
        <v>1746</v>
      </c>
      <c r="BG1599" s="1">
        <v>44353.9999537037</v>
      </c>
      <c r="BH1599" s="1">
        <v>44354.004849537036</v>
      </c>
      <c r="BI1599" s="1">
        <v>44354.005694444444</v>
      </c>
      <c r="BJ1599" t="s">
        <v>197</v>
      </c>
      <c r="BK1599" t="s">
        <v>198</v>
      </c>
      <c r="BL1599" t="s">
        <v>87</v>
      </c>
    </row>
    <row r="1600" spans="1:64" x14ac:dyDescent="0.3">
      <c r="A1600" t="str">
        <f>"200917C0200"</f>
        <v>200917C0200</v>
      </c>
      <c r="B1600" t="str">
        <f>"200917C02003"</f>
        <v>200917C02003</v>
      </c>
      <c r="C1600" t="str">
        <f t="shared" si="91"/>
        <v>20</v>
      </c>
      <c r="D1600" t="s">
        <v>81</v>
      </c>
      <c r="E1600" t="str">
        <f t="shared" si="95"/>
        <v>154</v>
      </c>
      <c r="F1600" t="s">
        <v>1744</v>
      </c>
      <c r="G1600" t="str">
        <f>"0917"</f>
        <v>0917</v>
      </c>
      <c r="H1600" t="str">
        <f>"0002"</f>
        <v>0002</v>
      </c>
      <c r="I1600" t="s">
        <v>89</v>
      </c>
      <c r="J1600">
        <v>0</v>
      </c>
      <c r="K1600">
        <v>1</v>
      </c>
      <c r="L1600">
        <v>3</v>
      </c>
      <c r="M1600">
        <v>291</v>
      </c>
      <c r="N1600">
        <v>420</v>
      </c>
      <c r="O1600">
        <v>0</v>
      </c>
      <c r="P1600">
        <v>420</v>
      </c>
      <c r="Q1600">
        <v>10</v>
      </c>
      <c r="R1600">
        <v>28</v>
      </c>
      <c r="S1600">
        <v>100</v>
      </c>
      <c r="T1600">
        <v>51</v>
      </c>
      <c r="U1600">
        <v>53</v>
      </c>
      <c r="V1600">
        <v>1</v>
      </c>
      <c r="W1600">
        <v>0</v>
      </c>
      <c r="X1600">
        <v>66</v>
      </c>
      <c r="Y1600">
        <v>46</v>
      </c>
      <c r="Z1600">
        <v>7</v>
      </c>
      <c r="AA1600">
        <v>7</v>
      </c>
      <c r="AB1600">
        <v>46</v>
      </c>
      <c r="AW1600">
        <v>0</v>
      </c>
      <c r="AX1600">
        <v>5</v>
      </c>
      <c r="AY1600">
        <v>420</v>
      </c>
      <c r="AZ1600">
        <v>420</v>
      </c>
      <c r="BA1600">
        <v>667</v>
      </c>
      <c r="BB1600">
        <v>44</v>
      </c>
      <c r="BD1600">
        <v>1</v>
      </c>
      <c r="BF1600" t="s">
        <v>1747</v>
      </c>
      <c r="BG1600" s="1">
        <v>44353.921134259261</v>
      </c>
      <c r="BH1600" s="1">
        <v>44353.922662037039</v>
      </c>
      <c r="BI1600" s="1">
        <v>44353.92391203704</v>
      </c>
      <c r="BJ1600" t="s">
        <v>197</v>
      </c>
      <c r="BK1600" t="s">
        <v>198</v>
      </c>
      <c r="BL1600" t="s">
        <v>87</v>
      </c>
    </row>
    <row r="1601" spans="1:64" x14ac:dyDescent="0.3">
      <c r="A1601" t="str">
        <f>"200917C0300"</f>
        <v>200917C0300</v>
      </c>
      <c r="B1601" t="str">
        <f>"200917C03003"</f>
        <v>200917C03003</v>
      </c>
      <c r="C1601" t="str">
        <f t="shared" si="91"/>
        <v>20</v>
      </c>
      <c r="D1601" t="s">
        <v>81</v>
      </c>
      <c r="E1601" t="str">
        <f t="shared" si="95"/>
        <v>154</v>
      </c>
      <c r="F1601" t="s">
        <v>1744</v>
      </c>
      <c r="G1601" t="str">
        <f>"0917"</f>
        <v>0917</v>
      </c>
      <c r="H1601" t="str">
        <f>"0003"</f>
        <v>0003</v>
      </c>
      <c r="I1601" t="s">
        <v>89</v>
      </c>
      <c r="J1601">
        <v>0</v>
      </c>
      <c r="K1601">
        <v>1</v>
      </c>
      <c r="L1601">
        <v>3</v>
      </c>
      <c r="M1601">
        <v>284</v>
      </c>
      <c r="N1601">
        <v>427</v>
      </c>
      <c r="O1601">
        <v>0</v>
      </c>
      <c r="P1601">
        <v>426</v>
      </c>
      <c r="Q1601">
        <v>5</v>
      </c>
      <c r="R1601">
        <v>21</v>
      </c>
      <c r="S1601">
        <v>75</v>
      </c>
      <c r="T1601">
        <v>57</v>
      </c>
      <c r="U1601">
        <v>91</v>
      </c>
      <c r="V1601">
        <v>2</v>
      </c>
      <c r="W1601">
        <v>2</v>
      </c>
      <c r="X1601">
        <v>58</v>
      </c>
      <c r="Y1601">
        <v>48</v>
      </c>
      <c r="Z1601">
        <v>7</v>
      </c>
      <c r="AA1601">
        <v>16</v>
      </c>
      <c r="AB1601">
        <v>34</v>
      </c>
      <c r="AW1601">
        <v>0</v>
      </c>
      <c r="AX1601">
        <v>10</v>
      </c>
      <c r="AY1601">
        <v>426</v>
      </c>
      <c r="AZ1601">
        <v>426</v>
      </c>
      <c r="BA1601">
        <v>667</v>
      </c>
      <c r="BB1601">
        <v>44</v>
      </c>
      <c r="BD1601">
        <v>1</v>
      </c>
      <c r="BF1601" t="s">
        <v>1748</v>
      </c>
      <c r="BG1601" s="1">
        <v>44353.969027777777</v>
      </c>
      <c r="BH1601" s="1">
        <v>44353.970636574071</v>
      </c>
      <c r="BI1601" s="1">
        <v>44353.971331018518</v>
      </c>
      <c r="BJ1601" t="s">
        <v>197</v>
      </c>
      <c r="BK1601" t="s">
        <v>198</v>
      </c>
      <c r="BL1601" t="s">
        <v>87</v>
      </c>
    </row>
    <row r="1602" spans="1:64" x14ac:dyDescent="0.3">
      <c r="A1602" t="str">
        <f>"200917C0400"</f>
        <v>200917C0400</v>
      </c>
      <c r="B1602" t="str">
        <f>"200917C04003"</f>
        <v>200917C04003</v>
      </c>
      <c r="C1602" t="str">
        <f t="shared" si="91"/>
        <v>20</v>
      </c>
      <c r="D1602" t="s">
        <v>81</v>
      </c>
      <c r="E1602" t="str">
        <f t="shared" si="95"/>
        <v>154</v>
      </c>
      <c r="F1602" t="s">
        <v>1744</v>
      </c>
      <c r="G1602" t="str">
        <f>"0917"</f>
        <v>0917</v>
      </c>
      <c r="H1602" t="str">
        <f>"0004"</f>
        <v>0004</v>
      </c>
      <c r="I1602" t="s">
        <v>89</v>
      </c>
      <c r="J1602">
        <v>0</v>
      </c>
      <c r="K1602">
        <v>1</v>
      </c>
      <c r="L1602">
        <v>3</v>
      </c>
      <c r="M1602">
        <v>287</v>
      </c>
      <c r="N1602">
        <v>423</v>
      </c>
      <c r="O1602">
        <v>1</v>
      </c>
      <c r="P1602">
        <v>424</v>
      </c>
      <c r="Q1602">
        <v>6</v>
      </c>
      <c r="R1602">
        <v>31</v>
      </c>
      <c r="S1602">
        <v>82</v>
      </c>
      <c r="T1602">
        <v>67</v>
      </c>
      <c r="U1602">
        <v>65</v>
      </c>
      <c r="V1602">
        <v>3</v>
      </c>
      <c r="W1602">
        <v>2</v>
      </c>
      <c r="X1602">
        <v>52</v>
      </c>
      <c r="Y1602">
        <v>50</v>
      </c>
      <c r="Z1602">
        <v>6</v>
      </c>
      <c r="AA1602">
        <v>11</v>
      </c>
      <c r="AB1602">
        <v>46</v>
      </c>
      <c r="AW1602">
        <v>0</v>
      </c>
      <c r="AX1602">
        <v>3</v>
      </c>
      <c r="AY1602">
        <v>421</v>
      </c>
      <c r="AZ1602">
        <v>424</v>
      </c>
      <c r="BA1602">
        <v>667</v>
      </c>
      <c r="BB1602">
        <v>44</v>
      </c>
      <c r="BD1602">
        <v>1</v>
      </c>
      <c r="BF1602" t="s">
        <v>1749</v>
      </c>
      <c r="BG1602" s="1">
        <v>44353.996770833335</v>
      </c>
      <c r="BH1602" s="1">
        <v>44354.001701388886</v>
      </c>
      <c r="BI1602" s="1">
        <v>44354.002418981479</v>
      </c>
      <c r="BJ1602" t="s">
        <v>197</v>
      </c>
      <c r="BK1602" t="s">
        <v>198</v>
      </c>
      <c r="BL1602" t="s">
        <v>87</v>
      </c>
    </row>
    <row r="1603" spans="1:64" x14ac:dyDescent="0.3">
      <c r="A1603" t="str">
        <f>"200918B0000"</f>
        <v>200918B0000</v>
      </c>
      <c r="B1603" t="str">
        <f>"200918B00003"</f>
        <v>200918B00003</v>
      </c>
      <c r="C1603" t="str">
        <f t="shared" si="91"/>
        <v>20</v>
      </c>
      <c r="D1603" t="s">
        <v>81</v>
      </c>
      <c r="E1603" t="str">
        <f t="shared" si="95"/>
        <v>154</v>
      </c>
      <c r="F1603" t="s">
        <v>1744</v>
      </c>
      <c r="G1603" t="str">
        <f>"0918"</f>
        <v>0918</v>
      </c>
      <c r="H1603" t="str">
        <f>"0000"</f>
        <v>0000</v>
      </c>
      <c r="I1603" t="s">
        <v>83</v>
      </c>
      <c r="J1603">
        <v>0</v>
      </c>
      <c r="K1603">
        <v>1</v>
      </c>
      <c r="L1603">
        <v>3</v>
      </c>
      <c r="M1603" t="s">
        <v>131</v>
      </c>
      <c r="N1603">
        <v>347</v>
      </c>
      <c r="O1603">
        <v>5</v>
      </c>
      <c r="P1603">
        <v>347</v>
      </c>
      <c r="Q1603">
        <v>6</v>
      </c>
      <c r="R1603">
        <v>37</v>
      </c>
      <c r="S1603">
        <v>41</v>
      </c>
      <c r="T1603">
        <v>27</v>
      </c>
      <c r="U1603">
        <v>60</v>
      </c>
      <c r="V1603">
        <v>3</v>
      </c>
      <c r="W1603">
        <v>17</v>
      </c>
      <c r="X1603">
        <v>79</v>
      </c>
      <c r="Y1603">
        <v>12</v>
      </c>
      <c r="Z1603">
        <v>13</v>
      </c>
      <c r="AA1603">
        <v>17</v>
      </c>
      <c r="AB1603">
        <v>30</v>
      </c>
      <c r="AW1603">
        <v>0</v>
      </c>
      <c r="AX1603">
        <v>5</v>
      </c>
      <c r="AY1603">
        <v>347</v>
      </c>
      <c r="AZ1603">
        <v>347</v>
      </c>
      <c r="BA1603">
        <v>635</v>
      </c>
      <c r="BB1603">
        <v>44</v>
      </c>
      <c r="BD1603">
        <v>1</v>
      </c>
      <c r="BF1603" t="s">
        <v>1750</v>
      </c>
      <c r="BG1603" s="1">
        <v>44353.993750000001</v>
      </c>
      <c r="BH1603" s="1">
        <v>44354.028460648151</v>
      </c>
      <c r="BI1603" s="1">
        <v>44354.029027777775</v>
      </c>
      <c r="BJ1603" t="s">
        <v>85</v>
      </c>
      <c r="BK1603" t="s">
        <v>86</v>
      </c>
      <c r="BL1603" t="s">
        <v>87</v>
      </c>
    </row>
    <row r="1604" spans="1:64" x14ac:dyDescent="0.3">
      <c r="A1604" t="str">
        <f>"200918C0100"</f>
        <v>200918C0100</v>
      </c>
      <c r="B1604" t="str">
        <f>"200918C01003"</f>
        <v>200918C01003</v>
      </c>
      <c r="C1604" t="str">
        <f t="shared" si="91"/>
        <v>20</v>
      </c>
      <c r="D1604" t="s">
        <v>81</v>
      </c>
      <c r="E1604" t="str">
        <f t="shared" si="95"/>
        <v>154</v>
      </c>
      <c r="F1604" t="s">
        <v>1744</v>
      </c>
      <c r="G1604" t="str">
        <f>"0918"</f>
        <v>0918</v>
      </c>
      <c r="H1604" t="str">
        <f>"0001"</f>
        <v>0001</v>
      </c>
      <c r="I1604" t="s">
        <v>89</v>
      </c>
      <c r="J1604">
        <v>0</v>
      </c>
      <c r="K1604">
        <v>1</v>
      </c>
      <c r="L1604">
        <v>3</v>
      </c>
      <c r="M1604">
        <v>326</v>
      </c>
      <c r="N1604">
        <v>353</v>
      </c>
      <c r="O1604">
        <v>5</v>
      </c>
      <c r="P1604">
        <v>353</v>
      </c>
      <c r="Q1604">
        <v>15</v>
      </c>
      <c r="R1604">
        <v>38</v>
      </c>
      <c r="S1604">
        <v>39</v>
      </c>
      <c r="T1604">
        <v>23</v>
      </c>
      <c r="U1604">
        <v>35</v>
      </c>
      <c r="V1604">
        <v>6</v>
      </c>
      <c r="W1604">
        <v>12</v>
      </c>
      <c r="X1604">
        <v>112</v>
      </c>
      <c r="Y1604">
        <v>17</v>
      </c>
      <c r="Z1604">
        <v>8</v>
      </c>
      <c r="AA1604">
        <v>23</v>
      </c>
      <c r="AB1604">
        <v>22</v>
      </c>
      <c r="AW1604">
        <v>0</v>
      </c>
      <c r="AX1604">
        <v>3</v>
      </c>
      <c r="AY1604">
        <v>353</v>
      </c>
      <c r="AZ1604">
        <v>353</v>
      </c>
      <c r="BA1604">
        <v>635</v>
      </c>
      <c r="BB1604">
        <v>44</v>
      </c>
      <c r="BD1604">
        <v>1</v>
      </c>
      <c r="BF1604" t="s">
        <v>1751</v>
      </c>
      <c r="BG1604" s="1">
        <v>44354.006944444445</v>
      </c>
      <c r="BH1604" s="1">
        <v>44354.033634259256</v>
      </c>
      <c r="BI1604" s="1">
        <v>44354.034189814818</v>
      </c>
      <c r="BJ1604" t="s">
        <v>85</v>
      </c>
      <c r="BK1604" t="s">
        <v>86</v>
      </c>
      <c r="BL1604" t="s">
        <v>87</v>
      </c>
    </row>
    <row r="1605" spans="1:64" x14ac:dyDescent="0.3">
      <c r="A1605" t="str">
        <f>"200918C0200"</f>
        <v>200918C0200</v>
      </c>
      <c r="B1605" t="str">
        <f>"200918C02003"</f>
        <v>200918C02003</v>
      </c>
      <c r="C1605" t="str">
        <f t="shared" si="91"/>
        <v>20</v>
      </c>
      <c r="D1605" t="s">
        <v>81</v>
      </c>
      <c r="E1605" t="str">
        <f t="shared" si="95"/>
        <v>154</v>
      </c>
      <c r="F1605" t="s">
        <v>1744</v>
      </c>
      <c r="G1605" t="str">
        <f>"0918"</f>
        <v>0918</v>
      </c>
      <c r="H1605" t="str">
        <f>"0002"</f>
        <v>0002</v>
      </c>
      <c r="I1605" t="s">
        <v>89</v>
      </c>
      <c r="J1605">
        <v>0</v>
      </c>
      <c r="K1605">
        <v>1</v>
      </c>
      <c r="L1605">
        <v>3</v>
      </c>
      <c r="M1605">
        <v>311</v>
      </c>
      <c r="N1605">
        <v>368</v>
      </c>
      <c r="O1605">
        <v>8</v>
      </c>
      <c r="P1605">
        <v>367</v>
      </c>
      <c r="Q1605">
        <v>6</v>
      </c>
      <c r="R1605">
        <v>32</v>
      </c>
      <c r="S1605">
        <v>56</v>
      </c>
      <c r="T1605">
        <v>50</v>
      </c>
      <c r="U1605">
        <v>53</v>
      </c>
      <c r="V1605">
        <v>1</v>
      </c>
      <c r="W1605">
        <v>9</v>
      </c>
      <c r="X1605">
        <v>91</v>
      </c>
      <c r="Y1605">
        <v>8</v>
      </c>
      <c r="Z1605">
        <v>13</v>
      </c>
      <c r="AA1605">
        <v>15</v>
      </c>
      <c r="AB1605">
        <v>26</v>
      </c>
      <c r="AW1605">
        <v>0</v>
      </c>
      <c r="AX1605">
        <v>7</v>
      </c>
      <c r="AY1605">
        <v>367</v>
      </c>
      <c r="AZ1605">
        <v>367</v>
      </c>
      <c r="BA1605">
        <v>635</v>
      </c>
      <c r="BB1605">
        <v>44</v>
      </c>
      <c r="BD1605">
        <v>1</v>
      </c>
      <c r="BF1605" t="s">
        <v>1752</v>
      </c>
      <c r="BG1605" s="1">
        <v>44354.00277777778</v>
      </c>
      <c r="BH1605" s="1">
        <v>44354.029814814814</v>
      </c>
      <c r="BI1605" s="1">
        <v>44354.030300925922</v>
      </c>
      <c r="BJ1605" t="s">
        <v>85</v>
      </c>
      <c r="BK1605" t="s">
        <v>86</v>
      </c>
      <c r="BL1605" t="s">
        <v>87</v>
      </c>
    </row>
    <row r="1606" spans="1:64" x14ac:dyDescent="0.3">
      <c r="A1606" t="str">
        <f>"200918C0300"</f>
        <v>200918C0300</v>
      </c>
      <c r="B1606" t="str">
        <f>"200918C03003"</f>
        <v>200918C03003</v>
      </c>
      <c r="C1606" t="str">
        <f t="shared" si="91"/>
        <v>20</v>
      </c>
      <c r="D1606" t="s">
        <v>81</v>
      </c>
      <c r="E1606" t="str">
        <f t="shared" si="95"/>
        <v>154</v>
      </c>
      <c r="F1606" t="s">
        <v>1744</v>
      </c>
      <c r="G1606" t="str">
        <f>"0918"</f>
        <v>0918</v>
      </c>
      <c r="H1606" t="str">
        <f>"0003"</f>
        <v>0003</v>
      </c>
      <c r="I1606" t="s">
        <v>89</v>
      </c>
      <c r="J1606">
        <v>0</v>
      </c>
      <c r="K1606">
        <v>1</v>
      </c>
      <c r="L1606">
        <v>3</v>
      </c>
      <c r="M1606">
        <v>311</v>
      </c>
      <c r="N1606">
        <v>368</v>
      </c>
      <c r="O1606">
        <v>5</v>
      </c>
      <c r="P1606">
        <v>369</v>
      </c>
      <c r="Q1606">
        <v>8</v>
      </c>
      <c r="R1606">
        <v>30</v>
      </c>
      <c r="S1606">
        <v>62</v>
      </c>
      <c r="T1606">
        <v>48</v>
      </c>
      <c r="U1606">
        <v>41</v>
      </c>
      <c r="V1606">
        <v>0</v>
      </c>
      <c r="W1606">
        <v>11</v>
      </c>
      <c r="X1606">
        <v>83</v>
      </c>
      <c r="Y1606">
        <v>21</v>
      </c>
      <c r="Z1606">
        <v>20</v>
      </c>
      <c r="AA1606">
        <v>14</v>
      </c>
      <c r="AB1606">
        <v>22</v>
      </c>
      <c r="AW1606">
        <v>0</v>
      </c>
      <c r="AX1606">
        <v>9</v>
      </c>
      <c r="AY1606">
        <v>369</v>
      </c>
      <c r="AZ1606">
        <v>369</v>
      </c>
      <c r="BA1606">
        <v>635</v>
      </c>
      <c r="BB1606">
        <v>44</v>
      </c>
      <c r="BD1606">
        <v>1</v>
      </c>
      <c r="BF1606" t="s">
        <v>1753</v>
      </c>
      <c r="BG1606" s="1">
        <v>44353.996527777781</v>
      </c>
      <c r="BH1606" s="1">
        <v>44354.029976851853</v>
      </c>
      <c r="BI1606" s="1">
        <v>44354.030428240738</v>
      </c>
      <c r="BJ1606" t="s">
        <v>85</v>
      </c>
      <c r="BK1606" t="s">
        <v>86</v>
      </c>
      <c r="BL1606" t="s">
        <v>87</v>
      </c>
    </row>
    <row r="1607" spans="1:64" x14ac:dyDescent="0.3">
      <c r="A1607" t="str">
        <f>"200918C0400"</f>
        <v>200918C0400</v>
      </c>
      <c r="B1607" t="str">
        <f>"200918C04003"</f>
        <v>200918C04003</v>
      </c>
      <c r="C1607" t="str">
        <f t="shared" ref="C1607:C1670" si="96">"20"</f>
        <v>20</v>
      </c>
      <c r="D1607" t="s">
        <v>81</v>
      </c>
      <c r="E1607" t="str">
        <f t="shared" si="95"/>
        <v>154</v>
      </c>
      <c r="F1607" t="s">
        <v>1744</v>
      </c>
      <c r="G1607" t="str">
        <f>"0918"</f>
        <v>0918</v>
      </c>
      <c r="H1607" t="str">
        <f>"0004"</f>
        <v>0004</v>
      </c>
      <c r="I1607" t="s">
        <v>89</v>
      </c>
      <c r="J1607">
        <v>0</v>
      </c>
      <c r="K1607">
        <v>1</v>
      </c>
      <c r="L1607">
        <v>3</v>
      </c>
      <c r="M1607">
        <v>314</v>
      </c>
      <c r="N1607">
        <v>364</v>
      </c>
      <c r="O1607">
        <v>4</v>
      </c>
      <c r="P1607">
        <v>364</v>
      </c>
      <c r="Q1607">
        <v>10</v>
      </c>
      <c r="R1607">
        <v>44</v>
      </c>
      <c r="S1607">
        <v>55</v>
      </c>
      <c r="T1607">
        <v>18</v>
      </c>
      <c r="U1607">
        <v>37</v>
      </c>
      <c r="V1607">
        <v>3</v>
      </c>
      <c r="W1607">
        <v>11</v>
      </c>
      <c r="X1607">
        <v>103</v>
      </c>
      <c r="Y1607">
        <v>11</v>
      </c>
      <c r="Z1607">
        <v>5</v>
      </c>
      <c r="AA1607">
        <v>22</v>
      </c>
      <c r="AB1607">
        <v>34</v>
      </c>
      <c r="AW1607">
        <v>3</v>
      </c>
      <c r="AX1607">
        <v>8</v>
      </c>
      <c r="AY1607">
        <v>364</v>
      </c>
      <c r="AZ1607">
        <v>364</v>
      </c>
      <c r="BA1607">
        <v>634</v>
      </c>
      <c r="BB1607">
        <v>44</v>
      </c>
      <c r="BD1607">
        <v>1</v>
      </c>
      <c r="BF1607" t="s">
        <v>1754</v>
      </c>
      <c r="BG1607" s="1">
        <v>44353.480555555558</v>
      </c>
      <c r="BH1607" s="1">
        <v>44354.005937499998</v>
      </c>
      <c r="BI1607" s="1">
        <v>44354.006435185183</v>
      </c>
      <c r="BJ1607" t="s">
        <v>85</v>
      </c>
      <c r="BK1607" t="s">
        <v>86</v>
      </c>
      <c r="BL1607" t="s">
        <v>87</v>
      </c>
    </row>
    <row r="1608" spans="1:64" x14ac:dyDescent="0.3">
      <c r="A1608" t="str">
        <f>"202482B0000"</f>
        <v>202482B0000</v>
      </c>
      <c r="B1608" t="str">
        <f>"202482B00003"</f>
        <v>202482B00003</v>
      </c>
      <c r="C1608" t="str">
        <f t="shared" si="96"/>
        <v>20</v>
      </c>
      <c r="D1608" t="s">
        <v>81</v>
      </c>
      <c r="E1608" t="str">
        <f t="shared" si="95"/>
        <v>154</v>
      </c>
      <c r="F1608" t="s">
        <v>1744</v>
      </c>
      <c r="G1608" t="str">
        <f>"2482"</f>
        <v>2482</v>
      </c>
      <c r="H1608" t="str">
        <f>"0000"</f>
        <v>0000</v>
      </c>
      <c r="I1608" t="s">
        <v>83</v>
      </c>
      <c r="J1608">
        <v>0</v>
      </c>
      <c r="K1608">
        <v>1</v>
      </c>
      <c r="L1608">
        <v>3</v>
      </c>
      <c r="M1608">
        <v>318</v>
      </c>
      <c r="N1608">
        <v>454</v>
      </c>
      <c r="O1608">
        <v>9</v>
      </c>
      <c r="P1608">
        <v>454</v>
      </c>
      <c r="Q1608">
        <v>13</v>
      </c>
      <c r="R1608">
        <v>34</v>
      </c>
      <c r="S1608">
        <v>46</v>
      </c>
      <c r="T1608">
        <v>93</v>
      </c>
      <c r="U1608">
        <v>107</v>
      </c>
      <c r="V1608">
        <v>4</v>
      </c>
      <c r="W1608">
        <v>7</v>
      </c>
      <c r="X1608">
        <v>67</v>
      </c>
      <c r="Y1608">
        <v>10</v>
      </c>
      <c r="Z1608">
        <v>15</v>
      </c>
      <c r="AA1608">
        <v>24</v>
      </c>
      <c r="AB1608">
        <v>28</v>
      </c>
      <c r="AW1608">
        <v>0</v>
      </c>
      <c r="AX1608">
        <v>6</v>
      </c>
      <c r="AY1608">
        <v>454</v>
      </c>
      <c r="AZ1608">
        <v>454</v>
      </c>
      <c r="BA1608">
        <v>728</v>
      </c>
      <c r="BB1608">
        <v>44</v>
      </c>
      <c r="BD1608">
        <v>1</v>
      </c>
      <c r="BF1608" t="s">
        <v>1755</v>
      </c>
      <c r="BG1608" s="1">
        <v>44354.035416666666</v>
      </c>
      <c r="BH1608" s="1">
        <v>44354.044641203705</v>
      </c>
      <c r="BI1608" s="1">
        <v>44354.045648148145</v>
      </c>
      <c r="BJ1608" t="s">
        <v>85</v>
      </c>
      <c r="BK1608" t="s">
        <v>86</v>
      </c>
      <c r="BL1608" t="s">
        <v>87</v>
      </c>
    </row>
    <row r="1609" spans="1:64" x14ac:dyDescent="0.3">
      <c r="A1609" t="str">
        <f>"202482C0100"</f>
        <v>202482C0100</v>
      </c>
      <c r="B1609" t="str">
        <f>"202482C01003"</f>
        <v>202482C01003</v>
      </c>
      <c r="C1609" t="str">
        <f t="shared" si="96"/>
        <v>20</v>
      </c>
      <c r="D1609" t="s">
        <v>81</v>
      </c>
      <c r="E1609" t="str">
        <f t="shared" si="95"/>
        <v>154</v>
      </c>
      <c r="F1609" t="s">
        <v>1744</v>
      </c>
      <c r="G1609" t="str">
        <f>"2482"</f>
        <v>2482</v>
      </c>
      <c r="H1609" t="str">
        <f>"0001"</f>
        <v>0001</v>
      </c>
      <c r="I1609" t="s">
        <v>89</v>
      </c>
      <c r="J1609">
        <v>0</v>
      </c>
      <c r="K1609">
        <v>1</v>
      </c>
      <c r="L1609">
        <v>3</v>
      </c>
      <c r="M1609">
        <v>357</v>
      </c>
      <c r="N1609">
        <v>415</v>
      </c>
      <c r="O1609">
        <v>6</v>
      </c>
      <c r="P1609">
        <v>414</v>
      </c>
      <c r="Q1609">
        <v>6</v>
      </c>
      <c r="R1609">
        <v>33</v>
      </c>
      <c r="S1609">
        <v>61</v>
      </c>
      <c r="T1609">
        <v>79</v>
      </c>
      <c r="U1609">
        <v>98</v>
      </c>
      <c r="V1609">
        <v>2</v>
      </c>
      <c r="W1609">
        <v>9</v>
      </c>
      <c r="X1609">
        <v>60</v>
      </c>
      <c r="Y1609">
        <v>4</v>
      </c>
      <c r="Z1609">
        <v>8</v>
      </c>
      <c r="AA1609">
        <v>12</v>
      </c>
      <c r="AB1609">
        <v>36</v>
      </c>
      <c r="AW1609">
        <v>0</v>
      </c>
      <c r="AX1609">
        <v>6</v>
      </c>
      <c r="AY1609">
        <v>414</v>
      </c>
      <c r="AZ1609">
        <v>414</v>
      </c>
      <c r="BA1609">
        <v>728</v>
      </c>
      <c r="BB1609">
        <v>44</v>
      </c>
      <c r="BD1609">
        <v>1</v>
      </c>
      <c r="BF1609" t="s">
        <v>1756</v>
      </c>
      <c r="BG1609" s="1">
        <v>44353.950810185182</v>
      </c>
      <c r="BH1609" s="1">
        <v>44353.954791666663</v>
      </c>
      <c r="BI1609" s="1">
        <v>44353.955787037034</v>
      </c>
      <c r="BJ1609" t="s">
        <v>197</v>
      </c>
      <c r="BK1609" t="s">
        <v>198</v>
      </c>
      <c r="BL1609" t="s">
        <v>87</v>
      </c>
    </row>
    <row r="1610" spans="1:64" x14ac:dyDescent="0.3">
      <c r="A1610" t="str">
        <f>"202482C0200"</f>
        <v>202482C0200</v>
      </c>
      <c r="B1610" t="str">
        <f>"202482C02003"</f>
        <v>202482C02003</v>
      </c>
      <c r="C1610" t="str">
        <f t="shared" si="96"/>
        <v>20</v>
      </c>
      <c r="D1610" t="s">
        <v>81</v>
      </c>
      <c r="E1610" t="str">
        <f t="shared" si="95"/>
        <v>154</v>
      </c>
      <c r="F1610" t="s">
        <v>1744</v>
      </c>
      <c r="G1610" t="str">
        <f>"2482"</f>
        <v>2482</v>
      </c>
      <c r="H1610" t="str">
        <f>"0002"</f>
        <v>0002</v>
      </c>
      <c r="I1610" t="s">
        <v>89</v>
      </c>
      <c r="J1610">
        <v>0</v>
      </c>
      <c r="K1610">
        <v>1</v>
      </c>
      <c r="L1610">
        <v>3</v>
      </c>
      <c r="M1610">
        <v>326</v>
      </c>
      <c r="N1610">
        <v>446</v>
      </c>
      <c r="O1610">
        <v>5</v>
      </c>
      <c r="P1610">
        <v>446</v>
      </c>
      <c r="Q1610">
        <v>12</v>
      </c>
      <c r="R1610">
        <v>31</v>
      </c>
      <c r="S1610">
        <v>55</v>
      </c>
      <c r="T1610">
        <v>100</v>
      </c>
      <c r="U1610">
        <v>112</v>
      </c>
      <c r="V1610">
        <v>2</v>
      </c>
      <c r="W1610">
        <v>10</v>
      </c>
      <c r="X1610">
        <v>61</v>
      </c>
      <c r="Y1610">
        <v>3</v>
      </c>
      <c r="Z1610">
        <v>10</v>
      </c>
      <c r="AA1610">
        <v>14</v>
      </c>
      <c r="AB1610">
        <v>32</v>
      </c>
      <c r="AW1610">
        <v>0</v>
      </c>
      <c r="AX1610">
        <v>4</v>
      </c>
      <c r="AY1610">
        <v>446</v>
      </c>
      <c r="AZ1610">
        <v>446</v>
      </c>
      <c r="BA1610">
        <v>727</v>
      </c>
      <c r="BB1610">
        <v>44</v>
      </c>
      <c r="BD1610">
        <v>1</v>
      </c>
      <c r="BF1610" t="s">
        <v>1757</v>
      </c>
      <c r="BG1610" s="1">
        <v>44354.030555555553</v>
      </c>
      <c r="BH1610" s="1">
        <v>44354.041134259256</v>
      </c>
      <c r="BI1610" s="1">
        <v>44354.042083333334</v>
      </c>
      <c r="BJ1610" t="s">
        <v>85</v>
      </c>
      <c r="BK1610" t="s">
        <v>86</v>
      </c>
      <c r="BL1610" t="s">
        <v>87</v>
      </c>
    </row>
    <row r="1611" spans="1:64" x14ac:dyDescent="0.3">
      <c r="A1611" t="str">
        <f>"202483B0000"</f>
        <v>202483B0000</v>
      </c>
      <c r="B1611" t="str">
        <f>"202483B00003"</f>
        <v>202483B00003</v>
      </c>
      <c r="C1611" t="str">
        <f t="shared" si="96"/>
        <v>20</v>
      </c>
      <c r="D1611" t="s">
        <v>81</v>
      </c>
      <c r="E1611" t="str">
        <f t="shared" si="95"/>
        <v>154</v>
      </c>
      <c r="F1611" t="s">
        <v>1744</v>
      </c>
      <c r="G1611" t="str">
        <f>"2483"</f>
        <v>2483</v>
      </c>
      <c r="H1611" t="str">
        <f>"0000"</f>
        <v>0000</v>
      </c>
      <c r="I1611" t="s">
        <v>83</v>
      </c>
      <c r="J1611">
        <v>0</v>
      </c>
      <c r="K1611">
        <v>1</v>
      </c>
      <c r="L1611">
        <v>3</v>
      </c>
      <c r="M1611">
        <v>618</v>
      </c>
      <c r="N1611">
        <v>325</v>
      </c>
      <c r="O1611">
        <v>9</v>
      </c>
      <c r="P1611">
        <v>325</v>
      </c>
      <c r="Q1611">
        <v>2</v>
      </c>
      <c r="R1611">
        <v>15</v>
      </c>
      <c r="S1611">
        <v>28</v>
      </c>
      <c r="T1611">
        <v>67</v>
      </c>
      <c r="U1611">
        <v>66</v>
      </c>
      <c r="V1611">
        <v>4</v>
      </c>
      <c r="W1611">
        <v>13</v>
      </c>
      <c r="X1611">
        <v>82</v>
      </c>
      <c r="Y1611">
        <v>13</v>
      </c>
      <c r="Z1611">
        <v>8</v>
      </c>
      <c r="AA1611">
        <v>4</v>
      </c>
      <c r="AB1611">
        <v>18</v>
      </c>
      <c r="AW1611">
        <v>0</v>
      </c>
      <c r="AX1611">
        <v>5</v>
      </c>
      <c r="AY1611">
        <v>325</v>
      </c>
      <c r="AZ1611">
        <v>325</v>
      </c>
      <c r="BA1611">
        <v>590</v>
      </c>
      <c r="BB1611">
        <v>44</v>
      </c>
      <c r="BD1611">
        <v>1</v>
      </c>
      <c r="BF1611" t="s">
        <v>1758</v>
      </c>
      <c r="BG1611" s="1">
        <v>44354.011111111111</v>
      </c>
      <c r="BH1611" s="1">
        <v>44354.035763888889</v>
      </c>
      <c r="BI1611" s="1">
        <v>44354.037083333336</v>
      </c>
      <c r="BJ1611" t="s">
        <v>85</v>
      </c>
      <c r="BK1611" t="s">
        <v>86</v>
      </c>
      <c r="BL1611" t="s">
        <v>87</v>
      </c>
    </row>
    <row r="1612" spans="1:64" x14ac:dyDescent="0.3">
      <c r="A1612" t="str">
        <f>"202483C0100"</f>
        <v>202483C0100</v>
      </c>
      <c r="B1612" t="str">
        <f>"202483C01003"</f>
        <v>202483C01003</v>
      </c>
      <c r="C1612" t="str">
        <f t="shared" si="96"/>
        <v>20</v>
      </c>
      <c r="D1612" t="s">
        <v>81</v>
      </c>
      <c r="E1612" t="str">
        <f t="shared" si="95"/>
        <v>154</v>
      </c>
      <c r="F1612" t="s">
        <v>1744</v>
      </c>
      <c r="G1612" t="str">
        <f>"2483"</f>
        <v>2483</v>
      </c>
      <c r="H1612" t="str">
        <f>"0001"</f>
        <v>0001</v>
      </c>
      <c r="I1612" t="s">
        <v>89</v>
      </c>
      <c r="J1612">
        <v>0</v>
      </c>
      <c r="K1612">
        <v>1</v>
      </c>
      <c r="L1612">
        <v>3</v>
      </c>
      <c r="M1612">
        <v>330</v>
      </c>
      <c r="N1612">
        <v>330</v>
      </c>
      <c r="O1612">
        <v>0</v>
      </c>
      <c r="P1612">
        <v>303</v>
      </c>
      <c r="Q1612">
        <v>4</v>
      </c>
      <c r="R1612">
        <v>17</v>
      </c>
      <c r="S1612">
        <v>29</v>
      </c>
      <c r="T1612">
        <v>72</v>
      </c>
      <c r="U1612">
        <v>59</v>
      </c>
      <c r="V1612">
        <v>3</v>
      </c>
      <c r="W1612">
        <v>5</v>
      </c>
      <c r="X1612">
        <v>56</v>
      </c>
      <c r="Y1612">
        <v>12</v>
      </c>
      <c r="Z1612">
        <v>9</v>
      </c>
      <c r="AA1612">
        <v>9</v>
      </c>
      <c r="AB1612">
        <v>22</v>
      </c>
      <c r="AW1612">
        <v>0</v>
      </c>
      <c r="AX1612">
        <v>6</v>
      </c>
      <c r="AY1612">
        <v>303</v>
      </c>
      <c r="AZ1612">
        <v>303</v>
      </c>
      <c r="BA1612">
        <v>589</v>
      </c>
      <c r="BB1612">
        <v>44</v>
      </c>
      <c r="BD1612">
        <v>1</v>
      </c>
      <c r="BF1612" t="s">
        <v>1759</v>
      </c>
      <c r="BG1612" s="1">
        <v>44354.015972222223</v>
      </c>
      <c r="BH1612" s="1">
        <v>44354.037847222222</v>
      </c>
      <c r="BI1612" s="1">
        <v>44354.038391203707</v>
      </c>
      <c r="BJ1612" t="s">
        <v>85</v>
      </c>
      <c r="BK1612" t="s">
        <v>86</v>
      </c>
      <c r="BL1612" t="s">
        <v>87</v>
      </c>
    </row>
    <row r="1613" spans="1:64" x14ac:dyDescent="0.3">
      <c r="A1613" t="str">
        <f>"202484B0000"</f>
        <v>202484B0000</v>
      </c>
      <c r="B1613" t="str">
        <f>"202484B00003"</f>
        <v>202484B00003</v>
      </c>
      <c r="C1613" t="str">
        <f t="shared" si="96"/>
        <v>20</v>
      </c>
      <c r="D1613" t="s">
        <v>81</v>
      </c>
      <c r="E1613" t="str">
        <f t="shared" si="95"/>
        <v>154</v>
      </c>
      <c r="F1613" t="s">
        <v>1744</v>
      </c>
      <c r="G1613" t="str">
        <f>"2484"</f>
        <v>2484</v>
      </c>
      <c r="H1613" t="str">
        <f>"0000"</f>
        <v>0000</v>
      </c>
      <c r="I1613" t="s">
        <v>83</v>
      </c>
      <c r="J1613">
        <v>0</v>
      </c>
      <c r="K1613">
        <v>1</v>
      </c>
      <c r="L1613">
        <v>3</v>
      </c>
      <c r="M1613">
        <v>300</v>
      </c>
      <c r="N1613">
        <v>300</v>
      </c>
      <c r="O1613">
        <v>12</v>
      </c>
      <c r="P1613">
        <v>300</v>
      </c>
      <c r="Q1613">
        <v>8</v>
      </c>
      <c r="R1613">
        <v>24</v>
      </c>
      <c r="S1613">
        <v>21</v>
      </c>
      <c r="T1613">
        <v>41</v>
      </c>
      <c r="U1613">
        <v>49</v>
      </c>
      <c r="V1613">
        <v>1</v>
      </c>
      <c r="W1613">
        <v>1</v>
      </c>
      <c r="X1613">
        <v>74</v>
      </c>
      <c r="Y1613">
        <v>4</v>
      </c>
      <c r="Z1613">
        <v>20</v>
      </c>
      <c r="AA1613">
        <v>24</v>
      </c>
      <c r="AB1613">
        <v>27</v>
      </c>
      <c r="AW1613">
        <v>0</v>
      </c>
      <c r="AX1613">
        <v>6</v>
      </c>
      <c r="AY1613">
        <v>300</v>
      </c>
      <c r="AZ1613">
        <v>300</v>
      </c>
      <c r="BA1613">
        <v>556</v>
      </c>
      <c r="BB1613">
        <v>44</v>
      </c>
      <c r="BD1613">
        <v>1</v>
      </c>
      <c r="BF1613" t="s">
        <v>1760</v>
      </c>
      <c r="BG1613" s="1">
        <v>44354.036111111112</v>
      </c>
      <c r="BH1613" s="1">
        <v>44354.045254629629</v>
      </c>
      <c r="BI1613" s="1">
        <v>44354.04582175926</v>
      </c>
      <c r="BJ1613" t="s">
        <v>85</v>
      </c>
      <c r="BK1613" t="s">
        <v>86</v>
      </c>
      <c r="BL1613" t="s">
        <v>87</v>
      </c>
    </row>
    <row r="1614" spans="1:64" x14ac:dyDescent="0.3">
      <c r="A1614" t="str">
        <f>"202484C0100"</f>
        <v>202484C0100</v>
      </c>
      <c r="B1614" t="str">
        <f>"202484C01003"</f>
        <v>202484C01003</v>
      </c>
      <c r="C1614" t="str">
        <f t="shared" si="96"/>
        <v>20</v>
      </c>
      <c r="D1614" t="s">
        <v>81</v>
      </c>
      <c r="E1614" t="str">
        <f t="shared" si="95"/>
        <v>154</v>
      </c>
      <c r="F1614" t="s">
        <v>1744</v>
      </c>
      <c r="G1614" t="str">
        <f>"2484"</f>
        <v>2484</v>
      </c>
      <c r="H1614" t="str">
        <f>"0001"</f>
        <v>0001</v>
      </c>
      <c r="I1614" t="s">
        <v>89</v>
      </c>
      <c r="J1614">
        <v>0</v>
      </c>
      <c r="K1614">
        <v>1</v>
      </c>
      <c r="L1614">
        <v>3</v>
      </c>
      <c r="M1614" t="s">
        <v>92</v>
      </c>
      <c r="N1614" t="s">
        <v>92</v>
      </c>
      <c r="O1614" t="s">
        <v>92</v>
      </c>
      <c r="P1614">
        <v>293</v>
      </c>
      <c r="Q1614">
        <v>4</v>
      </c>
      <c r="R1614">
        <v>26</v>
      </c>
      <c r="S1614">
        <v>23</v>
      </c>
      <c r="T1614">
        <v>51</v>
      </c>
      <c r="U1614">
        <v>31</v>
      </c>
      <c r="V1614">
        <v>2</v>
      </c>
      <c r="W1614">
        <v>6</v>
      </c>
      <c r="X1614">
        <v>72</v>
      </c>
      <c r="Y1614">
        <v>9</v>
      </c>
      <c r="Z1614">
        <v>13</v>
      </c>
      <c r="AA1614">
        <v>19</v>
      </c>
      <c r="AB1614">
        <v>32</v>
      </c>
      <c r="AW1614">
        <v>0</v>
      </c>
      <c r="AX1614">
        <v>5</v>
      </c>
      <c r="AY1614">
        <v>293</v>
      </c>
      <c r="AZ1614">
        <v>293</v>
      </c>
      <c r="BA1614">
        <v>556</v>
      </c>
      <c r="BB1614">
        <v>44</v>
      </c>
      <c r="BD1614">
        <v>1</v>
      </c>
      <c r="BF1614" t="s">
        <v>1761</v>
      </c>
      <c r="BG1614" s="1">
        <v>44354.039583333331</v>
      </c>
      <c r="BH1614" s="1">
        <v>44354.050104166665</v>
      </c>
      <c r="BI1614" s="1">
        <v>44354.050625000003</v>
      </c>
      <c r="BJ1614" t="s">
        <v>85</v>
      </c>
      <c r="BK1614" t="s">
        <v>86</v>
      </c>
      <c r="BL1614" t="s">
        <v>87</v>
      </c>
    </row>
    <row r="1615" spans="1:64" x14ac:dyDescent="0.3">
      <c r="A1615" t="str">
        <f>"202484C0200"</f>
        <v>202484C0200</v>
      </c>
      <c r="B1615" t="str">
        <f>"202484C02003"</f>
        <v>202484C02003</v>
      </c>
      <c r="C1615" t="str">
        <f t="shared" si="96"/>
        <v>20</v>
      </c>
      <c r="D1615" t="s">
        <v>81</v>
      </c>
      <c r="E1615" t="str">
        <f t="shared" si="95"/>
        <v>154</v>
      </c>
      <c r="F1615" t="s">
        <v>1744</v>
      </c>
      <c r="G1615" t="str">
        <f>"2484"</f>
        <v>2484</v>
      </c>
      <c r="H1615" t="str">
        <f>"0002"</f>
        <v>0002</v>
      </c>
      <c r="I1615" t="s">
        <v>89</v>
      </c>
      <c r="J1615">
        <v>0</v>
      </c>
      <c r="K1615">
        <v>1</v>
      </c>
      <c r="L1615">
        <v>3</v>
      </c>
      <c r="M1615">
        <v>306</v>
      </c>
      <c r="N1615">
        <v>293</v>
      </c>
      <c r="O1615">
        <v>15</v>
      </c>
      <c r="P1615">
        <v>293</v>
      </c>
      <c r="Q1615">
        <v>6</v>
      </c>
      <c r="R1615">
        <v>13</v>
      </c>
      <c r="S1615">
        <v>32</v>
      </c>
      <c r="T1615">
        <v>38</v>
      </c>
      <c r="U1615">
        <v>48</v>
      </c>
      <c r="V1615">
        <v>2</v>
      </c>
      <c r="W1615">
        <v>13</v>
      </c>
      <c r="X1615">
        <v>64</v>
      </c>
      <c r="Y1615">
        <v>6</v>
      </c>
      <c r="Z1615">
        <v>18</v>
      </c>
      <c r="AA1615">
        <v>27</v>
      </c>
      <c r="AB1615">
        <v>19</v>
      </c>
      <c r="AW1615">
        <v>0</v>
      </c>
      <c r="AX1615">
        <v>7</v>
      </c>
      <c r="AY1615">
        <v>293</v>
      </c>
      <c r="AZ1615">
        <v>293</v>
      </c>
      <c r="BA1615">
        <v>555</v>
      </c>
      <c r="BB1615">
        <v>44</v>
      </c>
      <c r="BD1615">
        <v>1</v>
      </c>
      <c r="BF1615" t="s">
        <v>1762</v>
      </c>
      <c r="BG1615" s="1">
        <v>44354.037499999999</v>
      </c>
      <c r="BH1615" s="1">
        <v>44354.047430555554</v>
      </c>
      <c r="BI1615" s="1">
        <v>44354.047812500001</v>
      </c>
      <c r="BJ1615" t="s">
        <v>85</v>
      </c>
      <c r="BK1615" t="s">
        <v>86</v>
      </c>
      <c r="BL1615" t="s">
        <v>87</v>
      </c>
    </row>
    <row r="1616" spans="1:64" x14ac:dyDescent="0.3">
      <c r="A1616" t="str">
        <f>"200924B0000"</f>
        <v>200924B0000</v>
      </c>
      <c r="B1616" t="str">
        <f>"200924B00003"</f>
        <v>200924B00003</v>
      </c>
      <c r="C1616" t="str">
        <f t="shared" si="96"/>
        <v>20</v>
      </c>
      <c r="D1616" t="s">
        <v>81</v>
      </c>
      <c r="E1616" t="str">
        <f>"157"</f>
        <v>157</v>
      </c>
      <c r="F1616" t="s">
        <v>1763</v>
      </c>
      <c r="G1616" t="str">
        <f>"0924"</f>
        <v>0924</v>
      </c>
      <c r="H1616" t="str">
        <f>"0000"</f>
        <v>0000</v>
      </c>
      <c r="I1616" t="s">
        <v>83</v>
      </c>
      <c r="J1616">
        <v>0</v>
      </c>
      <c r="K1616">
        <v>1</v>
      </c>
      <c r="L1616">
        <v>3</v>
      </c>
      <c r="M1616">
        <v>295</v>
      </c>
      <c r="N1616">
        <v>305</v>
      </c>
      <c r="O1616">
        <v>0</v>
      </c>
      <c r="P1616">
        <v>305</v>
      </c>
      <c r="Q1616">
        <v>4</v>
      </c>
      <c r="R1616">
        <v>149</v>
      </c>
      <c r="S1616">
        <v>3</v>
      </c>
      <c r="U1616">
        <v>1</v>
      </c>
      <c r="X1616">
        <v>138</v>
      </c>
      <c r="Z1616">
        <v>2</v>
      </c>
      <c r="AF1616">
        <v>0</v>
      </c>
      <c r="AG1616">
        <v>1</v>
      </c>
      <c r="AH1616">
        <v>0</v>
      </c>
      <c r="AI1616">
        <v>0</v>
      </c>
      <c r="AW1616">
        <v>0</v>
      </c>
      <c r="AX1616">
        <v>7</v>
      </c>
      <c r="AY1616">
        <v>305</v>
      </c>
      <c r="AZ1616">
        <v>305</v>
      </c>
      <c r="BA1616">
        <v>556</v>
      </c>
      <c r="BB1616">
        <v>44</v>
      </c>
      <c r="BD1616">
        <v>1</v>
      </c>
      <c r="BF1616" t="s">
        <v>1764</v>
      </c>
      <c r="BG1616" s="1">
        <v>44354.132638888892</v>
      </c>
      <c r="BH1616" s="1">
        <v>44354.13652777778</v>
      </c>
      <c r="BI1616" s="1">
        <v>44354.136736111112</v>
      </c>
      <c r="BJ1616" t="s">
        <v>85</v>
      </c>
      <c r="BK1616" t="s">
        <v>86</v>
      </c>
      <c r="BL1616" t="s">
        <v>87</v>
      </c>
    </row>
    <row r="1617" spans="1:64" x14ac:dyDescent="0.3">
      <c r="A1617" t="str">
        <f>"200925B0000"</f>
        <v>200925B0000</v>
      </c>
      <c r="B1617" t="str">
        <f>"200925B00003"</f>
        <v>200925B00003</v>
      </c>
      <c r="C1617" t="str">
        <f t="shared" si="96"/>
        <v>20</v>
      </c>
      <c r="D1617" t="s">
        <v>81</v>
      </c>
      <c r="E1617" t="str">
        <f>"157"</f>
        <v>157</v>
      </c>
      <c r="F1617" t="s">
        <v>1763</v>
      </c>
      <c r="G1617" t="str">
        <f>"0925"</f>
        <v>0925</v>
      </c>
      <c r="H1617" t="str">
        <f>"0000"</f>
        <v>0000</v>
      </c>
      <c r="I1617" t="s">
        <v>83</v>
      </c>
      <c r="J1617">
        <v>0</v>
      </c>
      <c r="K1617">
        <v>1</v>
      </c>
      <c r="L1617">
        <v>3</v>
      </c>
      <c r="BA1617">
        <v>625</v>
      </c>
      <c r="BB1617">
        <v>44</v>
      </c>
      <c r="BC1617" t="s">
        <v>161</v>
      </c>
      <c r="BD1617">
        <v>0</v>
      </c>
      <c r="BF1617" t="s">
        <v>1765</v>
      </c>
      <c r="BG1617" s="1">
        <v>44354.686805555553</v>
      </c>
      <c r="BH1617" s="1">
        <v>44354.689976851849</v>
      </c>
      <c r="BI1617" s="1">
        <v>44354.689976851849</v>
      </c>
      <c r="BJ1617" t="s">
        <v>85</v>
      </c>
      <c r="BK1617" t="s">
        <v>86</v>
      </c>
      <c r="BL1617" t="s">
        <v>87</v>
      </c>
    </row>
    <row r="1618" spans="1:64" x14ac:dyDescent="0.3">
      <c r="A1618" t="str">
        <f>"200943B0000"</f>
        <v>200943B0000</v>
      </c>
      <c r="B1618" t="str">
        <f>"200943B00003"</f>
        <v>200943B00003</v>
      </c>
      <c r="C1618" t="str">
        <f t="shared" si="96"/>
        <v>20</v>
      </c>
      <c r="D1618" t="s">
        <v>81</v>
      </c>
      <c r="E1618" t="str">
        <f t="shared" ref="E1618:E1631" si="97">"164"</f>
        <v>164</v>
      </c>
      <c r="F1618" t="s">
        <v>1766</v>
      </c>
      <c r="G1618" t="str">
        <f>"0943"</f>
        <v>0943</v>
      </c>
      <c r="H1618" t="str">
        <f>"0000"</f>
        <v>0000</v>
      </c>
      <c r="I1618" t="s">
        <v>83</v>
      </c>
      <c r="J1618">
        <v>0</v>
      </c>
      <c r="K1618">
        <v>1</v>
      </c>
      <c r="L1618">
        <v>3</v>
      </c>
      <c r="M1618">
        <v>213</v>
      </c>
      <c r="N1618" t="s">
        <v>92</v>
      </c>
      <c r="O1618" t="s">
        <v>92</v>
      </c>
      <c r="P1618" t="s">
        <v>92</v>
      </c>
      <c r="Q1618">
        <v>10</v>
      </c>
      <c r="R1618">
        <v>106</v>
      </c>
      <c r="S1618">
        <v>6</v>
      </c>
      <c r="T1618">
        <v>6</v>
      </c>
      <c r="U1618">
        <v>0</v>
      </c>
      <c r="W1618">
        <v>35</v>
      </c>
      <c r="X1618">
        <v>53</v>
      </c>
      <c r="Y1618">
        <v>113</v>
      </c>
      <c r="Z1618">
        <v>4</v>
      </c>
      <c r="AA1618">
        <v>100</v>
      </c>
      <c r="AB1618">
        <v>20</v>
      </c>
      <c r="AF1618">
        <v>6</v>
      </c>
      <c r="AG1618">
        <v>3</v>
      </c>
      <c r="AH1618">
        <v>0</v>
      </c>
      <c r="AI1618">
        <v>0</v>
      </c>
      <c r="AW1618">
        <v>0</v>
      </c>
      <c r="AX1618">
        <v>10</v>
      </c>
      <c r="AY1618">
        <v>503</v>
      </c>
      <c r="AZ1618">
        <v>472</v>
      </c>
      <c r="BA1618">
        <v>672</v>
      </c>
      <c r="BB1618">
        <v>44</v>
      </c>
      <c r="BD1618">
        <v>1</v>
      </c>
      <c r="BF1618" t="s">
        <v>1767</v>
      </c>
      <c r="BG1618" s="1">
        <v>44354.054166666669</v>
      </c>
      <c r="BH1618" s="1">
        <v>44354.061805555553</v>
      </c>
      <c r="BI1618" s="1">
        <v>44354.062789351854</v>
      </c>
      <c r="BJ1618" t="s">
        <v>85</v>
      </c>
      <c r="BK1618" t="s">
        <v>86</v>
      </c>
      <c r="BL1618" t="s">
        <v>87</v>
      </c>
    </row>
    <row r="1619" spans="1:64" x14ac:dyDescent="0.3">
      <c r="A1619" t="str">
        <f>"200943C0100"</f>
        <v>200943C0100</v>
      </c>
      <c r="B1619" t="str">
        <f>"200943C01003"</f>
        <v>200943C01003</v>
      </c>
      <c r="C1619" t="str">
        <f t="shared" si="96"/>
        <v>20</v>
      </c>
      <c r="D1619" t="s">
        <v>81</v>
      </c>
      <c r="E1619" t="str">
        <f t="shared" si="97"/>
        <v>164</v>
      </c>
      <c r="F1619" t="s">
        <v>1766</v>
      </c>
      <c r="G1619" t="str">
        <f>"0943"</f>
        <v>0943</v>
      </c>
      <c r="H1619" t="str">
        <f>"0001"</f>
        <v>0001</v>
      </c>
      <c r="I1619" t="s">
        <v>89</v>
      </c>
      <c r="J1619">
        <v>0</v>
      </c>
      <c r="K1619">
        <v>1</v>
      </c>
      <c r="L1619">
        <v>3</v>
      </c>
      <c r="M1619">
        <v>209</v>
      </c>
      <c r="N1619" t="s">
        <v>92</v>
      </c>
      <c r="O1619" t="s">
        <v>92</v>
      </c>
      <c r="P1619" t="s">
        <v>92</v>
      </c>
      <c r="Q1619">
        <v>10</v>
      </c>
      <c r="R1619">
        <v>89</v>
      </c>
      <c r="S1619">
        <v>8</v>
      </c>
      <c r="T1619">
        <v>6</v>
      </c>
      <c r="U1619">
        <v>2</v>
      </c>
      <c r="W1619">
        <v>46</v>
      </c>
      <c r="X1619">
        <v>43</v>
      </c>
      <c r="Y1619">
        <v>147</v>
      </c>
      <c r="Z1619">
        <v>3</v>
      </c>
      <c r="AA1619">
        <v>115</v>
      </c>
      <c r="AB1619">
        <v>9</v>
      </c>
      <c r="AF1619">
        <v>9</v>
      </c>
      <c r="AG1619">
        <v>0</v>
      </c>
      <c r="AH1619">
        <v>0</v>
      </c>
      <c r="AI1619">
        <v>1</v>
      </c>
      <c r="AW1619">
        <v>0</v>
      </c>
      <c r="AX1619">
        <v>17</v>
      </c>
      <c r="AY1619">
        <v>505</v>
      </c>
      <c r="AZ1619">
        <v>505</v>
      </c>
      <c r="BA1619">
        <v>671</v>
      </c>
      <c r="BB1619">
        <v>44</v>
      </c>
      <c r="BD1619">
        <v>1</v>
      </c>
      <c r="BF1619" t="s">
        <v>1768</v>
      </c>
      <c r="BG1619" s="1">
        <v>44354.056944444441</v>
      </c>
      <c r="BH1619" s="1">
        <v>44354.066099537034</v>
      </c>
      <c r="BI1619" s="1">
        <v>44354.066944444443</v>
      </c>
      <c r="BJ1619" t="s">
        <v>85</v>
      </c>
      <c r="BK1619" t="s">
        <v>86</v>
      </c>
      <c r="BL1619" t="s">
        <v>87</v>
      </c>
    </row>
    <row r="1620" spans="1:64" x14ac:dyDescent="0.3">
      <c r="A1620" t="str">
        <f>"200943E0100"</f>
        <v>200943E0100</v>
      </c>
      <c r="B1620" t="str">
        <f>"200943E01003"</f>
        <v>200943E01003</v>
      </c>
      <c r="C1620" t="str">
        <f t="shared" si="96"/>
        <v>20</v>
      </c>
      <c r="D1620" t="s">
        <v>81</v>
      </c>
      <c r="E1620" t="str">
        <f t="shared" si="97"/>
        <v>164</v>
      </c>
      <c r="F1620" t="s">
        <v>1766</v>
      </c>
      <c r="G1620" t="str">
        <f>"0943"</f>
        <v>0943</v>
      </c>
      <c r="H1620" t="str">
        <f>"0001"</f>
        <v>0001</v>
      </c>
      <c r="I1620" t="s">
        <v>122</v>
      </c>
      <c r="J1620">
        <v>0</v>
      </c>
      <c r="K1620">
        <v>1</v>
      </c>
      <c r="L1620">
        <v>3</v>
      </c>
      <c r="M1620">
        <v>162</v>
      </c>
      <c r="N1620">
        <v>534</v>
      </c>
      <c r="O1620">
        <v>1</v>
      </c>
      <c r="P1620">
        <v>534</v>
      </c>
      <c r="Q1620">
        <v>7</v>
      </c>
      <c r="R1620">
        <v>87</v>
      </c>
      <c r="S1620">
        <v>14</v>
      </c>
      <c r="T1620">
        <v>18</v>
      </c>
      <c r="U1620">
        <v>1</v>
      </c>
      <c r="W1620">
        <v>9</v>
      </c>
      <c r="X1620">
        <v>41</v>
      </c>
      <c r="Y1620">
        <v>191</v>
      </c>
      <c r="Z1620">
        <v>4</v>
      </c>
      <c r="AA1620">
        <v>131</v>
      </c>
      <c r="AB1620">
        <v>2</v>
      </c>
      <c r="AF1620">
        <v>11</v>
      </c>
      <c r="AG1620">
        <v>1</v>
      </c>
      <c r="AH1620">
        <v>0</v>
      </c>
      <c r="AI1620">
        <v>0</v>
      </c>
      <c r="AW1620">
        <v>0</v>
      </c>
      <c r="AX1620">
        <v>17</v>
      </c>
      <c r="AY1620">
        <v>534</v>
      </c>
      <c r="AZ1620">
        <v>534</v>
      </c>
      <c r="BA1620">
        <v>652</v>
      </c>
      <c r="BB1620">
        <v>44</v>
      </c>
      <c r="BD1620">
        <v>1</v>
      </c>
      <c r="BF1620" t="s">
        <v>1769</v>
      </c>
      <c r="BG1620" s="1">
        <v>44354.022916666669</v>
      </c>
      <c r="BH1620" s="1">
        <v>44354.030092592591</v>
      </c>
      <c r="BI1620" s="1">
        <v>44354.030833333331</v>
      </c>
      <c r="BJ1620" t="s">
        <v>85</v>
      </c>
      <c r="BK1620" t="s">
        <v>86</v>
      </c>
      <c r="BL1620" t="s">
        <v>87</v>
      </c>
    </row>
    <row r="1621" spans="1:64" x14ac:dyDescent="0.3">
      <c r="A1621" t="str">
        <f>"200944B0000"</f>
        <v>200944B0000</v>
      </c>
      <c r="B1621" t="str">
        <f>"200944B00003"</f>
        <v>200944B00003</v>
      </c>
      <c r="C1621" t="str">
        <f t="shared" si="96"/>
        <v>20</v>
      </c>
      <c r="D1621" t="s">
        <v>81</v>
      </c>
      <c r="E1621" t="str">
        <f t="shared" si="97"/>
        <v>164</v>
      </c>
      <c r="F1621" t="s">
        <v>1766</v>
      </c>
      <c r="G1621" t="str">
        <f>"0944"</f>
        <v>0944</v>
      </c>
      <c r="H1621" t="str">
        <f>"0000"</f>
        <v>0000</v>
      </c>
      <c r="I1621" t="s">
        <v>83</v>
      </c>
      <c r="J1621">
        <v>0</v>
      </c>
      <c r="K1621">
        <v>1</v>
      </c>
      <c r="L1621">
        <v>3</v>
      </c>
      <c r="M1621">
        <v>173</v>
      </c>
      <c r="N1621">
        <v>458</v>
      </c>
      <c r="O1621">
        <v>3</v>
      </c>
      <c r="P1621">
        <v>458</v>
      </c>
      <c r="Q1621">
        <v>10</v>
      </c>
      <c r="R1621">
        <v>82</v>
      </c>
      <c r="S1621">
        <v>5</v>
      </c>
      <c r="T1621">
        <v>9</v>
      </c>
      <c r="U1621">
        <v>3</v>
      </c>
      <c r="W1621">
        <v>28</v>
      </c>
      <c r="X1621">
        <v>48</v>
      </c>
      <c r="Y1621">
        <v>102</v>
      </c>
      <c r="Z1621">
        <v>1</v>
      </c>
      <c r="AA1621">
        <v>120</v>
      </c>
      <c r="AB1621">
        <v>26</v>
      </c>
      <c r="AF1621">
        <v>7</v>
      </c>
      <c r="AG1621">
        <v>3</v>
      </c>
      <c r="AH1621">
        <v>0</v>
      </c>
      <c r="AI1621">
        <v>1</v>
      </c>
      <c r="AW1621">
        <v>0</v>
      </c>
      <c r="AX1621">
        <v>13</v>
      </c>
      <c r="AY1621">
        <v>458</v>
      </c>
      <c r="AZ1621">
        <v>458</v>
      </c>
      <c r="BA1621">
        <v>587</v>
      </c>
      <c r="BB1621">
        <v>44</v>
      </c>
      <c r="BD1621">
        <v>1</v>
      </c>
      <c r="BF1621" t="s">
        <v>1770</v>
      </c>
      <c r="BG1621" s="1">
        <v>44354.001388888886</v>
      </c>
      <c r="BH1621" s="1">
        <v>44354.007592592592</v>
      </c>
      <c r="BI1621" s="1">
        <v>44354.008125</v>
      </c>
      <c r="BJ1621" t="s">
        <v>85</v>
      </c>
      <c r="BK1621" t="s">
        <v>86</v>
      </c>
      <c r="BL1621" t="s">
        <v>87</v>
      </c>
    </row>
    <row r="1622" spans="1:64" x14ac:dyDescent="0.3">
      <c r="A1622" t="str">
        <f>"200944C0100"</f>
        <v>200944C0100</v>
      </c>
      <c r="B1622" t="str">
        <f>"200944C01003"</f>
        <v>200944C01003</v>
      </c>
      <c r="C1622" t="str">
        <f t="shared" si="96"/>
        <v>20</v>
      </c>
      <c r="D1622" t="s">
        <v>81</v>
      </c>
      <c r="E1622" t="str">
        <f t="shared" si="97"/>
        <v>164</v>
      </c>
      <c r="F1622" t="s">
        <v>1766</v>
      </c>
      <c r="G1622" t="str">
        <f>"0944"</f>
        <v>0944</v>
      </c>
      <c r="H1622" t="str">
        <f>"0001"</f>
        <v>0001</v>
      </c>
      <c r="I1622" t="s">
        <v>89</v>
      </c>
      <c r="J1622">
        <v>0</v>
      </c>
      <c r="K1622">
        <v>1</v>
      </c>
      <c r="L1622">
        <v>3</v>
      </c>
      <c r="M1622">
        <v>183</v>
      </c>
      <c r="N1622">
        <v>448</v>
      </c>
      <c r="O1622">
        <v>5</v>
      </c>
      <c r="P1622">
        <v>448</v>
      </c>
      <c r="Q1622">
        <v>10</v>
      </c>
      <c r="R1622">
        <v>60</v>
      </c>
      <c r="S1622">
        <v>6</v>
      </c>
      <c r="T1622">
        <v>6</v>
      </c>
      <c r="U1622">
        <v>1</v>
      </c>
      <c r="W1622">
        <v>37</v>
      </c>
      <c r="X1622">
        <v>39</v>
      </c>
      <c r="Y1622">
        <v>117</v>
      </c>
      <c r="Z1622">
        <v>2</v>
      </c>
      <c r="AA1622">
        <v>137</v>
      </c>
      <c r="AB1622">
        <v>19</v>
      </c>
      <c r="AF1622">
        <v>6</v>
      </c>
      <c r="AG1622">
        <v>1</v>
      </c>
      <c r="AH1622">
        <v>1</v>
      </c>
      <c r="AI1622">
        <v>0</v>
      </c>
      <c r="AW1622">
        <v>0</v>
      </c>
      <c r="AX1622">
        <v>6</v>
      </c>
      <c r="AY1622">
        <v>448</v>
      </c>
      <c r="AZ1622">
        <v>448</v>
      </c>
      <c r="BA1622">
        <v>587</v>
      </c>
      <c r="BB1622">
        <v>44</v>
      </c>
      <c r="BD1622">
        <v>1</v>
      </c>
      <c r="BF1622" t="s">
        <v>1771</v>
      </c>
      <c r="BG1622" s="1">
        <v>44354.004166666666</v>
      </c>
      <c r="BH1622" s="1">
        <v>44354.01122685185</v>
      </c>
      <c r="BI1622" s="1">
        <v>44354.012060185189</v>
      </c>
      <c r="BJ1622" t="s">
        <v>85</v>
      </c>
      <c r="BK1622" t="s">
        <v>86</v>
      </c>
      <c r="BL1622" t="s">
        <v>87</v>
      </c>
    </row>
    <row r="1623" spans="1:64" x14ac:dyDescent="0.3">
      <c r="A1623" t="str">
        <f>"200944E0100"</f>
        <v>200944E0100</v>
      </c>
      <c r="B1623" t="str">
        <f>"200944E01003"</f>
        <v>200944E01003</v>
      </c>
      <c r="C1623" t="str">
        <f t="shared" si="96"/>
        <v>20</v>
      </c>
      <c r="D1623" t="s">
        <v>81</v>
      </c>
      <c r="E1623" t="str">
        <f t="shared" si="97"/>
        <v>164</v>
      </c>
      <c r="F1623" t="s">
        <v>1766</v>
      </c>
      <c r="G1623" t="str">
        <f>"0944"</f>
        <v>0944</v>
      </c>
      <c r="H1623" t="str">
        <f>"0001"</f>
        <v>0001</v>
      </c>
      <c r="I1623" t="s">
        <v>122</v>
      </c>
      <c r="J1623">
        <v>0</v>
      </c>
      <c r="K1623">
        <v>1</v>
      </c>
      <c r="L1623">
        <v>3</v>
      </c>
      <c r="M1623">
        <v>145</v>
      </c>
      <c r="N1623">
        <v>466</v>
      </c>
      <c r="O1623">
        <v>1</v>
      </c>
      <c r="P1623">
        <v>467</v>
      </c>
      <c r="Q1623">
        <v>4</v>
      </c>
      <c r="R1623">
        <v>62</v>
      </c>
      <c r="S1623">
        <v>8</v>
      </c>
      <c r="T1623">
        <v>4</v>
      </c>
      <c r="U1623">
        <v>2</v>
      </c>
      <c r="W1623">
        <v>5</v>
      </c>
      <c r="X1623">
        <v>23</v>
      </c>
      <c r="Y1623">
        <v>214</v>
      </c>
      <c r="Z1623">
        <v>1</v>
      </c>
      <c r="AA1623">
        <v>125</v>
      </c>
      <c r="AB1623">
        <v>6</v>
      </c>
      <c r="AF1623">
        <v>3</v>
      </c>
      <c r="AG1623">
        <v>0</v>
      </c>
      <c r="AH1623">
        <v>0</v>
      </c>
      <c r="AI1623">
        <v>0</v>
      </c>
      <c r="AW1623">
        <v>0</v>
      </c>
      <c r="AX1623">
        <v>10</v>
      </c>
      <c r="AY1623">
        <v>467</v>
      </c>
      <c r="AZ1623">
        <v>467</v>
      </c>
      <c r="BA1623">
        <v>568</v>
      </c>
      <c r="BB1623">
        <v>44</v>
      </c>
      <c r="BD1623">
        <v>1</v>
      </c>
      <c r="BF1623" t="s">
        <v>1772</v>
      </c>
      <c r="BG1623" s="1">
        <v>44353.954861111109</v>
      </c>
      <c r="BH1623" s="1">
        <v>44353.959108796298</v>
      </c>
      <c r="BI1623" s="1">
        <v>44353.959467592591</v>
      </c>
      <c r="BJ1623" t="s">
        <v>85</v>
      </c>
      <c r="BK1623" t="s">
        <v>86</v>
      </c>
      <c r="BL1623" t="s">
        <v>87</v>
      </c>
    </row>
    <row r="1624" spans="1:64" x14ac:dyDescent="0.3">
      <c r="A1624" t="str">
        <f>"200945B0000"</f>
        <v>200945B0000</v>
      </c>
      <c r="B1624" t="str">
        <f>"200945B00003"</f>
        <v>200945B00003</v>
      </c>
      <c r="C1624" t="str">
        <f t="shared" si="96"/>
        <v>20</v>
      </c>
      <c r="D1624" t="s">
        <v>81</v>
      </c>
      <c r="E1624" t="str">
        <f t="shared" si="97"/>
        <v>164</v>
      </c>
      <c r="F1624" t="s">
        <v>1766</v>
      </c>
      <c r="G1624" t="str">
        <f>"0945"</f>
        <v>0945</v>
      </c>
      <c r="H1624" t="str">
        <f>"0000"</f>
        <v>0000</v>
      </c>
      <c r="I1624" t="s">
        <v>83</v>
      </c>
      <c r="J1624">
        <v>0</v>
      </c>
      <c r="K1624">
        <v>1</v>
      </c>
      <c r="L1624">
        <v>3</v>
      </c>
      <c r="M1624">
        <v>187</v>
      </c>
      <c r="N1624">
        <v>482</v>
      </c>
      <c r="O1624">
        <v>12</v>
      </c>
      <c r="P1624">
        <v>482</v>
      </c>
      <c r="Q1624">
        <v>3</v>
      </c>
      <c r="R1624">
        <v>24</v>
      </c>
      <c r="S1624">
        <v>33</v>
      </c>
      <c r="T1624">
        <v>3</v>
      </c>
      <c r="U1624">
        <v>2</v>
      </c>
      <c r="W1624">
        <v>17</v>
      </c>
      <c r="X1624">
        <v>55</v>
      </c>
      <c r="Y1624">
        <v>176</v>
      </c>
      <c r="Z1624">
        <v>4</v>
      </c>
      <c r="AA1624">
        <v>116</v>
      </c>
      <c r="AB1624">
        <v>38</v>
      </c>
      <c r="AF1624">
        <v>1</v>
      </c>
      <c r="AG1624">
        <v>0</v>
      </c>
      <c r="AH1624">
        <v>0</v>
      </c>
      <c r="AI1624">
        <v>0</v>
      </c>
      <c r="AW1624">
        <v>0</v>
      </c>
      <c r="AX1624">
        <v>10</v>
      </c>
      <c r="AY1624">
        <v>482</v>
      </c>
      <c r="AZ1624">
        <v>482</v>
      </c>
      <c r="BA1624">
        <v>625</v>
      </c>
      <c r="BB1624">
        <v>44</v>
      </c>
      <c r="BD1624">
        <v>1</v>
      </c>
      <c r="BF1624" t="s">
        <v>1773</v>
      </c>
      <c r="BG1624" s="1">
        <v>44354.007638888892</v>
      </c>
      <c r="BH1624" s="1">
        <v>44354.013055555559</v>
      </c>
      <c r="BI1624" s="1">
        <v>44354.01357638889</v>
      </c>
      <c r="BJ1624" t="s">
        <v>85</v>
      </c>
      <c r="BK1624" t="s">
        <v>86</v>
      </c>
      <c r="BL1624" t="s">
        <v>87</v>
      </c>
    </row>
    <row r="1625" spans="1:64" x14ac:dyDescent="0.3">
      <c r="A1625" t="str">
        <f>"200946B0000"</f>
        <v>200946B0000</v>
      </c>
      <c r="B1625" t="str">
        <f>"200946B00003"</f>
        <v>200946B00003</v>
      </c>
      <c r="C1625" t="str">
        <f t="shared" si="96"/>
        <v>20</v>
      </c>
      <c r="D1625" t="s">
        <v>81</v>
      </c>
      <c r="E1625" t="str">
        <f t="shared" si="97"/>
        <v>164</v>
      </c>
      <c r="F1625" t="s">
        <v>1766</v>
      </c>
      <c r="G1625" t="str">
        <f>"0946"</f>
        <v>0946</v>
      </c>
      <c r="H1625" t="str">
        <f>"0000"</f>
        <v>0000</v>
      </c>
      <c r="I1625" t="s">
        <v>83</v>
      </c>
      <c r="J1625">
        <v>0</v>
      </c>
      <c r="K1625">
        <v>1</v>
      </c>
      <c r="L1625">
        <v>3</v>
      </c>
      <c r="M1625">
        <v>215</v>
      </c>
      <c r="N1625">
        <v>472</v>
      </c>
      <c r="O1625">
        <v>6</v>
      </c>
      <c r="P1625">
        <v>472</v>
      </c>
      <c r="Q1625">
        <v>28</v>
      </c>
      <c r="R1625">
        <v>50</v>
      </c>
      <c r="S1625">
        <v>30</v>
      </c>
      <c r="T1625">
        <v>4</v>
      </c>
      <c r="U1625">
        <v>1</v>
      </c>
      <c r="W1625">
        <v>40</v>
      </c>
      <c r="X1625">
        <v>67</v>
      </c>
      <c r="Y1625">
        <v>100</v>
      </c>
      <c r="Z1625">
        <v>2</v>
      </c>
      <c r="AA1625">
        <v>74</v>
      </c>
      <c r="AB1625">
        <v>49</v>
      </c>
      <c r="AF1625">
        <v>8</v>
      </c>
      <c r="AG1625" t="s">
        <v>95</v>
      </c>
      <c r="AH1625" t="s">
        <v>95</v>
      </c>
      <c r="AI1625">
        <v>1</v>
      </c>
      <c r="AW1625" t="s">
        <v>95</v>
      </c>
      <c r="AX1625">
        <v>18</v>
      </c>
      <c r="AY1625">
        <v>472</v>
      </c>
      <c r="AZ1625">
        <v>472</v>
      </c>
      <c r="BA1625">
        <v>643</v>
      </c>
      <c r="BB1625">
        <v>44</v>
      </c>
      <c r="BC1625" t="s">
        <v>96</v>
      </c>
      <c r="BD1625">
        <v>1</v>
      </c>
      <c r="BF1625" t="s">
        <v>1774</v>
      </c>
      <c r="BG1625" s="1">
        <v>44353.978472222225</v>
      </c>
      <c r="BH1625" s="1">
        <v>44353.981446759259</v>
      </c>
      <c r="BI1625" s="1">
        <v>44353.981712962966</v>
      </c>
      <c r="BJ1625" t="s">
        <v>85</v>
      </c>
      <c r="BK1625" t="s">
        <v>86</v>
      </c>
      <c r="BL1625" t="s">
        <v>87</v>
      </c>
    </row>
    <row r="1626" spans="1:64" x14ac:dyDescent="0.3">
      <c r="A1626" t="str">
        <f>"200946C0100"</f>
        <v>200946C0100</v>
      </c>
      <c r="B1626" t="str">
        <f>"200946C01003"</f>
        <v>200946C01003</v>
      </c>
      <c r="C1626" t="str">
        <f t="shared" si="96"/>
        <v>20</v>
      </c>
      <c r="D1626" t="s">
        <v>81</v>
      </c>
      <c r="E1626" t="str">
        <f t="shared" si="97"/>
        <v>164</v>
      </c>
      <c r="F1626" t="s">
        <v>1766</v>
      </c>
      <c r="G1626" t="str">
        <f>"0946"</f>
        <v>0946</v>
      </c>
      <c r="H1626" t="str">
        <f>"0001"</f>
        <v>0001</v>
      </c>
      <c r="I1626" t="s">
        <v>89</v>
      </c>
      <c r="J1626">
        <v>0</v>
      </c>
      <c r="K1626">
        <v>1</v>
      </c>
      <c r="L1626">
        <v>3</v>
      </c>
      <c r="M1626">
        <v>219</v>
      </c>
      <c r="N1626">
        <v>467</v>
      </c>
      <c r="O1626">
        <v>6</v>
      </c>
      <c r="P1626">
        <v>467</v>
      </c>
      <c r="Q1626">
        <v>15</v>
      </c>
      <c r="R1626">
        <v>44</v>
      </c>
      <c r="S1626">
        <v>32</v>
      </c>
      <c r="T1626">
        <v>0</v>
      </c>
      <c r="U1626">
        <v>2</v>
      </c>
      <c r="W1626">
        <v>33</v>
      </c>
      <c r="X1626">
        <v>61</v>
      </c>
      <c r="Y1626">
        <v>104</v>
      </c>
      <c r="Z1626">
        <v>4</v>
      </c>
      <c r="AA1626">
        <v>97</v>
      </c>
      <c r="AB1626">
        <v>64</v>
      </c>
      <c r="AF1626">
        <v>0</v>
      </c>
      <c r="AG1626">
        <v>1</v>
      </c>
      <c r="AH1626">
        <v>0</v>
      </c>
      <c r="AI1626">
        <v>0</v>
      </c>
      <c r="AW1626">
        <v>0</v>
      </c>
      <c r="AX1626">
        <v>10</v>
      </c>
      <c r="AY1626">
        <v>467</v>
      </c>
      <c r="AZ1626">
        <v>467</v>
      </c>
      <c r="BA1626">
        <v>642</v>
      </c>
      <c r="BB1626">
        <v>44</v>
      </c>
      <c r="BD1626">
        <v>1</v>
      </c>
      <c r="BF1626" t="s">
        <v>1775</v>
      </c>
      <c r="BG1626" s="1">
        <v>44353.975694444445</v>
      </c>
      <c r="BH1626" s="1">
        <v>44353.978263888886</v>
      </c>
      <c r="BI1626" s="1">
        <v>44353.979108796295</v>
      </c>
      <c r="BJ1626" t="s">
        <v>85</v>
      </c>
      <c r="BK1626" t="s">
        <v>86</v>
      </c>
      <c r="BL1626" t="s">
        <v>87</v>
      </c>
    </row>
    <row r="1627" spans="1:64" x14ac:dyDescent="0.3">
      <c r="A1627" t="str">
        <f>"200946E0100"</f>
        <v>200946E0100</v>
      </c>
      <c r="B1627" t="str">
        <f>"200946E01003"</f>
        <v>200946E01003</v>
      </c>
      <c r="C1627" t="str">
        <f t="shared" si="96"/>
        <v>20</v>
      </c>
      <c r="D1627" t="s">
        <v>81</v>
      </c>
      <c r="E1627" t="str">
        <f t="shared" si="97"/>
        <v>164</v>
      </c>
      <c r="F1627" t="s">
        <v>1766</v>
      </c>
      <c r="G1627" t="str">
        <f>"0946"</f>
        <v>0946</v>
      </c>
      <c r="H1627" t="str">
        <f>"0001"</f>
        <v>0001</v>
      </c>
      <c r="I1627" t="s">
        <v>122</v>
      </c>
      <c r="J1627">
        <v>0</v>
      </c>
      <c r="K1627">
        <v>1</v>
      </c>
      <c r="L1627">
        <v>3</v>
      </c>
      <c r="M1627">
        <v>127</v>
      </c>
      <c r="N1627">
        <v>369</v>
      </c>
      <c r="O1627">
        <v>16</v>
      </c>
      <c r="P1627">
        <v>369</v>
      </c>
      <c r="Q1627">
        <v>2</v>
      </c>
      <c r="R1627">
        <v>43</v>
      </c>
      <c r="S1627">
        <v>28</v>
      </c>
      <c r="T1627">
        <v>0</v>
      </c>
      <c r="U1627">
        <v>3</v>
      </c>
      <c r="W1627">
        <v>8</v>
      </c>
      <c r="X1627">
        <v>37</v>
      </c>
      <c r="Y1627">
        <v>62</v>
      </c>
      <c r="Z1627">
        <v>6</v>
      </c>
      <c r="AA1627">
        <v>170</v>
      </c>
      <c r="AB1627">
        <v>4</v>
      </c>
      <c r="AF1627">
        <v>1</v>
      </c>
      <c r="AG1627">
        <v>0</v>
      </c>
      <c r="AH1627">
        <v>1</v>
      </c>
      <c r="AI1627">
        <v>0</v>
      </c>
      <c r="AW1627">
        <v>0</v>
      </c>
      <c r="AX1627">
        <v>4</v>
      </c>
      <c r="AY1627">
        <v>369</v>
      </c>
      <c r="AZ1627">
        <v>369</v>
      </c>
      <c r="BA1627">
        <v>452</v>
      </c>
      <c r="BB1627">
        <v>44</v>
      </c>
      <c r="BD1627">
        <v>1</v>
      </c>
      <c r="BF1627" t="s">
        <v>1776</v>
      </c>
      <c r="BG1627" s="1">
        <v>44354.100694444445</v>
      </c>
      <c r="BH1627" s="1">
        <v>44354.103750000002</v>
      </c>
      <c r="BI1627" s="1">
        <v>44354.104212962964</v>
      </c>
      <c r="BJ1627" t="s">
        <v>85</v>
      </c>
      <c r="BK1627" t="s">
        <v>86</v>
      </c>
      <c r="BL1627" t="s">
        <v>87</v>
      </c>
    </row>
    <row r="1628" spans="1:64" x14ac:dyDescent="0.3">
      <c r="A1628" t="str">
        <f>"200947B0000"</f>
        <v>200947B0000</v>
      </c>
      <c r="B1628" t="str">
        <f>"200947B00003"</f>
        <v>200947B00003</v>
      </c>
      <c r="C1628" t="str">
        <f t="shared" si="96"/>
        <v>20</v>
      </c>
      <c r="D1628" t="s">
        <v>81</v>
      </c>
      <c r="E1628" t="str">
        <f t="shared" si="97"/>
        <v>164</v>
      </c>
      <c r="F1628" t="s">
        <v>1766</v>
      </c>
      <c r="G1628" t="str">
        <f>"0947"</f>
        <v>0947</v>
      </c>
      <c r="H1628" t="str">
        <f>"0000"</f>
        <v>0000</v>
      </c>
      <c r="I1628" t="s">
        <v>83</v>
      </c>
      <c r="J1628">
        <v>0</v>
      </c>
      <c r="K1628">
        <v>1</v>
      </c>
      <c r="L1628">
        <v>3</v>
      </c>
      <c r="M1628">
        <v>137</v>
      </c>
      <c r="N1628">
        <v>521</v>
      </c>
      <c r="O1628">
        <v>0</v>
      </c>
      <c r="P1628">
        <v>521</v>
      </c>
      <c r="Q1628">
        <v>40</v>
      </c>
      <c r="R1628">
        <v>82</v>
      </c>
      <c r="S1628">
        <v>7</v>
      </c>
      <c r="T1628">
        <v>1</v>
      </c>
      <c r="U1628">
        <v>1</v>
      </c>
      <c r="W1628">
        <v>9</v>
      </c>
      <c r="X1628">
        <v>203</v>
      </c>
      <c r="Y1628">
        <v>80</v>
      </c>
      <c r="Z1628">
        <v>1</v>
      </c>
      <c r="AA1628">
        <v>82</v>
      </c>
      <c r="AB1628">
        <v>1</v>
      </c>
      <c r="AF1628">
        <v>8</v>
      </c>
      <c r="AG1628">
        <v>0</v>
      </c>
      <c r="AH1628">
        <v>0</v>
      </c>
      <c r="AI1628">
        <v>0</v>
      </c>
      <c r="AW1628">
        <v>0</v>
      </c>
      <c r="AX1628">
        <v>6</v>
      </c>
      <c r="AY1628">
        <v>521</v>
      </c>
      <c r="AZ1628">
        <v>521</v>
      </c>
      <c r="BA1628">
        <v>614</v>
      </c>
      <c r="BB1628">
        <v>44</v>
      </c>
      <c r="BD1628">
        <v>1</v>
      </c>
      <c r="BF1628" t="s">
        <v>1777</v>
      </c>
      <c r="BG1628" s="1">
        <v>44354.098611111112</v>
      </c>
      <c r="BH1628" s="1">
        <v>44354.102951388886</v>
      </c>
      <c r="BI1628" s="1">
        <v>44354.103379629632</v>
      </c>
      <c r="BJ1628" t="s">
        <v>85</v>
      </c>
      <c r="BK1628" t="s">
        <v>86</v>
      </c>
      <c r="BL1628" t="s">
        <v>87</v>
      </c>
    </row>
    <row r="1629" spans="1:64" x14ac:dyDescent="0.3">
      <c r="A1629" t="str">
        <f>"200947C0100"</f>
        <v>200947C0100</v>
      </c>
      <c r="B1629" t="str">
        <f>"200947C01003"</f>
        <v>200947C01003</v>
      </c>
      <c r="C1629" t="str">
        <f t="shared" si="96"/>
        <v>20</v>
      </c>
      <c r="D1629" t="s">
        <v>81</v>
      </c>
      <c r="E1629" t="str">
        <f t="shared" si="97"/>
        <v>164</v>
      </c>
      <c r="F1629" t="s">
        <v>1766</v>
      </c>
      <c r="G1629" t="str">
        <f>"0947"</f>
        <v>0947</v>
      </c>
      <c r="H1629" t="str">
        <f>"0001"</f>
        <v>0001</v>
      </c>
      <c r="I1629" t="s">
        <v>89</v>
      </c>
      <c r="J1629">
        <v>0</v>
      </c>
      <c r="K1629">
        <v>1</v>
      </c>
      <c r="L1629">
        <v>3</v>
      </c>
      <c r="M1629">
        <v>141</v>
      </c>
      <c r="N1629">
        <v>516</v>
      </c>
      <c r="O1629">
        <v>0</v>
      </c>
      <c r="P1629">
        <v>516</v>
      </c>
      <c r="Q1629">
        <v>54</v>
      </c>
      <c r="R1629">
        <v>62</v>
      </c>
      <c r="S1629">
        <v>5</v>
      </c>
      <c r="T1629">
        <v>1</v>
      </c>
      <c r="U1629">
        <v>1</v>
      </c>
      <c r="W1629">
        <v>26</v>
      </c>
      <c r="X1629">
        <v>192</v>
      </c>
      <c r="Y1629">
        <v>62</v>
      </c>
      <c r="Z1629">
        <v>7</v>
      </c>
      <c r="AA1629">
        <v>94</v>
      </c>
      <c r="AB1629">
        <v>5</v>
      </c>
      <c r="AF1629">
        <v>3</v>
      </c>
      <c r="AG1629">
        <v>0</v>
      </c>
      <c r="AH1629">
        <v>0</v>
      </c>
      <c r="AI1629">
        <v>0</v>
      </c>
      <c r="AW1629">
        <v>0</v>
      </c>
      <c r="AX1629">
        <v>4</v>
      </c>
      <c r="AY1629">
        <v>516</v>
      </c>
      <c r="AZ1629">
        <v>516</v>
      </c>
      <c r="BA1629">
        <v>613</v>
      </c>
      <c r="BB1629">
        <v>44</v>
      </c>
      <c r="BD1629">
        <v>1</v>
      </c>
      <c r="BF1629" t="s">
        <v>1778</v>
      </c>
      <c r="BG1629" s="1">
        <v>44354.099305555559</v>
      </c>
      <c r="BH1629" s="1">
        <v>44354.103333333333</v>
      </c>
      <c r="BI1629" s="1">
        <v>44354.103831018518</v>
      </c>
      <c r="BJ1629" t="s">
        <v>85</v>
      </c>
      <c r="BK1629" t="s">
        <v>86</v>
      </c>
      <c r="BL1629" t="s">
        <v>87</v>
      </c>
    </row>
    <row r="1630" spans="1:64" x14ac:dyDescent="0.3">
      <c r="A1630" t="str">
        <f>"200948B0000"</f>
        <v>200948B0000</v>
      </c>
      <c r="B1630" t="str">
        <f>"200948B00003"</f>
        <v>200948B00003</v>
      </c>
      <c r="C1630" t="str">
        <f t="shared" si="96"/>
        <v>20</v>
      </c>
      <c r="D1630" t="s">
        <v>81</v>
      </c>
      <c r="E1630" t="str">
        <f t="shared" si="97"/>
        <v>164</v>
      </c>
      <c r="F1630" t="s">
        <v>1766</v>
      </c>
      <c r="G1630" t="str">
        <f>"0948"</f>
        <v>0948</v>
      </c>
      <c r="H1630" t="str">
        <f>"0000"</f>
        <v>0000</v>
      </c>
      <c r="I1630" t="s">
        <v>83</v>
      </c>
      <c r="J1630">
        <v>0</v>
      </c>
      <c r="K1630">
        <v>1</v>
      </c>
      <c r="L1630">
        <v>3</v>
      </c>
      <c r="M1630">
        <v>189</v>
      </c>
      <c r="N1630">
        <v>501</v>
      </c>
      <c r="O1630">
        <v>1</v>
      </c>
      <c r="P1630">
        <v>501</v>
      </c>
      <c r="Q1630">
        <v>9</v>
      </c>
      <c r="R1630">
        <v>76</v>
      </c>
      <c r="S1630">
        <v>1</v>
      </c>
      <c r="T1630">
        <v>11</v>
      </c>
      <c r="U1630">
        <v>1</v>
      </c>
      <c r="W1630">
        <v>63</v>
      </c>
      <c r="X1630">
        <v>63</v>
      </c>
      <c r="Y1630">
        <v>142</v>
      </c>
      <c r="Z1630">
        <v>0</v>
      </c>
      <c r="AA1630">
        <v>104</v>
      </c>
      <c r="AB1630">
        <v>12</v>
      </c>
      <c r="AF1630">
        <v>7</v>
      </c>
      <c r="AG1630">
        <v>2</v>
      </c>
      <c r="AH1630">
        <v>0</v>
      </c>
      <c r="AI1630">
        <v>0</v>
      </c>
      <c r="AW1630">
        <v>0</v>
      </c>
      <c r="AX1630">
        <v>10</v>
      </c>
      <c r="AY1630">
        <v>501</v>
      </c>
      <c r="AZ1630">
        <v>501</v>
      </c>
      <c r="BA1630">
        <v>646</v>
      </c>
      <c r="BB1630">
        <v>44</v>
      </c>
      <c r="BD1630">
        <v>1</v>
      </c>
      <c r="BF1630" t="s">
        <v>1779</v>
      </c>
      <c r="BG1630" s="1">
        <v>44354.060416666667</v>
      </c>
      <c r="BH1630" s="1">
        <v>44354.074479166666</v>
      </c>
      <c r="BI1630" s="1">
        <v>44354.075069444443</v>
      </c>
      <c r="BJ1630" t="s">
        <v>85</v>
      </c>
      <c r="BK1630" t="s">
        <v>86</v>
      </c>
      <c r="BL1630" t="s">
        <v>87</v>
      </c>
    </row>
    <row r="1631" spans="1:64" x14ac:dyDescent="0.3">
      <c r="A1631" t="str">
        <f>"200948C0100"</f>
        <v>200948C0100</v>
      </c>
      <c r="B1631" t="str">
        <f>"200948C01003"</f>
        <v>200948C01003</v>
      </c>
      <c r="C1631" t="str">
        <f t="shared" si="96"/>
        <v>20</v>
      </c>
      <c r="D1631" t="s">
        <v>81</v>
      </c>
      <c r="E1631" t="str">
        <f t="shared" si="97"/>
        <v>164</v>
      </c>
      <c r="F1631" t="s">
        <v>1766</v>
      </c>
      <c r="G1631" t="str">
        <f>"0948"</f>
        <v>0948</v>
      </c>
      <c r="H1631" t="str">
        <f>"0001"</f>
        <v>0001</v>
      </c>
      <c r="I1631" t="s">
        <v>89</v>
      </c>
      <c r="J1631">
        <v>0</v>
      </c>
      <c r="K1631">
        <v>1</v>
      </c>
      <c r="L1631">
        <v>3</v>
      </c>
      <c r="M1631">
        <v>180</v>
      </c>
      <c r="N1631">
        <v>510</v>
      </c>
      <c r="O1631">
        <v>0</v>
      </c>
      <c r="P1631" t="s">
        <v>92</v>
      </c>
      <c r="Q1631">
        <v>6</v>
      </c>
      <c r="R1631">
        <v>61</v>
      </c>
      <c r="S1631">
        <v>3</v>
      </c>
      <c r="T1631">
        <v>12</v>
      </c>
      <c r="U1631">
        <v>1</v>
      </c>
      <c r="W1631">
        <v>62</v>
      </c>
      <c r="X1631">
        <v>50</v>
      </c>
      <c r="Y1631">
        <v>176</v>
      </c>
      <c r="Z1631">
        <v>0</v>
      </c>
      <c r="AA1631">
        <v>106</v>
      </c>
      <c r="AB1631">
        <v>13</v>
      </c>
      <c r="AF1631">
        <v>2</v>
      </c>
      <c r="AG1631">
        <v>0</v>
      </c>
      <c r="AH1631">
        <v>0</v>
      </c>
      <c r="AI1631">
        <v>0</v>
      </c>
      <c r="AW1631">
        <v>0</v>
      </c>
      <c r="AX1631">
        <v>18</v>
      </c>
      <c r="AY1631">
        <v>510</v>
      </c>
      <c r="AZ1631">
        <v>510</v>
      </c>
      <c r="BA1631">
        <v>646</v>
      </c>
      <c r="BB1631">
        <v>44</v>
      </c>
      <c r="BD1631">
        <v>1</v>
      </c>
      <c r="BF1631" t="s">
        <v>1780</v>
      </c>
      <c r="BG1631" s="1">
        <v>44354.063194444447</v>
      </c>
      <c r="BH1631" s="1">
        <v>44354.069293981483</v>
      </c>
      <c r="BI1631" s="1">
        <v>44354.069814814815</v>
      </c>
      <c r="BJ1631" t="s">
        <v>85</v>
      </c>
      <c r="BK1631" t="s">
        <v>86</v>
      </c>
      <c r="BL1631" t="s">
        <v>87</v>
      </c>
    </row>
    <row r="1632" spans="1:64" x14ac:dyDescent="0.3">
      <c r="A1632" t="str">
        <f>"200951B0000"</f>
        <v>200951B0000</v>
      </c>
      <c r="B1632" t="str">
        <f>"200951B00003"</f>
        <v>200951B00003</v>
      </c>
      <c r="C1632" t="str">
        <f t="shared" si="96"/>
        <v>20</v>
      </c>
      <c r="D1632" t="s">
        <v>81</v>
      </c>
      <c r="E1632" t="str">
        <f>"166"</f>
        <v>166</v>
      </c>
      <c r="F1632" t="s">
        <v>1781</v>
      </c>
      <c r="G1632" t="str">
        <f>"0951"</f>
        <v>0951</v>
      </c>
      <c r="H1632" t="str">
        <f>"0000"</f>
        <v>0000</v>
      </c>
      <c r="I1632" t="s">
        <v>83</v>
      </c>
      <c r="J1632">
        <v>0</v>
      </c>
      <c r="K1632">
        <v>1</v>
      </c>
      <c r="L1632">
        <v>3</v>
      </c>
      <c r="M1632">
        <v>125</v>
      </c>
      <c r="N1632">
        <v>211</v>
      </c>
      <c r="O1632">
        <v>0</v>
      </c>
      <c r="P1632" t="s">
        <v>92</v>
      </c>
      <c r="Q1632">
        <v>0</v>
      </c>
      <c r="R1632">
        <v>4</v>
      </c>
      <c r="S1632">
        <v>4</v>
      </c>
      <c r="T1632">
        <v>112</v>
      </c>
      <c r="U1632" t="s">
        <v>131</v>
      </c>
      <c r="X1632" t="s">
        <v>131</v>
      </c>
      <c r="Y1632">
        <v>110</v>
      </c>
      <c r="Z1632">
        <v>0</v>
      </c>
      <c r="AB1632" t="s">
        <v>131</v>
      </c>
      <c r="AF1632" t="s">
        <v>131</v>
      </c>
      <c r="AG1632" t="s">
        <v>131</v>
      </c>
      <c r="AH1632" t="s">
        <v>131</v>
      </c>
      <c r="AI1632" t="s">
        <v>131</v>
      </c>
      <c r="AW1632" t="s">
        <v>131</v>
      </c>
      <c r="AX1632" t="s">
        <v>131</v>
      </c>
      <c r="AY1632">
        <v>214</v>
      </c>
      <c r="AZ1632">
        <v>230</v>
      </c>
      <c r="BA1632">
        <v>394</v>
      </c>
      <c r="BB1632">
        <v>44</v>
      </c>
      <c r="BC1632" t="s">
        <v>96</v>
      </c>
      <c r="BD1632">
        <v>1</v>
      </c>
      <c r="BF1632" t="s">
        <v>1782</v>
      </c>
      <c r="BG1632" s="1">
        <v>44353.972916666666</v>
      </c>
      <c r="BH1632" s="1">
        <v>44354.002349537041</v>
      </c>
      <c r="BI1632" s="1">
        <v>44354.022187499999</v>
      </c>
      <c r="BJ1632" t="s">
        <v>85</v>
      </c>
      <c r="BK1632" t="s">
        <v>86</v>
      </c>
      <c r="BL1632" t="s">
        <v>87</v>
      </c>
    </row>
    <row r="1633" spans="1:64" x14ac:dyDescent="0.3">
      <c r="A1633" t="str">
        <f>"200951C0100"</f>
        <v>200951C0100</v>
      </c>
      <c r="B1633" t="str">
        <f>"200951C01003"</f>
        <v>200951C01003</v>
      </c>
      <c r="C1633" t="str">
        <f t="shared" si="96"/>
        <v>20</v>
      </c>
      <c r="D1633" t="s">
        <v>81</v>
      </c>
      <c r="E1633" t="str">
        <f>"166"</f>
        <v>166</v>
      </c>
      <c r="F1633" t="s">
        <v>1781</v>
      </c>
      <c r="G1633" t="str">
        <f>"0951"</f>
        <v>0951</v>
      </c>
      <c r="H1633" t="str">
        <f>"0001"</f>
        <v>0001</v>
      </c>
      <c r="I1633" t="s">
        <v>89</v>
      </c>
      <c r="J1633">
        <v>0</v>
      </c>
      <c r="K1633">
        <v>1</v>
      </c>
      <c r="L1633">
        <v>3</v>
      </c>
      <c r="M1633">
        <v>124</v>
      </c>
      <c r="N1633">
        <v>313</v>
      </c>
      <c r="O1633">
        <v>0</v>
      </c>
      <c r="P1633" t="s">
        <v>92</v>
      </c>
      <c r="Q1633">
        <v>1</v>
      </c>
      <c r="R1633">
        <v>3</v>
      </c>
      <c r="S1633">
        <v>3</v>
      </c>
      <c r="T1633">
        <v>118</v>
      </c>
      <c r="U1633">
        <v>0</v>
      </c>
      <c r="X1633">
        <v>52</v>
      </c>
      <c r="Y1633">
        <v>94</v>
      </c>
      <c r="Z1633">
        <v>0</v>
      </c>
      <c r="AB1633">
        <v>30</v>
      </c>
      <c r="AF1633">
        <v>0</v>
      </c>
      <c r="AG1633">
        <v>0</v>
      </c>
      <c r="AH1633">
        <v>0</v>
      </c>
      <c r="AI1633">
        <v>0</v>
      </c>
      <c r="AW1633">
        <v>0</v>
      </c>
      <c r="AX1633">
        <v>12</v>
      </c>
      <c r="AY1633">
        <v>313</v>
      </c>
      <c r="AZ1633">
        <v>313</v>
      </c>
      <c r="BA1633">
        <v>394</v>
      </c>
      <c r="BB1633">
        <v>44</v>
      </c>
      <c r="BD1633">
        <v>1</v>
      </c>
      <c r="BF1633" t="s">
        <v>1783</v>
      </c>
      <c r="BG1633" s="1">
        <v>44353.972916666666</v>
      </c>
      <c r="BH1633" s="1">
        <v>44353.975497685184</v>
      </c>
      <c r="BI1633" s="1">
        <v>44353.975706018522</v>
      </c>
      <c r="BJ1633" t="s">
        <v>85</v>
      </c>
      <c r="BK1633" t="s">
        <v>86</v>
      </c>
      <c r="BL1633" t="s">
        <v>87</v>
      </c>
    </row>
    <row r="1634" spans="1:64" x14ac:dyDescent="0.3">
      <c r="A1634" t="str">
        <f>"200952B0000"</f>
        <v>200952B0000</v>
      </c>
      <c r="B1634" t="str">
        <f>"200952B00003"</f>
        <v>200952B00003</v>
      </c>
      <c r="C1634" t="str">
        <f t="shared" si="96"/>
        <v>20</v>
      </c>
      <c r="D1634" t="s">
        <v>81</v>
      </c>
      <c r="E1634" t="str">
        <f t="shared" ref="E1634:E1639" si="98">"167"</f>
        <v>167</v>
      </c>
      <c r="F1634" t="s">
        <v>1784</v>
      </c>
      <c r="G1634" t="str">
        <f>"0952"</f>
        <v>0952</v>
      </c>
      <c r="H1634" t="str">
        <f>"0000"</f>
        <v>0000</v>
      </c>
      <c r="I1634" t="s">
        <v>83</v>
      </c>
      <c r="J1634">
        <v>0</v>
      </c>
      <c r="K1634">
        <v>1</v>
      </c>
      <c r="L1634">
        <v>3</v>
      </c>
      <c r="M1634">
        <v>130</v>
      </c>
      <c r="N1634">
        <v>420</v>
      </c>
      <c r="O1634">
        <v>0</v>
      </c>
      <c r="P1634">
        <v>420</v>
      </c>
      <c r="Q1634">
        <v>4</v>
      </c>
      <c r="R1634">
        <v>208</v>
      </c>
      <c r="S1634">
        <v>2</v>
      </c>
      <c r="T1634">
        <v>3</v>
      </c>
      <c r="U1634">
        <v>2</v>
      </c>
      <c r="X1634">
        <v>190</v>
      </c>
      <c r="Y1634">
        <v>2</v>
      </c>
      <c r="Z1634">
        <v>4</v>
      </c>
      <c r="AJ1634">
        <v>1</v>
      </c>
      <c r="AK1634">
        <v>1</v>
      </c>
      <c r="AL1634">
        <v>0</v>
      </c>
      <c r="AM1634">
        <v>0</v>
      </c>
      <c r="AN1634">
        <v>0</v>
      </c>
      <c r="AO1634">
        <v>0</v>
      </c>
      <c r="AP1634">
        <v>0</v>
      </c>
      <c r="AQ1634">
        <v>0</v>
      </c>
      <c r="AR1634">
        <v>0</v>
      </c>
      <c r="AS1634">
        <v>0</v>
      </c>
      <c r="AT1634">
        <v>0</v>
      </c>
      <c r="AU1634">
        <v>0</v>
      </c>
      <c r="AW1634">
        <v>0</v>
      </c>
      <c r="AX1634">
        <v>3</v>
      </c>
      <c r="AY1634">
        <v>420</v>
      </c>
      <c r="AZ1634">
        <v>420</v>
      </c>
      <c r="BA1634">
        <v>506</v>
      </c>
      <c r="BB1634">
        <v>44</v>
      </c>
      <c r="BD1634">
        <v>1</v>
      </c>
      <c r="BF1634" t="s">
        <v>1785</v>
      </c>
      <c r="BG1634" s="1">
        <v>44354.587500000001</v>
      </c>
      <c r="BH1634" s="1">
        <v>44354.611620370371</v>
      </c>
      <c r="BI1634" s="1">
        <v>44354.612025462964</v>
      </c>
      <c r="BJ1634" t="s">
        <v>85</v>
      </c>
      <c r="BK1634" t="s">
        <v>86</v>
      </c>
      <c r="BL1634" t="s">
        <v>87</v>
      </c>
    </row>
    <row r="1635" spans="1:64" x14ac:dyDescent="0.3">
      <c r="A1635" t="str">
        <f>"200952C0100"</f>
        <v>200952C0100</v>
      </c>
      <c r="B1635" t="str">
        <f>"200952C01003"</f>
        <v>200952C01003</v>
      </c>
      <c r="C1635" t="str">
        <f t="shared" si="96"/>
        <v>20</v>
      </c>
      <c r="D1635" t="s">
        <v>81</v>
      </c>
      <c r="E1635" t="str">
        <f t="shared" si="98"/>
        <v>167</v>
      </c>
      <c r="F1635" t="s">
        <v>1784</v>
      </c>
      <c r="G1635" t="str">
        <f>"0952"</f>
        <v>0952</v>
      </c>
      <c r="H1635" t="str">
        <f>"0001"</f>
        <v>0001</v>
      </c>
      <c r="I1635" t="s">
        <v>89</v>
      </c>
      <c r="J1635">
        <v>0</v>
      </c>
      <c r="K1635">
        <v>1</v>
      </c>
      <c r="L1635">
        <v>3</v>
      </c>
      <c r="M1635">
        <v>132</v>
      </c>
      <c r="N1635">
        <v>418</v>
      </c>
      <c r="O1635">
        <v>4</v>
      </c>
      <c r="P1635">
        <v>418</v>
      </c>
      <c r="Q1635">
        <v>1</v>
      </c>
      <c r="R1635">
        <v>214</v>
      </c>
      <c r="S1635">
        <v>1</v>
      </c>
      <c r="T1635">
        <v>0</v>
      </c>
      <c r="U1635">
        <v>1</v>
      </c>
      <c r="X1635">
        <v>194</v>
      </c>
      <c r="Y1635">
        <v>0</v>
      </c>
      <c r="Z1635">
        <v>4</v>
      </c>
      <c r="AJ1635">
        <v>0</v>
      </c>
      <c r="AK1635">
        <v>1</v>
      </c>
      <c r="AL1635">
        <v>0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  <c r="AS1635">
        <v>0</v>
      </c>
      <c r="AT1635">
        <v>0</v>
      </c>
      <c r="AU1635">
        <v>0</v>
      </c>
      <c r="AW1635">
        <v>0</v>
      </c>
      <c r="AX1635">
        <v>2</v>
      </c>
      <c r="AY1635">
        <v>418</v>
      </c>
      <c r="AZ1635">
        <v>418</v>
      </c>
      <c r="BA1635">
        <v>506</v>
      </c>
      <c r="BB1635">
        <v>44</v>
      </c>
      <c r="BD1635">
        <v>1</v>
      </c>
      <c r="BF1635" t="s">
        <v>1786</v>
      </c>
      <c r="BG1635" s="1">
        <v>44354.595138888886</v>
      </c>
      <c r="BH1635" s="1">
        <v>44354.606365740743</v>
      </c>
      <c r="BI1635" s="1">
        <v>44354.607233796298</v>
      </c>
      <c r="BJ1635" t="s">
        <v>85</v>
      </c>
      <c r="BK1635" t="s">
        <v>86</v>
      </c>
      <c r="BL1635" t="s">
        <v>87</v>
      </c>
    </row>
    <row r="1636" spans="1:64" x14ac:dyDescent="0.3">
      <c r="A1636" t="str">
        <f>"200952E0100"</f>
        <v>200952E0100</v>
      </c>
      <c r="B1636" t="str">
        <f>"200952E01003"</f>
        <v>200952E01003</v>
      </c>
      <c r="C1636" t="str">
        <f t="shared" si="96"/>
        <v>20</v>
      </c>
      <c r="D1636" t="s">
        <v>81</v>
      </c>
      <c r="E1636" t="str">
        <f t="shared" si="98"/>
        <v>167</v>
      </c>
      <c r="F1636" t="s">
        <v>1784</v>
      </c>
      <c r="G1636" t="str">
        <f>"0952"</f>
        <v>0952</v>
      </c>
      <c r="H1636" t="str">
        <f>"0001"</f>
        <v>0001</v>
      </c>
      <c r="I1636" t="s">
        <v>122</v>
      </c>
      <c r="J1636">
        <v>0</v>
      </c>
      <c r="K1636">
        <v>1</v>
      </c>
      <c r="L1636">
        <v>3</v>
      </c>
      <c r="M1636">
        <v>137</v>
      </c>
      <c r="N1636">
        <v>358</v>
      </c>
      <c r="O1636">
        <v>8</v>
      </c>
      <c r="P1636" t="s">
        <v>92</v>
      </c>
      <c r="Q1636">
        <v>0</v>
      </c>
      <c r="R1636">
        <v>143</v>
      </c>
      <c r="S1636">
        <v>5</v>
      </c>
      <c r="T1636">
        <v>1</v>
      </c>
      <c r="U1636">
        <v>0</v>
      </c>
      <c r="X1636">
        <v>204</v>
      </c>
      <c r="Y1636">
        <v>0</v>
      </c>
      <c r="Z1636">
        <v>1</v>
      </c>
      <c r="AJ1636">
        <v>0</v>
      </c>
      <c r="AK1636">
        <v>2</v>
      </c>
      <c r="AL1636">
        <v>0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0</v>
      </c>
      <c r="AT1636">
        <v>0</v>
      </c>
      <c r="AU1636">
        <v>0</v>
      </c>
      <c r="AW1636">
        <v>0</v>
      </c>
      <c r="AX1636">
        <v>2</v>
      </c>
      <c r="AY1636">
        <v>358</v>
      </c>
      <c r="AZ1636">
        <v>358</v>
      </c>
      <c r="BA1636">
        <v>451</v>
      </c>
      <c r="BB1636">
        <v>44</v>
      </c>
      <c r="BD1636">
        <v>1</v>
      </c>
      <c r="BF1636" t="s">
        <v>1787</v>
      </c>
      <c r="BG1636" s="1">
        <v>44354.595138888886</v>
      </c>
      <c r="BH1636" s="1">
        <v>44354.607037037036</v>
      </c>
      <c r="BI1636" s="1">
        <v>44354.609178240738</v>
      </c>
      <c r="BJ1636" t="s">
        <v>85</v>
      </c>
      <c r="BK1636" t="s">
        <v>86</v>
      </c>
      <c r="BL1636" t="s">
        <v>87</v>
      </c>
    </row>
    <row r="1637" spans="1:64" x14ac:dyDescent="0.3">
      <c r="A1637" t="str">
        <f>"200952E0101"</f>
        <v>200952E0101</v>
      </c>
      <c r="B1637" t="str">
        <f>"200952E01013"</f>
        <v>200952E01013</v>
      </c>
      <c r="C1637" t="str">
        <f t="shared" si="96"/>
        <v>20</v>
      </c>
      <c r="D1637" t="s">
        <v>81</v>
      </c>
      <c r="E1637" t="str">
        <f t="shared" si="98"/>
        <v>167</v>
      </c>
      <c r="F1637" t="s">
        <v>1784</v>
      </c>
      <c r="G1637" t="str">
        <f>"0952"</f>
        <v>0952</v>
      </c>
      <c r="H1637" t="str">
        <f>"0001"</f>
        <v>0001</v>
      </c>
      <c r="I1637" t="s">
        <v>122</v>
      </c>
      <c r="J1637">
        <v>1</v>
      </c>
      <c r="K1637">
        <v>1</v>
      </c>
      <c r="L1637">
        <v>3</v>
      </c>
      <c r="M1637">
        <v>144</v>
      </c>
      <c r="N1637">
        <v>350</v>
      </c>
      <c r="O1637">
        <v>8</v>
      </c>
      <c r="P1637">
        <v>350</v>
      </c>
      <c r="Q1637">
        <v>2</v>
      </c>
      <c r="R1637">
        <v>146</v>
      </c>
      <c r="S1637">
        <v>3</v>
      </c>
      <c r="T1637">
        <v>0</v>
      </c>
      <c r="U1637">
        <v>1</v>
      </c>
      <c r="X1637">
        <v>193</v>
      </c>
      <c r="Y1637">
        <v>0</v>
      </c>
      <c r="Z1637">
        <v>2</v>
      </c>
      <c r="AJ1637">
        <v>0</v>
      </c>
      <c r="AK1637">
        <v>1</v>
      </c>
      <c r="AL1637">
        <v>0</v>
      </c>
      <c r="AM1637">
        <v>0</v>
      </c>
      <c r="AN1637">
        <v>0</v>
      </c>
      <c r="AO1637">
        <v>0</v>
      </c>
      <c r="AP1637">
        <v>0</v>
      </c>
      <c r="AQ1637">
        <v>0</v>
      </c>
      <c r="AR1637">
        <v>0</v>
      </c>
      <c r="AS1637">
        <v>0</v>
      </c>
      <c r="AT1637">
        <v>0</v>
      </c>
      <c r="AU1637">
        <v>0</v>
      </c>
      <c r="AW1637">
        <v>0</v>
      </c>
      <c r="AX1637">
        <v>2</v>
      </c>
      <c r="AY1637">
        <v>350</v>
      </c>
      <c r="AZ1637">
        <v>350</v>
      </c>
      <c r="BA1637">
        <v>450</v>
      </c>
      <c r="BB1637">
        <v>44</v>
      </c>
      <c r="BD1637">
        <v>1</v>
      </c>
      <c r="BF1637" t="s">
        <v>1788</v>
      </c>
      <c r="BG1637" s="1">
        <v>44354.595138888886</v>
      </c>
      <c r="BH1637" s="1">
        <v>44354.606435185182</v>
      </c>
      <c r="BI1637" s="1">
        <v>44354.607395833336</v>
      </c>
      <c r="BJ1637" t="s">
        <v>85</v>
      </c>
      <c r="BK1637" t="s">
        <v>86</v>
      </c>
      <c r="BL1637" t="s">
        <v>87</v>
      </c>
    </row>
    <row r="1638" spans="1:64" x14ac:dyDescent="0.3">
      <c r="A1638" t="str">
        <f>"200953B0000"</f>
        <v>200953B0000</v>
      </c>
      <c r="B1638" t="str">
        <f>"200953B00003"</f>
        <v>200953B00003</v>
      </c>
      <c r="C1638" t="str">
        <f t="shared" si="96"/>
        <v>20</v>
      </c>
      <c r="D1638" t="s">
        <v>81</v>
      </c>
      <c r="E1638" t="str">
        <f t="shared" si="98"/>
        <v>167</v>
      </c>
      <c r="F1638" t="s">
        <v>1784</v>
      </c>
      <c r="G1638" t="str">
        <f>"0953"</f>
        <v>0953</v>
      </c>
      <c r="H1638" t="str">
        <f>"0000"</f>
        <v>0000</v>
      </c>
      <c r="I1638" t="s">
        <v>83</v>
      </c>
      <c r="J1638">
        <v>0</v>
      </c>
      <c r="K1638">
        <v>1</v>
      </c>
      <c r="L1638">
        <v>3</v>
      </c>
      <c r="M1638">
        <v>168</v>
      </c>
      <c r="N1638">
        <v>458</v>
      </c>
      <c r="O1638">
        <v>0</v>
      </c>
      <c r="P1638">
        <v>458</v>
      </c>
      <c r="Q1638">
        <v>0</v>
      </c>
      <c r="R1638">
        <v>215</v>
      </c>
      <c r="S1638">
        <v>1</v>
      </c>
      <c r="T1638">
        <v>0</v>
      </c>
      <c r="U1638">
        <v>1</v>
      </c>
      <c r="X1638">
        <v>238</v>
      </c>
      <c r="Y1638">
        <v>0</v>
      </c>
      <c r="Z1638">
        <v>1</v>
      </c>
      <c r="AJ1638" t="s">
        <v>95</v>
      </c>
      <c r="AK1638">
        <v>1</v>
      </c>
      <c r="AL1638" t="s">
        <v>95</v>
      </c>
      <c r="AM1638" t="s">
        <v>95</v>
      </c>
      <c r="AN1638" t="s">
        <v>95</v>
      </c>
      <c r="AO1638" t="s">
        <v>95</v>
      </c>
      <c r="AP1638" t="s">
        <v>95</v>
      </c>
      <c r="AQ1638" t="s">
        <v>95</v>
      </c>
      <c r="AR1638" t="s">
        <v>95</v>
      </c>
      <c r="AS1638" t="s">
        <v>95</v>
      </c>
      <c r="AT1638" t="s">
        <v>95</v>
      </c>
      <c r="AU1638" t="s">
        <v>95</v>
      </c>
      <c r="AW1638" t="s">
        <v>95</v>
      </c>
      <c r="AX1638">
        <v>1</v>
      </c>
      <c r="AY1638">
        <v>458</v>
      </c>
      <c r="AZ1638">
        <v>458</v>
      </c>
      <c r="BA1638">
        <v>582</v>
      </c>
      <c r="BB1638">
        <v>44</v>
      </c>
      <c r="BC1638" t="s">
        <v>96</v>
      </c>
      <c r="BD1638">
        <v>1</v>
      </c>
      <c r="BF1638" t="s">
        <v>1789</v>
      </c>
      <c r="BG1638" s="1">
        <v>44354.595138888886</v>
      </c>
      <c r="BH1638" s="1">
        <v>44354.606180555558</v>
      </c>
      <c r="BI1638" s="1">
        <v>44354.607974537037</v>
      </c>
      <c r="BJ1638" t="s">
        <v>85</v>
      </c>
      <c r="BK1638" t="s">
        <v>86</v>
      </c>
      <c r="BL1638" t="s">
        <v>87</v>
      </c>
    </row>
    <row r="1639" spans="1:64" x14ac:dyDescent="0.3">
      <c r="A1639" t="str">
        <f>"200954B0000"</f>
        <v>200954B0000</v>
      </c>
      <c r="B1639" t="str">
        <f>"200954B00003"</f>
        <v>200954B00003</v>
      </c>
      <c r="C1639" t="str">
        <f t="shared" si="96"/>
        <v>20</v>
      </c>
      <c r="D1639" t="s">
        <v>81</v>
      </c>
      <c r="E1639" t="str">
        <f t="shared" si="98"/>
        <v>167</v>
      </c>
      <c r="F1639" t="s">
        <v>1784</v>
      </c>
      <c r="G1639" t="str">
        <f>"0954"</f>
        <v>0954</v>
      </c>
      <c r="H1639" t="str">
        <f>"0000"</f>
        <v>0000</v>
      </c>
      <c r="I1639" t="s">
        <v>83</v>
      </c>
      <c r="J1639">
        <v>0</v>
      </c>
      <c r="K1639">
        <v>1</v>
      </c>
      <c r="L1639">
        <v>3</v>
      </c>
      <c r="M1639">
        <v>235</v>
      </c>
      <c r="N1639">
        <v>547</v>
      </c>
      <c r="O1639">
        <v>0</v>
      </c>
      <c r="P1639">
        <v>547</v>
      </c>
      <c r="Q1639" t="s">
        <v>95</v>
      </c>
      <c r="R1639">
        <v>263</v>
      </c>
      <c r="S1639" t="s">
        <v>95</v>
      </c>
      <c r="T1639">
        <v>1</v>
      </c>
      <c r="U1639">
        <v>4</v>
      </c>
      <c r="X1639">
        <v>269</v>
      </c>
      <c r="Y1639" t="s">
        <v>95</v>
      </c>
      <c r="Z1639">
        <v>4</v>
      </c>
      <c r="AJ1639">
        <v>0</v>
      </c>
      <c r="AK1639">
        <v>1</v>
      </c>
      <c r="AL1639" t="s">
        <v>95</v>
      </c>
      <c r="AM1639" t="s">
        <v>95</v>
      </c>
      <c r="AN1639" t="s">
        <v>95</v>
      </c>
      <c r="AO1639" t="s">
        <v>95</v>
      </c>
      <c r="AP1639" t="s">
        <v>95</v>
      </c>
      <c r="AQ1639" t="s">
        <v>95</v>
      </c>
      <c r="AR1639" t="s">
        <v>95</v>
      </c>
      <c r="AS1639" t="s">
        <v>95</v>
      </c>
      <c r="AT1639" t="s">
        <v>95</v>
      </c>
      <c r="AU1639">
        <v>0</v>
      </c>
      <c r="AW1639">
        <v>0</v>
      </c>
      <c r="AX1639">
        <v>4</v>
      </c>
      <c r="AY1639">
        <v>547</v>
      </c>
      <c r="AZ1639">
        <v>546</v>
      </c>
      <c r="BA1639">
        <v>737</v>
      </c>
      <c r="BB1639">
        <v>44</v>
      </c>
      <c r="BC1639" t="s">
        <v>96</v>
      </c>
      <c r="BD1639">
        <v>1</v>
      </c>
      <c r="BF1639" t="s">
        <v>1790</v>
      </c>
      <c r="BG1639" s="1">
        <v>44354.595138888886</v>
      </c>
      <c r="BH1639" s="1">
        <v>44354.606458333335</v>
      </c>
      <c r="BI1639" s="1">
        <v>44354.607638888891</v>
      </c>
      <c r="BJ1639" t="s">
        <v>85</v>
      </c>
      <c r="BK1639" t="s">
        <v>86</v>
      </c>
      <c r="BL1639" t="s">
        <v>87</v>
      </c>
    </row>
    <row r="1640" spans="1:64" x14ac:dyDescent="0.3">
      <c r="A1640" t="str">
        <f>"200962B0000"</f>
        <v>200962B0000</v>
      </c>
      <c r="B1640" t="str">
        <f>"200962B00003"</f>
        <v>200962B00003</v>
      </c>
      <c r="C1640" t="str">
        <f t="shared" si="96"/>
        <v>20</v>
      </c>
      <c r="D1640" t="s">
        <v>81</v>
      </c>
      <c r="E1640" t="str">
        <f t="shared" ref="E1640:E1666" si="99">"170"</f>
        <v>170</v>
      </c>
      <c r="F1640" t="s">
        <v>1791</v>
      </c>
      <c r="G1640" t="str">
        <f>"0962"</f>
        <v>0962</v>
      </c>
      <c r="H1640" t="str">
        <f>"0000"</f>
        <v>0000</v>
      </c>
      <c r="I1640" t="s">
        <v>83</v>
      </c>
      <c r="J1640">
        <v>0</v>
      </c>
      <c r="K1640">
        <v>1</v>
      </c>
      <c r="L1640">
        <v>3</v>
      </c>
      <c r="M1640">
        <v>126</v>
      </c>
      <c r="N1640">
        <v>494</v>
      </c>
      <c r="O1640">
        <v>2</v>
      </c>
      <c r="P1640">
        <v>494</v>
      </c>
      <c r="Q1640">
        <v>21</v>
      </c>
      <c r="R1640">
        <v>168</v>
      </c>
      <c r="S1640">
        <v>25</v>
      </c>
      <c r="T1640">
        <v>3</v>
      </c>
      <c r="U1640">
        <v>226</v>
      </c>
      <c r="W1640">
        <v>33</v>
      </c>
      <c r="X1640">
        <v>1</v>
      </c>
      <c r="Y1640">
        <v>1</v>
      </c>
      <c r="Z1640">
        <v>0</v>
      </c>
      <c r="AK1640">
        <v>4</v>
      </c>
      <c r="AO1640">
        <v>0</v>
      </c>
      <c r="AP1640">
        <v>0</v>
      </c>
      <c r="AR1640">
        <v>1</v>
      </c>
      <c r="AU1640">
        <v>2</v>
      </c>
      <c r="AW1640">
        <v>0</v>
      </c>
      <c r="AX1640">
        <v>9</v>
      </c>
      <c r="AY1640">
        <v>494</v>
      </c>
      <c r="AZ1640">
        <v>494</v>
      </c>
      <c r="BA1640">
        <v>577</v>
      </c>
      <c r="BB1640">
        <v>44</v>
      </c>
      <c r="BD1640">
        <v>1</v>
      </c>
      <c r="BF1640" t="s">
        <v>1792</v>
      </c>
      <c r="BG1640" s="1">
        <v>44354.017361111109</v>
      </c>
      <c r="BH1640" s="1">
        <v>44354.026307870372</v>
      </c>
      <c r="BI1640" s="1">
        <v>44354.027060185188</v>
      </c>
      <c r="BJ1640" t="s">
        <v>85</v>
      </c>
      <c r="BK1640" t="s">
        <v>86</v>
      </c>
      <c r="BL1640" t="s">
        <v>87</v>
      </c>
    </row>
    <row r="1641" spans="1:64" x14ac:dyDescent="0.3">
      <c r="A1641" t="str">
        <f>"200962C0100"</f>
        <v>200962C0100</v>
      </c>
      <c r="B1641" t="str">
        <f>"200962C01003"</f>
        <v>200962C01003</v>
      </c>
      <c r="C1641" t="str">
        <f t="shared" si="96"/>
        <v>20</v>
      </c>
      <c r="D1641" t="s">
        <v>81</v>
      </c>
      <c r="E1641" t="str">
        <f t="shared" si="99"/>
        <v>170</v>
      </c>
      <c r="F1641" t="s">
        <v>1791</v>
      </c>
      <c r="G1641" t="str">
        <f>"0962"</f>
        <v>0962</v>
      </c>
      <c r="H1641" t="str">
        <f>"0001"</f>
        <v>0001</v>
      </c>
      <c r="I1641" t="s">
        <v>89</v>
      </c>
      <c r="J1641">
        <v>0</v>
      </c>
      <c r="K1641">
        <v>1</v>
      </c>
      <c r="L1641">
        <v>3</v>
      </c>
      <c r="M1641">
        <v>139</v>
      </c>
      <c r="N1641">
        <v>481</v>
      </c>
      <c r="O1641">
        <v>10</v>
      </c>
      <c r="P1641">
        <v>481</v>
      </c>
      <c r="Q1641">
        <v>28</v>
      </c>
      <c r="R1641">
        <v>147</v>
      </c>
      <c r="S1641">
        <v>25</v>
      </c>
      <c r="T1641">
        <v>9</v>
      </c>
      <c r="U1641">
        <v>215</v>
      </c>
      <c r="W1641">
        <v>42</v>
      </c>
      <c r="X1641">
        <v>1</v>
      </c>
      <c r="Y1641">
        <v>0</v>
      </c>
      <c r="Z1641">
        <v>1</v>
      </c>
      <c r="AK1641">
        <v>2</v>
      </c>
      <c r="AO1641">
        <v>0</v>
      </c>
      <c r="AP1641">
        <v>0</v>
      </c>
      <c r="AR1641">
        <v>0</v>
      </c>
      <c r="AU1641">
        <v>3</v>
      </c>
      <c r="AW1641">
        <v>0</v>
      </c>
      <c r="AX1641">
        <v>8</v>
      </c>
      <c r="AY1641">
        <v>481</v>
      </c>
      <c r="AZ1641">
        <v>481</v>
      </c>
      <c r="BA1641">
        <v>576</v>
      </c>
      <c r="BB1641">
        <v>44</v>
      </c>
      <c r="BD1641">
        <v>1</v>
      </c>
      <c r="BF1641" t="s">
        <v>1793</v>
      </c>
      <c r="BG1641" s="1">
        <v>44353.96875</v>
      </c>
      <c r="BH1641" s="1">
        <v>44353.970590277779</v>
      </c>
      <c r="BI1641" s="1">
        <v>44353.971018518518</v>
      </c>
      <c r="BJ1641" t="s">
        <v>85</v>
      </c>
      <c r="BK1641" t="s">
        <v>86</v>
      </c>
      <c r="BL1641" t="s">
        <v>87</v>
      </c>
    </row>
    <row r="1642" spans="1:64" x14ac:dyDescent="0.3">
      <c r="A1642" t="str">
        <f>"200962C0200"</f>
        <v>200962C0200</v>
      </c>
      <c r="B1642" t="str">
        <f>"200962C02003"</f>
        <v>200962C02003</v>
      </c>
      <c r="C1642" t="str">
        <f t="shared" si="96"/>
        <v>20</v>
      </c>
      <c r="D1642" t="s">
        <v>81</v>
      </c>
      <c r="E1642" t="str">
        <f t="shared" si="99"/>
        <v>170</v>
      </c>
      <c r="F1642" t="s">
        <v>1791</v>
      </c>
      <c r="G1642" t="str">
        <f>"0962"</f>
        <v>0962</v>
      </c>
      <c r="H1642" t="str">
        <f>"0002"</f>
        <v>0002</v>
      </c>
      <c r="I1642" t="s">
        <v>89</v>
      </c>
      <c r="J1642">
        <v>0</v>
      </c>
      <c r="K1642">
        <v>1</v>
      </c>
      <c r="L1642">
        <v>3</v>
      </c>
      <c r="M1642">
        <v>144</v>
      </c>
      <c r="N1642">
        <v>476</v>
      </c>
      <c r="O1642">
        <v>5</v>
      </c>
      <c r="P1642">
        <v>476</v>
      </c>
      <c r="Q1642">
        <v>30</v>
      </c>
      <c r="R1642">
        <v>120</v>
      </c>
      <c r="S1642">
        <v>13</v>
      </c>
      <c r="T1642">
        <v>11</v>
      </c>
      <c r="U1642">
        <v>210</v>
      </c>
      <c r="W1642">
        <v>60</v>
      </c>
      <c r="X1642">
        <v>3</v>
      </c>
      <c r="Y1642">
        <v>1</v>
      </c>
      <c r="Z1642">
        <v>0</v>
      </c>
      <c r="AK1642">
        <v>0</v>
      </c>
      <c r="AO1642">
        <v>0</v>
      </c>
      <c r="AP1642">
        <v>0</v>
      </c>
      <c r="AR1642">
        <v>0</v>
      </c>
      <c r="AU1642">
        <v>2</v>
      </c>
      <c r="AW1642">
        <v>0</v>
      </c>
      <c r="AX1642">
        <v>26</v>
      </c>
      <c r="AY1642">
        <v>476</v>
      </c>
      <c r="AZ1642">
        <v>476</v>
      </c>
      <c r="BA1642">
        <v>576</v>
      </c>
      <c r="BB1642">
        <v>44</v>
      </c>
      <c r="BD1642">
        <v>1</v>
      </c>
      <c r="BF1642" t="s">
        <v>1794</v>
      </c>
      <c r="BG1642" s="1">
        <v>44353.936805555553</v>
      </c>
      <c r="BH1642" s="1">
        <v>44353.939872685187</v>
      </c>
      <c r="BI1642" s="1">
        <v>44353.940787037034</v>
      </c>
      <c r="BJ1642" t="s">
        <v>85</v>
      </c>
      <c r="BK1642" t="s">
        <v>86</v>
      </c>
      <c r="BL1642" t="s">
        <v>87</v>
      </c>
    </row>
    <row r="1643" spans="1:64" x14ac:dyDescent="0.3">
      <c r="A1643" t="str">
        <f>"200962C0300"</f>
        <v>200962C0300</v>
      </c>
      <c r="B1643" t="str">
        <f>"200962C03003"</f>
        <v>200962C03003</v>
      </c>
      <c r="C1643" t="str">
        <f t="shared" si="96"/>
        <v>20</v>
      </c>
      <c r="D1643" t="s">
        <v>81</v>
      </c>
      <c r="E1643" t="str">
        <f t="shared" si="99"/>
        <v>170</v>
      </c>
      <c r="F1643" t="s">
        <v>1791</v>
      </c>
      <c r="G1643" t="str">
        <f>"0962"</f>
        <v>0962</v>
      </c>
      <c r="H1643" t="str">
        <f>"0003"</f>
        <v>0003</v>
      </c>
      <c r="I1643" t="s">
        <v>89</v>
      </c>
      <c r="J1643">
        <v>0</v>
      </c>
      <c r="K1643">
        <v>1</v>
      </c>
      <c r="L1643">
        <v>3</v>
      </c>
      <c r="M1643">
        <v>154</v>
      </c>
      <c r="N1643">
        <v>466</v>
      </c>
      <c r="O1643">
        <v>6</v>
      </c>
      <c r="P1643">
        <v>466</v>
      </c>
      <c r="Q1643">
        <v>14</v>
      </c>
      <c r="R1643">
        <v>123</v>
      </c>
      <c r="S1643">
        <v>18</v>
      </c>
      <c r="T1643">
        <v>1</v>
      </c>
      <c r="U1643">
        <v>231</v>
      </c>
      <c r="W1643">
        <v>54</v>
      </c>
      <c r="X1643">
        <v>3</v>
      </c>
      <c r="Y1643">
        <v>1</v>
      </c>
      <c r="Z1643">
        <v>0</v>
      </c>
      <c r="AK1643">
        <v>0</v>
      </c>
      <c r="AO1643">
        <v>4</v>
      </c>
      <c r="AP1643">
        <v>0</v>
      </c>
      <c r="AR1643">
        <v>0</v>
      </c>
      <c r="AU1643">
        <v>3</v>
      </c>
      <c r="AW1643">
        <v>0</v>
      </c>
      <c r="AX1643">
        <v>14</v>
      </c>
      <c r="AY1643">
        <v>466</v>
      </c>
      <c r="AZ1643">
        <v>466</v>
      </c>
      <c r="BA1643">
        <v>576</v>
      </c>
      <c r="BB1643">
        <v>44</v>
      </c>
      <c r="BD1643">
        <v>1</v>
      </c>
      <c r="BF1643" s="2" t="s">
        <v>1795</v>
      </c>
      <c r="BG1643" s="1">
        <v>44353.956250000003</v>
      </c>
      <c r="BH1643" s="1">
        <v>44353.961180555554</v>
      </c>
      <c r="BI1643" s="1">
        <v>44353.962685185186</v>
      </c>
      <c r="BJ1643" t="s">
        <v>85</v>
      </c>
      <c r="BK1643" t="s">
        <v>86</v>
      </c>
      <c r="BL1643" t="s">
        <v>87</v>
      </c>
    </row>
    <row r="1644" spans="1:64" x14ac:dyDescent="0.3">
      <c r="A1644" t="str">
        <f>"200963B0000"</f>
        <v>200963B0000</v>
      </c>
      <c r="B1644" t="str">
        <f>"200963B00003"</f>
        <v>200963B00003</v>
      </c>
      <c r="C1644" t="str">
        <f t="shared" si="96"/>
        <v>20</v>
      </c>
      <c r="D1644" t="s">
        <v>81</v>
      </c>
      <c r="E1644" t="str">
        <f t="shared" si="99"/>
        <v>170</v>
      </c>
      <c r="F1644" t="s">
        <v>1791</v>
      </c>
      <c r="G1644" t="str">
        <f>"0963"</f>
        <v>0963</v>
      </c>
      <c r="H1644" t="str">
        <f>"0000"</f>
        <v>0000</v>
      </c>
      <c r="I1644" t="s">
        <v>83</v>
      </c>
      <c r="J1644">
        <v>0</v>
      </c>
      <c r="K1644">
        <v>1</v>
      </c>
      <c r="L1644">
        <v>3</v>
      </c>
      <c r="M1644">
        <v>146</v>
      </c>
      <c r="N1644">
        <v>396</v>
      </c>
      <c r="O1644">
        <v>0</v>
      </c>
      <c r="P1644" t="s">
        <v>92</v>
      </c>
      <c r="Q1644">
        <v>15</v>
      </c>
      <c r="R1644">
        <v>127</v>
      </c>
      <c r="S1644">
        <v>3</v>
      </c>
      <c r="T1644">
        <v>0</v>
      </c>
      <c r="U1644">
        <v>236</v>
      </c>
      <c r="W1644">
        <v>0</v>
      </c>
      <c r="X1644">
        <v>0</v>
      </c>
      <c r="Y1644">
        <v>1</v>
      </c>
      <c r="Z1644">
        <v>0</v>
      </c>
      <c r="AK1644">
        <v>2</v>
      </c>
      <c r="AO1644">
        <v>1</v>
      </c>
      <c r="AP1644">
        <v>1</v>
      </c>
      <c r="AR1644">
        <v>0</v>
      </c>
      <c r="AU1644">
        <v>0</v>
      </c>
      <c r="AW1644">
        <v>0</v>
      </c>
      <c r="AX1644">
        <v>9</v>
      </c>
      <c r="AY1644">
        <v>396</v>
      </c>
      <c r="AZ1644">
        <v>395</v>
      </c>
      <c r="BA1644">
        <v>498</v>
      </c>
      <c r="BB1644">
        <v>44</v>
      </c>
      <c r="BD1644">
        <v>1</v>
      </c>
      <c r="BF1644" t="s">
        <v>1796</v>
      </c>
      <c r="BG1644" s="1">
        <v>44354.0625</v>
      </c>
      <c r="BH1644" s="1">
        <v>44354.06890046296</v>
      </c>
      <c r="BI1644" s="1">
        <v>44354.069953703707</v>
      </c>
      <c r="BJ1644" t="s">
        <v>85</v>
      </c>
      <c r="BK1644" t="s">
        <v>86</v>
      </c>
      <c r="BL1644" t="s">
        <v>87</v>
      </c>
    </row>
    <row r="1645" spans="1:64" x14ac:dyDescent="0.3">
      <c r="A1645" t="str">
        <f>"200964B0000"</f>
        <v>200964B0000</v>
      </c>
      <c r="B1645" t="str">
        <f>"200964B00003"</f>
        <v>200964B00003</v>
      </c>
      <c r="C1645" t="str">
        <f t="shared" si="96"/>
        <v>20</v>
      </c>
      <c r="D1645" t="s">
        <v>81</v>
      </c>
      <c r="E1645" t="str">
        <f t="shared" si="99"/>
        <v>170</v>
      </c>
      <c r="F1645" t="s">
        <v>1791</v>
      </c>
      <c r="G1645" t="str">
        <f>"0964"</f>
        <v>0964</v>
      </c>
      <c r="H1645" t="str">
        <f>"0000"</f>
        <v>0000</v>
      </c>
      <c r="I1645" t="s">
        <v>83</v>
      </c>
      <c r="J1645">
        <v>0</v>
      </c>
      <c r="K1645">
        <v>1</v>
      </c>
      <c r="L1645">
        <v>3</v>
      </c>
      <c r="M1645">
        <v>95</v>
      </c>
      <c r="N1645">
        <v>291</v>
      </c>
      <c r="O1645">
        <v>2</v>
      </c>
      <c r="P1645">
        <v>191</v>
      </c>
      <c r="Q1645" t="s">
        <v>95</v>
      </c>
      <c r="R1645">
        <v>140</v>
      </c>
      <c r="S1645">
        <v>0</v>
      </c>
      <c r="T1645">
        <v>3</v>
      </c>
      <c r="U1645">
        <v>136</v>
      </c>
      <c r="W1645">
        <v>2</v>
      </c>
      <c r="X1645">
        <v>2</v>
      </c>
      <c r="Y1645">
        <v>0</v>
      </c>
      <c r="Z1645">
        <v>0</v>
      </c>
      <c r="AK1645">
        <v>5</v>
      </c>
      <c r="AO1645">
        <v>0</v>
      </c>
      <c r="AP1645">
        <v>0</v>
      </c>
      <c r="AR1645">
        <v>0</v>
      </c>
      <c r="AU1645">
        <v>0</v>
      </c>
      <c r="AW1645">
        <v>0</v>
      </c>
      <c r="AX1645">
        <v>3</v>
      </c>
      <c r="AY1645">
        <v>191</v>
      </c>
      <c r="AZ1645">
        <v>291</v>
      </c>
      <c r="BA1645">
        <v>342</v>
      </c>
      <c r="BB1645">
        <v>44</v>
      </c>
      <c r="BC1645" t="s">
        <v>96</v>
      </c>
      <c r="BD1645">
        <v>1</v>
      </c>
      <c r="BF1645" t="s">
        <v>1797</v>
      </c>
      <c r="BG1645" s="1">
        <v>44354.059027777781</v>
      </c>
      <c r="BH1645" s="1">
        <v>44354.064351851855</v>
      </c>
      <c r="BI1645" s="1">
        <v>44354.064884259256</v>
      </c>
      <c r="BJ1645" t="s">
        <v>85</v>
      </c>
      <c r="BK1645" t="s">
        <v>86</v>
      </c>
      <c r="BL1645" t="s">
        <v>87</v>
      </c>
    </row>
    <row r="1646" spans="1:64" x14ac:dyDescent="0.3">
      <c r="A1646" t="str">
        <f>"200965B0000"</f>
        <v>200965B0000</v>
      </c>
      <c r="B1646" t="str">
        <f>"200965B00003"</f>
        <v>200965B00003</v>
      </c>
      <c r="C1646" t="str">
        <f t="shared" si="96"/>
        <v>20</v>
      </c>
      <c r="D1646" t="s">
        <v>81</v>
      </c>
      <c r="E1646" t="str">
        <f t="shared" si="99"/>
        <v>170</v>
      </c>
      <c r="F1646" t="s">
        <v>1791</v>
      </c>
      <c r="G1646" t="str">
        <f>"0965"</f>
        <v>0965</v>
      </c>
      <c r="H1646" t="str">
        <f>"0000"</f>
        <v>0000</v>
      </c>
      <c r="I1646" t="s">
        <v>83</v>
      </c>
      <c r="J1646">
        <v>0</v>
      </c>
      <c r="K1646">
        <v>1</v>
      </c>
      <c r="L1646">
        <v>3</v>
      </c>
      <c r="M1646">
        <v>191</v>
      </c>
      <c r="N1646">
        <v>400</v>
      </c>
      <c r="O1646">
        <v>2</v>
      </c>
      <c r="P1646">
        <v>401</v>
      </c>
      <c r="Q1646">
        <v>32</v>
      </c>
      <c r="R1646">
        <v>152</v>
      </c>
      <c r="S1646">
        <v>5</v>
      </c>
      <c r="T1646">
        <v>25</v>
      </c>
      <c r="U1646">
        <v>166</v>
      </c>
      <c r="W1646">
        <v>1</v>
      </c>
      <c r="X1646">
        <v>0</v>
      </c>
      <c r="Y1646">
        <v>1</v>
      </c>
      <c r="Z1646">
        <v>0</v>
      </c>
      <c r="AK1646">
        <v>1</v>
      </c>
      <c r="AO1646">
        <v>0</v>
      </c>
      <c r="AP1646">
        <v>2</v>
      </c>
      <c r="AR1646">
        <v>0</v>
      </c>
      <c r="AU1646">
        <v>1</v>
      </c>
      <c r="AW1646">
        <v>0</v>
      </c>
      <c r="AX1646">
        <v>15</v>
      </c>
      <c r="AY1646">
        <v>401</v>
      </c>
      <c r="AZ1646">
        <v>401</v>
      </c>
      <c r="BA1646">
        <v>547</v>
      </c>
      <c r="BB1646">
        <v>44</v>
      </c>
      <c r="BD1646">
        <v>1</v>
      </c>
      <c r="BF1646" t="s">
        <v>1798</v>
      </c>
      <c r="BG1646" s="1">
        <v>44354.117361111108</v>
      </c>
      <c r="BH1646" s="1">
        <v>44354.122152777774</v>
      </c>
      <c r="BI1646" s="1">
        <v>44354.12259259259</v>
      </c>
      <c r="BJ1646" t="s">
        <v>85</v>
      </c>
      <c r="BK1646" t="s">
        <v>86</v>
      </c>
      <c r="BL1646" t="s">
        <v>87</v>
      </c>
    </row>
    <row r="1647" spans="1:64" x14ac:dyDescent="0.3">
      <c r="A1647" t="str">
        <f>"200966B0000"</f>
        <v>200966B0000</v>
      </c>
      <c r="B1647" t="str">
        <f>"200966B00003"</f>
        <v>200966B00003</v>
      </c>
      <c r="C1647" t="str">
        <f t="shared" si="96"/>
        <v>20</v>
      </c>
      <c r="D1647" t="s">
        <v>81</v>
      </c>
      <c r="E1647" t="str">
        <f t="shared" si="99"/>
        <v>170</v>
      </c>
      <c r="F1647" t="s">
        <v>1791</v>
      </c>
      <c r="G1647" t="str">
        <f>"0966"</f>
        <v>0966</v>
      </c>
      <c r="H1647" t="str">
        <f>"0000"</f>
        <v>0000</v>
      </c>
      <c r="I1647" t="s">
        <v>83</v>
      </c>
      <c r="J1647">
        <v>0</v>
      </c>
      <c r="K1647">
        <v>1</v>
      </c>
      <c r="L1647">
        <v>3</v>
      </c>
      <c r="M1647">
        <v>143</v>
      </c>
      <c r="N1647">
        <v>551</v>
      </c>
      <c r="O1647">
        <v>0</v>
      </c>
      <c r="P1647">
        <v>408</v>
      </c>
      <c r="Q1647">
        <v>170</v>
      </c>
      <c r="R1647">
        <v>43</v>
      </c>
      <c r="S1647">
        <v>11</v>
      </c>
      <c r="T1647">
        <v>1</v>
      </c>
      <c r="U1647">
        <v>174</v>
      </c>
      <c r="W1647">
        <v>2</v>
      </c>
      <c r="X1647">
        <v>1</v>
      </c>
      <c r="Y1647">
        <v>1</v>
      </c>
      <c r="Z1647">
        <v>0</v>
      </c>
      <c r="AK1647" t="s">
        <v>95</v>
      </c>
      <c r="AO1647" t="s">
        <v>95</v>
      </c>
      <c r="AP1647" t="s">
        <v>95</v>
      </c>
      <c r="AR1647" t="s">
        <v>95</v>
      </c>
      <c r="AU1647">
        <v>1</v>
      </c>
      <c r="AW1647" t="s">
        <v>95</v>
      </c>
      <c r="AX1647">
        <v>4</v>
      </c>
      <c r="AY1647">
        <v>408</v>
      </c>
      <c r="AZ1647">
        <v>408</v>
      </c>
      <c r="BA1647">
        <v>508</v>
      </c>
      <c r="BB1647">
        <v>44</v>
      </c>
      <c r="BC1647" t="s">
        <v>96</v>
      </c>
      <c r="BD1647">
        <v>1</v>
      </c>
      <c r="BF1647" t="s">
        <v>1799</v>
      </c>
      <c r="BG1647" s="1">
        <v>44354.114583333336</v>
      </c>
      <c r="BH1647" s="1">
        <v>44354.118101851855</v>
      </c>
      <c r="BI1647" s="1">
        <v>44354.118541666663</v>
      </c>
      <c r="BJ1647" t="s">
        <v>85</v>
      </c>
      <c r="BK1647" t="s">
        <v>86</v>
      </c>
      <c r="BL1647" t="s">
        <v>87</v>
      </c>
    </row>
    <row r="1648" spans="1:64" x14ac:dyDescent="0.3">
      <c r="A1648" t="str">
        <f>"200966E0100"</f>
        <v>200966E0100</v>
      </c>
      <c r="B1648" t="str">
        <f>"200966E01003"</f>
        <v>200966E01003</v>
      </c>
      <c r="C1648" t="str">
        <f t="shared" si="96"/>
        <v>20</v>
      </c>
      <c r="D1648" t="s">
        <v>81</v>
      </c>
      <c r="E1648" t="str">
        <f t="shared" si="99"/>
        <v>170</v>
      </c>
      <c r="F1648" t="s">
        <v>1791</v>
      </c>
      <c r="G1648" t="str">
        <f>"0966"</f>
        <v>0966</v>
      </c>
      <c r="H1648" t="str">
        <f>"0001"</f>
        <v>0001</v>
      </c>
      <c r="I1648" t="s">
        <v>122</v>
      </c>
      <c r="J1648">
        <v>0</v>
      </c>
      <c r="K1648">
        <v>1</v>
      </c>
      <c r="L1648">
        <v>3</v>
      </c>
      <c r="M1648">
        <v>121</v>
      </c>
      <c r="N1648">
        <v>311</v>
      </c>
      <c r="O1648">
        <v>1</v>
      </c>
      <c r="P1648">
        <v>311</v>
      </c>
      <c r="Q1648">
        <v>5</v>
      </c>
      <c r="R1648">
        <v>145</v>
      </c>
      <c r="S1648">
        <v>11</v>
      </c>
      <c r="T1648">
        <v>17</v>
      </c>
      <c r="U1648">
        <v>121</v>
      </c>
      <c r="W1648">
        <v>1</v>
      </c>
      <c r="X1648">
        <v>1</v>
      </c>
      <c r="Y1648">
        <v>0</v>
      </c>
      <c r="Z1648">
        <v>0</v>
      </c>
      <c r="AK1648" t="s">
        <v>95</v>
      </c>
      <c r="AO1648">
        <v>1</v>
      </c>
      <c r="AP1648" t="s">
        <v>95</v>
      </c>
      <c r="AR1648" t="s">
        <v>95</v>
      </c>
      <c r="AU1648" t="s">
        <v>95</v>
      </c>
      <c r="AW1648" t="s">
        <v>95</v>
      </c>
      <c r="AX1648">
        <v>9</v>
      </c>
      <c r="AY1648">
        <v>311</v>
      </c>
      <c r="AZ1648">
        <v>311</v>
      </c>
      <c r="BA1648">
        <v>388</v>
      </c>
      <c r="BB1648">
        <v>44</v>
      </c>
      <c r="BC1648" t="s">
        <v>96</v>
      </c>
      <c r="BD1648">
        <v>1</v>
      </c>
      <c r="BF1648" t="s">
        <v>1800</v>
      </c>
      <c r="BG1648" s="1">
        <v>44354.12222222222</v>
      </c>
      <c r="BH1648" s="1">
        <v>44354.125057870369</v>
      </c>
      <c r="BI1648" s="1">
        <v>44354.125509259262</v>
      </c>
      <c r="BJ1648" t="s">
        <v>85</v>
      </c>
      <c r="BK1648" t="s">
        <v>86</v>
      </c>
      <c r="BL1648" t="s">
        <v>87</v>
      </c>
    </row>
    <row r="1649" spans="1:64" x14ac:dyDescent="0.3">
      <c r="A1649" t="str">
        <f>"200967B0000"</f>
        <v>200967B0000</v>
      </c>
      <c r="B1649" t="str">
        <f>"200967B00003"</f>
        <v>200967B00003</v>
      </c>
      <c r="C1649" t="str">
        <f t="shared" si="96"/>
        <v>20</v>
      </c>
      <c r="D1649" t="s">
        <v>81</v>
      </c>
      <c r="E1649" t="str">
        <f t="shared" si="99"/>
        <v>170</v>
      </c>
      <c r="F1649" t="s">
        <v>1791</v>
      </c>
      <c r="G1649" t="str">
        <f>"0967"</f>
        <v>0967</v>
      </c>
      <c r="H1649" t="str">
        <f>"0000"</f>
        <v>0000</v>
      </c>
      <c r="I1649" t="s">
        <v>83</v>
      </c>
      <c r="J1649">
        <v>0</v>
      </c>
      <c r="K1649">
        <v>1</v>
      </c>
      <c r="L1649">
        <v>3</v>
      </c>
      <c r="M1649">
        <v>200</v>
      </c>
      <c r="N1649">
        <v>479</v>
      </c>
      <c r="O1649">
        <v>9</v>
      </c>
      <c r="P1649">
        <v>479</v>
      </c>
      <c r="Q1649">
        <v>5</v>
      </c>
      <c r="R1649">
        <v>256</v>
      </c>
      <c r="S1649">
        <v>41</v>
      </c>
      <c r="T1649">
        <v>3</v>
      </c>
      <c r="U1649">
        <v>157</v>
      </c>
      <c r="W1649">
        <v>10</v>
      </c>
      <c r="X1649">
        <v>0</v>
      </c>
      <c r="Y1649">
        <v>0</v>
      </c>
      <c r="Z1649">
        <v>0</v>
      </c>
      <c r="AK1649">
        <v>2</v>
      </c>
      <c r="AO1649">
        <v>0</v>
      </c>
      <c r="AP1649">
        <v>0</v>
      </c>
      <c r="AR1649">
        <v>0</v>
      </c>
      <c r="AU1649">
        <v>0</v>
      </c>
      <c r="AW1649">
        <v>0</v>
      </c>
      <c r="AX1649">
        <v>5</v>
      </c>
      <c r="AY1649">
        <v>479</v>
      </c>
      <c r="AZ1649">
        <v>479</v>
      </c>
      <c r="BA1649">
        <v>635</v>
      </c>
      <c r="BB1649">
        <v>44</v>
      </c>
      <c r="BD1649">
        <v>1</v>
      </c>
      <c r="BF1649" t="s">
        <v>1801</v>
      </c>
      <c r="BG1649" s="1">
        <v>44354.099305555559</v>
      </c>
      <c r="BH1649" s="1">
        <v>44354.102951388886</v>
      </c>
      <c r="BI1649" s="1">
        <v>44354.104386574072</v>
      </c>
      <c r="BJ1649" t="s">
        <v>85</v>
      </c>
      <c r="BK1649" t="s">
        <v>86</v>
      </c>
      <c r="BL1649" t="s">
        <v>87</v>
      </c>
    </row>
    <row r="1650" spans="1:64" x14ac:dyDescent="0.3">
      <c r="A1650" t="str">
        <f>"200968B0000"</f>
        <v>200968B0000</v>
      </c>
      <c r="B1650" t="str">
        <f>"200968B00003"</f>
        <v>200968B00003</v>
      </c>
      <c r="C1650" t="str">
        <f t="shared" si="96"/>
        <v>20</v>
      </c>
      <c r="D1650" t="s">
        <v>81</v>
      </c>
      <c r="E1650" t="str">
        <f t="shared" si="99"/>
        <v>170</v>
      </c>
      <c r="F1650" t="s">
        <v>1791</v>
      </c>
      <c r="G1650" t="str">
        <f>"0968"</f>
        <v>0968</v>
      </c>
      <c r="H1650" t="str">
        <f>"0000"</f>
        <v>0000</v>
      </c>
      <c r="I1650" t="s">
        <v>83</v>
      </c>
      <c r="J1650">
        <v>0</v>
      </c>
      <c r="K1650">
        <v>1</v>
      </c>
      <c r="L1650">
        <v>3</v>
      </c>
      <c r="M1650">
        <v>147</v>
      </c>
      <c r="N1650">
        <v>196</v>
      </c>
      <c r="O1650">
        <v>3</v>
      </c>
      <c r="P1650">
        <v>196</v>
      </c>
      <c r="Q1650">
        <v>1</v>
      </c>
      <c r="R1650">
        <v>94</v>
      </c>
      <c r="S1650">
        <v>6</v>
      </c>
      <c r="T1650">
        <v>4</v>
      </c>
      <c r="U1650">
        <v>84</v>
      </c>
      <c r="W1650">
        <v>1</v>
      </c>
      <c r="X1650">
        <v>0</v>
      </c>
      <c r="Y1650">
        <v>0</v>
      </c>
      <c r="Z1650">
        <v>0</v>
      </c>
      <c r="AK1650">
        <v>0</v>
      </c>
      <c r="AO1650">
        <v>0</v>
      </c>
      <c r="AP1650">
        <v>0</v>
      </c>
      <c r="AR1650">
        <v>0</v>
      </c>
      <c r="AU1650">
        <v>2</v>
      </c>
      <c r="AW1650">
        <v>0</v>
      </c>
      <c r="AX1650">
        <v>4</v>
      </c>
      <c r="AY1650">
        <v>196</v>
      </c>
      <c r="AZ1650">
        <v>196</v>
      </c>
      <c r="BA1650">
        <v>299</v>
      </c>
      <c r="BB1650">
        <v>44</v>
      </c>
      <c r="BD1650">
        <v>1</v>
      </c>
      <c r="BF1650" t="s">
        <v>1802</v>
      </c>
      <c r="BG1650" s="1">
        <v>44354.101388888892</v>
      </c>
      <c r="BH1650" s="1">
        <v>44354.104224537034</v>
      </c>
      <c r="BI1650" s="1">
        <v>44354.104780092595</v>
      </c>
      <c r="BJ1650" t="s">
        <v>85</v>
      </c>
      <c r="BK1650" t="s">
        <v>86</v>
      </c>
      <c r="BL1650" t="s">
        <v>87</v>
      </c>
    </row>
    <row r="1651" spans="1:64" x14ac:dyDescent="0.3">
      <c r="A1651" t="str">
        <f>"200969B0000"</f>
        <v>200969B0000</v>
      </c>
      <c r="B1651" t="str">
        <f>"200969B00003"</f>
        <v>200969B00003</v>
      </c>
      <c r="C1651" t="str">
        <f t="shared" si="96"/>
        <v>20</v>
      </c>
      <c r="D1651" t="s">
        <v>81</v>
      </c>
      <c r="E1651" t="str">
        <f t="shared" si="99"/>
        <v>170</v>
      </c>
      <c r="F1651" t="s">
        <v>1791</v>
      </c>
      <c r="G1651" t="str">
        <f>"0969"</f>
        <v>0969</v>
      </c>
      <c r="H1651" t="str">
        <f>"0000"</f>
        <v>0000</v>
      </c>
      <c r="I1651" t="s">
        <v>83</v>
      </c>
      <c r="J1651">
        <v>0</v>
      </c>
      <c r="K1651">
        <v>1</v>
      </c>
      <c r="L1651">
        <v>3</v>
      </c>
      <c r="M1651">
        <v>142</v>
      </c>
      <c r="N1651">
        <v>579</v>
      </c>
      <c r="O1651">
        <v>9</v>
      </c>
      <c r="P1651" t="s">
        <v>92</v>
      </c>
      <c r="Q1651">
        <v>19</v>
      </c>
      <c r="R1651">
        <v>226</v>
      </c>
      <c r="S1651">
        <v>54</v>
      </c>
      <c r="T1651">
        <v>11</v>
      </c>
      <c r="U1651">
        <v>233</v>
      </c>
      <c r="W1651">
        <v>23</v>
      </c>
      <c r="X1651">
        <v>0</v>
      </c>
      <c r="Y1651">
        <v>1</v>
      </c>
      <c r="Z1651">
        <v>0</v>
      </c>
      <c r="AK1651">
        <v>2</v>
      </c>
      <c r="AO1651">
        <v>0</v>
      </c>
      <c r="AP1651">
        <v>0</v>
      </c>
      <c r="AR1651">
        <v>1</v>
      </c>
      <c r="AU1651">
        <v>1</v>
      </c>
      <c r="AW1651">
        <v>0</v>
      </c>
      <c r="AX1651">
        <v>8</v>
      </c>
      <c r="AY1651">
        <v>579</v>
      </c>
      <c r="AZ1651">
        <v>579</v>
      </c>
      <c r="BA1651">
        <v>677</v>
      </c>
      <c r="BB1651">
        <v>44</v>
      </c>
      <c r="BD1651">
        <v>1</v>
      </c>
      <c r="BF1651" t="s">
        <v>1803</v>
      </c>
      <c r="BG1651" s="1">
        <v>44354.06527777778</v>
      </c>
      <c r="BH1651" s="1">
        <v>44354.071076388886</v>
      </c>
      <c r="BI1651" s="1">
        <v>44354.071689814817</v>
      </c>
      <c r="BJ1651" t="s">
        <v>85</v>
      </c>
      <c r="BK1651" t="s">
        <v>86</v>
      </c>
      <c r="BL1651" t="s">
        <v>87</v>
      </c>
    </row>
    <row r="1652" spans="1:64" x14ac:dyDescent="0.3">
      <c r="A1652" t="str">
        <f>"200970B0000"</f>
        <v>200970B0000</v>
      </c>
      <c r="B1652" t="str">
        <f>"200970B00003"</f>
        <v>200970B00003</v>
      </c>
      <c r="C1652" t="str">
        <f t="shared" si="96"/>
        <v>20</v>
      </c>
      <c r="D1652" t="s">
        <v>81</v>
      </c>
      <c r="E1652" t="str">
        <f t="shared" si="99"/>
        <v>170</v>
      </c>
      <c r="F1652" t="s">
        <v>1791</v>
      </c>
      <c r="G1652" t="str">
        <f>"0970"</f>
        <v>0970</v>
      </c>
      <c r="H1652" t="str">
        <f>"0000"</f>
        <v>0000</v>
      </c>
      <c r="I1652" t="s">
        <v>83</v>
      </c>
      <c r="J1652">
        <v>0</v>
      </c>
      <c r="K1652">
        <v>1</v>
      </c>
      <c r="L1652">
        <v>3</v>
      </c>
      <c r="M1652" t="s">
        <v>92</v>
      </c>
      <c r="N1652" t="s">
        <v>92</v>
      </c>
      <c r="O1652" t="s">
        <v>92</v>
      </c>
      <c r="P1652">
        <v>403</v>
      </c>
      <c r="Q1652">
        <v>10</v>
      </c>
      <c r="R1652">
        <v>138</v>
      </c>
      <c r="S1652">
        <v>13</v>
      </c>
      <c r="T1652">
        <v>1</v>
      </c>
      <c r="U1652">
        <v>197</v>
      </c>
      <c r="W1652">
        <v>30</v>
      </c>
      <c r="X1652">
        <v>2</v>
      </c>
      <c r="Y1652">
        <v>1</v>
      </c>
      <c r="Z1652">
        <v>0</v>
      </c>
      <c r="AK1652">
        <v>1</v>
      </c>
      <c r="AO1652">
        <v>0</v>
      </c>
      <c r="AP1652">
        <v>0</v>
      </c>
      <c r="AR1652">
        <v>0</v>
      </c>
      <c r="AU1652">
        <v>0</v>
      </c>
      <c r="AW1652">
        <v>0</v>
      </c>
      <c r="AX1652">
        <v>9</v>
      </c>
      <c r="AY1652" t="s">
        <v>95</v>
      </c>
      <c r="AZ1652">
        <v>402</v>
      </c>
      <c r="BA1652">
        <v>492</v>
      </c>
      <c r="BB1652">
        <v>44</v>
      </c>
      <c r="BD1652">
        <v>1</v>
      </c>
      <c r="BF1652" t="s">
        <v>1804</v>
      </c>
      <c r="BG1652" s="1">
        <v>44354.011111111111</v>
      </c>
      <c r="BH1652" s="1">
        <v>44354.018738425926</v>
      </c>
      <c r="BI1652" s="1">
        <v>44354.019513888888</v>
      </c>
      <c r="BJ1652" t="s">
        <v>85</v>
      </c>
      <c r="BK1652" t="s">
        <v>86</v>
      </c>
      <c r="BL1652" t="s">
        <v>87</v>
      </c>
    </row>
    <row r="1653" spans="1:64" x14ac:dyDescent="0.3">
      <c r="A1653" t="str">
        <f>"200970E0100"</f>
        <v>200970E0100</v>
      </c>
      <c r="B1653" t="str">
        <f>"200970E01003"</f>
        <v>200970E01003</v>
      </c>
      <c r="C1653" t="str">
        <f t="shared" si="96"/>
        <v>20</v>
      </c>
      <c r="D1653" t="s">
        <v>81</v>
      </c>
      <c r="E1653" t="str">
        <f t="shared" si="99"/>
        <v>170</v>
      </c>
      <c r="F1653" t="s">
        <v>1791</v>
      </c>
      <c r="G1653" t="str">
        <f>"0970"</f>
        <v>0970</v>
      </c>
      <c r="H1653" t="str">
        <f>"0001"</f>
        <v>0001</v>
      </c>
      <c r="I1653" t="s">
        <v>122</v>
      </c>
      <c r="J1653">
        <v>0</v>
      </c>
      <c r="K1653">
        <v>1</v>
      </c>
      <c r="L1653">
        <v>3</v>
      </c>
      <c r="M1653">
        <v>167</v>
      </c>
      <c r="N1653">
        <v>583</v>
      </c>
      <c r="O1653">
        <v>8</v>
      </c>
      <c r="P1653">
        <v>583</v>
      </c>
      <c r="Q1653">
        <v>16</v>
      </c>
      <c r="R1653">
        <v>242</v>
      </c>
      <c r="S1653">
        <v>19</v>
      </c>
      <c r="T1653">
        <v>4</v>
      </c>
      <c r="U1653">
        <v>219</v>
      </c>
      <c r="W1653">
        <v>64</v>
      </c>
      <c r="X1653">
        <v>2</v>
      </c>
      <c r="Y1653">
        <v>1</v>
      </c>
      <c r="Z1653">
        <v>1</v>
      </c>
      <c r="AK1653">
        <v>3</v>
      </c>
      <c r="AO1653">
        <v>0</v>
      </c>
      <c r="AP1653">
        <v>0</v>
      </c>
      <c r="AR1653">
        <v>1</v>
      </c>
      <c r="AU1653">
        <v>1</v>
      </c>
      <c r="AW1653">
        <v>0</v>
      </c>
      <c r="AX1653">
        <v>10</v>
      </c>
      <c r="AY1653">
        <v>583</v>
      </c>
      <c r="AZ1653">
        <v>583</v>
      </c>
      <c r="BA1653">
        <v>706</v>
      </c>
      <c r="BB1653">
        <v>44</v>
      </c>
      <c r="BD1653">
        <v>1</v>
      </c>
      <c r="BF1653" t="s">
        <v>1805</v>
      </c>
      <c r="BG1653" s="1">
        <v>44354.008333333331</v>
      </c>
      <c r="BH1653" s="1">
        <v>44354.018414351849</v>
      </c>
      <c r="BI1653" s="1">
        <v>44354.018946759257</v>
      </c>
      <c r="BJ1653" t="s">
        <v>85</v>
      </c>
      <c r="BK1653" t="s">
        <v>86</v>
      </c>
      <c r="BL1653" t="s">
        <v>87</v>
      </c>
    </row>
    <row r="1654" spans="1:64" x14ac:dyDescent="0.3">
      <c r="A1654" t="str">
        <f>"200971B0000"</f>
        <v>200971B0000</v>
      </c>
      <c r="B1654" t="str">
        <f>"200971B00003"</f>
        <v>200971B00003</v>
      </c>
      <c r="C1654" t="str">
        <f t="shared" si="96"/>
        <v>20</v>
      </c>
      <c r="D1654" t="s">
        <v>81</v>
      </c>
      <c r="E1654" t="str">
        <f t="shared" si="99"/>
        <v>170</v>
      </c>
      <c r="F1654" t="s">
        <v>1791</v>
      </c>
      <c r="G1654" t="str">
        <f>"0971"</f>
        <v>0971</v>
      </c>
      <c r="H1654" t="str">
        <f>"0000"</f>
        <v>0000</v>
      </c>
      <c r="I1654" t="s">
        <v>83</v>
      </c>
      <c r="J1654">
        <v>0</v>
      </c>
      <c r="K1654">
        <v>1</v>
      </c>
      <c r="L1654">
        <v>3</v>
      </c>
      <c r="M1654">
        <v>71</v>
      </c>
      <c r="N1654">
        <v>215</v>
      </c>
      <c r="O1654">
        <v>4</v>
      </c>
      <c r="P1654">
        <v>215</v>
      </c>
      <c r="Q1654">
        <v>20</v>
      </c>
      <c r="R1654">
        <v>61</v>
      </c>
      <c r="S1654">
        <v>19</v>
      </c>
      <c r="T1654">
        <v>3</v>
      </c>
      <c r="U1654">
        <v>106</v>
      </c>
      <c r="W1654">
        <v>5</v>
      </c>
      <c r="X1654">
        <v>0</v>
      </c>
      <c r="Y1654">
        <v>0</v>
      </c>
      <c r="Z1654">
        <v>0</v>
      </c>
      <c r="AK1654">
        <v>0</v>
      </c>
      <c r="AO1654">
        <v>0</v>
      </c>
      <c r="AP1654">
        <v>0</v>
      </c>
      <c r="AR1654">
        <v>0</v>
      </c>
      <c r="AU1654">
        <v>0</v>
      </c>
      <c r="AW1654">
        <v>0</v>
      </c>
      <c r="AX1654">
        <v>1</v>
      </c>
      <c r="AY1654" t="s">
        <v>95</v>
      </c>
      <c r="AZ1654">
        <v>215</v>
      </c>
      <c r="BA1654">
        <v>242</v>
      </c>
      <c r="BB1654">
        <v>44</v>
      </c>
      <c r="BD1654">
        <v>1</v>
      </c>
      <c r="BF1654" t="s">
        <v>1806</v>
      </c>
      <c r="BG1654" s="1">
        <v>44353.917361111111</v>
      </c>
      <c r="BH1654" s="1">
        <v>44353.924618055556</v>
      </c>
      <c r="BI1654" s="1">
        <v>44353.925254629627</v>
      </c>
      <c r="BJ1654" t="s">
        <v>85</v>
      </c>
      <c r="BK1654" t="s">
        <v>86</v>
      </c>
      <c r="BL1654" t="s">
        <v>87</v>
      </c>
    </row>
    <row r="1655" spans="1:64" x14ac:dyDescent="0.3">
      <c r="A1655" t="str">
        <f>"200972B0000"</f>
        <v>200972B0000</v>
      </c>
      <c r="B1655" t="str">
        <f>"200972B00003"</f>
        <v>200972B00003</v>
      </c>
      <c r="C1655" t="str">
        <f t="shared" si="96"/>
        <v>20</v>
      </c>
      <c r="D1655" t="s">
        <v>81</v>
      </c>
      <c r="E1655" t="str">
        <f t="shared" si="99"/>
        <v>170</v>
      </c>
      <c r="F1655" t="s">
        <v>1791</v>
      </c>
      <c r="G1655" t="str">
        <f>"0972"</f>
        <v>0972</v>
      </c>
      <c r="H1655" t="str">
        <f>"0000"</f>
        <v>0000</v>
      </c>
      <c r="I1655" t="s">
        <v>83</v>
      </c>
      <c r="J1655">
        <v>0</v>
      </c>
      <c r="K1655">
        <v>1</v>
      </c>
      <c r="L1655">
        <v>3</v>
      </c>
      <c r="M1655">
        <v>194</v>
      </c>
      <c r="N1655">
        <v>432</v>
      </c>
      <c r="O1655">
        <v>7</v>
      </c>
      <c r="P1655">
        <v>432</v>
      </c>
      <c r="Q1655">
        <v>64</v>
      </c>
      <c r="R1655">
        <v>167</v>
      </c>
      <c r="S1655">
        <v>17</v>
      </c>
      <c r="T1655">
        <v>28</v>
      </c>
      <c r="U1655">
        <v>136</v>
      </c>
      <c r="W1655">
        <v>4</v>
      </c>
      <c r="X1655">
        <v>2</v>
      </c>
      <c r="Y1655">
        <v>0</v>
      </c>
      <c r="Z1655">
        <v>0</v>
      </c>
      <c r="AK1655">
        <v>1</v>
      </c>
      <c r="AO1655">
        <v>0</v>
      </c>
      <c r="AP1655">
        <v>0</v>
      </c>
      <c r="AR1655">
        <v>3</v>
      </c>
      <c r="AU1655">
        <v>0</v>
      </c>
      <c r="AW1655">
        <v>0</v>
      </c>
      <c r="AX1655">
        <v>10</v>
      </c>
      <c r="AY1655">
        <v>432</v>
      </c>
      <c r="AZ1655">
        <v>432</v>
      </c>
      <c r="BA1655">
        <v>583</v>
      </c>
      <c r="BB1655">
        <v>44</v>
      </c>
      <c r="BD1655">
        <v>1</v>
      </c>
      <c r="BF1655" t="s">
        <v>1807</v>
      </c>
      <c r="BG1655" s="1">
        <v>44354.18472222222</v>
      </c>
      <c r="BH1655" s="1">
        <v>44354.187048611115</v>
      </c>
      <c r="BI1655" s="1">
        <v>44354.188032407408</v>
      </c>
      <c r="BJ1655" t="s">
        <v>85</v>
      </c>
      <c r="BK1655" t="s">
        <v>86</v>
      </c>
      <c r="BL1655" t="s">
        <v>87</v>
      </c>
    </row>
    <row r="1656" spans="1:64" x14ac:dyDescent="0.3">
      <c r="A1656" t="str">
        <f>"200972C0100"</f>
        <v>200972C0100</v>
      </c>
      <c r="B1656" t="str">
        <f>"200972C01003"</f>
        <v>200972C01003</v>
      </c>
      <c r="C1656" t="str">
        <f t="shared" si="96"/>
        <v>20</v>
      </c>
      <c r="D1656" t="s">
        <v>81</v>
      </c>
      <c r="E1656" t="str">
        <f t="shared" si="99"/>
        <v>170</v>
      </c>
      <c r="F1656" t="s">
        <v>1791</v>
      </c>
      <c r="G1656" t="str">
        <f>"0972"</f>
        <v>0972</v>
      </c>
      <c r="H1656" t="str">
        <f>"0001"</f>
        <v>0001</v>
      </c>
      <c r="I1656" t="s">
        <v>89</v>
      </c>
      <c r="J1656">
        <v>0</v>
      </c>
      <c r="K1656">
        <v>1</v>
      </c>
      <c r="L1656">
        <v>3</v>
      </c>
      <c r="M1656">
        <v>164</v>
      </c>
      <c r="N1656">
        <v>463</v>
      </c>
      <c r="O1656">
        <v>2</v>
      </c>
      <c r="P1656">
        <v>463</v>
      </c>
      <c r="Q1656">
        <v>78</v>
      </c>
      <c r="R1656">
        <v>190</v>
      </c>
      <c r="S1656">
        <v>11</v>
      </c>
      <c r="T1656">
        <v>14</v>
      </c>
      <c r="U1656">
        <v>157</v>
      </c>
      <c r="W1656">
        <v>2</v>
      </c>
      <c r="X1656">
        <v>1</v>
      </c>
      <c r="Y1656">
        <v>0</v>
      </c>
      <c r="Z1656">
        <v>0</v>
      </c>
      <c r="AK1656">
        <v>0</v>
      </c>
      <c r="AO1656">
        <v>0</v>
      </c>
      <c r="AP1656">
        <v>0</v>
      </c>
      <c r="AR1656">
        <v>0</v>
      </c>
      <c r="AU1656">
        <v>0</v>
      </c>
      <c r="AW1656">
        <v>0</v>
      </c>
      <c r="AX1656">
        <v>10</v>
      </c>
      <c r="AY1656">
        <v>463</v>
      </c>
      <c r="AZ1656">
        <v>463</v>
      </c>
      <c r="BA1656">
        <v>583</v>
      </c>
      <c r="BB1656">
        <v>44</v>
      </c>
      <c r="BD1656">
        <v>1</v>
      </c>
      <c r="BF1656" t="s">
        <v>1808</v>
      </c>
      <c r="BG1656" s="1">
        <v>44354.1875</v>
      </c>
      <c r="BH1656" s="1">
        <v>44354.189467592594</v>
      </c>
      <c r="BI1656" s="1">
        <v>44354.189884259256</v>
      </c>
      <c r="BJ1656" t="s">
        <v>85</v>
      </c>
      <c r="BK1656" t="s">
        <v>86</v>
      </c>
      <c r="BL1656" t="s">
        <v>87</v>
      </c>
    </row>
    <row r="1657" spans="1:64" x14ac:dyDescent="0.3">
      <c r="A1657" t="str">
        <f>"200972E0100"</f>
        <v>200972E0100</v>
      </c>
      <c r="B1657" t="str">
        <f>"200972E01003"</f>
        <v>200972E01003</v>
      </c>
      <c r="C1657" t="str">
        <f t="shared" si="96"/>
        <v>20</v>
      </c>
      <c r="D1657" t="s">
        <v>81</v>
      </c>
      <c r="E1657" t="str">
        <f t="shared" si="99"/>
        <v>170</v>
      </c>
      <c r="F1657" t="s">
        <v>1791</v>
      </c>
      <c r="G1657" t="str">
        <f>"0972"</f>
        <v>0972</v>
      </c>
      <c r="H1657" t="str">
        <f>"0001"</f>
        <v>0001</v>
      </c>
      <c r="I1657" t="s">
        <v>122</v>
      </c>
      <c r="J1657">
        <v>0</v>
      </c>
      <c r="K1657">
        <v>1</v>
      </c>
      <c r="L1657">
        <v>3</v>
      </c>
      <c r="M1657">
        <v>131</v>
      </c>
      <c r="N1657">
        <v>371</v>
      </c>
      <c r="O1657">
        <v>8</v>
      </c>
      <c r="P1657">
        <v>371</v>
      </c>
      <c r="Q1657">
        <v>3</v>
      </c>
      <c r="R1657">
        <v>125</v>
      </c>
      <c r="S1657">
        <v>59</v>
      </c>
      <c r="T1657">
        <v>39</v>
      </c>
      <c r="U1657">
        <v>110</v>
      </c>
      <c r="W1657">
        <v>17</v>
      </c>
      <c r="X1657">
        <v>4</v>
      </c>
      <c r="Y1657">
        <v>2</v>
      </c>
      <c r="Z1657">
        <v>0</v>
      </c>
      <c r="AK1657">
        <v>0</v>
      </c>
      <c r="AO1657">
        <v>1</v>
      </c>
      <c r="AP1657">
        <v>0</v>
      </c>
      <c r="AR1657">
        <v>0</v>
      </c>
      <c r="AU1657">
        <v>1</v>
      </c>
      <c r="AW1657">
        <v>0</v>
      </c>
      <c r="AX1657">
        <v>10</v>
      </c>
      <c r="AY1657">
        <v>371</v>
      </c>
      <c r="AZ1657">
        <v>371</v>
      </c>
      <c r="BA1657">
        <v>458</v>
      </c>
      <c r="BB1657">
        <v>44</v>
      </c>
      <c r="BD1657">
        <v>1</v>
      </c>
      <c r="BF1657" t="s">
        <v>1809</v>
      </c>
      <c r="BG1657" s="1">
        <v>44354.09652777778</v>
      </c>
      <c r="BH1657" s="1">
        <v>44354.100960648146</v>
      </c>
      <c r="BI1657" s="1">
        <v>44354.1012962963</v>
      </c>
      <c r="BJ1657" t="s">
        <v>85</v>
      </c>
      <c r="BK1657" t="s">
        <v>86</v>
      </c>
      <c r="BL1657" t="s">
        <v>87</v>
      </c>
    </row>
    <row r="1658" spans="1:64" x14ac:dyDescent="0.3">
      <c r="A1658" t="str">
        <f>"200973B0000"</f>
        <v>200973B0000</v>
      </c>
      <c r="B1658" t="str">
        <f>"200973B00003"</f>
        <v>200973B00003</v>
      </c>
      <c r="C1658" t="str">
        <f t="shared" si="96"/>
        <v>20</v>
      </c>
      <c r="D1658" t="s">
        <v>81</v>
      </c>
      <c r="E1658" t="str">
        <f t="shared" si="99"/>
        <v>170</v>
      </c>
      <c r="F1658" t="s">
        <v>1791</v>
      </c>
      <c r="G1658" t="str">
        <f>"0973"</f>
        <v>0973</v>
      </c>
      <c r="H1658" t="str">
        <f>"0000"</f>
        <v>0000</v>
      </c>
      <c r="I1658" t="s">
        <v>83</v>
      </c>
      <c r="J1658">
        <v>0</v>
      </c>
      <c r="K1658">
        <v>1</v>
      </c>
      <c r="L1658">
        <v>3</v>
      </c>
      <c r="M1658">
        <v>107</v>
      </c>
      <c r="N1658">
        <v>218</v>
      </c>
      <c r="O1658">
        <v>10</v>
      </c>
      <c r="P1658">
        <v>218</v>
      </c>
      <c r="Q1658">
        <v>1</v>
      </c>
      <c r="R1658">
        <v>117</v>
      </c>
      <c r="S1658">
        <v>1</v>
      </c>
      <c r="T1658">
        <v>19</v>
      </c>
      <c r="U1658">
        <v>64</v>
      </c>
      <c r="W1658">
        <v>2</v>
      </c>
      <c r="X1658">
        <v>4</v>
      </c>
      <c r="Y1658">
        <v>1</v>
      </c>
      <c r="Z1658">
        <v>0</v>
      </c>
      <c r="AK1658">
        <v>0</v>
      </c>
      <c r="AO1658">
        <v>0</v>
      </c>
      <c r="AP1658">
        <v>0</v>
      </c>
      <c r="AR1658">
        <v>0</v>
      </c>
      <c r="AU1658">
        <v>0</v>
      </c>
      <c r="AW1658">
        <v>0</v>
      </c>
      <c r="AX1658">
        <v>9</v>
      </c>
      <c r="AY1658">
        <v>218</v>
      </c>
      <c r="AZ1658">
        <v>218</v>
      </c>
      <c r="BA1658">
        <v>281</v>
      </c>
      <c r="BB1658">
        <v>44</v>
      </c>
      <c r="BD1658">
        <v>1</v>
      </c>
      <c r="BF1658" t="s">
        <v>1810</v>
      </c>
      <c r="BG1658" s="1">
        <v>44354.190972222219</v>
      </c>
      <c r="BH1658" s="1">
        <v>44354.194722222222</v>
      </c>
      <c r="BI1658" s="1">
        <v>44354.195150462961</v>
      </c>
      <c r="BJ1658" t="s">
        <v>85</v>
      </c>
      <c r="BK1658" t="s">
        <v>86</v>
      </c>
      <c r="BL1658" t="s">
        <v>87</v>
      </c>
    </row>
    <row r="1659" spans="1:64" x14ac:dyDescent="0.3">
      <c r="A1659" t="str">
        <f>"200974B0000"</f>
        <v>200974B0000</v>
      </c>
      <c r="B1659" t="str">
        <f>"200974B00003"</f>
        <v>200974B00003</v>
      </c>
      <c r="C1659" t="str">
        <f t="shared" si="96"/>
        <v>20</v>
      </c>
      <c r="D1659" t="s">
        <v>81</v>
      </c>
      <c r="E1659" t="str">
        <f t="shared" si="99"/>
        <v>170</v>
      </c>
      <c r="F1659" t="s">
        <v>1791</v>
      </c>
      <c r="G1659" t="str">
        <f>"0974"</f>
        <v>0974</v>
      </c>
      <c r="H1659" t="str">
        <f>"0000"</f>
        <v>0000</v>
      </c>
      <c r="I1659" t="s">
        <v>83</v>
      </c>
      <c r="J1659">
        <v>0</v>
      </c>
      <c r="K1659">
        <v>1</v>
      </c>
      <c r="L1659">
        <v>3</v>
      </c>
      <c r="M1659">
        <v>73</v>
      </c>
      <c r="N1659">
        <v>200</v>
      </c>
      <c r="O1659">
        <v>9</v>
      </c>
      <c r="P1659">
        <v>200</v>
      </c>
      <c r="Q1659">
        <v>44</v>
      </c>
      <c r="R1659">
        <v>53</v>
      </c>
      <c r="S1659">
        <v>4</v>
      </c>
      <c r="T1659">
        <v>0</v>
      </c>
      <c r="U1659">
        <v>78</v>
      </c>
      <c r="W1659">
        <v>18</v>
      </c>
      <c r="X1659">
        <v>0</v>
      </c>
      <c r="Y1659">
        <v>0</v>
      </c>
      <c r="Z1659">
        <v>0</v>
      </c>
      <c r="AK1659">
        <v>0</v>
      </c>
      <c r="AO1659">
        <v>0</v>
      </c>
      <c r="AP1659">
        <v>0</v>
      </c>
      <c r="AR1659">
        <v>0</v>
      </c>
      <c r="AU1659">
        <v>1</v>
      </c>
      <c r="AW1659">
        <v>0</v>
      </c>
      <c r="AX1659">
        <v>2</v>
      </c>
      <c r="AY1659">
        <v>200</v>
      </c>
      <c r="AZ1659">
        <v>200</v>
      </c>
      <c r="BA1659">
        <v>229</v>
      </c>
      <c r="BB1659">
        <v>44</v>
      </c>
      <c r="BD1659">
        <v>1</v>
      </c>
      <c r="BF1659" t="s">
        <v>1811</v>
      </c>
      <c r="BG1659" s="1">
        <v>44353.869444444441</v>
      </c>
      <c r="BH1659" s="1">
        <v>44353.872442129628</v>
      </c>
      <c r="BI1659" s="1">
        <v>44353.873217592591</v>
      </c>
      <c r="BJ1659" t="s">
        <v>85</v>
      </c>
      <c r="BK1659" t="s">
        <v>86</v>
      </c>
      <c r="BL1659" t="s">
        <v>87</v>
      </c>
    </row>
    <row r="1660" spans="1:64" x14ac:dyDescent="0.3">
      <c r="A1660" t="str">
        <f>"200974E0100"</f>
        <v>200974E0100</v>
      </c>
      <c r="B1660" t="str">
        <f>"200974E01003"</f>
        <v>200974E01003</v>
      </c>
      <c r="C1660" t="str">
        <f t="shared" si="96"/>
        <v>20</v>
      </c>
      <c r="D1660" t="s">
        <v>81</v>
      </c>
      <c r="E1660" t="str">
        <f t="shared" si="99"/>
        <v>170</v>
      </c>
      <c r="F1660" t="s">
        <v>1791</v>
      </c>
      <c r="G1660" t="str">
        <f>"0974"</f>
        <v>0974</v>
      </c>
      <c r="H1660" t="str">
        <f>"0001"</f>
        <v>0001</v>
      </c>
      <c r="I1660" t="s">
        <v>122</v>
      </c>
      <c r="J1660">
        <v>0</v>
      </c>
      <c r="K1660">
        <v>1</v>
      </c>
      <c r="L1660">
        <v>3</v>
      </c>
      <c r="M1660">
        <v>90</v>
      </c>
      <c r="N1660">
        <v>293</v>
      </c>
      <c r="O1660">
        <v>7</v>
      </c>
      <c r="P1660">
        <v>293</v>
      </c>
      <c r="Q1660">
        <v>15</v>
      </c>
      <c r="R1660">
        <v>130</v>
      </c>
      <c r="S1660">
        <v>1</v>
      </c>
      <c r="T1660">
        <v>7</v>
      </c>
      <c r="U1660">
        <v>123</v>
      </c>
      <c r="W1660">
        <v>10</v>
      </c>
      <c r="X1660">
        <v>3</v>
      </c>
      <c r="Y1660">
        <v>0</v>
      </c>
      <c r="Z1660">
        <v>0</v>
      </c>
      <c r="AK1660">
        <v>0</v>
      </c>
      <c r="AO1660">
        <v>0</v>
      </c>
      <c r="AP1660">
        <v>0</v>
      </c>
      <c r="AR1660">
        <v>0</v>
      </c>
      <c r="AU1660">
        <v>0</v>
      </c>
      <c r="AW1660">
        <v>0</v>
      </c>
      <c r="AX1660">
        <v>4</v>
      </c>
      <c r="AY1660">
        <v>293</v>
      </c>
      <c r="AZ1660">
        <v>293</v>
      </c>
      <c r="BA1660">
        <v>339</v>
      </c>
      <c r="BB1660">
        <v>44</v>
      </c>
      <c r="BD1660">
        <v>1</v>
      </c>
      <c r="BF1660" t="s">
        <v>1812</v>
      </c>
      <c r="BG1660" s="1">
        <v>44353.924305555556</v>
      </c>
      <c r="BH1660" s="1">
        <v>44353.929259259261</v>
      </c>
      <c r="BI1660" s="1">
        <v>44353.930243055554</v>
      </c>
      <c r="BJ1660" t="s">
        <v>85</v>
      </c>
      <c r="BK1660" t="s">
        <v>86</v>
      </c>
      <c r="BL1660" t="s">
        <v>87</v>
      </c>
    </row>
    <row r="1661" spans="1:64" x14ac:dyDescent="0.3">
      <c r="A1661" t="str">
        <f>"200975B0000"</f>
        <v>200975B0000</v>
      </c>
      <c r="B1661" t="str">
        <f>"200975B00003"</f>
        <v>200975B00003</v>
      </c>
      <c r="C1661" t="str">
        <f t="shared" si="96"/>
        <v>20</v>
      </c>
      <c r="D1661" t="s">
        <v>81</v>
      </c>
      <c r="E1661" t="str">
        <f t="shared" si="99"/>
        <v>170</v>
      </c>
      <c r="F1661" t="s">
        <v>1791</v>
      </c>
      <c r="G1661" t="str">
        <f>"0975"</f>
        <v>0975</v>
      </c>
      <c r="H1661" t="str">
        <f>"0000"</f>
        <v>0000</v>
      </c>
      <c r="I1661" t="s">
        <v>83</v>
      </c>
      <c r="J1661">
        <v>0</v>
      </c>
      <c r="K1661">
        <v>1</v>
      </c>
      <c r="L1661">
        <v>3</v>
      </c>
      <c r="M1661">
        <v>162</v>
      </c>
      <c r="N1661">
        <v>431</v>
      </c>
      <c r="O1661">
        <v>8</v>
      </c>
      <c r="P1661">
        <v>431</v>
      </c>
      <c r="Q1661">
        <v>3</v>
      </c>
      <c r="R1661">
        <v>192</v>
      </c>
      <c r="S1661">
        <v>72</v>
      </c>
      <c r="T1661">
        <v>5</v>
      </c>
      <c r="U1661">
        <v>140</v>
      </c>
      <c r="W1661">
        <v>7</v>
      </c>
      <c r="X1661">
        <v>1</v>
      </c>
      <c r="Y1661">
        <v>0</v>
      </c>
      <c r="Z1661">
        <v>1</v>
      </c>
      <c r="AK1661">
        <v>1</v>
      </c>
      <c r="AO1661">
        <v>0</v>
      </c>
      <c r="AP1661">
        <v>0</v>
      </c>
      <c r="AR1661">
        <v>0</v>
      </c>
      <c r="AU1661">
        <v>3</v>
      </c>
      <c r="AW1661">
        <v>0</v>
      </c>
      <c r="AX1661">
        <v>6</v>
      </c>
      <c r="AY1661">
        <v>431</v>
      </c>
      <c r="AZ1661">
        <v>431</v>
      </c>
      <c r="BA1661">
        <v>549</v>
      </c>
      <c r="BB1661">
        <v>44</v>
      </c>
      <c r="BD1661">
        <v>1</v>
      </c>
      <c r="BF1661" t="s">
        <v>1813</v>
      </c>
      <c r="BG1661" s="1">
        <v>44354.188888888886</v>
      </c>
      <c r="BH1661" s="1">
        <v>44354.191076388888</v>
      </c>
      <c r="BI1661" s="1">
        <v>44354.191574074073</v>
      </c>
      <c r="BJ1661" t="s">
        <v>85</v>
      </c>
      <c r="BK1661" t="s">
        <v>86</v>
      </c>
      <c r="BL1661" t="s">
        <v>87</v>
      </c>
    </row>
    <row r="1662" spans="1:64" x14ac:dyDescent="0.3">
      <c r="A1662" t="str">
        <f>"200975E0100"</f>
        <v>200975E0100</v>
      </c>
      <c r="B1662" t="str">
        <f>"200975E01003"</f>
        <v>200975E01003</v>
      </c>
      <c r="C1662" t="str">
        <f t="shared" si="96"/>
        <v>20</v>
      </c>
      <c r="D1662" t="s">
        <v>81</v>
      </c>
      <c r="E1662" t="str">
        <f t="shared" si="99"/>
        <v>170</v>
      </c>
      <c r="F1662" t="s">
        <v>1791</v>
      </c>
      <c r="G1662" t="str">
        <f>"0975"</f>
        <v>0975</v>
      </c>
      <c r="H1662" t="str">
        <f>"0001"</f>
        <v>0001</v>
      </c>
      <c r="I1662" t="s">
        <v>122</v>
      </c>
      <c r="J1662">
        <v>0</v>
      </c>
      <c r="K1662">
        <v>1</v>
      </c>
      <c r="L1662">
        <v>3</v>
      </c>
      <c r="M1662">
        <v>66</v>
      </c>
      <c r="N1662">
        <v>92</v>
      </c>
      <c r="O1662">
        <v>8</v>
      </c>
      <c r="P1662">
        <v>92</v>
      </c>
      <c r="Q1662">
        <v>12</v>
      </c>
      <c r="R1662">
        <v>20</v>
      </c>
      <c r="S1662">
        <v>3</v>
      </c>
      <c r="T1662">
        <v>5</v>
      </c>
      <c r="U1662">
        <v>34</v>
      </c>
      <c r="W1662">
        <v>14</v>
      </c>
      <c r="X1662">
        <v>0</v>
      </c>
      <c r="Y1662">
        <v>1</v>
      </c>
      <c r="Z1662">
        <v>0</v>
      </c>
      <c r="AK1662">
        <v>0</v>
      </c>
      <c r="AO1662">
        <v>0</v>
      </c>
      <c r="AP1662">
        <v>0</v>
      </c>
      <c r="AR1662">
        <v>0</v>
      </c>
      <c r="AU1662">
        <v>0</v>
      </c>
      <c r="AW1662">
        <v>0</v>
      </c>
      <c r="AX1662">
        <v>3</v>
      </c>
      <c r="AY1662">
        <v>92</v>
      </c>
      <c r="AZ1662">
        <v>92</v>
      </c>
      <c r="BA1662">
        <v>114</v>
      </c>
      <c r="BB1662">
        <v>44</v>
      </c>
      <c r="BD1662">
        <v>1</v>
      </c>
      <c r="BF1662" t="s">
        <v>1814</v>
      </c>
      <c r="BG1662" s="1">
        <v>44354.095138888886</v>
      </c>
      <c r="BH1662" s="1">
        <v>44354.098576388889</v>
      </c>
      <c r="BI1662" s="1">
        <v>44354.098935185182</v>
      </c>
      <c r="BJ1662" t="s">
        <v>85</v>
      </c>
      <c r="BK1662" t="s">
        <v>86</v>
      </c>
      <c r="BL1662" t="s">
        <v>87</v>
      </c>
    </row>
    <row r="1663" spans="1:64" x14ac:dyDescent="0.3">
      <c r="A1663" t="str">
        <f>"200976B0000"</f>
        <v>200976B0000</v>
      </c>
      <c r="B1663" t="str">
        <f>"200976B00003"</f>
        <v>200976B00003</v>
      </c>
      <c r="C1663" t="str">
        <f t="shared" si="96"/>
        <v>20</v>
      </c>
      <c r="D1663" t="s">
        <v>81</v>
      </c>
      <c r="E1663" t="str">
        <f t="shared" si="99"/>
        <v>170</v>
      </c>
      <c r="F1663" t="s">
        <v>1791</v>
      </c>
      <c r="G1663" t="str">
        <f>"0976"</f>
        <v>0976</v>
      </c>
      <c r="H1663" t="str">
        <f>"0000"</f>
        <v>0000</v>
      </c>
      <c r="I1663" t="s">
        <v>83</v>
      </c>
      <c r="J1663">
        <v>0</v>
      </c>
      <c r="K1663">
        <v>1</v>
      </c>
      <c r="L1663">
        <v>3</v>
      </c>
      <c r="M1663">
        <v>179</v>
      </c>
      <c r="N1663">
        <v>283</v>
      </c>
      <c r="O1663">
        <v>0</v>
      </c>
      <c r="P1663">
        <v>283</v>
      </c>
      <c r="Q1663">
        <v>2</v>
      </c>
      <c r="R1663">
        <v>112</v>
      </c>
      <c r="S1663">
        <v>5</v>
      </c>
      <c r="T1663">
        <v>19</v>
      </c>
      <c r="U1663">
        <v>122</v>
      </c>
      <c r="W1663">
        <v>14</v>
      </c>
      <c r="X1663">
        <v>0</v>
      </c>
      <c r="Y1663">
        <v>0</v>
      </c>
      <c r="Z1663">
        <v>1</v>
      </c>
      <c r="AK1663">
        <v>2</v>
      </c>
      <c r="AO1663">
        <v>0</v>
      </c>
      <c r="AP1663">
        <v>0</v>
      </c>
      <c r="AR1663">
        <v>0</v>
      </c>
      <c r="AU1663">
        <v>0</v>
      </c>
      <c r="AW1663">
        <v>0</v>
      </c>
      <c r="AX1663">
        <v>6</v>
      </c>
      <c r="AY1663">
        <v>283</v>
      </c>
      <c r="AZ1663">
        <v>283</v>
      </c>
      <c r="BA1663">
        <v>418</v>
      </c>
      <c r="BB1663">
        <v>44</v>
      </c>
      <c r="BD1663">
        <v>1</v>
      </c>
      <c r="BF1663" t="s">
        <v>1815</v>
      </c>
      <c r="BG1663" s="1">
        <v>44354.168055555558</v>
      </c>
      <c r="BH1663" s="1">
        <v>44354.170428240737</v>
      </c>
      <c r="BI1663" s="1">
        <v>44354.170972222222</v>
      </c>
      <c r="BJ1663" t="s">
        <v>85</v>
      </c>
      <c r="BK1663" t="s">
        <v>86</v>
      </c>
      <c r="BL1663" t="s">
        <v>87</v>
      </c>
    </row>
    <row r="1664" spans="1:64" x14ac:dyDescent="0.3">
      <c r="A1664" t="str">
        <f>"200976C0100"</f>
        <v>200976C0100</v>
      </c>
      <c r="B1664" t="str">
        <f>"200976C01003"</f>
        <v>200976C01003</v>
      </c>
      <c r="C1664" t="str">
        <f t="shared" si="96"/>
        <v>20</v>
      </c>
      <c r="D1664" t="s">
        <v>81</v>
      </c>
      <c r="E1664" t="str">
        <f t="shared" si="99"/>
        <v>170</v>
      </c>
      <c r="F1664" t="s">
        <v>1791</v>
      </c>
      <c r="G1664" t="str">
        <f>"0976"</f>
        <v>0976</v>
      </c>
      <c r="H1664" t="str">
        <f>"0001"</f>
        <v>0001</v>
      </c>
      <c r="I1664" t="s">
        <v>89</v>
      </c>
      <c r="J1664">
        <v>0</v>
      </c>
      <c r="K1664">
        <v>1</v>
      </c>
      <c r="L1664">
        <v>3</v>
      </c>
      <c r="M1664">
        <v>162</v>
      </c>
      <c r="N1664">
        <v>300</v>
      </c>
      <c r="O1664">
        <v>0</v>
      </c>
      <c r="P1664">
        <v>300</v>
      </c>
      <c r="Q1664">
        <v>1</v>
      </c>
      <c r="R1664">
        <v>145</v>
      </c>
      <c r="S1664">
        <v>2</v>
      </c>
      <c r="T1664">
        <v>10</v>
      </c>
      <c r="U1664">
        <v>112</v>
      </c>
      <c r="W1664">
        <v>10</v>
      </c>
      <c r="X1664">
        <v>5</v>
      </c>
      <c r="Y1664">
        <v>0</v>
      </c>
      <c r="Z1664">
        <v>1</v>
      </c>
      <c r="AK1664">
        <v>2</v>
      </c>
      <c r="AO1664">
        <v>0</v>
      </c>
      <c r="AP1664">
        <v>0</v>
      </c>
      <c r="AR1664">
        <v>0</v>
      </c>
      <c r="AU1664">
        <v>1</v>
      </c>
      <c r="AW1664">
        <v>0</v>
      </c>
      <c r="AX1664">
        <v>11</v>
      </c>
      <c r="AY1664">
        <v>300</v>
      </c>
      <c r="AZ1664">
        <v>300</v>
      </c>
      <c r="BA1664">
        <v>418</v>
      </c>
      <c r="BB1664">
        <v>44</v>
      </c>
      <c r="BD1664">
        <v>1</v>
      </c>
      <c r="BF1664" t="s">
        <v>1816</v>
      </c>
      <c r="BG1664" s="1">
        <v>44354.161111111112</v>
      </c>
      <c r="BH1664" s="1">
        <v>44354.164467592593</v>
      </c>
      <c r="BI1664" s="1">
        <v>44354.164907407408</v>
      </c>
      <c r="BJ1664" t="s">
        <v>85</v>
      </c>
      <c r="BK1664" t="s">
        <v>86</v>
      </c>
      <c r="BL1664" t="s">
        <v>87</v>
      </c>
    </row>
    <row r="1665" spans="1:64" x14ac:dyDescent="0.3">
      <c r="A1665" t="str">
        <f>"200977B0000"</f>
        <v>200977B0000</v>
      </c>
      <c r="B1665" t="str">
        <f>"200977B00003"</f>
        <v>200977B00003</v>
      </c>
      <c r="C1665" t="str">
        <f t="shared" si="96"/>
        <v>20</v>
      </c>
      <c r="D1665" t="s">
        <v>81</v>
      </c>
      <c r="E1665" t="str">
        <f t="shared" si="99"/>
        <v>170</v>
      </c>
      <c r="F1665" t="s">
        <v>1791</v>
      </c>
      <c r="G1665" t="str">
        <f>"0977"</f>
        <v>0977</v>
      </c>
      <c r="H1665" t="str">
        <f>"0000"</f>
        <v>0000</v>
      </c>
      <c r="I1665" t="s">
        <v>83</v>
      </c>
      <c r="J1665">
        <v>0</v>
      </c>
      <c r="K1665">
        <v>1</v>
      </c>
      <c r="L1665">
        <v>3</v>
      </c>
      <c r="M1665" t="s">
        <v>92</v>
      </c>
      <c r="N1665" t="s">
        <v>92</v>
      </c>
      <c r="O1665" t="s">
        <v>92</v>
      </c>
      <c r="P1665" t="s">
        <v>92</v>
      </c>
      <c r="Q1665">
        <v>5</v>
      </c>
      <c r="R1665">
        <v>46</v>
      </c>
      <c r="S1665">
        <v>0</v>
      </c>
      <c r="T1665">
        <v>43</v>
      </c>
      <c r="U1665">
        <v>64</v>
      </c>
      <c r="W1665">
        <v>1</v>
      </c>
      <c r="X1665">
        <v>0</v>
      </c>
      <c r="Y1665">
        <v>0</v>
      </c>
      <c r="Z1665">
        <v>0</v>
      </c>
      <c r="AK1665">
        <v>0</v>
      </c>
      <c r="AO1665">
        <v>0</v>
      </c>
      <c r="AP1665">
        <v>0</v>
      </c>
      <c r="AR1665">
        <v>0</v>
      </c>
      <c r="AU1665">
        <v>1</v>
      </c>
      <c r="AW1665">
        <v>0</v>
      </c>
      <c r="AX1665">
        <v>2</v>
      </c>
      <c r="AY1665">
        <v>162</v>
      </c>
      <c r="AZ1665">
        <v>162</v>
      </c>
      <c r="BA1665">
        <v>236</v>
      </c>
      <c r="BB1665">
        <v>44</v>
      </c>
      <c r="BD1665">
        <v>1</v>
      </c>
      <c r="BF1665" t="s">
        <v>1817</v>
      </c>
      <c r="BG1665" s="1">
        <v>44354.163194444445</v>
      </c>
      <c r="BH1665" s="1">
        <v>44354.167766203704</v>
      </c>
      <c r="BI1665" s="1">
        <v>44354.168217592596</v>
      </c>
      <c r="BJ1665" t="s">
        <v>85</v>
      </c>
      <c r="BK1665" t="s">
        <v>86</v>
      </c>
      <c r="BL1665" t="s">
        <v>87</v>
      </c>
    </row>
    <row r="1666" spans="1:64" x14ac:dyDescent="0.3">
      <c r="A1666" t="str">
        <f>"200977E0100"</f>
        <v>200977E0100</v>
      </c>
      <c r="B1666" t="str">
        <f>"200977E01003"</f>
        <v>200977E01003</v>
      </c>
      <c r="C1666" t="str">
        <f t="shared" si="96"/>
        <v>20</v>
      </c>
      <c r="D1666" t="s">
        <v>81</v>
      </c>
      <c r="E1666" t="str">
        <f t="shared" si="99"/>
        <v>170</v>
      </c>
      <c r="F1666" t="s">
        <v>1791</v>
      </c>
      <c r="G1666" t="str">
        <f>"0977"</f>
        <v>0977</v>
      </c>
      <c r="H1666" t="str">
        <f>"0001"</f>
        <v>0001</v>
      </c>
      <c r="I1666" t="s">
        <v>122</v>
      </c>
      <c r="J1666">
        <v>0</v>
      </c>
      <c r="K1666">
        <v>1</v>
      </c>
      <c r="L1666">
        <v>3</v>
      </c>
      <c r="M1666">
        <v>137</v>
      </c>
      <c r="N1666">
        <v>241</v>
      </c>
      <c r="O1666">
        <v>0</v>
      </c>
      <c r="P1666">
        <v>241</v>
      </c>
      <c r="Q1666">
        <v>0</v>
      </c>
      <c r="R1666">
        <v>134</v>
      </c>
      <c r="S1666">
        <v>5</v>
      </c>
      <c r="T1666">
        <v>1</v>
      </c>
      <c r="U1666">
        <v>80</v>
      </c>
      <c r="W1666">
        <v>6</v>
      </c>
      <c r="X1666">
        <v>0</v>
      </c>
      <c r="Y1666">
        <v>0</v>
      </c>
      <c r="Z1666">
        <v>1</v>
      </c>
      <c r="AK1666">
        <v>3</v>
      </c>
      <c r="AO1666">
        <v>1</v>
      </c>
      <c r="AP1666">
        <v>1</v>
      </c>
      <c r="AR1666">
        <v>0</v>
      </c>
      <c r="AU1666">
        <v>0</v>
      </c>
      <c r="AW1666">
        <v>0</v>
      </c>
      <c r="AX1666">
        <v>9</v>
      </c>
      <c r="AY1666">
        <v>241</v>
      </c>
      <c r="AZ1666">
        <v>241</v>
      </c>
      <c r="BA1666">
        <v>334</v>
      </c>
      <c r="BB1666">
        <v>44</v>
      </c>
      <c r="BD1666">
        <v>1</v>
      </c>
      <c r="BF1666" t="s">
        <v>1818</v>
      </c>
      <c r="BG1666" s="1">
        <v>44354.15902777778</v>
      </c>
      <c r="BH1666" s="1">
        <v>44354.161979166667</v>
      </c>
      <c r="BI1666" s="1">
        <v>44354.162291666667</v>
      </c>
      <c r="BJ1666" t="s">
        <v>85</v>
      </c>
      <c r="BK1666" t="s">
        <v>86</v>
      </c>
      <c r="BL1666" t="s">
        <v>87</v>
      </c>
    </row>
    <row r="1667" spans="1:64" x14ac:dyDescent="0.3">
      <c r="A1667" t="str">
        <f>"200986B0000"</f>
        <v>200986B0000</v>
      </c>
      <c r="B1667" t="str">
        <f>"200986B00003"</f>
        <v>200986B00003</v>
      </c>
      <c r="C1667" t="str">
        <f t="shared" si="96"/>
        <v>20</v>
      </c>
      <c r="D1667" t="s">
        <v>81</v>
      </c>
      <c r="E1667" t="str">
        <f t="shared" ref="E1667:E1686" si="100">"175"</f>
        <v>175</v>
      </c>
      <c r="F1667" t="s">
        <v>1819</v>
      </c>
      <c r="G1667" t="str">
        <f>"0986"</f>
        <v>0986</v>
      </c>
      <c r="H1667" t="str">
        <f>"0000"</f>
        <v>0000</v>
      </c>
      <c r="I1667" t="s">
        <v>83</v>
      </c>
      <c r="J1667">
        <v>0</v>
      </c>
      <c r="K1667">
        <v>1</v>
      </c>
      <c r="L1667">
        <v>3</v>
      </c>
      <c r="M1667">
        <v>220</v>
      </c>
      <c r="N1667" t="s">
        <v>92</v>
      </c>
      <c r="O1667" t="s">
        <v>92</v>
      </c>
      <c r="P1667" t="s">
        <v>92</v>
      </c>
      <c r="Q1667">
        <v>41</v>
      </c>
      <c r="R1667">
        <v>142</v>
      </c>
      <c r="S1667">
        <v>5</v>
      </c>
      <c r="T1667">
        <v>2</v>
      </c>
      <c r="U1667">
        <v>3</v>
      </c>
      <c r="W1667">
        <v>20</v>
      </c>
      <c r="X1667">
        <v>198</v>
      </c>
      <c r="Y1667">
        <v>3</v>
      </c>
      <c r="Z1667">
        <v>1</v>
      </c>
      <c r="AA1667">
        <v>4</v>
      </c>
      <c r="AN1667">
        <v>4</v>
      </c>
      <c r="AR1667" t="s">
        <v>95</v>
      </c>
      <c r="AS1667" t="s">
        <v>95</v>
      </c>
      <c r="AT1667" t="s">
        <v>95</v>
      </c>
      <c r="AW1667" t="s">
        <v>95</v>
      </c>
      <c r="AX1667">
        <v>20</v>
      </c>
      <c r="AY1667">
        <v>663</v>
      </c>
      <c r="AZ1667">
        <v>443</v>
      </c>
      <c r="BA1667">
        <v>620</v>
      </c>
      <c r="BB1667">
        <v>44</v>
      </c>
      <c r="BC1667" t="s">
        <v>96</v>
      </c>
      <c r="BD1667">
        <v>1</v>
      </c>
      <c r="BF1667" t="s">
        <v>1820</v>
      </c>
      <c r="BG1667" s="1">
        <v>44354.26458333333</v>
      </c>
      <c r="BH1667" s="1">
        <v>44354.266273148147</v>
      </c>
      <c r="BI1667" s="1">
        <v>44354.267025462963</v>
      </c>
      <c r="BJ1667" t="s">
        <v>85</v>
      </c>
      <c r="BK1667" t="s">
        <v>86</v>
      </c>
      <c r="BL1667" t="s">
        <v>1390</v>
      </c>
    </row>
    <row r="1668" spans="1:64" x14ac:dyDescent="0.3">
      <c r="A1668" t="str">
        <f>"200986C0100"</f>
        <v>200986C0100</v>
      </c>
      <c r="B1668" t="str">
        <f>"200986C01003"</f>
        <v>200986C01003</v>
      </c>
      <c r="C1668" t="str">
        <f t="shared" si="96"/>
        <v>20</v>
      </c>
      <c r="D1668" t="s">
        <v>81</v>
      </c>
      <c r="E1668" t="str">
        <f t="shared" si="100"/>
        <v>175</v>
      </c>
      <c r="F1668" t="s">
        <v>1819</v>
      </c>
      <c r="G1668" t="str">
        <f>"0986"</f>
        <v>0986</v>
      </c>
      <c r="H1668" t="str">
        <f>"0001"</f>
        <v>0001</v>
      </c>
      <c r="I1668" t="s">
        <v>89</v>
      </c>
      <c r="J1668">
        <v>0</v>
      </c>
      <c r="K1668">
        <v>1</v>
      </c>
      <c r="L1668">
        <v>3</v>
      </c>
      <c r="M1668">
        <v>245</v>
      </c>
      <c r="N1668">
        <v>418</v>
      </c>
      <c r="O1668">
        <v>2</v>
      </c>
      <c r="P1668">
        <v>418</v>
      </c>
      <c r="Q1668">
        <v>36</v>
      </c>
      <c r="R1668">
        <v>140</v>
      </c>
      <c r="S1668">
        <v>4</v>
      </c>
      <c r="T1668">
        <v>3</v>
      </c>
      <c r="U1668">
        <v>2</v>
      </c>
      <c r="W1668">
        <v>19</v>
      </c>
      <c r="X1668">
        <v>189</v>
      </c>
      <c r="Y1668">
        <v>2</v>
      </c>
      <c r="Z1668">
        <v>2</v>
      </c>
      <c r="AA1668">
        <v>4</v>
      </c>
      <c r="AN1668">
        <v>0</v>
      </c>
      <c r="AR1668">
        <v>0</v>
      </c>
      <c r="AS1668">
        <v>0</v>
      </c>
      <c r="AT1668">
        <v>4</v>
      </c>
      <c r="AW1668" t="s">
        <v>95</v>
      </c>
      <c r="AX1668">
        <v>13</v>
      </c>
      <c r="AY1668">
        <v>418</v>
      </c>
      <c r="AZ1668">
        <v>418</v>
      </c>
      <c r="BA1668">
        <v>619</v>
      </c>
      <c r="BB1668">
        <v>44</v>
      </c>
      <c r="BC1668" t="s">
        <v>96</v>
      </c>
      <c r="BD1668">
        <v>1</v>
      </c>
      <c r="BF1668" t="s">
        <v>1821</v>
      </c>
      <c r="BG1668" s="1">
        <v>44354.009027777778</v>
      </c>
      <c r="BH1668" s="1">
        <v>44354.015694444446</v>
      </c>
      <c r="BI1668" s="1">
        <v>44354.016180555554</v>
      </c>
      <c r="BJ1668" t="s">
        <v>85</v>
      </c>
      <c r="BK1668" t="s">
        <v>86</v>
      </c>
      <c r="BL1668" t="s">
        <v>87</v>
      </c>
    </row>
    <row r="1669" spans="1:64" x14ac:dyDescent="0.3">
      <c r="A1669" t="str">
        <f>"200987B0000"</f>
        <v>200987B0000</v>
      </c>
      <c r="B1669" t="str">
        <f>"200987B00003"</f>
        <v>200987B00003</v>
      </c>
      <c r="C1669" t="str">
        <f t="shared" si="96"/>
        <v>20</v>
      </c>
      <c r="D1669" t="s">
        <v>81</v>
      </c>
      <c r="E1669" t="str">
        <f t="shared" si="100"/>
        <v>175</v>
      </c>
      <c r="F1669" t="s">
        <v>1819</v>
      </c>
      <c r="G1669" t="str">
        <f>"0987"</f>
        <v>0987</v>
      </c>
      <c r="H1669" t="str">
        <f>"0000"</f>
        <v>0000</v>
      </c>
      <c r="I1669" t="s">
        <v>83</v>
      </c>
      <c r="J1669">
        <v>0</v>
      </c>
      <c r="K1669">
        <v>1</v>
      </c>
      <c r="L1669">
        <v>3</v>
      </c>
      <c r="M1669">
        <v>206</v>
      </c>
      <c r="N1669">
        <v>387</v>
      </c>
      <c r="O1669">
        <v>5</v>
      </c>
      <c r="P1669">
        <v>287</v>
      </c>
      <c r="Q1669">
        <v>35</v>
      </c>
      <c r="R1669">
        <v>132</v>
      </c>
      <c r="S1669">
        <v>3</v>
      </c>
      <c r="T1669">
        <v>1</v>
      </c>
      <c r="U1669">
        <v>2</v>
      </c>
      <c r="W1669">
        <v>25</v>
      </c>
      <c r="X1669">
        <v>162</v>
      </c>
      <c r="Y1669">
        <v>9</v>
      </c>
      <c r="Z1669">
        <v>1</v>
      </c>
      <c r="AA1669">
        <v>2</v>
      </c>
      <c r="AN1669">
        <v>0</v>
      </c>
      <c r="AR1669">
        <v>0</v>
      </c>
      <c r="AS1669">
        <v>0</v>
      </c>
      <c r="AT1669">
        <v>0</v>
      </c>
      <c r="AW1669">
        <v>0</v>
      </c>
      <c r="AX1669">
        <v>14</v>
      </c>
      <c r="AY1669" t="s">
        <v>95</v>
      </c>
      <c r="AZ1669">
        <v>386</v>
      </c>
      <c r="BA1669">
        <v>549</v>
      </c>
      <c r="BB1669">
        <v>44</v>
      </c>
      <c r="BD1669">
        <v>1</v>
      </c>
      <c r="BF1669" t="s">
        <v>1822</v>
      </c>
      <c r="BG1669" s="1">
        <v>44354.061111111114</v>
      </c>
      <c r="BH1669" s="1">
        <v>44354.067754629628</v>
      </c>
      <c r="BI1669" s="1">
        <v>44354.068159722221</v>
      </c>
      <c r="BJ1669" t="s">
        <v>85</v>
      </c>
      <c r="BK1669" t="s">
        <v>86</v>
      </c>
      <c r="BL1669" t="s">
        <v>87</v>
      </c>
    </row>
    <row r="1670" spans="1:64" x14ac:dyDescent="0.3">
      <c r="A1670" t="str">
        <f>"200987C0100"</f>
        <v>200987C0100</v>
      </c>
      <c r="B1670" t="str">
        <f>"200987C01003"</f>
        <v>200987C01003</v>
      </c>
      <c r="C1670" t="str">
        <f t="shared" si="96"/>
        <v>20</v>
      </c>
      <c r="D1670" t="s">
        <v>81</v>
      </c>
      <c r="E1670" t="str">
        <f t="shared" si="100"/>
        <v>175</v>
      </c>
      <c r="F1670" t="s">
        <v>1819</v>
      </c>
      <c r="G1670" t="str">
        <f>"0987"</f>
        <v>0987</v>
      </c>
      <c r="H1670" t="str">
        <f>"0001"</f>
        <v>0001</v>
      </c>
      <c r="I1670" t="s">
        <v>89</v>
      </c>
      <c r="J1670">
        <v>0</v>
      </c>
      <c r="K1670">
        <v>1</v>
      </c>
      <c r="L1670">
        <v>3</v>
      </c>
      <c r="M1670">
        <v>201</v>
      </c>
      <c r="N1670">
        <v>391</v>
      </c>
      <c r="O1670">
        <v>3</v>
      </c>
      <c r="P1670">
        <v>391</v>
      </c>
      <c r="Q1670">
        <v>35</v>
      </c>
      <c r="R1670">
        <v>127</v>
      </c>
      <c r="S1670">
        <v>5</v>
      </c>
      <c r="T1670">
        <v>1</v>
      </c>
      <c r="U1670">
        <v>1</v>
      </c>
      <c r="W1670">
        <v>19</v>
      </c>
      <c r="X1670">
        <v>174</v>
      </c>
      <c r="Y1670">
        <v>9</v>
      </c>
      <c r="Z1670">
        <v>1</v>
      </c>
      <c r="AA1670">
        <v>2</v>
      </c>
      <c r="AN1670">
        <v>0</v>
      </c>
      <c r="AR1670">
        <v>0</v>
      </c>
      <c r="AS1670">
        <v>0</v>
      </c>
      <c r="AT1670">
        <v>0</v>
      </c>
      <c r="AW1670">
        <v>0</v>
      </c>
      <c r="AX1670">
        <v>17</v>
      </c>
      <c r="AY1670">
        <v>391</v>
      </c>
      <c r="AZ1670">
        <v>391</v>
      </c>
      <c r="BA1670">
        <v>548</v>
      </c>
      <c r="BB1670">
        <v>44</v>
      </c>
      <c r="BD1670">
        <v>1</v>
      </c>
      <c r="BF1670" t="s">
        <v>1823</v>
      </c>
      <c r="BG1670" s="1">
        <v>44354.06527777778</v>
      </c>
      <c r="BH1670" s="1">
        <v>44354.0703587963</v>
      </c>
      <c r="BI1670" s="1">
        <v>44354.071250000001</v>
      </c>
      <c r="BJ1670" t="s">
        <v>85</v>
      </c>
      <c r="BK1670" t="s">
        <v>86</v>
      </c>
      <c r="BL1670" t="s">
        <v>87</v>
      </c>
    </row>
    <row r="1671" spans="1:64" x14ac:dyDescent="0.3">
      <c r="A1671" t="str">
        <f>"200987C0200"</f>
        <v>200987C0200</v>
      </c>
      <c r="B1671" t="str">
        <f>"200987C02003"</f>
        <v>200987C02003</v>
      </c>
      <c r="C1671" t="str">
        <f t="shared" ref="C1671:C1734" si="101">"20"</f>
        <v>20</v>
      </c>
      <c r="D1671" t="s">
        <v>81</v>
      </c>
      <c r="E1671" t="str">
        <f t="shared" si="100"/>
        <v>175</v>
      </c>
      <c r="F1671" t="s">
        <v>1819</v>
      </c>
      <c r="G1671" t="str">
        <f>"0987"</f>
        <v>0987</v>
      </c>
      <c r="H1671" t="str">
        <f>"0002"</f>
        <v>0002</v>
      </c>
      <c r="I1671" t="s">
        <v>89</v>
      </c>
      <c r="J1671">
        <v>0</v>
      </c>
      <c r="K1671">
        <v>1</v>
      </c>
      <c r="L1671">
        <v>3</v>
      </c>
      <c r="M1671">
        <v>222</v>
      </c>
      <c r="N1671">
        <v>370</v>
      </c>
      <c r="O1671">
        <v>0</v>
      </c>
      <c r="P1671">
        <v>370</v>
      </c>
      <c r="Q1671">
        <v>38</v>
      </c>
      <c r="R1671">
        <v>114</v>
      </c>
      <c r="S1671">
        <v>9</v>
      </c>
      <c r="T1671">
        <v>2</v>
      </c>
      <c r="U1671">
        <v>4</v>
      </c>
      <c r="W1671">
        <v>25</v>
      </c>
      <c r="X1671">
        <v>151</v>
      </c>
      <c r="Y1671">
        <v>4</v>
      </c>
      <c r="Z1671">
        <v>0</v>
      </c>
      <c r="AA1671">
        <v>4</v>
      </c>
      <c r="AN1671">
        <v>0</v>
      </c>
      <c r="AR1671">
        <v>1</v>
      </c>
      <c r="AS1671">
        <v>0</v>
      </c>
      <c r="AT1671">
        <v>1</v>
      </c>
      <c r="AW1671">
        <v>1</v>
      </c>
      <c r="AX1671">
        <v>16</v>
      </c>
      <c r="AY1671">
        <v>370</v>
      </c>
      <c r="AZ1671">
        <v>370</v>
      </c>
      <c r="BA1671">
        <v>548</v>
      </c>
      <c r="BB1671">
        <v>44</v>
      </c>
      <c r="BD1671">
        <v>1</v>
      </c>
      <c r="BF1671" t="s">
        <v>1824</v>
      </c>
      <c r="BG1671" s="1">
        <v>44354.068749999999</v>
      </c>
      <c r="BH1671" s="1">
        <v>44354.075277777774</v>
      </c>
      <c r="BI1671" s="1">
        <v>44354.075671296298</v>
      </c>
      <c r="BJ1671" t="s">
        <v>85</v>
      </c>
      <c r="BK1671" t="s">
        <v>86</v>
      </c>
      <c r="BL1671" t="s">
        <v>87</v>
      </c>
    </row>
    <row r="1672" spans="1:64" x14ac:dyDescent="0.3">
      <c r="A1672" t="str">
        <f>"200988B0000"</f>
        <v>200988B0000</v>
      </c>
      <c r="B1672" t="str">
        <f>"200988B00003"</f>
        <v>200988B00003</v>
      </c>
      <c r="C1672" t="str">
        <f t="shared" si="101"/>
        <v>20</v>
      </c>
      <c r="D1672" t="s">
        <v>81</v>
      </c>
      <c r="E1672" t="str">
        <f t="shared" si="100"/>
        <v>175</v>
      </c>
      <c r="F1672" t="s">
        <v>1819</v>
      </c>
      <c r="G1672" t="str">
        <f>"0988"</f>
        <v>0988</v>
      </c>
      <c r="H1672" t="str">
        <f>"0000"</f>
        <v>0000</v>
      </c>
      <c r="I1672" t="s">
        <v>83</v>
      </c>
      <c r="J1672">
        <v>0</v>
      </c>
      <c r="K1672">
        <v>1</v>
      </c>
      <c r="L1672">
        <v>3</v>
      </c>
      <c r="M1672">
        <v>172</v>
      </c>
      <c r="N1672">
        <v>358</v>
      </c>
      <c r="O1672">
        <v>5</v>
      </c>
      <c r="P1672">
        <v>358</v>
      </c>
      <c r="Q1672">
        <v>30</v>
      </c>
      <c r="R1672">
        <v>114</v>
      </c>
      <c r="S1672">
        <v>3</v>
      </c>
      <c r="T1672">
        <v>0</v>
      </c>
      <c r="U1672">
        <v>4</v>
      </c>
      <c r="W1672">
        <v>17</v>
      </c>
      <c r="X1672">
        <v>173</v>
      </c>
      <c r="Y1672">
        <v>5</v>
      </c>
      <c r="Z1672">
        <v>2</v>
      </c>
      <c r="AA1672">
        <v>1</v>
      </c>
      <c r="AN1672">
        <v>1</v>
      </c>
      <c r="AR1672">
        <v>0</v>
      </c>
      <c r="AS1672">
        <v>0</v>
      </c>
      <c r="AT1672">
        <v>0</v>
      </c>
      <c r="AW1672">
        <v>0</v>
      </c>
      <c r="AX1672">
        <v>8</v>
      </c>
      <c r="AY1672">
        <v>358</v>
      </c>
      <c r="AZ1672">
        <v>358</v>
      </c>
      <c r="BA1672">
        <v>486</v>
      </c>
      <c r="BB1672">
        <v>44</v>
      </c>
      <c r="BD1672">
        <v>1</v>
      </c>
      <c r="BF1672" t="s">
        <v>1825</v>
      </c>
      <c r="BG1672" s="1">
        <v>44353.960416666669</v>
      </c>
      <c r="BH1672" s="1">
        <v>44353.963333333333</v>
      </c>
      <c r="BI1672" s="1">
        <v>44353.964004629626</v>
      </c>
      <c r="BJ1672" t="s">
        <v>85</v>
      </c>
      <c r="BK1672" t="s">
        <v>86</v>
      </c>
      <c r="BL1672" t="s">
        <v>87</v>
      </c>
    </row>
    <row r="1673" spans="1:64" x14ac:dyDescent="0.3">
      <c r="A1673" t="str">
        <f>"200988C0100"</f>
        <v>200988C0100</v>
      </c>
      <c r="B1673" t="str">
        <f>"200988C01003"</f>
        <v>200988C01003</v>
      </c>
      <c r="C1673" t="str">
        <f t="shared" si="101"/>
        <v>20</v>
      </c>
      <c r="D1673" t="s">
        <v>81</v>
      </c>
      <c r="E1673" t="str">
        <f t="shared" si="100"/>
        <v>175</v>
      </c>
      <c r="F1673" t="s">
        <v>1819</v>
      </c>
      <c r="G1673" t="str">
        <f>"0988"</f>
        <v>0988</v>
      </c>
      <c r="H1673" t="str">
        <f>"0001"</f>
        <v>0001</v>
      </c>
      <c r="I1673" t="s">
        <v>89</v>
      </c>
      <c r="J1673">
        <v>0</v>
      </c>
      <c r="K1673">
        <v>1</v>
      </c>
      <c r="L1673">
        <v>3</v>
      </c>
      <c r="M1673">
        <v>195</v>
      </c>
      <c r="N1673">
        <v>0</v>
      </c>
      <c r="O1673">
        <v>0</v>
      </c>
      <c r="P1673">
        <v>333</v>
      </c>
      <c r="Q1673">
        <v>28</v>
      </c>
      <c r="R1673">
        <v>104</v>
      </c>
      <c r="S1673">
        <v>3</v>
      </c>
      <c r="T1673" t="s">
        <v>95</v>
      </c>
      <c r="U1673">
        <v>2</v>
      </c>
      <c r="W1673">
        <v>21</v>
      </c>
      <c r="X1673">
        <v>156</v>
      </c>
      <c r="Y1673">
        <v>4</v>
      </c>
      <c r="Z1673">
        <v>2</v>
      </c>
      <c r="AA1673">
        <v>1</v>
      </c>
      <c r="AN1673">
        <v>2</v>
      </c>
      <c r="AR1673">
        <v>2</v>
      </c>
      <c r="AS1673" t="s">
        <v>95</v>
      </c>
      <c r="AT1673" t="s">
        <v>95</v>
      </c>
      <c r="AW1673" t="s">
        <v>95</v>
      </c>
      <c r="AX1673">
        <v>8</v>
      </c>
      <c r="AY1673">
        <v>333</v>
      </c>
      <c r="AZ1673">
        <v>333</v>
      </c>
      <c r="BA1673">
        <v>485</v>
      </c>
      <c r="BB1673">
        <v>44</v>
      </c>
      <c r="BC1673" t="s">
        <v>96</v>
      </c>
      <c r="BD1673">
        <v>1</v>
      </c>
      <c r="BF1673" t="s">
        <v>1826</v>
      </c>
      <c r="BG1673" s="1">
        <v>44354.048611111109</v>
      </c>
      <c r="BH1673" s="1">
        <v>44354.055671296293</v>
      </c>
      <c r="BI1673" s="1">
        <v>44354.056261574071</v>
      </c>
      <c r="BJ1673" t="s">
        <v>85</v>
      </c>
      <c r="BK1673" t="s">
        <v>86</v>
      </c>
      <c r="BL1673" t="s">
        <v>87</v>
      </c>
    </row>
    <row r="1674" spans="1:64" x14ac:dyDescent="0.3">
      <c r="A1674" t="str">
        <f>"200988S0100"</f>
        <v>200988S0100</v>
      </c>
      <c r="B1674" t="str">
        <f>"200988S01003E"</f>
        <v>200988S01003E</v>
      </c>
      <c r="C1674" t="str">
        <f t="shared" si="101"/>
        <v>20</v>
      </c>
      <c r="D1674" t="s">
        <v>81</v>
      </c>
      <c r="E1674" t="str">
        <f t="shared" si="100"/>
        <v>175</v>
      </c>
      <c r="F1674" t="s">
        <v>1819</v>
      </c>
      <c r="G1674" t="str">
        <f>"0988"</f>
        <v>0988</v>
      </c>
      <c r="H1674" t="str">
        <f>"0001"</f>
        <v>0001</v>
      </c>
      <c r="I1674" t="s">
        <v>99</v>
      </c>
      <c r="J1674">
        <v>0</v>
      </c>
      <c r="K1674">
        <v>1</v>
      </c>
      <c r="L1674" t="s">
        <v>100</v>
      </c>
      <c r="M1674">
        <v>982</v>
      </c>
      <c r="N1674">
        <v>18</v>
      </c>
      <c r="O1674">
        <v>0</v>
      </c>
      <c r="P1674">
        <v>18</v>
      </c>
      <c r="Q1674">
        <v>2</v>
      </c>
      <c r="R1674">
        <v>8</v>
      </c>
      <c r="S1674">
        <v>1</v>
      </c>
      <c r="T1674">
        <v>0</v>
      </c>
      <c r="U1674">
        <v>0</v>
      </c>
      <c r="W1674">
        <v>1</v>
      </c>
      <c r="X1674">
        <v>6</v>
      </c>
      <c r="Y1674">
        <v>0</v>
      </c>
      <c r="Z1674">
        <v>0</v>
      </c>
      <c r="AA1674">
        <v>0</v>
      </c>
      <c r="AN1674">
        <v>0</v>
      </c>
      <c r="AR1674">
        <v>0</v>
      </c>
      <c r="AS1674">
        <v>0</v>
      </c>
      <c r="AT1674">
        <v>0</v>
      </c>
      <c r="AW1674">
        <v>0</v>
      </c>
      <c r="AX1674">
        <v>0</v>
      </c>
      <c r="AY1674">
        <v>18</v>
      </c>
      <c r="AZ1674">
        <v>18</v>
      </c>
      <c r="BA1674">
        <v>0</v>
      </c>
      <c r="BB1674">
        <v>44</v>
      </c>
      <c r="BD1674">
        <v>1</v>
      </c>
      <c r="BF1674" t="s">
        <v>1827</v>
      </c>
      <c r="BG1674" s="1">
        <v>44354.029166666667</v>
      </c>
      <c r="BH1674" s="1">
        <v>44354.039664351854</v>
      </c>
      <c r="BI1674" s="1">
        <v>44354.040300925924</v>
      </c>
      <c r="BJ1674" t="s">
        <v>85</v>
      </c>
      <c r="BK1674" t="s">
        <v>86</v>
      </c>
      <c r="BL1674" t="s">
        <v>87</v>
      </c>
    </row>
    <row r="1675" spans="1:64" x14ac:dyDescent="0.3">
      <c r="A1675" t="str">
        <f>"200989B0000"</f>
        <v>200989B0000</v>
      </c>
      <c r="B1675" t="str">
        <f>"200989B00003"</f>
        <v>200989B00003</v>
      </c>
      <c r="C1675" t="str">
        <f t="shared" si="101"/>
        <v>20</v>
      </c>
      <c r="D1675" t="s">
        <v>81</v>
      </c>
      <c r="E1675" t="str">
        <f t="shared" si="100"/>
        <v>175</v>
      </c>
      <c r="F1675" t="s">
        <v>1819</v>
      </c>
      <c r="G1675" t="str">
        <f>"0989"</f>
        <v>0989</v>
      </c>
      <c r="H1675" t="str">
        <f>"0000"</f>
        <v>0000</v>
      </c>
      <c r="I1675" t="s">
        <v>83</v>
      </c>
      <c r="J1675">
        <v>0</v>
      </c>
      <c r="K1675">
        <v>1</v>
      </c>
      <c r="L1675">
        <v>3</v>
      </c>
      <c r="M1675">
        <v>171</v>
      </c>
      <c r="N1675">
        <v>321</v>
      </c>
      <c r="O1675">
        <v>11</v>
      </c>
      <c r="P1675" t="s">
        <v>131</v>
      </c>
      <c r="Q1675">
        <v>8</v>
      </c>
      <c r="R1675">
        <v>152</v>
      </c>
      <c r="S1675">
        <v>9</v>
      </c>
      <c r="T1675">
        <v>0</v>
      </c>
      <c r="U1675">
        <v>1</v>
      </c>
      <c r="W1675">
        <v>0</v>
      </c>
      <c r="X1675">
        <v>75</v>
      </c>
      <c r="Y1675">
        <v>65</v>
      </c>
      <c r="Z1675">
        <v>3</v>
      </c>
      <c r="AA1675">
        <v>0</v>
      </c>
      <c r="AN1675">
        <v>0</v>
      </c>
      <c r="AR1675">
        <v>0</v>
      </c>
      <c r="AS1675">
        <v>1</v>
      </c>
      <c r="AT1675">
        <v>0</v>
      </c>
      <c r="AW1675">
        <v>0</v>
      </c>
      <c r="AX1675">
        <v>7</v>
      </c>
      <c r="AY1675">
        <v>321</v>
      </c>
      <c r="AZ1675">
        <v>321</v>
      </c>
      <c r="BA1675">
        <v>448</v>
      </c>
      <c r="BB1675">
        <v>44</v>
      </c>
      <c r="BD1675">
        <v>1</v>
      </c>
      <c r="BF1675" t="s">
        <v>1828</v>
      </c>
      <c r="BG1675" s="1">
        <v>44354.13958333333</v>
      </c>
      <c r="BH1675" s="1">
        <v>44354.142337962963</v>
      </c>
      <c r="BI1675" s="1">
        <v>44354.142847222225</v>
      </c>
      <c r="BJ1675" t="s">
        <v>85</v>
      </c>
      <c r="BK1675" t="s">
        <v>86</v>
      </c>
      <c r="BL1675" t="s">
        <v>87</v>
      </c>
    </row>
    <row r="1676" spans="1:64" x14ac:dyDescent="0.3">
      <c r="A1676" t="str">
        <f>"200990B0000"</f>
        <v>200990B0000</v>
      </c>
      <c r="B1676" t="str">
        <f>"200990B00003"</f>
        <v>200990B00003</v>
      </c>
      <c r="C1676" t="str">
        <f t="shared" si="101"/>
        <v>20</v>
      </c>
      <c r="D1676" t="s">
        <v>81</v>
      </c>
      <c r="E1676" t="str">
        <f t="shared" si="100"/>
        <v>175</v>
      </c>
      <c r="F1676" t="s">
        <v>1819</v>
      </c>
      <c r="G1676" t="str">
        <f>"0990"</f>
        <v>0990</v>
      </c>
      <c r="H1676" t="str">
        <f>"0000"</f>
        <v>0000</v>
      </c>
      <c r="I1676" t="s">
        <v>83</v>
      </c>
      <c r="J1676">
        <v>0</v>
      </c>
      <c r="K1676">
        <v>1</v>
      </c>
      <c r="L1676">
        <v>3</v>
      </c>
      <c r="M1676">
        <v>70</v>
      </c>
      <c r="N1676">
        <v>193</v>
      </c>
      <c r="O1676">
        <v>4</v>
      </c>
      <c r="P1676">
        <v>193</v>
      </c>
      <c r="Q1676">
        <v>16</v>
      </c>
      <c r="R1676">
        <v>77</v>
      </c>
      <c r="S1676">
        <v>37</v>
      </c>
      <c r="T1676">
        <v>0</v>
      </c>
      <c r="U1676">
        <v>4</v>
      </c>
      <c r="W1676">
        <v>0</v>
      </c>
      <c r="X1676">
        <v>54</v>
      </c>
      <c r="Y1676">
        <v>0</v>
      </c>
      <c r="Z1676">
        <v>1</v>
      </c>
      <c r="AA1676">
        <v>0</v>
      </c>
      <c r="AN1676">
        <v>0</v>
      </c>
      <c r="AR1676">
        <v>0</v>
      </c>
      <c r="AS1676">
        <v>0</v>
      </c>
      <c r="AT1676">
        <v>0</v>
      </c>
      <c r="AW1676">
        <v>0</v>
      </c>
      <c r="AX1676">
        <v>4</v>
      </c>
      <c r="AY1676">
        <v>193</v>
      </c>
      <c r="AZ1676">
        <v>193</v>
      </c>
      <c r="BA1676">
        <v>219</v>
      </c>
      <c r="BB1676">
        <v>44</v>
      </c>
      <c r="BD1676">
        <v>1</v>
      </c>
      <c r="BF1676" t="s">
        <v>1829</v>
      </c>
      <c r="BG1676" s="1">
        <v>44354.083333333336</v>
      </c>
      <c r="BH1676" s="1">
        <v>44354.09138888889</v>
      </c>
      <c r="BI1676" s="1">
        <v>44354.091840277775</v>
      </c>
      <c r="BJ1676" t="s">
        <v>85</v>
      </c>
      <c r="BK1676" t="s">
        <v>86</v>
      </c>
      <c r="BL1676" t="s">
        <v>87</v>
      </c>
    </row>
    <row r="1677" spans="1:64" x14ac:dyDescent="0.3">
      <c r="A1677" t="str">
        <f>"200991B0000"</f>
        <v>200991B0000</v>
      </c>
      <c r="B1677" t="str">
        <f>"200991B00003"</f>
        <v>200991B00003</v>
      </c>
      <c r="C1677" t="str">
        <f t="shared" si="101"/>
        <v>20</v>
      </c>
      <c r="D1677" t="s">
        <v>81</v>
      </c>
      <c r="E1677" t="str">
        <f t="shared" si="100"/>
        <v>175</v>
      </c>
      <c r="F1677" t="s">
        <v>1819</v>
      </c>
      <c r="G1677" t="str">
        <f>"0991"</f>
        <v>0991</v>
      </c>
      <c r="H1677" t="str">
        <f>"0000"</f>
        <v>0000</v>
      </c>
      <c r="I1677" t="s">
        <v>83</v>
      </c>
      <c r="J1677">
        <v>0</v>
      </c>
      <c r="K1677">
        <v>1</v>
      </c>
      <c r="L1677">
        <v>3</v>
      </c>
      <c r="M1677">
        <v>92</v>
      </c>
      <c r="N1677">
        <v>134</v>
      </c>
      <c r="O1677">
        <v>0</v>
      </c>
      <c r="P1677">
        <v>134</v>
      </c>
      <c r="Q1677">
        <v>1</v>
      </c>
      <c r="R1677">
        <v>76</v>
      </c>
      <c r="S1677">
        <v>18</v>
      </c>
      <c r="T1677">
        <v>0</v>
      </c>
      <c r="U1677">
        <v>1</v>
      </c>
      <c r="W1677">
        <v>3</v>
      </c>
      <c r="X1677">
        <v>34</v>
      </c>
      <c r="Y1677">
        <v>1</v>
      </c>
      <c r="Z1677">
        <v>0</v>
      </c>
      <c r="AA1677">
        <v>0</v>
      </c>
      <c r="AN1677">
        <v>0</v>
      </c>
      <c r="AR1677">
        <v>0</v>
      </c>
      <c r="AS1677">
        <v>0</v>
      </c>
      <c r="AT1677">
        <v>0</v>
      </c>
      <c r="AW1677">
        <v>0</v>
      </c>
      <c r="AX1677">
        <v>0</v>
      </c>
      <c r="AY1677">
        <v>134</v>
      </c>
      <c r="AZ1677">
        <v>134</v>
      </c>
      <c r="BA1677">
        <v>182</v>
      </c>
      <c r="BB1677">
        <v>44</v>
      </c>
      <c r="BD1677">
        <v>1</v>
      </c>
      <c r="BF1677" t="s">
        <v>1830</v>
      </c>
      <c r="BG1677" s="1">
        <v>44354.204861111109</v>
      </c>
      <c r="BH1677" s="1">
        <v>44354.206817129627</v>
      </c>
      <c r="BI1677" s="1">
        <v>44354.208136574074</v>
      </c>
      <c r="BJ1677" t="s">
        <v>85</v>
      </c>
      <c r="BK1677" t="s">
        <v>86</v>
      </c>
      <c r="BL1677" t="s">
        <v>87</v>
      </c>
    </row>
    <row r="1678" spans="1:64" x14ac:dyDescent="0.3">
      <c r="A1678" t="str">
        <f>"200992B0000"</f>
        <v>200992B0000</v>
      </c>
      <c r="B1678" t="str">
        <f>"200992B00003"</f>
        <v>200992B00003</v>
      </c>
      <c r="C1678" t="str">
        <f t="shared" si="101"/>
        <v>20</v>
      </c>
      <c r="D1678" t="s">
        <v>81</v>
      </c>
      <c r="E1678" t="str">
        <f t="shared" si="100"/>
        <v>175</v>
      </c>
      <c r="F1678" t="s">
        <v>1819</v>
      </c>
      <c r="G1678" t="str">
        <f>"0992"</f>
        <v>0992</v>
      </c>
      <c r="H1678" t="str">
        <f>"0000"</f>
        <v>0000</v>
      </c>
      <c r="I1678" t="s">
        <v>83</v>
      </c>
      <c r="J1678">
        <v>0</v>
      </c>
      <c r="K1678">
        <v>1</v>
      </c>
      <c r="L1678">
        <v>3</v>
      </c>
      <c r="M1678">
        <v>87</v>
      </c>
      <c r="N1678">
        <v>121</v>
      </c>
      <c r="O1678">
        <v>3</v>
      </c>
      <c r="P1678">
        <v>121</v>
      </c>
      <c r="Q1678">
        <v>8</v>
      </c>
      <c r="R1678">
        <v>52</v>
      </c>
      <c r="S1678">
        <v>1</v>
      </c>
      <c r="T1678">
        <v>0</v>
      </c>
      <c r="U1678">
        <v>1</v>
      </c>
      <c r="W1678">
        <v>18</v>
      </c>
      <c r="X1678">
        <v>35</v>
      </c>
      <c r="Y1678">
        <v>0</v>
      </c>
      <c r="Z1678">
        <v>0</v>
      </c>
      <c r="AA1678">
        <v>0</v>
      </c>
      <c r="AN1678">
        <v>1</v>
      </c>
      <c r="AR1678">
        <v>1</v>
      </c>
      <c r="AS1678">
        <v>2</v>
      </c>
      <c r="AT1678">
        <v>0</v>
      </c>
      <c r="AW1678" t="s">
        <v>95</v>
      </c>
      <c r="AX1678">
        <v>2</v>
      </c>
      <c r="AY1678">
        <v>121</v>
      </c>
      <c r="AZ1678">
        <v>121</v>
      </c>
      <c r="BA1678">
        <v>164</v>
      </c>
      <c r="BB1678">
        <v>44</v>
      </c>
      <c r="BC1678" t="s">
        <v>96</v>
      </c>
      <c r="BD1678">
        <v>1</v>
      </c>
      <c r="BF1678" t="s">
        <v>1831</v>
      </c>
      <c r="BG1678" s="1">
        <v>44354.038888888892</v>
      </c>
      <c r="BH1678" s="1">
        <v>44354.048495370371</v>
      </c>
      <c r="BI1678" s="1">
        <v>44354.049004629633</v>
      </c>
      <c r="BJ1678" t="s">
        <v>85</v>
      </c>
      <c r="BK1678" t="s">
        <v>86</v>
      </c>
      <c r="BL1678" t="s">
        <v>87</v>
      </c>
    </row>
    <row r="1679" spans="1:64" x14ac:dyDescent="0.3">
      <c r="A1679" t="str">
        <f>"200992E0100"</f>
        <v>200992E0100</v>
      </c>
      <c r="B1679" t="str">
        <f>"200992E01003"</f>
        <v>200992E01003</v>
      </c>
      <c r="C1679" t="str">
        <f t="shared" si="101"/>
        <v>20</v>
      </c>
      <c r="D1679" t="s">
        <v>81</v>
      </c>
      <c r="E1679" t="str">
        <f t="shared" si="100"/>
        <v>175</v>
      </c>
      <c r="F1679" t="s">
        <v>1819</v>
      </c>
      <c r="G1679" t="str">
        <f>"0992"</f>
        <v>0992</v>
      </c>
      <c r="H1679" t="str">
        <f>"0001"</f>
        <v>0001</v>
      </c>
      <c r="I1679" t="s">
        <v>122</v>
      </c>
      <c r="J1679">
        <v>0</v>
      </c>
      <c r="K1679">
        <v>1</v>
      </c>
      <c r="L1679">
        <v>3</v>
      </c>
      <c r="M1679">
        <v>74</v>
      </c>
      <c r="N1679">
        <v>177</v>
      </c>
      <c r="O1679">
        <v>10</v>
      </c>
      <c r="P1679">
        <v>177</v>
      </c>
      <c r="Q1679">
        <v>15</v>
      </c>
      <c r="R1679">
        <v>79</v>
      </c>
      <c r="S1679">
        <v>0</v>
      </c>
      <c r="T1679">
        <v>0</v>
      </c>
      <c r="U1679">
        <v>0</v>
      </c>
      <c r="W1679">
        <v>8</v>
      </c>
      <c r="X1679">
        <v>61</v>
      </c>
      <c r="Y1679">
        <v>0</v>
      </c>
      <c r="Z1679">
        <v>0</v>
      </c>
      <c r="AA1679">
        <v>1</v>
      </c>
      <c r="AN1679">
        <v>1</v>
      </c>
      <c r="AR1679">
        <v>0</v>
      </c>
      <c r="AS1679">
        <v>0</v>
      </c>
      <c r="AT1679">
        <v>0</v>
      </c>
      <c r="AW1679">
        <v>0</v>
      </c>
      <c r="AX1679">
        <v>12</v>
      </c>
      <c r="AY1679">
        <v>177</v>
      </c>
      <c r="AZ1679">
        <v>177</v>
      </c>
      <c r="BA1679">
        <v>207</v>
      </c>
      <c r="BB1679">
        <v>44</v>
      </c>
      <c r="BD1679">
        <v>1</v>
      </c>
      <c r="BF1679" t="s">
        <v>1832</v>
      </c>
      <c r="BG1679" s="1">
        <v>44354.034722222219</v>
      </c>
      <c r="BH1679" s="1">
        <v>44354.041886574072</v>
      </c>
      <c r="BI1679" s="1">
        <v>44354.043287037035</v>
      </c>
      <c r="BJ1679" t="s">
        <v>85</v>
      </c>
      <c r="BK1679" t="s">
        <v>86</v>
      </c>
      <c r="BL1679" t="s">
        <v>87</v>
      </c>
    </row>
    <row r="1680" spans="1:64" x14ac:dyDescent="0.3">
      <c r="A1680" t="str">
        <f>"200993B0000"</f>
        <v>200993B0000</v>
      </c>
      <c r="B1680" t="str">
        <f>"200993B00003"</f>
        <v>200993B00003</v>
      </c>
      <c r="C1680" t="str">
        <f t="shared" si="101"/>
        <v>20</v>
      </c>
      <c r="D1680" t="s">
        <v>81</v>
      </c>
      <c r="E1680" t="str">
        <f t="shared" si="100"/>
        <v>175</v>
      </c>
      <c r="F1680" t="s">
        <v>1819</v>
      </c>
      <c r="G1680" t="str">
        <f>"0993"</f>
        <v>0993</v>
      </c>
      <c r="H1680" t="str">
        <f>"0000"</f>
        <v>0000</v>
      </c>
      <c r="I1680" t="s">
        <v>83</v>
      </c>
      <c r="J1680">
        <v>0</v>
      </c>
      <c r="K1680">
        <v>1</v>
      </c>
      <c r="L1680">
        <v>3</v>
      </c>
      <c r="M1680">
        <v>132</v>
      </c>
      <c r="N1680">
        <v>336</v>
      </c>
      <c r="O1680">
        <v>4</v>
      </c>
      <c r="P1680">
        <v>336</v>
      </c>
      <c r="Q1680">
        <v>20</v>
      </c>
      <c r="R1680">
        <v>133</v>
      </c>
      <c r="S1680">
        <v>8</v>
      </c>
      <c r="T1680">
        <v>1</v>
      </c>
      <c r="U1680">
        <v>0</v>
      </c>
      <c r="W1680">
        <v>11</v>
      </c>
      <c r="X1680">
        <v>140</v>
      </c>
      <c r="Y1680">
        <v>2</v>
      </c>
      <c r="Z1680">
        <v>1</v>
      </c>
      <c r="AA1680">
        <v>4</v>
      </c>
      <c r="AN1680">
        <v>1</v>
      </c>
      <c r="AR1680">
        <v>2</v>
      </c>
      <c r="AS1680">
        <v>1</v>
      </c>
      <c r="AT1680">
        <v>0</v>
      </c>
      <c r="AW1680">
        <v>0</v>
      </c>
      <c r="AX1680">
        <v>12</v>
      </c>
      <c r="AY1680">
        <v>336</v>
      </c>
      <c r="AZ1680">
        <v>336</v>
      </c>
      <c r="BA1680">
        <v>424</v>
      </c>
      <c r="BB1680">
        <v>44</v>
      </c>
      <c r="BD1680">
        <v>1</v>
      </c>
      <c r="BF1680" t="s">
        <v>1833</v>
      </c>
      <c r="BG1680" s="1">
        <v>44354.040277777778</v>
      </c>
      <c r="BH1680" s="1">
        <v>44354.049641203703</v>
      </c>
      <c r="BI1680" s="1">
        <v>44354.050092592595</v>
      </c>
      <c r="BJ1680" t="s">
        <v>85</v>
      </c>
      <c r="BK1680" t="s">
        <v>86</v>
      </c>
      <c r="BL1680" t="s">
        <v>87</v>
      </c>
    </row>
    <row r="1681" spans="1:64" x14ac:dyDescent="0.3">
      <c r="A1681" t="str">
        <f>"200993C0100"</f>
        <v>200993C0100</v>
      </c>
      <c r="B1681" t="str">
        <f>"200993C01003"</f>
        <v>200993C01003</v>
      </c>
      <c r="C1681" t="str">
        <f t="shared" si="101"/>
        <v>20</v>
      </c>
      <c r="D1681" t="s">
        <v>81</v>
      </c>
      <c r="E1681" t="str">
        <f t="shared" si="100"/>
        <v>175</v>
      </c>
      <c r="F1681" t="s">
        <v>1819</v>
      </c>
      <c r="G1681" t="str">
        <f>"0993"</f>
        <v>0993</v>
      </c>
      <c r="H1681" t="str">
        <f>"0001"</f>
        <v>0001</v>
      </c>
      <c r="I1681" t="s">
        <v>89</v>
      </c>
      <c r="J1681">
        <v>0</v>
      </c>
      <c r="K1681">
        <v>1</v>
      </c>
      <c r="L1681">
        <v>3</v>
      </c>
      <c r="M1681">
        <v>149</v>
      </c>
      <c r="N1681">
        <v>318</v>
      </c>
      <c r="O1681">
        <v>0</v>
      </c>
      <c r="P1681">
        <v>318</v>
      </c>
      <c r="Q1681">
        <v>117</v>
      </c>
      <c r="R1681">
        <v>128</v>
      </c>
      <c r="S1681">
        <v>4</v>
      </c>
      <c r="T1681">
        <v>0</v>
      </c>
      <c r="U1681">
        <v>2</v>
      </c>
      <c r="W1681">
        <v>14</v>
      </c>
      <c r="X1681">
        <v>141</v>
      </c>
      <c r="Y1681">
        <v>1</v>
      </c>
      <c r="Z1681">
        <v>3</v>
      </c>
      <c r="AA1681">
        <v>2</v>
      </c>
      <c r="AN1681">
        <v>2</v>
      </c>
      <c r="AR1681">
        <v>1</v>
      </c>
      <c r="AS1681" t="s">
        <v>95</v>
      </c>
      <c r="AT1681" t="s">
        <v>95</v>
      </c>
      <c r="AW1681" t="s">
        <v>95</v>
      </c>
      <c r="AX1681">
        <v>3</v>
      </c>
      <c r="AY1681">
        <v>318</v>
      </c>
      <c r="AZ1681">
        <v>418</v>
      </c>
      <c r="BA1681">
        <v>423</v>
      </c>
      <c r="BB1681">
        <v>44</v>
      </c>
      <c r="BC1681" t="s">
        <v>96</v>
      </c>
      <c r="BD1681">
        <v>1</v>
      </c>
      <c r="BF1681" t="s">
        <v>1834</v>
      </c>
      <c r="BG1681" s="1">
        <v>44354.043055555558</v>
      </c>
      <c r="BH1681" s="1">
        <v>44354.051932870374</v>
      </c>
      <c r="BI1681" s="1">
        <v>44354.052152777775</v>
      </c>
      <c r="BJ1681" t="s">
        <v>85</v>
      </c>
      <c r="BK1681" t="s">
        <v>86</v>
      </c>
      <c r="BL1681" t="s">
        <v>87</v>
      </c>
    </row>
    <row r="1682" spans="1:64" x14ac:dyDescent="0.3">
      <c r="A1682" t="str">
        <f>"200994B0000"</f>
        <v>200994B0000</v>
      </c>
      <c r="B1682" t="str">
        <f>"200994B00003"</f>
        <v>200994B00003</v>
      </c>
      <c r="C1682" t="str">
        <f t="shared" si="101"/>
        <v>20</v>
      </c>
      <c r="D1682" t="s">
        <v>81</v>
      </c>
      <c r="E1682" t="str">
        <f t="shared" si="100"/>
        <v>175</v>
      </c>
      <c r="F1682" t="s">
        <v>1819</v>
      </c>
      <c r="G1682" t="str">
        <f>"0994"</f>
        <v>0994</v>
      </c>
      <c r="H1682" t="str">
        <f t="shared" ref="H1682:H1688" si="102">"0000"</f>
        <v>0000</v>
      </c>
      <c r="I1682" t="s">
        <v>83</v>
      </c>
      <c r="J1682">
        <v>0</v>
      </c>
      <c r="K1682">
        <v>1</v>
      </c>
      <c r="L1682">
        <v>3</v>
      </c>
      <c r="M1682">
        <v>187</v>
      </c>
      <c r="N1682">
        <v>390</v>
      </c>
      <c r="O1682">
        <v>7</v>
      </c>
      <c r="P1682">
        <v>390</v>
      </c>
      <c r="Q1682">
        <v>29</v>
      </c>
      <c r="R1682">
        <v>219</v>
      </c>
      <c r="S1682">
        <v>8</v>
      </c>
      <c r="T1682">
        <v>1</v>
      </c>
      <c r="U1682">
        <v>6</v>
      </c>
      <c r="W1682">
        <v>9</v>
      </c>
      <c r="X1682">
        <v>72</v>
      </c>
      <c r="Y1682">
        <v>10</v>
      </c>
      <c r="Z1682">
        <v>5</v>
      </c>
      <c r="AA1682">
        <v>2</v>
      </c>
      <c r="AN1682">
        <v>3</v>
      </c>
      <c r="AR1682">
        <v>7</v>
      </c>
      <c r="AS1682">
        <v>1</v>
      </c>
      <c r="AT1682">
        <v>0</v>
      </c>
      <c r="AW1682">
        <v>0</v>
      </c>
      <c r="AX1682">
        <v>28</v>
      </c>
      <c r="AY1682">
        <v>390</v>
      </c>
      <c r="AZ1682">
        <v>400</v>
      </c>
      <c r="BA1682">
        <v>533</v>
      </c>
      <c r="BB1682">
        <v>44</v>
      </c>
      <c r="BD1682">
        <v>1</v>
      </c>
      <c r="BF1682" t="s">
        <v>1835</v>
      </c>
      <c r="BG1682" s="1">
        <v>44354.195833333331</v>
      </c>
      <c r="BH1682" s="1">
        <v>44354.199363425927</v>
      </c>
      <c r="BI1682" s="1">
        <v>44354.199953703705</v>
      </c>
      <c r="BJ1682" t="s">
        <v>85</v>
      </c>
      <c r="BK1682" t="s">
        <v>86</v>
      </c>
      <c r="BL1682" t="s">
        <v>87</v>
      </c>
    </row>
    <row r="1683" spans="1:64" x14ac:dyDescent="0.3">
      <c r="A1683" t="str">
        <f>"200995B0000"</f>
        <v>200995B0000</v>
      </c>
      <c r="B1683" t="str">
        <f>"200995B00003"</f>
        <v>200995B00003</v>
      </c>
      <c r="C1683" t="str">
        <f t="shared" si="101"/>
        <v>20</v>
      </c>
      <c r="D1683" t="s">
        <v>81</v>
      </c>
      <c r="E1683" t="str">
        <f t="shared" si="100"/>
        <v>175</v>
      </c>
      <c r="F1683" t="s">
        <v>1819</v>
      </c>
      <c r="G1683" t="str">
        <f>"0995"</f>
        <v>0995</v>
      </c>
      <c r="H1683" t="str">
        <f t="shared" si="102"/>
        <v>0000</v>
      </c>
      <c r="I1683" t="s">
        <v>83</v>
      </c>
      <c r="J1683">
        <v>0</v>
      </c>
      <c r="K1683">
        <v>1</v>
      </c>
      <c r="L1683">
        <v>3</v>
      </c>
      <c r="M1683">
        <v>175</v>
      </c>
      <c r="N1683">
        <v>413</v>
      </c>
      <c r="O1683">
        <v>11</v>
      </c>
      <c r="P1683">
        <v>413</v>
      </c>
      <c r="Q1683">
        <v>19</v>
      </c>
      <c r="R1683">
        <v>205</v>
      </c>
      <c r="S1683">
        <v>2</v>
      </c>
      <c r="T1683">
        <v>0</v>
      </c>
      <c r="U1683">
        <v>3</v>
      </c>
      <c r="W1683">
        <v>21</v>
      </c>
      <c r="X1683">
        <v>150</v>
      </c>
      <c r="Y1683">
        <v>0</v>
      </c>
      <c r="Z1683">
        <v>0</v>
      </c>
      <c r="AA1683">
        <v>0</v>
      </c>
      <c r="AN1683">
        <v>1</v>
      </c>
      <c r="AR1683">
        <v>0</v>
      </c>
      <c r="AS1683">
        <v>0</v>
      </c>
      <c r="AT1683">
        <v>0</v>
      </c>
      <c r="AW1683">
        <v>0</v>
      </c>
      <c r="AX1683">
        <v>12</v>
      </c>
      <c r="AY1683">
        <v>413</v>
      </c>
      <c r="AZ1683">
        <v>413</v>
      </c>
      <c r="BA1683">
        <v>544</v>
      </c>
      <c r="BB1683">
        <v>44</v>
      </c>
      <c r="BD1683">
        <v>1</v>
      </c>
      <c r="BF1683" t="s">
        <v>1836</v>
      </c>
      <c r="BG1683" s="1">
        <v>44354.131249999999</v>
      </c>
      <c r="BH1683" s="1">
        <v>44354.135324074072</v>
      </c>
      <c r="BI1683" s="1">
        <v>44354.135810185187</v>
      </c>
      <c r="BJ1683" t="s">
        <v>85</v>
      </c>
      <c r="BK1683" t="s">
        <v>86</v>
      </c>
      <c r="BL1683" t="s">
        <v>87</v>
      </c>
    </row>
    <row r="1684" spans="1:64" x14ac:dyDescent="0.3">
      <c r="A1684" t="str">
        <f>"200996B0000"</f>
        <v>200996B0000</v>
      </c>
      <c r="B1684" t="str">
        <f>"200996B00003"</f>
        <v>200996B00003</v>
      </c>
      <c r="C1684" t="str">
        <f t="shared" si="101"/>
        <v>20</v>
      </c>
      <c r="D1684" t="s">
        <v>81</v>
      </c>
      <c r="E1684" t="str">
        <f t="shared" si="100"/>
        <v>175</v>
      </c>
      <c r="F1684" t="s">
        <v>1819</v>
      </c>
      <c r="G1684" t="str">
        <f>"0996"</f>
        <v>0996</v>
      </c>
      <c r="H1684" t="str">
        <f t="shared" si="102"/>
        <v>0000</v>
      </c>
      <c r="I1684" t="s">
        <v>83</v>
      </c>
      <c r="J1684">
        <v>0</v>
      </c>
      <c r="K1684">
        <v>1</v>
      </c>
      <c r="L1684">
        <v>3</v>
      </c>
      <c r="M1684">
        <v>112</v>
      </c>
      <c r="N1684">
        <v>199</v>
      </c>
      <c r="O1684">
        <v>12</v>
      </c>
      <c r="P1684">
        <v>199</v>
      </c>
      <c r="Q1684">
        <v>35</v>
      </c>
      <c r="R1684">
        <v>90</v>
      </c>
      <c r="S1684">
        <v>4</v>
      </c>
      <c r="T1684">
        <v>0</v>
      </c>
      <c r="U1684">
        <v>1</v>
      </c>
      <c r="W1684">
        <v>6</v>
      </c>
      <c r="X1684">
        <v>51</v>
      </c>
      <c r="Y1684">
        <v>5</v>
      </c>
      <c r="Z1684">
        <v>1</v>
      </c>
      <c r="AA1684">
        <v>1</v>
      </c>
      <c r="AN1684">
        <v>0</v>
      </c>
      <c r="AR1684">
        <v>0</v>
      </c>
      <c r="AS1684">
        <v>0</v>
      </c>
      <c r="AT1684">
        <v>0</v>
      </c>
      <c r="AW1684">
        <v>0</v>
      </c>
      <c r="AX1684">
        <v>5</v>
      </c>
      <c r="AY1684">
        <v>199</v>
      </c>
      <c r="AZ1684">
        <v>199</v>
      </c>
      <c r="BA1684">
        <v>267</v>
      </c>
      <c r="BB1684">
        <v>44</v>
      </c>
      <c r="BD1684">
        <v>1</v>
      </c>
      <c r="BF1684" t="s">
        <v>1837</v>
      </c>
      <c r="BG1684" s="1">
        <v>44354.134027777778</v>
      </c>
      <c r="BH1684" s="1">
        <v>44354.136932870373</v>
      </c>
      <c r="BI1684" s="1">
        <v>44354.137627314813</v>
      </c>
      <c r="BJ1684" t="s">
        <v>85</v>
      </c>
      <c r="BK1684" t="s">
        <v>86</v>
      </c>
      <c r="BL1684" t="s">
        <v>87</v>
      </c>
    </row>
    <row r="1685" spans="1:64" x14ac:dyDescent="0.3">
      <c r="A1685" t="str">
        <f>"200997B0000"</f>
        <v>200997B0000</v>
      </c>
      <c r="B1685" t="str">
        <f>"200997B00003"</f>
        <v>200997B00003</v>
      </c>
      <c r="C1685" t="str">
        <f t="shared" si="101"/>
        <v>20</v>
      </c>
      <c r="D1685" t="s">
        <v>81</v>
      </c>
      <c r="E1685" t="str">
        <f t="shared" si="100"/>
        <v>175</v>
      </c>
      <c r="F1685" t="s">
        <v>1819</v>
      </c>
      <c r="G1685" t="str">
        <f>"0997"</f>
        <v>0997</v>
      </c>
      <c r="H1685" t="str">
        <f t="shared" si="102"/>
        <v>0000</v>
      </c>
      <c r="I1685" t="s">
        <v>83</v>
      </c>
      <c r="J1685">
        <v>0</v>
      </c>
      <c r="K1685">
        <v>1</v>
      </c>
      <c r="L1685">
        <v>3</v>
      </c>
      <c r="M1685">
        <v>104</v>
      </c>
      <c r="N1685">
        <v>173</v>
      </c>
      <c r="O1685">
        <v>8</v>
      </c>
      <c r="P1685">
        <v>173</v>
      </c>
      <c r="Q1685">
        <v>7</v>
      </c>
      <c r="R1685">
        <v>64</v>
      </c>
      <c r="S1685">
        <v>1</v>
      </c>
      <c r="T1685">
        <v>2</v>
      </c>
      <c r="U1685">
        <v>1</v>
      </c>
      <c r="W1685">
        <v>2</v>
      </c>
      <c r="X1685">
        <v>84</v>
      </c>
      <c r="Y1685">
        <v>2</v>
      </c>
      <c r="Z1685">
        <v>0</v>
      </c>
      <c r="AA1685">
        <v>1</v>
      </c>
      <c r="AN1685">
        <v>0</v>
      </c>
      <c r="AR1685">
        <v>0</v>
      </c>
      <c r="AS1685">
        <v>0</v>
      </c>
      <c r="AT1685">
        <v>0</v>
      </c>
      <c r="AW1685">
        <v>0</v>
      </c>
      <c r="AX1685">
        <v>9</v>
      </c>
      <c r="AY1685">
        <v>173</v>
      </c>
      <c r="AZ1685">
        <v>173</v>
      </c>
      <c r="BA1685">
        <v>233</v>
      </c>
      <c r="BB1685">
        <v>44</v>
      </c>
      <c r="BD1685">
        <v>1</v>
      </c>
      <c r="BF1685" t="s">
        <v>1838</v>
      </c>
      <c r="BG1685" s="1">
        <v>44354.246527777781</v>
      </c>
      <c r="BH1685" s="1">
        <v>44354.24827546296</v>
      </c>
      <c r="BI1685" s="1">
        <v>44354.248888888891</v>
      </c>
      <c r="BJ1685" t="s">
        <v>85</v>
      </c>
      <c r="BK1685" t="s">
        <v>86</v>
      </c>
      <c r="BL1685" t="s">
        <v>87</v>
      </c>
    </row>
    <row r="1686" spans="1:64" x14ac:dyDescent="0.3">
      <c r="A1686" t="str">
        <f>"200998B0000"</f>
        <v>200998B0000</v>
      </c>
      <c r="B1686" t="str">
        <f>"200998B00003"</f>
        <v>200998B00003</v>
      </c>
      <c r="C1686" t="str">
        <f t="shared" si="101"/>
        <v>20</v>
      </c>
      <c r="D1686" t="s">
        <v>81</v>
      </c>
      <c r="E1686" t="str">
        <f t="shared" si="100"/>
        <v>175</v>
      </c>
      <c r="F1686" t="s">
        <v>1819</v>
      </c>
      <c r="G1686" t="str">
        <f>"0998"</f>
        <v>0998</v>
      </c>
      <c r="H1686" t="str">
        <f t="shared" si="102"/>
        <v>0000</v>
      </c>
      <c r="I1686" t="s">
        <v>83</v>
      </c>
      <c r="J1686">
        <v>0</v>
      </c>
      <c r="K1686">
        <v>1</v>
      </c>
      <c r="L1686">
        <v>3</v>
      </c>
      <c r="M1686">
        <v>62</v>
      </c>
      <c r="N1686">
        <v>33</v>
      </c>
      <c r="O1686">
        <v>0</v>
      </c>
      <c r="P1686">
        <v>33</v>
      </c>
      <c r="Q1686">
        <v>2</v>
      </c>
      <c r="R1686">
        <v>20</v>
      </c>
      <c r="S1686">
        <v>0</v>
      </c>
      <c r="T1686">
        <v>0</v>
      </c>
      <c r="U1686">
        <v>0</v>
      </c>
      <c r="W1686">
        <v>3</v>
      </c>
      <c r="X1686">
        <v>7</v>
      </c>
      <c r="Y1686">
        <v>0</v>
      </c>
      <c r="Z1686">
        <v>0</v>
      </c>
      <c r="AA1686">
        <v>0</v>
      </c>
      <c r="AN1686">
        <v>0</v>
      </c>
      <c r="AR1686">
        <v>0</v>
      </c>
      <c r="AS1686">
        <v>0</v>
      </c>
      <c r="AT1686">
        <v>0</v>
      </c>
      <c r="AW1686">
        <v>0</v>
      </c>
      <c r="AX1686">
        <v>1</v>
      </c>
      <c r="AY1686">
        <v>33</v>
      </c>
      <c r="AZ1686">
        <v>33</v>
      </c>
      <c r="BA1686">
        <v>51</v>
      </c>
      <c r="BB1686">
        <v>44</v>
      </c>
      <c r="BD1686">
        <v>1</v>
      </c>
      <c r="BF1686" t="s">
        <v>1839</v>
      </c>
      <c r="BG1686" s="1">
        <v>44354.04583333333</v>
      </c>
      <c r="BH1686" s="1">
        <v>44354.053217592591</v>
      </c>
      <c r="BI1686" s="1">
        <v>44354.053715277776</v>
      </c>
      <c r="BJ1686" t="s">
        <v>85</v>
      </c>
      <c r="BK1686" t="s">
        <v>86</v>
      </c>
      <c r="BL1686" t="s">
        <v>87</v>
      </c>
    </row>
    <row r="1687" spans="1:64" x14ac:dyDescent="0.3">
      <c r="A1687" t="str">
        <f>"201003B0000"</f>
        <v>201003B0000</v>
      </c>
      <c r="B1687" t="str">
        <f>"201003B00003"</f>
        <v>201003B00003</v>
      </c>
      <c r="C1687" t="str">
        <f t="shared" si="101"/>
        <v>20</v>
      </c>
      <c r="D1687" t="s">
        <v>81</v>
      </c>
      <c r="E1687" t="str">
        <f>"178"</f>
        <v>178</v>
      </c>
      <c r="F1687" t="s">
        <v>1840</v>
      </c>
      <c r="G1687" t="str">
        <f>"1003"</f>
        <v>1003</v>
      </c>
      <c r="H1687" t="str">
        <f t="shared" si="102"/>
        <v>0000</v>
      </c>
      <c r="I1687" t="s">
        <v>83</v>
      </c>
      <c r="J1687">
        <v>0</v>
      </c>
      <c r="K1687">
        <v>1</v>
      </c>
      <c r="L1687">
        <v>3</v>
      </c>
      <c r="M1687">
        <v>226</v>
      </c>
      <c r="N1687">
        <v>562</v>
      </c>
      <c r="O1687">
        <v>0</v>
      </c>
      <c r="P1687">
        <v>562</v>
      </c>
      <c r="Q1687">
        <v>1</v>
      </c>
      <c r="R1687">
        <v>0</v>
      </c>
      <c r="S1687">
        <v>2</v>
      </c>
      <c r="T1687">
        <v>1</v>
      </c>
      <c r="U1687">
        <v>114</v>
      </c>
      <c r="V1687">
        <v>3</v>
      </c>
      <c r="W1687">
        <v>126</v>
      </c>
      <c r="X1687">
        <v>100</v>
      </c>
      <c r="Y1687">
        <v>1</v>
      </c>
      <c r="Z1687">
        <v>3</v>
      </c>
      <c r="AB1687">
        <v>193</v>
      </c>
      <c r="AF1687">
        <v>0</v>
      </c>
      <c r="AG1687">
        <v>0</v>
      </c>
      <c r="AH1687">
        <v>0</v>
      </c>
      <c r="AI1687">
        <v>0</v>
      </c>
      <c r="AW1687">
        <v>0</v>
      </c>
      <c r="AX1687">
        <v>18</v>
      </c>
      <c r="AY1687">
        <v>562</v>
      </c>
      <c r="AZ1687">
        <v>562</v>
      </c>
      <c r="BA1687">
        <v>744</v>
      </c>
      <c r="BB1687">
        <v>44</v>
      </c>
      <c r="BD1687">
        <v>1</v>
      </c>
      <c r="BF1687" t="s">
        <v>1841</v>
      </c>
      <c r="BG1687" s="1">
        <v>44354.143750000003</v>
      </c>
      <c r="BH1687" s="1">
        <v>44354.146319444444</v>
      </c>
      <c r="BI1687" s="1">
        <v>44354.146932870368</v>
      </c>
      <c r="BJ1687" t="s">
        <v>85</v>
      </c>
      <c r="BK1687" t="s">
        <v>86</v>
      </c>
      <c r="BL1687" t="s">
        <v>87</v>
      </c>
    </row>
    <row r="1688" spans="1:64" x14ac:dyDescent="0.3">
      <c r="A1688" t="str">
        <f>"201004B0000"</f>
        <v>201004B0000</v>
      </c>
      <c r="B1688" t="str">
        <f>"201004B00003"</f>
        <v>201004B00003</v>
      </c>
      <c r="C1688" t="str">
        <f t="shared" si="101"/>
        <v>20</v>
      </c>
      <c r="D1688" t="s">
        <v>81</v>
      </c>
      <c r="E1688" t="str">
        <f>"178"</f>
        <v>178</v>
      </c>
      <c r="F1688" t="s">
        <v>1840</v>
      </c>
      <c r="G1688" t="str">
        <f>"1004"</f>
        <v>1004</v>
      </c>
      <c r="H1688" t="str">
        <f t="shared" si="102"/>
        <v>0000</v>
      </c>
      <c r="I1688" t="s">
        <v>83</v>
      </c>
      <c r="J1688">
        <v>0</v>
      </c>
      <c r="K1688">
        <v>1</v>
      </c>
      <c r="L1688">
        <v>3</v>
      </c>
      <c r="M1688">
        <v>159</v>
      </c>
      <c r="N1688">
        <v>297</v>
      </c>
      <c r="O1688">
        <v>0</v>
      </c>
      <c r="P1688">
        <v>297</v>
      </c>
      <c r="Q1688">
        <v>1</v>
      </c>
      <c r="R1688">
        <v>0</v>
      </c>
      <c r="S1688">
        <v>0</v>
      </c>
      <c r="T1688">
        <v>0</v>
      </c>
      <c r="U1688">
        <v>37</v>
      </c>
      <c r="V1688">
        <v>1</v>
      </c>
      <c r="W1688">
        <v>102</v>
      </c>
      <c r="X1688">
        <v>61</v>
      </c>
      <c r="Y1688">
        <v>0</v>
      </c>
      <c r="Z1688">
        <v>2</v>
      </c>
      <c r="AB1688">
        <v>81</v>
      </c>
      <c r="AF1688">
        <v>0</v>
      </c>
      <c r="AG1688">
        <v>0</v>
      </c>
      <c r="AH1688">
        <v>0</v>
      </c>
      <c r="AI1688">
        <v>0</v>
      </c>
      <c r="AW1688">
        <v>0</v>
      </c>
      <c r="AX1688">
        <v>12</v>
      </c>
      <c r="AY1688">
        <v>297</v>
      </c>
      <c r="AZ1688">
        <v>297</v>
      </c>
      <c r="BA1688">
        <v>412</v>
      </c>
      <c r="BB1688">
        <v>44</v>
      </c>
      <c r="BD1688">
        <v>1</v>
      </c>
      <c r="BF1688" t="s">
        <v>1842</v>
      </c>
      <c r="BG1688" s="1">
        <v>44354.143750000003</v>
      </c>
      <c r="BH1688" s="1">
        <v>44354.146736111114</v>
      </c>
      <c r="BI1688" s="1">
        <v>44354.147291666668</v>
      </c>
      <c r="BJ1688" t="s">
        <v>85</v>
      </c>
      <c r="BK1688" t="s">
        <v>86</v>
      </c>
      <c r="BL1688" t="s">
        <v>87</v>
      </c>
    </row>
    <row r="1689" spans="1:64" x14ac:dyDescent="0.3">
      <c r="A1689" t="str">
        <f>"201004C0100"</f>
        <v>201004C0100</v>
      </c>
      <c r="B1689" t="str">
        <f>"201004C01003"</f>
        <v>201004C01003</v>
      </c>
      <c r="C1689" t="str">
        <f t="shared" si="101"/>
        <v>20</v>
      </c>
      <c r="D1689" t="s">
        <v>81</v>
      </c>
      <c r="E1689" t="str">
        <f>"178"</f>
        <v>178</v>
      </c>
      <c r="F1689" t="s">
        <v>1840</v>
      </c>
      <c r="G1689" t="str">
        <f>"1004"</f>
        <v>1004</v>
      </c>
      <c r="H1689" t="str">
        <f>"0001"</f>
        <v>0001</v>
      </c>
      <c r="I1689" t="s">
        <v>89</v>
      </c>
      <c r="J1689">
        <v>0</v>
      </c>
      <c r="K1689">
        <v>1</v>
      </c>
      <c r="L1689">
        <v>3</v>
      </c>
      <c r="M1689">
        <v>162</v>
      </c>
      <c r="N1689">
        <v>294</v>
      </c>
      <c r="O1689">
        <v>0</v>
      </c>
      <c r="P1689">
        <v>294</v>
      </c>
      <c r="Q1689">
        <v>2</v>
      </c>
      <c r="R1689">
        <v>0</v>
      </c>
      <c r="S1689">
        <v>2</v>
      </c>
      <c r="T1689">
        <v>2</v>
      </c>
      <c r="U1689">
        <v>32</v>
      </c>
      <c r="V1689">
        <v>2</v>
      </c>
      <c r="W1689">
        <v>88</v>
      </c>
      <c r="X1689">
        <v>58</v>
      </c>
      <c r="Y1689">
        <v>0</v>
      </c>
      <c r="Z1689">
        <v>2</v>
      </c>
      <c r="AB1689">
        <v>100</v>
      </c>
      <c r="AF1689">
        <v>0</v>
      </c>
      <c r="AG1689">
        <v>0</v>
      </c>
      <c r="AH1689">
        <v>0</v>
      </c>
      <c r="AI1689">
        <v>0</v>
      </c>
      <c r="AW1689">
        <v>0</v>
      </c>
      <c r="AX1689">
        <v>6</v>
      </c>
      <c r="AY1689">
        <v>294</v>
      </c>
      <c r="AZ1689">
        <v>294</v>
      </c>
      <c r="BA1689">
        <v>412</v>
      </c>
      <c r="BB1689">
        <v>44</v>
      </c>
      <c r="BD1689">
        <v>1</v>
      </c>
      <c r="BF1689" t="s">
        <v>1843</v>
      </c>
      <c r="BG1689" s="1">
        <v>44354.143750000003</v>
      </c>
      <c r="BH1689" s="1">
        <v>44354.149131944447</v>
      </c>
      <c r="BI1689" s="1">
        <v>44354.14949074074</v>
      </c>
      <c r="BJ1689" t="s">
        <v>85</v>
      </c>
      <c r="BK1689" t="s">
        <v>86</v>
      </c>
      <c r="BL1689" t="s">
        <v>87</v>
      </c>
    </row>
    <row r="1690" spans="1:64" x14ac:dyDescent="0.3">
      <c r="A1690" t="str">
        <f>"201004E0100"</f>
        <v>201004E0100</v>
      </c>
      <c r="B1690" t="str">
        <f>"201004E01003"</f>
        <v>201004E01003</v>
      </c>
      <c r="C1690" t="str">
        <f t="shared" si="101"/>
        <v>20</v>
      </c>
      <c r="D1690" t="s">
        <v>81</v>
      </c>
      <c r="E1690" t="str">
        <f>"178"</f>
        <v>178</v>
      </c>
      <c r="F1690" t="s">
        <v>1840</v>
      </c>
      <c r="G1690" t="str">
        <f>"1004"</f>
        <v>1004</v>
      </c>
      <c r="H1690" t="str">
        <f>"0001"</f>
        <v>0001</v>
      </c>
      <c r="I1690" t="s">
        <v>122</v>
      </c>
      <c r="J1690">
        <v>0</v>
      </c>
      <c r="K1690">
        <v>1</v>
      </c>
      <c r="L1690">
        <v>3</v>
      </c>
      <c r="BA1690">
        <v>316</v>
      </c>
      <c r="BB1690">
        <v>44</v>
      </c>
      <c r="BC1690" t="s">
        <v>381</v>
      </c>
      <c r="BD1690">
        <v>0</v>
      </c>
      <c r="BF1690" t="s">
        <v>1844</v>
      </c>
      <c r="BG1690" s="1">
        <v>44354.216666666667</v>
      </c>
      <c r="BH1690" s="1">
        <v>44354.718414351853</v>
      </c>
      <c r="BI1690" s="1">
        <v>44354.718414351853</v>
      </c>
      <c r="BJ1690" t="s">
        <v>85</v>
      </c>
      <c r="BK1690" t="s">
        <v>86</v>
      </c>
      <c r="BL1690" t="s">
        <v>87</v>
      </c>
    </row>
    <row r="1691" spans="1:64" x14ac:dyDescent="0.3">
      <c r="A1691" t="str">
        <f>"201005B0000"</f>
        <v>201005B0000</v>
      </c>
      <c r="B1691" t="str">
        <f>"201005B00003"</f>
        <v>201005B00003</v>
      </c>
      <c r="C1691" t="str">
        <f t="shared" si="101"/>
        <v>20</v>
      </c>
      <c r="D1691" t="s">
        <v>81</v>
      </c>
      <c r="E1691" t="str">
        <f>"179"</f>
        <v>179</v>
      </c>
      <c r="F1691" t="s">
        <v>1845</v>
      </c>
      <c r="G1691" t="str">
        <f>"1005"</f>
        <v>1005</v>
      </c>
      <c r="H1691" t="str">
        <f>"0000"</f>
        <v>0000</v>
      </c>
      <c r="I1691" t="s">
        <v>83</v>
      </c>
      <c r="J1691">
        <v>0</v>
      </c>
      <c r="K1691">
        <v>1</v>
      </c>
      <c r="L1691">
        <v>3</v>
      </c>
      <c r="M1691">
        <v>129</v>
      </c>
      <c r="N1691">
        <v>229</v>
      </c>
      <c r="O1691">
        <v>0</v>
      </c>
      <c r="P1691">
        <v>229</v>
      </c>
      <c r="Q1691">
        <v>46</v>
      </c>
      <c r="R1691">
        <v>18</v>
      </c>
      <c r="S1691">
        <v>0</v>
      </c>
      <c r="T1691">
        <v>84</v>
      </c>
      <c r="U1691">
        <v>0</v>
      </c>
      <c r="X1691">
        <v>71</v>
      </c>
      <c r="Y1691">
        <v>0</v>
      </c>
      <c r="Z1691">
        <v>1</v>
      </c>
      <c r="AF1691">
        <v>0</v>
      </c>
      <c r="AG1691">
        <v>3</v>
      </c>
      <c r="AH1691">
        <v>0</v>
      </c>
      <c r="AI1691">
        <v>0</v>
      </c>
      <c r="AU1691">
        <v>0</v>
      </c>
      <c r="AW1691">
        <v>0</v>
      </c>
      <c r="AX1691">
        <v>6</v>
      </c>
      <c r="AY1691">
        <v>229</v>
      </c>
      <c r="AZ1691">
        <v>229</v>
      </c>
      <c r="BA1691">
        <v>314</v>
      </c>
      <c r="BB1691">
        <v>44</v>
      </c>
      <c r="BD1691">
        <v>1</v>
      </c>
      <c r="BF1691" t="s">
        <v>1846</v>
      </c>
      <c r="BG1691" s="1">
        <v>44353.98333333333</v>
      </c>
      <c r="BH1691" s="1">
        <v>44354.056539351855</v>
      </c>
      <c r="BI1691" s="1">
        <v>44354.057060185187</v>
      </c>
      <c r="BJ1691" t="s">
        <v>197</v>
      </c>
      <c r="BK1691" t="s">
        <v>198</v>
      </c>
      <c r="BL1691" t="s">
        <v>87</v>
      </c>
    </row>
    <row r="1692" spans="1:64" x14ac:dyDescent="0.3">
      <c r="A1692" t="str">
        <f>"201006B0000"</f>
        <v>201006B0000</v>
      </c>
      <c r="B1692" t="str">
        <f>"201006B00003"</f>
        <v>201006B00003</v>
      </c>
      <c r="C1692" t="str">
        <f t="shared" si="101"/>
        <v>20</v>
      </c>
      <c r="D1692" t="s">
        <v>81</v>
      </c>
      <c r="E1692" t="str">
        <f>"179"</f>
        <v>179</v>
      </c>
      <c r="F1692" t="s">
        <v>1845</v>
      </c>
      <c r="G1692" t="str">
        <f>"1006"</f>
        <v>1006</v>
      </c>
      <c r="H1692" t="str">
        <f>"0000"</f>
        <v>0000</v>
      </c>
      <c r="I1692" t="s">
        <v>83</v>
      </c>
      <c r="J1692">
        <v>0</v>
      </c>
      <c r="K1692">
        <v>1</v>
      </c>
      <c r="L1692">
        <v>3</v>
      </c>
      <c r="M1692">
        <v>60</v>
      </c>
      <c r="N1692">
        <v>85</v>
      </c>
      <c r="O1692">
        <v>5</v>
      </c>
      <c r="P1692">
        <v>85</v>
      </c>
      <c r="Q1692">
        <v>2</v>
      </c>
      <c r="R1692">
        <v>12</v>
      </c>
      <c r="S1692">
        <v>0</v>
      </c>
      <c r="T1692">
        <v>28</v>
      </c>
      <c r="U1692">
        <v>4</v>
      </c>
      <c r="X1692">
        <v>38</v>
      </c>
      <c r="Y1692">
        <v>0</v>
      </c>
      <c r="Z1692">
        <v>0</v>
      </c>
      <c r="AF1692">
        <v>0</v>
      </c>
      <c r="AG1692">
        <v>0</v>
      </c>
      <c r="AH1692">
        <v>0</v>
      </c>
      <c r="AI1692">
        <v>0</v>
      </c>
      <c r="AU1692">
        <v>0</v>
      </c>
      <c r="AW1692">
        <v>0</v>
      </c>
      <c r="AX1692">
        <v>1</v>
      </c>
      <c r="AY1692">
        <v>85</v>
      </c>
      <c r="AZ1692">
        <v>85</v>
      </c>
      <c r="BA1692">
        <v>101</v>
      </c>
      <c r="BB1692">
        <v>44</v>
      </c>
      <c r="BD1692">
        <v>1</v>
      </c>
      <c r="BF1692" t="s">
        <v>1847</v>
      </c>
      <c r="BG1692" s="1">
        <v>44353.9609375</v>
      </c>
      <c r="BH1692" s="1">
        <v>44353.963287037041</v>
      </c>
      <c r="BI1692" s="1">
        <v>44353.963738425926</v>
      </c>
      <c r="BJ1692" t="s">
        <v>197</v>
      </c>
      <c r="BK1692" t="s">
        <v>198</v>
      </c>
      <c r="BL1692" t="s">
        <v>87</v>
      </c>
    </row>
    <row r="1693" spans="1:64" x14ac:dyDescent="0.3">
      <c r="A1693" t="str">
        <f>"201009B0000"</f>
        <v>201009B0000</v>
      </c>
      <c r="B1693" t="str">
        <f>"201009B00003"</f>
        <v>201009B00003</v>
      </c>
      <c r="C1693" t="str">
        <f t="shared" si="101"/>
        <v>20</v>
      </c>
      <c r="D1693" t="s">
        <v>81</v>
      </c>
      <c r="E1693" t="str">
        <f>"181"</f>
        <v>181</v>
      </c>
      <c r="F1693" t="s">
        <v>1848</v>
      </c>
      <c r="G1693" t="str">
        <f>"1009"</f>
        <v>1009</v>
      </c>
      <c r="H1693" t="str">
        <f>"0000"</f>
        <v>0000</v>
      </c>
      <c r="I1693" t="s">
        <v>83</v>
      </c>
      <c r="J1693">
        <v>0</v>
      </c>
      <c r="K1693">
        <v>1</v>
      </c>
      <c r="L1693">
        <v>3</v>
      </c>
      <c r="M1693">
        <v>87</v>
      </c>
      <c r="N1693">
        <v>498</v>
      </c>
      <c r="O1693">
        <v>0</v>
      </c>
      <c r="P1693">
        <v>498</v>
      </c>
      <c r="Q1693">
        <v>40</v>
      </c>
      <c r="R1693">
        <v>163</v>
      </c>
      <c r="S1693">
        <v>12</v>
      </c>
      <c r="U1693">
        <v>0</v>
      </c>
      <c r="V1693">
        <v>246</v>
      </c>
      <c r="W1693">
        <v>0</v>
      </c>
      <c r="X1693">
        <v>29</v>
      </c>
      <c r="Y1693">
        <v>0</v>
      </c>
      <c r="Z1693">
        <v>1</v>
      </c>
      <c r="AB1693">
        <v>0</v>
      </c>
      <c r="AF1693">
        <v>0</v>
      </c>
      <c r="AG1693">
        <v>0</v>
      </c>
      <c r="AH1693">
        <v>0</v>
      </c>
      <c r="AI1693">
        <v>0</v>
      </c>
      <c r="AW1693">
        <v>0</v>
      </c>
      <c r="AX1693">
        <v>6</v>
      </c>
      <c r="AY1693">
        <v>498</v>
      </c>
      <c r="AZ1693">
        <v>497</v>
      </c>
      <c r="BA1693">
        <v>541</v>
      </c>
      <c r="BB1693">
        <v>44</v>
      </c>
      <c r="BD1693">
        <v>1</v>
      </c>
      <c r="BF1693" t="s">
        <v>1849</v>
      </c>
      <c r="BG1693" s="1">
        <v>44354.537499999999</v>
      </c>
      <c r="BH1693" s="1">
        <v>44354.542233796295</v>
      </c>
      <c r="BI1693" s="1">
        <v>44354.542650462965</v>
      </c>
      <c r="BJ1693" t="s">
        <v>85</v>
      </c>
      <c r="BK1693" t="s">
        <v>86</v>
      </c>
      <c r="BL1693" t="s">
        <v>87</v>
      </c>
    </row>
    <row r="1694" spans="1:64" x14ac:dyDescent="0.3">
      <c r="A1694" t="str">
        <f>"201009C0100"</f>
        <v>201009C0100</v>
      </c>
      <c r="B1694" t="str">
        <f>"201009C01003"</f>
        <v>201009C01003</v>
      </c>
      <c r="C1694" t="str">
        <f t="shared" si="101"/>
        <v>20</v>
      </c>
      <c r="D1694" t="s">
        <v>81</v>
      </c>
      <c r="E1694" t="str">
        <f>"181"</f>
        <v>181</v>
      </c>
      <c r="F1694" t="s">
        <v>1848</v>
      </c>
      <c r="G1694" t="str">
        <f>"1009"</f>
        <v>1009</v>
      </c>
      <c r="H1694" t="str">
        <f>"0001"</f>
        <v>0001</v>
      </c>
      <c r="I1694" t="s">
        <v>89</v>
      </c>
      <c r="J1694">
        <v>0</v>
      </c>
      <c r="K1694">
        <v>1</v>
      </c>
      <c r="L1694">
        <v>3</v>
      </c>
      <c r="M1694">
        <v>89</v>
      </c>
      <c r="N1694">
        <v>495</v>
      </c>
      <c r="O1694">
        <v>0</v>
      </c>
      <c r="P1694">
        <v>495</v>
      </c>
      <c r="Q1694">
        <v>27</v>
      </c>
      <c r="R1694">
        <v>177</v>
      </c>
      <c r="S1694">
        <v>16</v>
      </c>
      <c r="U1694">
        <v>1</v>
      </c>
      <c r="V1694">
        <v>231</v>
      </c>
      <c r="W1694">
        <v>1</v>
      </c>
      <c r="X1694">
        <v>38</v>
      </c>
      <c r="Y1694">
        <v>0</v>
      </c>
      <c r="Z1694">
        <v>0</v>
      </c>
      <c r="AB1694">
        <v>0</v>
      </c>
      <c r="AF1694">
        <v>2</v>
      </c>
      <c r="AG1694">
        <v>0</v>
      </c>
      <c r="AH1694">
        <v>0</v>
      </c>
      <c r="AI1694">
        <v>0</v>
      </c>
      <c r="AW1694">
        <v>0</v>
      </c>
      <c r="AX1694">
        <v>2</v>
      </c>
      <c r="AY1694">
        <v>495</v>
      </c>
      <c r="AZ1694">
        <v>495</v>
      </c>
      <c r="BA1694">
        <v>540</v>
      </c>
      <c r="BB1694">
        <v>44</v>
      </c>
      <c r="BD1694">
        <v>1</v>
      </c>
      <c r="BF1694" t="s">
        <v>1850</v>
      </c>
      <c r="BG1694" s="1">
        <v>44354.537499999999</v>
      </c>
      <c r="BH1694" s="1">
        <v>44354.540300925924</v>
      </c>
      <c r="BI1694" s="1">
        <v>44354.540682870371</v>
      </c>
      <c r="BJ1694" t="s">
        <v>85</v>
      </c>
      <c r="BK1694" t="s">
        <v>86</v>
      </c>
      <c r="BL1694" t="s">
        <v>87</v>
      </c>
    </row>
    <row r="1695" spans="1:64" x14ac:dyDescent="0.3">
      <c r="A1695" t="str">
        <f>"201009E0100"</f>
        <v>201009E0100</v>
      </c>
      <c r="B1695" t="str">
        <f>"201009E01003"</f>
        <v>201009E01003</v>
      </c>
      <c r="C1695" t="str">
        <f t="shared" si="101"/>
        <v>20</v>
      </c>
      <c r="D1695" t="s">
        <v>81</v>
      </c>
      <c r="E1695" t="str">
        <f>"181"</f>
        <v>181</v>
      </c>
      <c r="F1695" t="s">
        <v>1848</v>
      </c>
      <c r="G1695" t="str">
        <f>"1009"</f>
        <v>1009</v>
      </c>
      <c r="H1695" t="str">
        <f>"0001"</f>
        <v>0001</v>
      </c>
      <c r="I1695" t="s">
        <v>122</v>
      </c>
      <c r="J1695">
        <v>0</v>
      </c>
      <c r="K1695">
        <v>1</v>
      </c>
      <c r="L1695">
        <v>3</v>
      </c>
      <c r="M1695">
        <v>82</v>
      </c>
      <c r="N1695">
        <v>219</v>
      </c>
      <c r="O1695">
        <v>0</v>
      </c>
      <c r="P1695">
        <v>219</v>
      </c>
      <c r="Q1695">
        <v>3</v>
      </c>
      <c r="R1695">
        <v>87</v>
      </c>
      <c r="S1695">
        <v>1</v>
      </c>
      <c r="U1695">
        <v>1</v>
      </c>
      <c r="V1695">
        <v>95</v>
      </c>
      <c r="W1695">
        <v>0</v>
      </c>
      <c r="X1695">
        <v>28</v>
      </c>
      <c r="Y1695">
        <v>0</v>
      </c>
      <c r="Z1695">
        <v>0</v>
      </c>
      <c r="AB1695">
        <v>0</v>
      </c>
      <c r="AF1695">
        <v>0</v>
      </c>
      <c r="AG1695">
        <v>0</v>
      </c>
      <c r="AH1695">
        <v>0</v>
      </c>
      <c r="AI1695">
        <v>1</v>
      </c>
      <c r="AW1695">
        <v>0</v>
      </c>
      <c r="AX1695">
        <v>3</v>
      </c>
      <c r="AY1695">
        <v>219</v>
      </c>
      <c r="AZ1695">
        <v>219</v>
      </c>
      <c r="BA1695">
        <v>257</v>
      </c>
      <c r="BB1695">
        <v>44</v>
      </c>
      <c r="BD1695">
        <v>1</v>
      </c>
      <c r="BF1695" t="s">
        <v>1851</v>
      </c>
      <c r="BG1695" s="1">
        <v>44354.538194444445</v>
      </c>
      <c r="BH1695" s="1">
        <v>44354.545995370368</v>
      </c>
      <c r="BI1695" s="1">
        <v>44354.546226851853</v>
      </c>
      <c r="BJ1695" t="s">
        <v>85</v>
      </c>
      <c r="BK1695" t="s">
        <v>86</v>
      </c>
      <c r="BL1695" t="s">
        <v>87</v>
      </c>
    </row>
    <row r="1696" spans="1:64" x14ac:dyDescent="0.3">
      <c r="A1696" t="str">
        <f>"201009E0200"</f>
        <v>201009E0200</v>
      </c>
      <c r="B1696" t="str">
        <f>"201009E02003"</f>
        <v>201009E02003</v>
      </c>
      <c r="C1696" t="str">
        <f t="shared" si="101"/>
        <v>20</v>
      </c>
      <c r="D1696" t="s">
        <v>81</v>
      </c>
      <c r="E1696" t="str">
        <f>"181"</f>
        <v>181</v>
      </c>
      <c r="F1696" t="s">
        <v>1848</v>
      </c>
      <c r="G1696" t="str">
        <f>"1009"</f>
        <v>1009</v>
      </c>
      <c r="H1696" t="str">
        <f>"0002"</f>
        <v>0002</v>
      </c>
      <c r="I1696" t="s">
        <v>122</v>
      </c>
      <c r="J1696">
        <v>0</v>
      </c>
      <c r="K1696">
        <v>1</v>
      </c>
      <c r="L1696">
        <v>3</v>
      </c>
      <c r="M1696" t="s">
        <v>92</v>
      </c>
      <c r="N1696" t="s">
        <v>92</v>
      </c>
      <c r="O1696" t="s">
        <v>92</v>
      </c>
      <c r="P1696">
        <v>409</v>
      </c>
      <c r="Q1696">
        <v>38</v>
      </c>
      <c r="R1696">
        <v>94</v>
      </c>
      <c r="S1696">
        <v>0</v>
      </c>
      <c r="U1696">
        <v>1</v>
      </c>
      <c r="V1696">
        <v>213</v>
      </c>
      <c r="W1696">
        <v>0</v>
      </c>
      <c r="X1696">
        <v>61</v>
      </c>
      <c r="Y1696">
        <v>0</v>
      </c>
      <c r="Z1696">
        <v>0</v>
      </c>
      <c r="AB1696">
        <v>0</v>
      </c>
      <c r="AF1696">
        <v>0</v>
      </c>
      <c r="AG1696">
        <v>0</v>
      </c>
      <c r="AH1696">
        <v>0</v>
      </c>
      <c r="AI1696">
        <v>0</v>
      </c>
      <c r="AW1696">
        <v>0</v>
      </c>
      <c r="AX1696">
        <v>2</v>
      </c>
      <c r="AY1696">
        <v>409</v>
      </c>
      <c r="AZ1696">
        <v>409</v>
      </c>
      <c r="BA1696">
        <v>462</v>
      </c>
      <c r="BB1696">
        <v>44</v>
      </c>
      <c r="BD1696">
        <v>1</v>
      </c>
      <c r="BF1696" t="s">
        <v>1852</v>
      </c>
      <c r="BG1696" s="1">
        <v>44354.537499999999</v>
      </c>
      <c r="BH1696" s="1">
        <v>44354.540358796294</v>
      </c>
      <c r="BI1696" s="1">
        <v>44354.540821759256</v>
      </c>
      <c r="BJ1696" t="s">
        <v>85</v>
      </c>
      <c r="BK1696" t="s">
        <v>86</v>
      </c>
      <c r="BL1696" t="s">
        <v>87</v>
      </c>
    </row>
    <row r="1697" spans="1:64" x14ac:dyDescent="0.3">
      <c r="A1697" t="str">
        <f>"201010B0000"</f>
        <v>201010B0000</v>
      </c>
      <c r="B1697" t="str">
        <f>"201010B00003"</f>
        <v>201010B00003</v>
      </c>
      <c r="C1697" t="str">
        <f t="shared" si="101"/>
        <v>20</v>
      </c>
      <c r="D1697" t="s">
        <v>81</v>
      </c>
      <c r="E1697" t="str">
        <f t="shared" ref="E1697:E1760" si="103">"182"</f>
        <v>182</v>
      </c>
      <c r="F1697" t="s">
        <v>1853</v>
      </c>
      <c r="G1697" t="str">
        <f t="shared" ref="G1697:G1704" si="104">"1010"</f>
        <v>1010</v>
      </c>
      <c r="H1697" t="str">
        <f>"0000"</f>
        <v>0000</v>
      </c>
      <c r="I1697" t="s">
        <v>83</v>
      </c>
      <c r="J1697">
        <v>0</v>
      </c>
      <c r="K1697">
        <v>1</v>
      </c>
      <c r="L1697">
        <v>3</v>
      </c>
      <c r="M1697">
        <v>333</v>
      </c>
      <c r="N1697">
        <v>383</v>
      </c>
      <c r="O1697">
        <v>6</v>
      </c>
      <c r="P1697">
        <v>383</v>
      </c>
      <c r="Q1697">
        <v>9</v>
      </c>
      <c r="R1697">
        <v>64</v>
      </c>
      <c r="S1697">
        <v>0</v>
      </c>
      <c r="T1697">
        <v>0</v>
      </c>
      <c r="U1697">
        <v>7</v>
      </c>
      <c r="V1697">
        <v>46</v>
      </c>
      <c r="W1697">
        <v>3</v>
      </c>
      <c r="X1697">
        <v>143</v>
      </c>
      <c r="Y1697">
        <v>52</v>
      </c>
      <c r="Z1697">
        <v>5</v>
      </c>
      <c r="AB1697">
        <v>50</v>
      </c>
      <c r="AO1697">
        <v>1</v>
      </c>
      <c r="AU1697">
        <v>0</v>
      </c>
      <c r="AW1697">
        <v>0</v>
      </c>
      <c r="AX1697">
        <v>3</v>
      </c>
      <c r="AY1697">
        <v>383</v>
      </c>
      <c r="AZ1697">
        <v>383</v>
      </c>
      <c r="BA1697">
        <v>672</v>
      </c>
      <c r="BB1697">
        <v>44</v>
      </c>
      <c r="BD1697">
        <v>1</v>
      </c>
      <c r="BF1697" t="s">
        <v>1854</v>
      </c>
      <c r="BG1697" s="1">
        <v>44354.002083333333</v>
      </c>
      <c r="BH1697" s="1">
        <v>44354.00984953704</v>
      </c>
      <c r="BI1697" s="1">
        <v>44354.010416666664</v>
      </c>
      <c r="BJ1697" t="s">
        <v>85</v>
      </c>
      <c r="BK1697" t="s">
        <v>86</v>
      </c>
      <c r="BL1697" t="s">
        <v>87</v>
      </c>
    </row>
    <row r="1698" spans="1:64" x14ac:dyDescent="0.3">
      <c r="A1698" t="str">
        <f>"201010C0100"</f>
        <v>201010C0100</v>
      </c>
      <c r="B1698" t="str">
        <f>"201010C01003"</f>
        <v>201010C01003</v>
      </c>
      <c r="C1698" t="str">
        <f t="shared" si="101"/>
        <v>20</v>
      </c>
      <c r="D1698" t="s">
        <v>81</v>
      </c>
      <c r="E1698" t="str">
        <f t="shared" si="103"/>
        <v>182</v>
      </c>
      <c r="F1698" t="s">
        <v>1853</v>
      </c>
      <c r="G1698" t="str">
        <f t="shared" si="104"/>
        <v>1010</v>
      </c>
      <c r="H1698" t="str">
        <f>"0001"</f>
        <v>0001</v>
      </c>
      <c r="I1698" t="s">
        <v>89</v>
      </c>
      <c r="J1698">
        <v>0</v>
      </c>
      <c r="K1698">
        <v>1</v>
      </c>
      <c r="L1698">
        <v>3</v>
      </c>
      <c r="M1698">
        <v>335</v>
      </c>
      <c r="N1698">
        <v>381</v>
      </c>
      <c r="O1698">
        <v>7</v>
      </c>
      <c r="P1698">
        <v>381</v>
      </c>
      <c r="Q1698">
        <v>12</v>
      </c>
      <c r="R1698">
        <v>90</v>
      </c>
      <c r="S1698">
        <v>0</v>
      </c>
      <c r="T1698">
        <v>1</v>
      </c>
      <c r="U1698">
        <v>5</v>
      </c>
      <c r="V1698">
        <v>48</v>
      </c>
      <c r="W1698">
        <v>1</v>
      </c>
      <c r="X1698">
        <v>133</v>
      </c>
      <c r="Y1698">
        <v>36</v>
      </c>
      <c r="Z1698">
        <v>1</v>
      </c>
      <c r="AB1698">
        <v>45</v>
      </c>
      <c r="AO1698">
        <v>2</v>
      </c>
      <c r="AU1698">
        <v>0</v>
      </c>
      <c r="AW1698">
        <v>0</v>
      </c>
      <c r="AX1698">
        <v>7</v>
      </c>
      <c r="AY1698">
        <v>381</v>
      </c>
      <c r="AZ1698">
        <v>381</v>
      </c>
      <c r="BA1698">
        <v>672</v>
      </c>
      <c r="BB1698">
        <v>44</v>
      </c>
      <c r="BD1698">
        <v>1</v>
      </c>
      <c r="BF1698" t="s">
        <v>1855</v>
      </c>
      <c r="BG1698" s="1">
        <v>44354.004166666666</v>
      </c>
      <c r="BH1698" s="1">
        <v>44354.01021990741</v>
      </c>
      <c r="BI1698" s="1">
        <v>44354.010682870372</v>
      </c>
      <c r="BJ1698" t="s">
        <v>85</v>
      </c>
      <c r="BK1698" t="s">
        <v>86</v>
      </c>
      <c r="BL1698" t="s">
        <v>87</v>
      </c>
    </row>
    <row r="1699" spans="1:64" x14ac:dyDescent="0.3">
      <c r="A1699" t="str">
        <f>"201010C0200"</f>
        <v>201010C0200</v>
      </c>
      <c r="B1699" t="str">
        <f>"201010C02003"</f>
        <v>201010C02003</v>
      </c>
      <c r="C1699" t="str">
        <f t="shared" si="101"/>
        <v>20</v>
      </c>
      <c r="D1699" t="s">
        <v>81</v>
      </c>
      <c r="E1699" t="str">
        <f t="shared" si="103"/>
        <v>182</v>
      </c>
      <c r="F1699" t="s">
        <v>1853</v>
      </c>
      <c r="G1699" t="str">
        <f t="shared" si="104"/>
        <v>1010</v>
      </c>
      <c r="H1699" t="str">
        <f>"0002"</f>
        <v>0002</v>
      </c>
      <c r="I1699" t="s">
        <v>89</v>
      </c>
      <c r="J1699">
        <v>0</v>
      </c>
      <c r="K1699">
        <v>1</v>
      </c>
      <c r="L1699">
        <v>3</v>
      </c>
      <c r="M1699">
        <v>311</v>
      </c>
      <c r="N1699">
        <v>405</v>
      </c>
      <c r="O1699">
        <v>5</v>
      </c>
      <c r="P1699">
        <v>405</v>
      </c>
      <c r="Q1699">
        <v>7</v>
      </c>
      <c r="R1699">
        <v>81</v>
      </c>
      <c r="S1699">
        <v>2</v>
      </c>
      <c r="T1699">
        <v>2</v>
      </c>
      <c r="U1699">
        <v>2</v>
      </c>
      <c r="V1699">
        <v>43</v>
      </c>
      <c r="W1699">
        <v>11</v>
      </c>
      <c r="X1699">
        <v>156</v>
      </c>
      <c r="Y1699">
        <v>46</v>
      </c>
      <c r="Z1699">
        <v>3</v>
      </c>
      <c r="AB1699">
        <v>49</v>
      </c>
      <c r="AO1699">
        <v>3</v>
      </c>
      <c r="AU1699">
        <v>0</v>
      </c>
      <c r="AW1699">
        <v>0</v>
      </c>
      <c r="AX1699">
        <v>0</v>
      </c>
      <c r="AY1699">
        <v>405</v>
      </c>
      <c r="AZ1699">
        <v>405</v>
      </c>
      <c r="BA1699">
        <v>672</v>
      </c>
      <c r="BB1699">
        <v>44</v>
      </c>
      <c r="BD1699">
        <v>1</v>
      </c>
      <c r="BF1699" t="s">
        <v>1856</v>
      </c>
      <c r="BG1699" s="1">
        <v>44354.000694444447</v>
      </c>
      <c r="BH1699" s="1">
        <v>44354.006180555552</v>
      </c>
      <c r="BI1699" s="1">
        <v>44354.006898148145</v>
      </c>
      <c r="BJ1699" t="s">
        <v>85</v>
      </c>
      <c r="BK1699" t="s">
        <v>86</v>
      </c>
      <c r="BL1699" t="s">
        <v>87</v>
      </c>
    </row>
    <row r="1700" spans="1:64" x14ac:dyDescent="0.3">
      <c r="A1700" t="str">
        <f>"201010E0100"</f>
        <v>201010E0100</v>
      </c>
      <c r="B1700" t="str">
        <f>"201010E01003"</f>
        <v>201010E01003</v>
      </c>
      <c r="C1700" t="str">
        <f t="shared" si="101"/>
        <v>20</v>
      </c>
      <c r="D1700" t="s">
        <v>81</v>
      </c>
      <c r="E1700" t="str">
        <f t="shared" si="103"/>
        <v>182</v>
      </c>
      <c r="F1700" t="s">
        <v>1853</v>
      </c>
      <c r="G1700" t="str">
        <f t="shared" si="104"/>
        <v>1010</v>
      </c>
      <c r="H1700" t="str">
        <f>"0001"</f>
        <v>0001</v>
      </c>
      <c r="I1700" t="s">
        <v>122</v>
      </c>
      <c r="J1700">
        <v>0</v>
      </c>
      <c r="K1700">
        <v>1</v>
      </c>
      <c r="L1700">
        <v>3</v>
      </c>
      <c r="M1700">
        <v>385</v>
      </c>
      <c r="N1700">
        <v>395</v>
      </c>
      <c r="O1700">
        <v>13</v>
      </c>
      <c r="P1700">
        <v>395</v>
      </c>
      <c r="Q1700">
        <v>8</v>
      </c>
      <c r="R1700">
        <v>61</v>
      </c>
      <c r="S1700">
        <v>0</v>
      </c>
      <c r="T1700">
        <v>1</v>
      </c>
      <c r="U1700">
        <v>5</v>
      </c>
      <c r="V1700">
        <v>40</v>
      </c>
      <c r="W1700">
        <v>9</v>
      </c>
      <c r="X1700">
        <v>171</v>
      </c>
      <c r="Y1700">
        <v>153</v>
      </c>
      <c r="Z1700">
        <v>1</v>
      </c>
      <c r="AB1700">
        <v>36</v>
      </c>
      <c r="AO1700">
        <v>3</v>
      </c>
      <c r="AU1700">
        <v>0</v>
      </c>
      <c r="AW1700">
        <v>1</v>
      </c>
      <c r="AX1700">
        <v>6</v>
      </c>
      <c r="AY1700">
        <v>395</v>
      </c>
      <c r="AZ1700">
        <v>495</v>
      </c>
      <c r="BA1700">
        <v>737</v>
      </c>
      <c r="BB1700">
        <v>44</v>
      </c>
      <c r="BD1700">
        <v>1</v>
      </c>
      <c r="BF1700" t="s">
        <v>1857</v>
      </c>
      <c r="BG1700" s="1">
        <v>44354.147222222222</v>
      </c>
      <c r="BH1700" s="1">
        <v>44354.151145833333</v>
      </c>
      <c r="BI1700" s="1">
        <v>44354.15179398148</v>
      </c>
      <c r="BJ1700" t="s">
        <v>85</v>
      </c>
      <c r="BK1700" t="s">
        <v>86</v>
      </c>
      <c r="BL1700" t="s">
        <v>87</v>
      </c>
    </row>
    <row r="1701" spans="1:64" x14ac:dyDescent="0.3">
      <c r="A1701" t="str">
        <f>"201010E0101"</f>
        <v>201010E0101</v>
      </c>
      <c r="B1701" t="str">
        <f>"201010E01013"</f>
        <v>201010E01013</v>
      </c>
      <c r="C1701" t="str">
        <f t="shared" si="101"/>
        <v>20</v>
      </c>
      <c r="D1701" t="s">
        <v>81</v>
      </c>
      <c r="E1701" t="str">
        <f t="shared" si="103"/>
        <v>182</v>
      </c>
      <c r="F1701" t="s">
        <v>1853</v>
      </c>
      <c r="G1701" t="str">
        <f t="shared" si="104"/>
        <v>1010</v>
      </c>
      <c r="H1701" t="str">
        <f>"0001"</f>
        <v>0001</v>
      </c>
      <c r="I1701" t="s">
        <v>122</v>
      </c>
      <c r="J1701">
        <v>1</v>
      </c>
      <c r="K1701">
        <v>1</v>
      </c>
      <c r="L1701">
        <v>3</v>
      </c>
      <c r="M1701">
        <v>385</v>
      </c>
      <c r="N1701">
        <v>396</v>
      </c>
      <c r="O1701">
        <v>7</v>
      </c>
      <c r="P1701">
        <v>397</v>
      </c>
      <c r="Q1701">
        <v>3</v>
      </c>
      <c r="R1701">
        <v>46</v>
      </c>
      <c r="S1701">
        <v>0</v>
      </c>
      <c r="T1701">
        <v>0</v>
      </c>
      <c r="U1701">
        <v>3</v>
      </c>
      <c r="V1701">
        <v>50</v>
      </c>
      <c r="W1701">
        <v>5</v>
      </c>
      <c r="X1701">
        <v>192</v>
      </c>
      <c r="Y1701">
        <v>59</v>
      </c>
      <c r="Z1701">
        <v>1</v>
      </c>
      <c r="AB1701">
        <v>26</v>
      </c>
      <c r="AO1701">
        <v>2</v>
      </c>
      <c r="AU1701">
        <v>0</v>
      </c>
      <c r="AW1701">
        <v>0</v>
      </c>
      <c r="AX1701">
        <v>10</v>
      </c>
      <c r="AY1701">
        <v>397</v>
      </c>
      <c r="AZ1701">
        <v>397</v>
      </c>
      <c r="BA1701">
        <v>737</v>
      </c>
      <c r="BB1701">
        <v>44</v>
      </c>
      <c r="BD1701">
        <v>1</v>
      </c>
      <c r="BF1701" t="s">
        <v>1858</v>
      </c>
      <c r="BG1701" s="1">
        <v>44354.143055555556</v>
      </c>
      <c r="BH1701" s="1">
        <v>44354.146585648145</v>
      </c>
      <c r="BI1701" s="1">
        <v>44354.146990740737</v>
      </c>
      <c r="BJ1701" t="s">
        <v>85</v>
      </c>
      <c r="BK1701" t="s">
        <v>86</v>
      </c>
      <c r="BL1701" t="s">
        <v>87</v>
      </c>
    </row>
    <row r="1702" spans="1:64" x14ac:dyDescent="0.3">
      <c r="A1702" t="str">
        <f>"201010E0102"</f>
        <v>201010E0102</v>
      </c>
      <c r="B1702" t="str">
        <f>"201010E01023"</f>
        <v>201010E01023</v>
      </c>
      <c r="C1702" t="str">
        <f t="shared" si="101"/>
        <v>20</v>
      </c>
      <c r="D1702" t="s">
        <v>81</v>
      </c>
      <c r="E1702" t="str">
        <f t="shared" si="103"/>
        <v>182</v>
      </c>
      <c r="F1702" t="s">
        <v>1853</v>
      </c>
      <c r="G1702" t="str">
        <f t="shared" si="104"/>
        <v>1010</v>
      </c>
      <c r="H1702" t="str">
        <f>"0001"</f>
        <v>0001</v>
      </c>
      <c r="I1702" t="s">
        <v>122</v>
      </c>
      <c r="J1702">
        <v>2</v>
      </c>
      <c r="K1702">
        <v>1</v>
      </c>
      <c r="L1702">
        <v>3</v>
      </c>
      <c r="M1702">
        <v>382</v>
      </c>
      <c r="N1702">
        <v>399</v>
      </c>
      <c r="O1702">
        <v>11</v>
      </c>
      <c r="P1702">
        <v>398</v>
      </c>
      <c r="Q1702">
        <v>2</v>
      </c>
      <c r="R1702">
        <v>59</v>
      </c>
      <c r="S1702">
        <v>2</v>
      </c>
      <c r="T1702">
        <v>2</v>
      </c>
      <c r="U1702">
        <v>7</v>
      </c>
      <c r="V1702">
        <v>58</v>
      </c>
      <c r="W1702">
        <v>16</v>
      </c>
      <c r="X1702">
        <v>173</v>
      </c>
      <c r="Y1702">
        <v>49</v>
      </c>
      <c r="Z1702">
        <v>2</v>
      </c>
      <c r="AB1702">
        <v>19</v>
      </c>
      <c r="AO1702">
        <v>1</v>
      </c>
      <c r="AU1702">
        <v>0</v>
      </c>
      <c r="AW1702">
        <v>0</v>
      </c>
      <c r="AX1702">
        <v>8</v>
      </c>
      <c r="AY1702">
        <v>398</v>
      </c>
      <c r="AZ1702">
        <v>398</v>
      </c>
      <c r="BA1702">
        <v>737</v>
      </c>
      <c r="BB1702">
        <v>44</v>
      </c>
      <c r="BD1702">
        <v>1</v>
      </c>
      <c r="BF1702" t="s">
        <v>1859</v>
      </c>
      <c r="BG1702" s="1">
        <v>44354.143055555556</v>
      </c>
      <c r="BH1702" s="1">
        <v>44354.145486111112</v>
      </c>
      <c r="BI1702" s="1">
        <v>44354.146296296298</v>
      </c>
      <c r="BJ1702" t="s">
        <v>85</v>
      </c>
      <c r="BK1702" t="s">
        <v>86</v>
      </c>
      <c r="BL1702" t="s">
        <v>87</v>
      </c>
    </row>
    <row r="1703" spans="1:64" x14ac:dyDescent="0.3">
      <c r="A1703" t="str">
        <f>"201010E0103"</f>
        <v>201010E0103</v>
      </c>
      <c r="B1703" t="str">
        <f>"201010E01033"</f>
        <v>201010E01033</v>
      </c>
      <c r="C1703" t="str">
        <f t="shared" si="101"/>
        <v>20</v>
      </c>
      <c r="D1703" t="s">
        <v>81</v>
      </c>
      <c r="E1703" t="str">
        <f t="shared" si="103"/>
        <v>182</v>
      </c>
      <c r="F1703" t="s">
        <v>1853</v>
      </c>
      <c r="G1703" t="str">
        <f t="shared" si="104"/>
        <v>1010</v>
      </c>
      <c r="H1703" t="str">
        <f>"0001"</f>
        <v>0001</v>
      </c>
      <c r="I1703" t="s">
        <v>122</v>
      </c>
      <c r="J1703">
        <v>3</v>
      </c>
      <c r="K1703">
        <v>1</v>
      </c>
      <c r="L1703">
        <v>3</v>
      </c>
      <c r="M1703">
        <v>402</v>
      </c>
      <c r="N1703">
        <v>412</v>
      </c>
      <c r="O1703">
        <v>10</v>
      </c>
      <c r="P1703">
        <v>411</v>
      </c>
      <c r="Q1703">
        <v>10</v>
      </c>
      <c r="R1703">
        <v>42</v>
      </c>
      <c r="S1703">
        <v>0</v>
      </c>
      <c r="T1703">
        <v>1</v>
      </c>
      <c r="U1703">
        <v>6</v>
      </c>
      <c r="V1703">
        <v>57</v>
      </c>
      <c r="W1703">
        <v>5</v>
      </c>
      <c r="X1703">
        <v>180</v>
      </c>
      <c r="Y1703">
        <v>64</v>
      </c>
      <c r="Z1703">
        <v>5</v>
      </c>
      <c r="AB1703">
        <v>30</v>
      </c>
      <c r="AO1703">
        <v>3</v>
      </c>
      <c r="AU1703">
        <v>0</v>
      </c>
      <c r="AW1703" t="s">
        <v>95</v>
      </c>
      <c r="AX1703">
        <v>8</v>
      </c>
      <c r="AY1703">
        <v>411</v>
      </c>
      <c r="AZ1703">
        <v>411</v>
      </c>
      <c r="BA1703">
        <v>737</v>
      </c>
      <c r="BB1703">
        <v>44</v>
      </c>
      <c r="BC1703" t="s">
        <v>96</v>
      </c>
      <c r="BD1703">
        <v>1</v>
      </c>
      <c r="BF1703" t="s">
        <v>1860</v>
      </c>
      <c r="BG1703" s="1">
        <v>44354.150694444441</v>
      </c>
      <c r="BH1703" s="1">
        <v>44354.154108796298</v>
      </c>
      <c r="BI1703" s="1">
        <v>44354.154456018521</v>
      </c>
      <c r="BJ1703" t="s">
        <v>85</v>
      </c>
      <c r="BK1703" t="s">
        <v>86</v>
      </c>
      <c r="BL1703" t="s">
        <v>1390</v>
      </c>
    </row>
    <row r="1704" spans="1:64" x14ac:dyDescent="0.3">
      <c r="A1704" t="str">
        <f>"201010E0104"</f>
        <v>201010E0104</v>
      </c>
      <c r="B1704" t="str">
        <f>"201010E01043"</f>
        <v>201010E01043</v>
      </c>
      <c r="C1704" t="str">
        <f t="shared" si="101"/>
        <v>20</v>
      </c>
      <c r="D1704" t="s">
        <v>81</v>
      </c>
      <c r="E1704" t="str">
        <f t="shared" si="103"/>
        <v>182</v>
      </c>
      <c r="F1704" t="s">
        <v>1853</v>
      </c>
      <c r="G1704" t="str">
        <f t="shared" si="104"/>
        <v>1010</v>
      </c>
      <c r="H1704" t="str">
        <f>"0001"</f>
        <v>0001</v>
      </c>
      <c r="I1704" t="s">
        <v>122</v>
      </c>
      <c r="J1704">
        <v>4</v>
      </c>
      <c r="K1704">
        <v>1</v>
      </c>
      <c r="L1704">
        <v>3</v>
      </c>
      <c r="M1704">
        <v>344</v>
      </c>
      <c r="N1704">
        <v>434</v>
      </c>
      <c r="O1704">
        <v>10</v>
      </c>
      <c r="P1704">
        <v>436</v>
      </c>
      <c r="Q1704">
        <v>6</v>
      </c>
      <c r="R1704">
        <v>60</v>
      </c>
      <c r="S1704">
        <v>0</v>
      </c>
      <c r="T1704">
        <v>1</v>
      </c>
      <c r="U1704">
        <v>4</v>
      </c>
      <c r="V1704">
        <v>44</v>
      </c>
      <c r="W1704">
        <v>3</v>
      </c>
      <c r="X1704">
        <v>204</v>
      </c>
      <c r="Y1704">
        <v>60</v>
      </c>
      <c r="Z1704">
        <v>3</v>
      </c>
      <c r="AB1704">
        <v>40</v>
      </c>
      <c r="AO1704">
        <v>3</v>
      </c>
      <c r="AU1704">
        <v>0</v>
      </c>
      <c r="AW1704">
        <v>0</v>
      </c>
      <c r="AX1704">
        <v>9</v>
      </c>
      <c r="AY1704">
        <v>436</v>
      </c>
      <c r="AZ1704">
        <v>437</v>
      </c>
      <c r="BA1704">
        <v>737</v>
      </c>
      <c r="BB1704">
        <v>44</v>
      </c>
      <c r="BD1704">
        <v>1</v>
      </c>
      <c r="BF1704" t="s">
        <v>1861</v>
      </c>
      <c r="BG1704" s="1">
        <v>44354.146527777775</v>
      </c>
      <c r="BH1704" s="1">
        <v>44354.149050925924</v>
      </c>
      <c r="BI1704" s="1">
        <v>44354.149502314816</v>
      </c>
      <c r="BJ1704" t="s">
        <v>85</v>
      </c>
      <c r="BK1704" t="s">
        <v>86</v>
      </c>
      <c r="BL1704" t="s">
        <v>87</v>
      </c>
    </row>
    <row r="1705" spans="1:64" x14ac:dyDescent="0.3">
      <c r="A1705" t="str">
        <f>"201011B0000"</f>
        <v>201011B0000</v>
      </c>
      <c r="B1705" t="str">
        <f>"201011B00003"</f>
        <v>201011B00003</v>
      </c>
      <c r="C1705" t="str">
        <f t="shared" si="101"/>
        <v>20</v>
      </c>
      <c r="D1705" t="s">
        <v>81</v>
      </c>
      <c r="E1705" t="str">
        <f t="shared" si="103"/>
        <v>182</v>
      </c>
      <c r="F1705" t="s">
        <v>1853</v>
      </c>
      <c r="G1705" t="str">
        <f>"1011"</f>
        <v>1011</v>
      </c>
      <c r="H1705" t="str">
        <f>"0000"</f>
        <v>0000</v>
      </c>
      <c r="I1705" t="s">
        <v>83</v>
      </c>
      <c r="J1705">
        <v>0</v>
      </c>
      <c r="K1705">
        <v>1</v>
      </c>
      <c r="L1705">
        <v>3</v>
      </c>
      <c r="M1705">
        <v>281</v>
      </c>
      <c r="N1705">
        <v>319</v>
      </c>
      <c r="O1705">
        <v>3</v>
      </c>
      <c r="P1705">
        <v>319</v>
      </c>
      <c r="Q1705">
        <v>5</v>
      </c>
      <c r="R1705">
        <v>35</v>
      </c>
      <c r="S1705">
        <v>0</v>
      </c>
      <c r="T1705">
        <v>2</v>
      </c>
      <c r="U1705">
        <v>0</v>
      </c>
      <c r="V1705">
        <v>68</v>
      </c>
      <c r="W1705">
        <v>5</v>
      </c>
      <c r="X1705">
        <v>103</v>
      </c>
      <c r="Y1705">
        <v>65</v>
      </c>
      <c r="Z1705">
        <v>4</v>
      </c>
      <c r="AB1705">
        <v>24</v>
      </c>
      <c r="AO1705">
        <v>0</v>
      </c>
      <c r="AU1705">
        <v>0</v>
      </c>
      <c r="AW1705">
        <v>0</v>
      </c>
      <c r="AX1705">
        <v>8</v>
      </c>
      <c r="AY1705">
        <v>319</v>
      </c>
      <c r="AZ1705">
        <v>319</v>
      </c>
      <c r="BA1705">
        <v>556</v>
      </c>
      <c r="BB1705">
        <v>44</v>
      </c>
      <c r="BD1705">
        <v>1</v>
      </c>
      <c r="BF1705" t="s">
        <v>1862</v>
      </c>
      <c r="BG1705" s="1">
        <v>44354.043749999997</v>
      </c>
      <c r="BH1705" s="1">
        <v>44354.052175925928</v>
      </c>
      <c r="BI1705" s="1">
        <v>44354.052615740744</v>
      </c>
      <c r="BJ1705" t="s">
        <v>85</v>
      </c>
      <c r="BK1705" t="s">
        <v>86</v>
      </c>
      <c r="BL1705" t="s">
        <v>87</v>
      </c>
    </row>
    <row r="1706" spans="1:64" x14ac:dyDescent="0.3">
      <c r="A1706" t="str">
        <f>"201011C0100"</f>
        <v>201011C0100</v>
      </c>
      <c r="B1706" t="str">
        <f>"201011C01003"</f>
        <v>201011C01003</v>
      </c>
      <c r="C1706" t="str">
        <f t="shared" si="101"/>
        <v>20</v>
      </c>
      <c r="D1706" t="s">
        <v>81</v>
      </c>
      <c r="E1706" t="str">
        <f t="shared" si="103"/>
        <v>182</v>
      </c>
      <c r="F1706" t="s">
        <v>1853</v>
      </c>
      <c r="G1706" t="str">
        <f>"1011"</f>
        <v>1011</v>
      </c>
      <c r="H1706" t="str">
        <f>"0001"</f>
        <v>0001</v>
      </c>
      <c r="I1706" t="s">
        <v>89</v>
      </c>
      <c r="J1706">
        <v>0</v>
      </c>
      <c r="K1706">
        <v>1</v>
      </c>
      <c r="L1706">
        <v>3</v>
      </c>
      <c r="M1706">
        <v>276</v>
      </c>
      <c r="N1706">
        <v>324</v>
      </c>
      <c r="O1706">
        <v>7</v>
      </c>
      <c r="P1706">
        <v>324</v>
      </c>
      <c r="Q1706">
        <v>1</v>
      </c>
      <c r="R1706">
        <v>37</v>
      </c>
      <c r="S1706">
        <v>1</v>
      </c>
      <c r="T1706">
        <v>2</v>
      </c>
      <c r="U1706">
        <v>4</v>
      </c>
      <c r="V1706">
        <v>56</v>
      </c>
      <c r="W1706">
        <v>0</v>
      </c>
      <c r="X1706">
        <v>127</v>
      </c>
      <c r="Y1706">
        <v>64</v>
      </c>
      <c r="Z1706">
        <v>4</v>
      </c>
      <c r="AB1706">
        <v>20</v>
      </c>
      <c r="AO1706">
        <v>3</v>
      </c>
      <c r="AU1706" t="s">
        <v>95</v>
      </c>
      <c r="AW1706" t="s">
        <v>95</v>
      </c>
      <c r="AX1706">
        <v>5</v>
      </c>
      <c r="AY1706">
        <v>324</v>
      </c>
      <c r="AZ1706">
        <v>324</v>
      </c>
      <c r="BA1706">
        <v>556</v>
      </c>
      <c r="BB1706">
        <v>44</v>
      </c>
      <c r="BC1706" t="s">
        <v>96</v>
      </c>
      <c r="BD1706">
        <v>1</v>
      </c>
      <c r="BF1706" t="s">
        <v>1863</v>
      </c>
      <c r="BG1706" s="1">
        <v>44354.509722222225</v>
      </c>
      <c r="BH1706" s="1">
        <v>44354.513773148145</v>
      </c>
      <c r="BI1706" s="1">
        <v>44354.51421296296</v>
      </c>
      <c r="BJ1706" t="s">
        <v>85</v>
      </c>
      <c r="BK1706" t="s">
        <v>86</v>
      </c>
      <c r="BL1706" t="s">
        <v>87</v>
      </c>
    </row>
    <row r="1707" spans="1:64" x14ac:dyDescent="0.3">
      <c r="A1707" t="str">
        <f>"201012B0000"</f>
        <v>201012B0000</v>
      </c>
      <c r="B1707" t="str">
        <f>"201012B00003"</f>
        <v>201012B00003</v>
      </c>
      <c r="C1707" t="str">
        <f t="shared" si="101"/>
        <v>20</v>
      </c>
      <c r="D1707" t="s">
        <v>81</v>
      </c>
      <c r="E1707" t="str">
        <f t="shared" si="103"/>
        <v>182</v>
      </c>
      <c r="F1707" t="s">
        <v>1853</v>
      </c>
      <c r="G1707" t="str">
        <f>"1012"</f>
        <v>1012</v>
      </c>
      <c r="H1707" t="str">
        <f>"0000"</f>
        <v>0000</v>
      </c>
      <c r="I1707" t="s">
        <v>83</v>
      </c>
      <c r="J1707">
        <v>0</v>
      </c>
      <c r="K1707">
        <v>1</v>
      </c>
      <c r="L1707">
        <v>3</v>
      </c>
      <c r="M1707">
        <v>285</v>
      </c>
      <c r="N1707">
        <v>310</v>
      </c>
      <c r="O1707">
        <v>10</v>
      </c>
      <c r="P1707">
        <v>310</v>
      </c>
      <c r="Q1707">
        <v>8</v>
      </c>
      <c r="R1707">
        <v>36</v>
      </c>
      <c r="S1707">
        <v>1</v>
      </c>
      <c r="T1707">
        <v>1</v>
      </c>
      <c r="U1707">
        <v>1</v>
      </c>
      <c r="V1707">
        <v>27</v>
      </c>
      <c r="W1707">
        <v>3</v>
      </c>
      <c r="X1707">
        <v>113</v>
      </c>
      <c r="Y1707">
        <v>75</v>
      </c>
      <c r="Z1707">
        <v>2</v>
      </c>
      <c r="AB1707">
        <v>29</v>
      </c>
      <c r="AO1707">
        <v>0</v>
      </c>
      <c r="AU1707">
        <v>0</v>
      </c>
      <c r="AW1707">
        <v>0</v>
      </c>
      <c r="AX1707">
        <v>14</v>
      </c>
      <c r="AY1707">
        <v>310</v>
      </c>
      <c r="AZ1707">
        <v>310</v>
      </c>
      <c r="BA1707">
        <v>551</v>
      </c>
      <c r="BB1707">
        <v>44</v>
      </c>
      <c r="BD1707">
        <v>1</v>
      </c>
      <c r="BF1707" t="s">
        <v>1864</v>
      </c>
      <c r="BG1707" s="1">
        <v>44354.037499999999</v>
      </c>
      <c r="BH1707" s="1">
        <v>44354.051631944443</v>
      </c>
      <c r="BI1707" s="1">
        <v>44354.05228009259</v>
      </c>
      <c r="BJ1707" t="s">
        <v>85</v>
      </c>
      <c r="BK1707" t="s">
        <v>86</v>
      </c>
      <c r="BL1707" t="s">
        <v>87</v>
      </c>
    </row>
    <row r="1708" spans="1:64" x14ac:dyDescent="0.3">
      <c r="A1708" t="str">
        <f>"201012C0100"</f>
        <v>201012C0100</v>
      </c>
      <c r="B1708" t="str">
        <f>"201012C01003"</f>
        <v>201012C01003</v>
      </c>
      <c r="C1708" t="str">
        <f t="shared" si="101"/>
        <v>20</v>
      </c>
      <c r="D1708" t="s">
        <v>81</v>
      </c>
      <c r="E1708" t="str">
        <f t="shared" si="103"/>
        <v>182</v>
      </c>
      <c r="F1708" t="s">
        <v>1853</v>
      </c>
      <c r="G1708" t="str">
        <f>"1012"</f>
        <v>1012</v>
      </c>
      <c r="H1708" t="str">
        <f>"0001"</f>
        <v>0001</v>
      </c>
      <c r="I1708" t="s">
        <v>89</v>
      </c>
      <c r="J1708">
        <v>0</v>
      </c>
      <c r="K1708">
        <v>1</v>
      </c>
      <c r="L1708">
        <v>3</v>
      </c>
      <c r="M1708">
        <v>289</v>
      </c>
      <c r="N1708">
        <v>303</v>
      </c>
      <c r="O1708">
        <v>8</v>
      </c>
      <c r="P1708">
        <v>303</v>
      </c>
      <c r="Q1708">
        <v>4</v>
      </c>
      <c r="R1708">
        <v>35</v>
      </c>
      <c r="S1708">
        <v>1</v>
      </c>
      <c r="T1708">
        <v>0</v>
      </c>
      <c r="U1708">
        <v>1</v>
      </c>
      <c r="V1708">
        <v>41</v>
      </c>
      <c r="W1708">
        <v>4</v>
      </c>
      <c r="X1708">
        <v>95</v>
      </c>
      <c r="Y1708">
        <v>79</v>
      </c>
      <c r="Z1708">
        <v>0</v>
      </c>
      <c r="AB1708">
        <v>37</v>
      </c>
      <c r="AO1708">
        <v>1</v>
      </c>
      <c r="AU1708">
        <v>0</v>
      </c>
      <c r="AW1708">
        <v>0</v>
      </c>
      <c r="AX1708">
        <v>5</v>
      </c>
      <c r="AY1708">
        <v>303</v>
      </c>
      <c r="AZ1708">
        <v>303</v>
      </c>
      <c r="BA1708">
        <v>550</v>
      </c>
      <c r="BB1708">
        <v>44</v>
      </c>
      <c r="BD1708">
        <v>1</v>
      </c>
      <c r="BF1708" t="s">
        <v>1865</v>
      </c>
      <c r="BG1708" s="1">
        <v>44354.034722222219</v>
      </c>
      <c r="BH1708" s="1">
        <v>44354.042372685188</v>
      </c>
      <c r="BI1708" s="1">
        <v>44354.043067129627</v>
      </c>
      <c r="BJ1708" t="s">
        <v>85</v>
      </c>
      <c r="BK1708" t="s">
        <v>86</v>
      </c>
      <c r="BL1708" t="s">
        <v>87</v>
      </c>
    </row>
    <row r="1709" spans="1:64" x14ac:dyDescent="0.3">
      <c r="A1709" t="str">
        <f>"201013B0000"</f>
        <v>201013B0000</v>
      </c>
      <c r="B1709" t="str">
        <f>"201013B00003"</f>
        <v>201013B00003</v>
      </c>
      <c r="C1709" t="str">
        <f t="shared" si="101"/>
        <v>20</v>
      </c>
      <c r="D1709" t="s">
        <v>81</v>
      </c>
      <c r="E1709" t="str">
        <f t="shared" si="103"/>
        <v>182</v>
      </c>
      <c r="F1709" t="s">
        <v>1853</v>
      </c>
      <c r="G1709" t="str">
        <f>"1013"</f>
        <v>1013</v>
      </c>
      <c r="H1709" t="str">
        <f>"0000"</f>
        <v>0000</v>
      </c>
      <c r="I1709" t="s">
        <v>83</v>
      </c>
      <c r="J1709">
        <v>0</v>
      </c>
      <c r="K1709">
        <v>1</v>
      </c>
      <c r="L1709">
        <v>3</v>
      </c>
      <c r="M1709">
        <v>280</v>
      </c>
      <c r="N1709">
        <v>590</v>
      </c>
      <c r="O1709">
        <v>2</v>
      </c>
      <c r="P1709">
        <v>310</v>
      </c>
      <c r="Q1709">
        <v>8</v>
      </c>
      <c r="R1709">
        <v>32</v>
      </c>
      <c r="S1709">
        <v>2</v>
      </c>
      <c r="T1709">
        <v>1</v>
      </c>
      <c r="U1709">
        <v>4</v>
      </c>
      <c r="V1709">
        <v>43</v>
      </c>
      <c r="W1709">
        <v>2</v>
      </c>
      <c r="X1709">
        <v>126</v>
      </c>
      <c r="Y1709">
        <v>49</v>
      </c>
      <c r="Z1709">
        <v>2</v>
      </c>
      <c r="AB1709">
        <v>38</v>
      </c>
      <c r="AO1709" t="s">
        <v>95</v>
      </c>
      <c r="AU1709" t="s">
        <v>95</v>
      </c>
      <c r="AW1709" t="s">
        <v>95</v>
      </c>
      <c r="AX1709">
        <v>4</v>
      </c>
      <c r="AY1709">
        <v>310</v>
      </c>
      <c r="AZ1709">
        <v>311</v>
      </c>
      <c r="BA1709">
        <v>546</v>
      </c>
      <c r="BB1709">
        <v>44</v>
      </c>
      <c r="BC1709" t="s">
        <v>96</v>
      </c>
      <c r="BD1709">
        <v>1</v>
      </c>
      <c r="BF1709" t="s">
        <v>1866</v>
      </c>
      <c r="BG1709" s="1">
        <v>44354.263194444444</v>
      </c>
      <c r="BH1709" s="1">
        <v>44354.265868055554</v>
      </c>
      <c r="BI1709" s="1">
        <v>44354.266539351855</v>
      </c>
      <c r="BJ1709" t="s">
        <v>85</v>
      </c>
      <c r="BK1709" t="s">
        <v>86</v>
      </c>
      <c r="BL1709" t="s">
        <v>87</v>
      </c>
    </row>
    <row r="1710" spans="1:64" x14ac:dyDescent="0.3">
      <c r="A1710" t="str">
        <f>"201013C0100"</f>
        <v>201013C0100</v>
      </c>
      <c r="B1710" t="str">
        <f>"201013C01003"</f>
        <v>201013C01003</v>
      </c>
      <c r="C1710" t="str">
        <f t="shared" si="101"/>
        <v>20</v>
      </c>
      <c r="D1710" t="s">
        <v>81</v>
      </c>
      <c r="E1710" t="str">
        <f t="shared" si="103"/>
        <v>182</v>
      </c>
      <c r="F1710" t="s">
        <v>1853</v>
      </c>
      <c r="G1710" t="str">
        <f>"1013"</f>
        <v>1013</v>
      </c>
      <c r="H1710" t="str">
        <f>"0001"</f>
        <v>0001</v>
      </c>
      <c r="I1710" t="s">
        <v>89</v>
      </c>
      <c r="J1710">
        <v>0</v>
      </c>
      <c r="K1710">
        <v>1</v>
      </c>
      <c r="L1710">
        <v>3</v>
      </c>
      <c r="M1710">
        <v>298</v>
      </c>
      <c r="N1710">
        <v>290</v>
      </c>
      <c r="O1710">
        <v>3</v>
      </c>
      <c r="P1710">
        <v>291</v>
      </c>
      <c r="Q1710">
        <v>3</v>
      </c>
      <c r="R1710">
        <v>42</v>
      </c>
      <c r="S1710">
        <v>0</v>
      </c>
      <c r="T1710">
        <v>0</v>
      </c>
      <c r="U1710">
        <v>4</v>
      </c>
      <c r="V1710">
        <v>29</v>
      </c>
      <c r="W1710">
        <v>2</v>
      </c>
      <c r="X1710">
        <v>126</v>
      </c>
      <c r="Y1710">
        <v>39</v>
      </c>
      <c r="Z1710">
        <v>7</v>
      </c>
      <c r="AB1710">
        <v>26</v>
      </c>
      <c r="AO1710">
        <v>1</v>
      </c>
      <c r="AU1710">
        <v>0</v>
      </c>
      <c r="AW1710">
        <v>0</v>
      </c>
      <c r="AX1710" t="s">
        <v>131</v>
      </c>
      <c r="AY1710">
        <v>290</v>
      </c>
      <c r="AZ1710">
        <v>279</v>
      </c>
      <c r="BA1710">
        <v>545</v>
      </c>
      <c r="BB1710">
        <v>44</v>
      </c>
      <c r="BC1710" t="s">
        <v>96</v>
      </c>
      <c r="BD1710">
        <v>1</v>
      </c>
      <c r="BF1710" t="s">
        <v>1867</v>
      </c>
      <c r="BG1710" s="1">
        <v>44354.256944444445</v>
      </c>
      <c r="BH1710" s="1">
        <v>44354.261296296296</v>
      </c>
      <c r="BI1710" s="1">
        <v>44354.262766203705</v>
      </c>
      <c r="BJ1710" t="s">
        <v>85</v>
      </c>
      <c r="BK1710" t="s">
        <v>86</v>
      </c>
      <c r="BL1710" t="s">
        <v>1390</v>
      </c>
    </row>
    <row r="1711" spans="1:64" x14ac:dyDescent="0.3">
      <c r="A1711" t="str">
        <f>"201014B0000"</f>
        <v>201014B0000</v>
      </c>
      <c r="B1711" t="str">
        <f>"201014B00003"</f>
        <v>201014B00003</v>
      </c>
      <c r="C1711" t="str">
        <f t="shared" si="101"/>
        <v>20</v>
      </c>
      <c r="D1711" t="s">
        <v>81</v>
      </c>
      <c r="E1711" t="str">
        <f t="shared" si="103"/>
        <v>182</v>
      </c>
      <c r="F1711" t="s">
        <v>1853</v>
      </c>
      <c r="G1711" t="str">
        <f>"1014"</f>
        <v>1014</v>
      </c>
      <c r="H1711" t="str">
        <f>"0000"</f>
        <v>0000</v>
      </c>
      <c r="I1711" t="s">
        <v>83</v>
      </c>
      <c r="J1711">
        <v>0</v>
      </c>
      <c r="K1711">
        <v>1</v>
      </c>
      <c r="L1711">
        <v>3</v>
      </c>
      <c r="M1711">
        <v>323</v>
      </c>
      <c r="N1711">
        <v>380</v>
      </c>
      <c r="O1711">
        <v>4</v>
      </c>
      <c r="P1711">
        <v>380</v>
      </c>
      <c r="Q1711">
        <v>8</v>
      </c>
      <c r="R1711">
        <v>66</v>
      </c>
      <c r="S1711">
        <v>1</v>
      </c>
      <c r="T1711">
        <v>1</v>
      </c>
      <c r="U1711">
        <v>2</v>
      </c>
      <c r="V1711">
        <v>50</v>
      </c>
      <c r="W1711">
        <v>8</v>
      </c>
      <c r="X1711">
        <v>145</v>
      </c>
      <c r="Y1711">
        <v>46</v>
      </c>
      <c r="Z1711">
        <v>6</v>
      </c>
      <c r="AB1711">
        <v>39</v>
      </c>
      <c r="AO1711">
        <v>3</v>
      </c>
      <c r="AU1711">
        <v>0</v>
      </c>
      <c r="AW1711">
        <v>0</v>
      </c>
      <c r="AX1711">
        <v>5</v>
      </c>
      <c r="AY1711" t="s">
        <v>95</v>
      </c>
      <c r="AZ1711">
        <v>380</v>
      </c>
      <c r="BA1711">
        <v>659</v>
      </c>
      <c r="BB1711">
        <v>44</v>
      </c>
      <c r="BD1711">
        <v>1</v>
      </c>
      <c r="BF1711" t="s">
        <v>1868</v>
      </c>
      <c r="BG1711" s="1">
        <v>44354.168055555558</v>
      </c>
      <c r="BH1711" s="1">
        <v>44354.171736111108</v>
      </c>
      <c r="BI1711" s="1">
        <v>44354.172337962962</v>
      </c>
      <c r="BJ1711" t="s">
        <v>85</v>
      </c>
      <c r="BK1711" t="s">
        <v>86</v>
      </c>
      <c r="BL1711" t="s">
        <v>87</v>
      </c>
    </row>
    <row r="1712" spans="1:64" x14ac:dyDescent="0.3">
      <c r="A1712" t="str">
        <f>"201014C0100"</f>
        <v>201014C0100</v>
      </c>
      <c r="B1712" t="str">
        <f>"201014C01003"</f>
        <v>201014C01003</v>
      </c>
      <c r="C1712" t="str">
        <f t="shared" si="101"/>
        <v>20</v>
      </c>
      <c r="D1712" t="s">
        <v>81</v>
      </c>
      <c r="E1712" t="str">
        <f t="shared" si="103"/>
        <v>182</v>
      </c>
      <c r="F1712" t="s">
        <v>1853</v>
      </c>
      <c r="G1712" t="str">
        <f>"1014"</f>
        <v>1014</v>
      </c>
      <c r="H1712" t="str">
        <f>"0001"</f>
        <v>0001</v>
      </c>
      <c r="I1712" t="s">
        <v>89</v>
      </c>
      <c r="J1712">
        <v>0</v>
      </c>
      <c r="K1712">
        <v>1</v>
      </c>
      <c r="L1712">
        <v>3</v>
      </c>
      <c r="M1712">
        <v>340</v>
      </c>
      <c r="N1712">
        <v>362</v>
      </c>
      <c r="O1712">
        <v>2</v>
      </c>
      <c r="P1712">
        <v>362</v>
      </c>
      <c r="Q1712">
        <v>10</v>
      </c>
      <c r="R1712">
        <v>69</v>
      </c>
      <c r="S1712">
        <v>2</v>
      </c>
      <c r="T1712">
        <v>1</v>
      </c>
      <c r="U1712">
        <v>1</v>
      </c>
      <c r="V1712">
        <v>34</v>
      </c>
      <c r="W1712">
        <v>10</v>
      </c>
      <c r="X1712">
        <v>141</v>
      </c>
      <c r="Y1712">
        <v>50</v>
      </c>
      <c r="Z1712">
        <v>8</v>
      </c>
      <c r="AB1712">
        <v>34</v>
      </c>
      <c r="AO1712">
        <v>0</v>
      </c>
      <c r="AU1712">
        <v>0</v>
      </c>
      <c r="AW1712">
        <v>0</v>
      </c>
      <c r="AX1712">
        <v>2</v>
      </c>
      <c r="AY1712">
        <v>362</v>
      </c>
      <c r="AZ1712">
        <v>362</v>
      </c>
      <c r="BA1712">
        <v>658</v>
      </c>
      <c r="BB1712">
        <v>44</v>
      </c>
      <c r="BD1712">
        <v>1</v>
      </c>
      <c r="BF1712" t="s">
        <v>1869</v>
      </c>
      <c r="BG1712" s="1">
        <v>44354.193749999999</v>
      </c>
      <c r="BH1712" s="1">
        <v>44354.19604166667</v>
      </c>
      <c r="BI1712" s="1">
        <v>44354.196423611109</v>
      </c>
      <c r="BJ1712" t="s">
        <v>85</v>
      </c>
      <c r="BK1712" t="s">
        <v>86</v>
      </c>
      <c r="BL1712" t="s">
        <v>87</v>
      </c>
    </row>
    <row r="1713" spans="1:64" x14ac:dyDescent="0.3">
      <c r="A1713" t="str">
        <f>"201015B0000"</f>
        <v>201015B0000</v>
      </c>
      <c r="B1713" t="str">
        <f>"201015B00003"</f>
        <v>201015B00003</v>
      </c>
      <c r="C1713" t="str">
        <f t="shared" si="101"/>
        <v>20</v>
      </c>
      <c r="D1713" t="s">
        <v>81</v>
      </c>
      <c r="E1713" t="str">
        <f t="shared" si="103"/>
        <v>182</v>
      </c>
      <c r="F1713" t="s">
        <v>1853</v>
      </c>
      <c r="G1713" t="str">
        <f>"1015"</f>
        <v>1015</v>
      </c>
      <c r="H1713" t="str">
        <f>"0000"</f>
        <v>0000</v>
      </c>
      <c r="I1713" t="s">
        <v>83</v>
      </c>
      <c r="J1713">
        <v>0</v>
      </c>
      <c r="K1713">
        <v>1</v>
      </c>
      <c r="L1713">
        <v>3</v>
      </c>
      <c r="M1713">
        <v>354</v>
      </c>
      <c r="N1713">
        <v>399</v>
      </c>
      <c r="O1713">
        <v>7</v>
      </c>
      <c r="P1713">
        <v>399</v>
      </c>
      <c r="Q1713">
        <v>8</v>
      </c>
      <c r="R1713">
        <v>63</v>
      </c>
      <c r="S1713">
        <v>0</v>
      </c>
      <c r="T1713">
        <v>4</v>
      </c>
      <c r="U1713">
        <v>1</v>
      </c>
      <c r="V1713">
        <v>54</v>
      </c>
      <c r="W1713">
        <v>3</v>
      </c>
      <c r="X1713">
        <v>146</v>
      </c>
      <c r="Y1713">
        <v>60</v>
      </c>
      <c r="Z1713">
        <v>11</v>
      </c>
      <c r="AB1713">
        <v>41</v>
      </c>
      <c r="AO1713">
        <v>3</v>
      </c>
      <c r="AU1713">
        <v>0</v>
      </c>
      <c r="AW1713">
        <v>0</v>
      </c>
      <c r="AX1713">
        <v>5</v>
      </c>
      <c r="AY1713">
        <v>399</v>
      </c>
      <c r="AZ1713">
        <v>399</v>
      </c>
      <c r="BA1713">
        <v>709</v>
      </c>
      <c r="BB1713">
        <v>44</v>
      </c>
      <c r="BD1713">
        <v>1</v>
      </c>
      <c r="BF1713" t="s">
        <v>1870</v>
      </c>
      <c r="BG1713" s="1">
        <v>44354.231249999997</v>
      </c>
      <c r="BH1713" s="1">
        <v>44354.234131944446</v>
      </c>
      <c r="BI1713" s="1">
        <v>44354.235081018516</v>
      </c>
      <c r="BJ1713" t="s">
        <v>85</v>
      </c>
      <c r="BK1713" t="s">
        <v>86</v>
      </c>
      <c r="BL1713" t="s">
        <v>87</v>
      </c>
    </row>
    <row r="1714" spans="1:64" x14ac:dyDescent="0.3">
      <c r="A1714" t="str">
        <f>"201015C0100"</f>
        <v>201015C0100</v>
      </c>
      <c r="B1714" t="str">
        <f>"201015C01003"</f>
        <v>201015C01003</v>
      </c>
      <c r="C1714" t="str">
        <f t="shared" si="101"/>
        <v>20</v>
      </c>
      <c r="D1714" t="s">
        <v>81</v>
      </c>
      <c r="E1714" t="str">
        <f t="shared" si="103"/>
        <v>182</v>
      </c>
      <c r="F1714" t="s">
        <v>1853</v>
      </c>
      <c r="G1714" t="str">
        <f>"1015"</f>
        <v>1015</v>
      </c>
      <c r="H1714" t="str">
        <f>"0001"</f>
        <v>0001</v>
      </c>
      <c r="I1714" t="s">
        <v>89</v>
      </c>
      <c r="J1714">
        <v>0</v>
      </c>
      <c r="K1714">
        <v>1</v>
      </c>
      <c r="L1714">
        <v>3</v>
      </c>
      <c r="M1714">
        <v>331</v>
      </c>
      <c r="N1714">
        <v>422</v>
      </c>
      <c r="O1714">
        <v>6</v>
      </c>
      <c r="P1714">
        <v>422</v>
      </c>
      <c r="Q1714">
        <v>4</v>
      </c>
      <c r="R1714">
        <v>81</v>
      </c>
      <c r="S1714">
        <v>1</v>
      </c>
      <c r="T1714">
        <v>1</v>
      </c>
      <c r="U1714">
        <v>5</v>
      </c>
      <c r="V1714">
        <v>59</v>
      </c>
      <c r="W1714">
        <v>5</v>
      </c>
      <c r="X1714">
        <v>121</v>
      </c>
      <c r="Y1714">
        <v>78</v>
      </c>
      <c r="Z1714">
        <v>16</v>
      </c>
      <c r="AB1714">
        <v>42</v>
      </c>
      <c r="AO1714" t="s">
        <v>95</v>
      </c>
      <c r="AU1714" t="s">
        <v>95</v>
      </c>
      <c r="AW1714">
        <v>6</v>
      </c>
      <c r="AX1714">
        <v>9</v>
      </c>
      <c r="AY1714">
        <v>422</v>
      </c>
      <c r="AZ1714">
        <v>428</v>
      </c>
      <c r="BA1714">
        <v>709</v>
      </c>
      <c r="BB1714">
        <v>44</v>
      </c>
      <c r="BC1714" t="s">
        <v>96</v>
      </c>
      <c r="BD1714">
        <v>1</v>
      </c>
      <c r="BF1714" t="s">
        <v>1871</v>
      </c>
      <c r="BG1714" s="1">
        <v>44354.237500000003</v>
      </c>
      <c r="BH1714" s="1">
        <v>44354.245381944442</v>
      </c>
      <c r="BI1714" s="1">
        <v>44354.246030092596</v>
      </c>
      <c r="BJ1714" t="s">
        <v>85</v>
      </c>
      <c r="BK1714" t="s">
        <v>86</v>
      </c>
      <c r="BL1714" t="s">
        <v>87</v>
      </c>
    </row>
    <row r="1715" spans="1:64" x14ac:dyDescent="0.3">
      <c r="A1715" t="str">
        <f>"201016B0000"</f>
        <v>201016B0000</v>
      </c>
      <c r="B1715" t="str">
        <f>"201016B00003"</f>
        <v>201016B00003</v>
      </c>
      <c r="C1715" t="str">
        <f t="shared" si="101"/>
        <v>20</v>
      </c>
      <c r="D1715" t="s">
        <v>81</v>
      </c>
      <c r="E1715" t="str">
        <f t="shared" si="103"/>
        <v>182</v>
      </c>
      <c r="F1715" t="s">
        <v>1853</v>
      </c>
      <c r="G1715" t="str">
        <f>"1016"</f>
        <v>1016</v>
      </c>
      <c r="H1715" t="str">
        <f>"0000"</f>
        <v>0000</v>
      </c>
      <c r="I1715" t="s">
        <v>83</v>
      </c>
      <c r="J1715">
        <v>0</v>
      </c>
      <c r="K1715">
        <v>1</v>
      </c>
      <c r="L1715">
        <v>3</v>
      </c>
      <c r="M1715">
        <v>252</v>
      </c>
      <c r="N1715">
        <v>327</v>
      </c>
      <c r="O1715">
        <v>5</v>
      </c>
      <c r="P1715">
        <v>327</v>
      </c>
      <c r="Q1715">
        <v>3</v>
      </c>
      <c r="R1715">
        <v>30</v>
      </c>
      <c r="S1715">
        <v>1</v>
      </c>
      <c r="T1715">
        <v>2</v>
      </c>
      <c r="U1715">
        <v>1</v>
      </c>
      <c r="V1715">
        <v>31</v>
      </c>
      <c r="W1715">
        <v>8</v>
      </c>
      <c r="X1715">
        <v>119</v>
      </c>
      <c r="Y1715">
        <v>93</v>
      </c>
      <c r="Z1715">
        <v>4</v>
      </c>
      <c r="AB1715">
        <v>27</v>
      </c>
      <c r="AO1715">
        <v>0</v>
      </c>
      <c r="AU1715">
        <v>0</v>
      </c>
      <c r="AW1715">
        <v>0</v>
      </c>
      <c r="AX1715">
        <v>8</v>
      </c>
      <c r="AY1715">
        <v>327</v>
      </c>
      <c r="AZ1715">
        <v>327</v>
      </c>
      <c r="BA1715">
        <v>535</v>
      </c>
      <c r="BB1715">
        <v>44</v>
      </c>
      <c r="BD1715">
        <v>1</v>
      </c>
      <c r="BF1715" t="s">
        <v>1872</v>
      </c>
      <c r="BG1715" s="1">
        <v>44354.212500000001</v>
      </c>
      <c r="BH1715" s="1">
        <v>44354.214525462965</v>
      </c>
      <c r="BI1715" s="1">
        <v>44354.214953703704</v>
      </c>
      <c r="BJ1715" t="s">
        <v>85</v>
      </c>
      <c r="BK1715" t="s">
        <v>86</v>
      </c>
      <c r="BL1715" t="s">
        <v>87</v>
      </c>
    </row>
    <row r="1716" spans="1:64" x14ac:dyDescent="0.3">
      <c r="A1716" t="str">
        <f>"201016C0100"</f>
        <v>201016C0100</v>
      </c>
      <c r="B1716" t="str">
        <f>"201016C01003"</f>
        <v>201016C01003</v>
      </c>
      <c r="C1716" t="str">
        <f t="shared" si="101"/>
        <v>20</v>
      </c>
      <c r="D1716" t="s">
        <v>81</v>
      </c>
      <c r="E1716" t="str">
        <f t="shared" si="103"/>
        <v>182</v>
      </c>
      <c r="F1716" t="s">
        <v>1853</v>
      </c>
      <c r="G1716" t="str">
        <f>"1016"</f>
        <v>1016</v>
      </c>
      <c r="H1716" t="str">
        <f>"0001"</f>
        <v>0001</v>
      </c>
      <c r="I1716" t="s">
        <v>89</v>
      </c>
      <c r="J1716">
        <v>0</v>
      </c>
      <c r="K1716">
        <v>1</v>
      </c>
      <c r="L1716">
        <v>3</v>
      </c>
      <c r="M1716">
        <v>268</v>
      </c>
      <c r="N1716">
        <v>311</v>
      </c>
      <c r="O1716">
        <v>4</v>
      </c>
      <c r="P1716">
        <v>310</v>
      </c>
      <c r="Q1716">
        <v>4</v>
      </c>
      <c r="R1716">
        <v>36</v>
      </c>
      <c r="S1716">
        <v>0</v>
      </c>
      <c r="T1716">
        <v>2</v>
      </c>
      <c r="U1716">
        <v>4</v>
      </c>
      <c r="V1716">
        <v>31</v>
      </c>
      <c r="W1716">
        <v>6</v>
      </c>
      <c r="X1716">
        <v>102</v>
      </c>
      <c r="Y1716">
        <v>76</v>
      </c>
      <c r="Z1716">
        <v>4</v>
      </c>
      <c r="AB1716">
        <v>41</v>
      </c>
      <c r="AO1716">
        <v>0</v>
      </c>
      <c r="AU1716">
        <v>0</v>
      </c>
      <c r="AW1716">
        <v>0</v>
      </c>
      <c r="AX1716">
        <v>4</v>
      </c>
      <c r="AY1716">
        <v>310</v>
      </c>
      <c r="AZ1716">
        <v>310</v>
      </c>
      <c r="BA1716">
        <v>534</v>
      </c>
      <c r="BB1716">
        <v>44</v>
      </c>
      <c r="BD1716">
        <v>1</v>
      </c>
      <c r="BF1716" t="s">
        <v>1873</v>
      </c>
      <c r="BG1716" s="1">
        <v>44354.209722222222</v>
      </c>
      <c r="BH1716" s="1">
        <v>44354.212789351855</v>
      </c>
      <c r="BI1716" s="1">
        <v>44354.213518518518</v>
      </c>
      <c r="BJ1716" t="s">
        <v>85</v>
      </c>
      <c r="BK1716" t="s">
        <v>86</v>
      </c>
      <c r="BL1716" t="s">
        <v>87</v>
      </c>
    </row>
    <row r="1717" spans="1:64" x14ac:dyDescent="0.3">
      <c r="A1717" t="str">
        <f>"201017B0000"</f>
        <v>201017B0000</v>
      </c>
      <c r="B1717" t="str">
        <f>"201017B00003"</f>
        <v>201017B00003</v>
      </c>
      <c r="C1717" t="str">
        <f t="shared" si="101"/>
        <v>20</v>
      </c>
      <c r="D1717" t="s">
        <v>81</v>
      </c>
      <c r="E1717" t="str">
        <f t="shared" si="103"/>
        <v>182</v>
      </c>
      <c r="F1717" t="s">
        <v>1853</v>
      </c>
      <c r="G1717" t="str">
        <f>"1017"</f>
        <v>1017</v>
      </c>
      <c r="H1717" t="str">
        <f>"0000"</f>
        <v>0000</v>
      </c>
      <c r="I1717" t="s">
        <v>83</v>
      </c>
      <c r="J1717">
        <v>0</v>
      </c>
      <c r="K1717">
        <v>1</v>
      </c>
      <c r="L1717">
        <v>3</v>
      </c>
      <c r="M1717">
        <v>326</v>
      </c>
      <c r="N1717">
        <v>407</v>
      </c>
      <c r="O1717">
        <v>4</v>
      </c>
      <c r="P1717" t="s">
        <v>92</v>
      </c>
      <c r="Q1717">
        <v>12</v>
      </c>
      <c r="R1717">
        <v>44</v>
      </c>
      <c r="S1717">
        <v>0</v>
      </c>
      <c r="T1717">
        <v>0</v>
      </c>
      <c r="U1717">
        <v>3</v>
      </c>
      <c r="V1717">
        <v>39</v>
      </c>
      <c r="W1717">
        <v>4</v>
      </c>
      <c r="X1717">
        <v>155</v>
      </c>
      <c r="Y1717">
        <v>95</v>
      </c>
      <c r="Z1717">
        <v>7</v>
      </c>
      <c r="AB1717">
        <v>42</v>
      </c>
      <c r="AO1717">
        <v>1</v>
      </c>
      <c r="AU1717" t="s">
        <v>131</v>
      </c>
      <c r="AW1717" t="s">
        <v>95</v>
      </c>
      <c r="AX1717">
        <v>21</v>
      </c>
      <c r="AY1717">
        <v>423</v>
      </c>
      <c r="AZ1717">
        <v>423</v>
      </c>
      <c r="BA1717">
        <v>689</v>
      </c>
      <c r="BB1717">
        <v>44</v>
      </c>
      <c r="BC1717" t="s">
        <v>96</v>
      </c>
      <c r="BD1717">
        <v>1</v>
      </c>
      <c r="BF1717" t="s">
        <v>1874</v>
      </c>
      <c r="BG1717" s="1">
        <v>44354.212500000001</v>
      </c>
      <c r="BH1717" s="1">
        <v>44354.215254629627</v>
      </c>
      <c r="BI1717" s="1">
        <v>44354.216944444444</v>
      </c>
      <c r="BJ1717" t="s">
        <v>85</v>
      </c>
      <c r="BK1717" t="s">
        <v>86</v>
      </c>
      <c r="BL1717" t="s">
        <v>87</v>
      </c>
    </row>
    <row r="1718" spans="1:64" x14ac:dyDescent="0.3">
      <c r="A1718" t="str">
        <f>"201017C0100"</f>
        <v>201017C0100</v>
      </c>
      <c r="B1718" t="str">
        <f>"201017C01003"</f>
        <v>201017C01003</v>
      </c>
      <c r="C1718" t="str">
        <f t="shared" si="101"/>
        <v>20</v>
      </c>
      <c r="D1718" t="s">
        <v>81</v>
      </c>
      <c r="E1718" t="str">
        <f t="shared" si="103"/>
        <v>182</v>
      </c>
      <c r="F1718" t="s">
        <v>1853</v>
      </c>
      <c r="G1718" t="str">
        <f>"1017"</f>
        <v>1017</v>
      </c>
      <c r="H1718" t="str">
        <f>"0001"</f>
        <v>0001</v>
      </c>
      <c r="I1718" t="s">
        <v>89</v>
      </c>
      <c r="J1718">
        <v>0</v>
      </c>
      <c r="K1718">
        <v>1</v>
      </c>
      <c r="L1718">
        <v>3</v>
      </c>
      <c r="M1718">
        <v>347</v>
      </c>
      <c r="N1718">
        <v>386</v>
      </c>
      <c r="O1718">
        <v>5</v>
      </c>
      <c r="P1718">
        <v>386</v>
      </c>
      <c r="Q1718">
        <v>6</v>
      </c>
      <c r="R1718">
        <v>59</v>
      </c>
      <c r="S1718">
        <v>0</v>
      </c>
      <c r="T1718">
        <v>0</v>
      </c>
      <c r="U1718">
        <v>3</v>
      </c>
      <c r="V1718">
        <v>42</v>
      </c>
      <c r="W1718">
        <v>2</v>
      </c>
      <c r="X1718">
        <v>145</v>
      </c>
      <c r="Y1718">
        <v>79</v>
      </c>
      <c r="Z1718">
        <v>4</v>
      </c>
      <c r="AB1718">
        <v>32</v>
      </c>
      <c r="AO1718">
        <v>4</v>
      </c>
      <c r="AU1718">
        <v>0</v>
      </c>
      <c r="AW1718">
        <v>0</v>
      </c>
      <c r="AX1718">
        <v>10</v>
      </c>
      <c r="AY1718">
        <v>386</v>
      </c>
      <c r="AZ1718">
        <v>386</v>
      </c>
      <c r="BA1718">
        <v>689</v>
      </c>
      <c r="BB1718">
        <v>44</v>
      </c>
      <c r="BD1718">
        <v>1</v>
      </c>
      <c r="BF1718" t="s">
        <v>1875</v>
      </c>
      <c r="BG1718" s="1">
        <v>44354.213888888888</v>
      </c>
      <c r="BH1718" s="1">
        <v>44354.215532407405</v>
      </c>
      <c r="BI1718" s="1">
        <v>44354.21597222222</v>
      </c>
      <c r="BJ1718" t="s">
        <v>85</v>
      </c>
      <c r="BK1718" t="s">
        <v>86</v>
      </c>
      <c r="BL1718" t="s">
        <v>87</v>
      </c>
    </row>
    <row r="1719" spans="1:64" x14ac:dyDescent="0.3">
      <c r="A1719" t="str">
        <f>"201018B0000"</f>
        <v>201018B0000</v>
      </c>
      <c r="B1719" t="str">
        <f>"201018B00003"</f>
        <v>201018B00003</v>
      </c>
      <c r="C1719" t="str">
        <f t="shared" si="101"/>
        <v>20</v>
      </c>
      <c r="D1719" t="s">
        <v>81</v>
      </c>
      <c r="E1719" t="str">
        <f t="shared" si="103"/>
        <v>182</v>
      </c>
      <c r="F1719" t="s">
        <v>1853</v>
      </c>
      <c r="G1719" t="str">
        <f t="shared" ref="G1719:G1725" si="105">"1018"</f>
        <v>1018</v>
      </c>
      <c r="H1719" t="str">
        <f>"0000"</f>
        <v>0000</v>
      </c>
      <c r="I1719" t="s">
        <v>83</v>
      </c>
      <c r="J1719">
        <v>0</v>
      </c>
      <c r="K1719">
        <v>1</v>
      </c>
      <c r="L1719">
        <v>3</v>
      </c>
      <c r="M1719">
        <v>311</v>
      </c>
      <c r="N1719">
        <v>686</v>
      </c>
      <c r="O1719">
        <v>8</v>
      </c>
      <c r="P1719">
        <v>3</v>
      </c>
      <c r="Q1719">
        <v>3</v>
      </c>
      <c r="R1719">
        <v>34</v>
      </c>
      <c r="S1719">
        <v>1</v>
      </c>
      <c r="T1719">
        <v>3</v>
      </c>
      <c r="U1719">
        <v>11</v>
      </c>
      <c r="V1719">
        <v>45</v>
      </c>
      <c r="W1719">
        <v>4</v>
      </c>
      <c r="X1719">
        <v>166</v>
      </c>
      <c r="Y1719">
        <v>47</v>
      </c>
      <c r="Z1719">
        <v>2</v>
      </c>
      <c r="AB1719">
        <v>40</v>
      </c>
      <c r="AO1719">
        <v>2</v>
      </c>
      <c r="AU1719">
        <v>0</v>
      </c>
      <c r="AW1719">
        <v>0</v>
      </c>
      <c r="AX1719">
        <v>14</v>
      </c>
      <c r="AY1719">
        <v>372</v>
      </c>
      <c r="AZ1719">
        <v>372</v>
      </c>
      <c r="BA1719">
        <v>642</v>
      </c>
      <c r="BB1719">
        <v>44</v>
      </c>
      <c r="BD1719">
        <v>1</v>
      </c>
      <c r="BF1719" t="s">
        <v>1876</v>
      </c>
      <c r="BG1719" s="1">
        <v>44354.078472222223</v>
      </c>
      <c r="BH1719" s="1">
        <v>44354.088067129633</v>
      </c>
      <c r="BI1719" s="1">
        <v>44354.088437500002</v>
      </c>
      <c r="BJ1719" t="s">
        <v>85</v>
      </c>
      <c r="BK1719" t="s">
        <v>86</v>
      </c>
      <c r="BL1719" t="s">
        <v>87</v>
      </c>
    </row>
    <row r="1720" spans="1:64" x14ac:dyDescent="0.3">
      <c r="A1720" t="str">
        <f>"201018C0100"</f>
        <v>201018C0100</v>
      </c>
      <c r="B1720" t="str">
        <f>"201018C01003"</f>
        <v>201018C01003</v>
      </c>
      <c r="C1720" t="str">
        <f t="shared" si="101"/>
        <v>20</v>
      </c>
      <c r="D1720" t="s">
        <v>81</v>
      </c>
      <c r="E1720" t="str">
        <f t="shared" si="103"/>
        <v>182</v>
      </c>
      <c r="F1720" t="s">
        <v>1853</v>
      </c>
      <c r="G1720" t="str">
        <f t="shared" si="105"/>
        <v>1018</v>
      </c>
      <c r="H1720" t="str">
        <f>"0001"</f>
        <v>0001</v>
      </c>
      <c r="I1720" t="s">
        <v>89</v>
      </c>
      <c r="J1720">
        <v>0</v>
      </c>
      <c r="K1720">
        <v>1</v>
      </c>
      <c r="L1720">
        <v>3</v>
      </c>
      <c r="M1720">
        <v>301</v>
      </c>
      <c r="N1720">
        <v>386</v>
      </c>
      <c r="O1720">
        <v>5</v>
      </c>
      <c r="P1720">
        <v>384</v>
      </c>
      <c r="Q1720">
        <v>3</v>
      </c>
      <c r="R1720">
        <v>47</v>
      </c>
      <c r="S1720">
        <v>4</v>
      </c>
      <c r="T1720">
        <v>2</v>
      </c>
      <c r="U1720">
        <v>15</v>
      </c>
      <c r="V1720">
        <v>62</v>
      </c>
      <c r="W1720">
        <v>2</v>
      </c>
      <c r="X1720">
        <v>157</v>
      </c>
      <c r="Y1720">
        <v>55</v>
      </c>
      <c r="Z1720">
        <v>4</v>
      </c>
      <c r="AB1720">
        <v>29</v>
      </c>
      <c r="AO1720">
        <v>0</v>
      </c>
      <c r="AU1720">
        <v>0</v>
      </c>
      <c r="AW1720">
        <v>0</v>
      </c>
      <c r="AX1720">
        <v>4</v>
      </c>
      <c r="AY1720">
        <v>384</v>
      </c>
      <c r="AZ1720">
        <v>384</v>
      </c>
      <c r="BA1720">
        <v>642</v>
      </c>
      <c r="BB1720">
        <v>44</v>
      </c>
      <c r="BD1720">
        <v>1</v>
      </c>
      <c r="BF1720" t="s">
        <v>1877</v>
      </c>
      <c r="BG1720" s="1">
        <v>44354.06527777778</v>
      </c>
      <c r="BH1720" s="1">
        <v>44354.071817129632</v>
      </c>
      <c r="BI1720" s="1">
        <v>44354.07236111111</v>
      </c>
      <c r="BJ1720" t="s">
        <v>85</v>
      </c>
      <c r="BK1720" t="s">
        <v>86</v>
      </c>
      <c r="BL1720" t="s">
        <v>87</v>
      </c>
    </row>
    <row r="1721" spans="1:64" x14ac:dyDescent="0.3">
      <c r="A1721" t="str">
        <f>"201018C0200"</f>
        <v>201018C0200</v>
      </c>
      <c r="B1721" t="str">
        <f>"201018C02003"</f>
        <v>201018C02003</v>
      </c>
      <c r="C1721" t="str">
        <f t="shared" si="101"/>
        <v>20</v>
      </c>
      <c r="D1721" t="s">
        <v>81</v>
      </c>
      <c r="E1721" t="str">
        <f t="shared" si="103"/>
        <v>182</v>
      </c>
      <c r="F1721" t="s">
        <v>1853</v>
      </c>
      <c r="G1721" t="str">
        <f t="shared" si="105"/>
        <v>1018</v>
      </c>
      <c r="H1721" t="str">
        <f>"0002"</f>
        <v>0002</v>
      </c>
      <c r="I1721" t="s">
        <v>89</v>
      </c>
      <c r="J1721">
        <v>0</v>
      </c>
      <c r="K1721">
        <v>1</v>
      </c>
      <c r="L1721">
        <v>3</v>
      </c>
      <c r="M1721">
        <v>311</v>
      </c>
      <c r="N1721">
        <v>400</v>
      </c>
      <c r="O1721">
        <v>3</v>
      </c>
      <c r="P1721">
        <v>370</v>
      </c>
      <c r="Q1721">
        <v>1</v>
      </c>
      <c r="R1721">
        <v>28</v>
      </c>
      <c r="S1721">
        <v>1</v>
      </c>
      <c r="T1721">
        <v>1</v>
      </c>
      <c r="U1721">
        <v>14</v>
      </c>
      <c r="V1721">
        <v>45</v>
      </c>
      <c r="W1721">
        <v>5</v>
      </c>
      <c r="X1721">
        <v>169</v>
      </c>
      <c r="Y1721">
        <v>56</v>
      </c>
      <c r="Z1721">
        <v>5</v>
      </c>
      <c r="AB1721">
        <v>27</v>
      </c>
      <c r="AO1721">
        <v>2</v>
      </c>
      <c r="AU1721">
        <v>1</v>
      </c>
      <c r="AW1721">
        <v>0</v>
      </c>
      <c r="AX1721">
        <v>15</v>
      </c>
      <c r="AY1721">
        <v>370</v>
      </c>
      <c r="AZ1721">
        <v>370</v>
      </c>
      <c r="BA1721">
        <v>641</v>
      </c>
      <c r="BB1721">
        <v>44</v>
      </c>
      <c r="BD1721">
        <v>1</v>
      </c>
      <c r="BF1721" t="s">
        <v>1878</v>
      </c>
      <c r="BG1721" s="1">
        <v>44354.067361111112</v>
      </c>
      <c r="BH1721" s="1">
        <v>44354.075543981482</v>
      </c>
      <c r="BI1721" s="1">
        <v>44354.076041666667</v>
      </c>
      <c r="BJ1721" t="s">
        <v>85</v>
      </c>
      <c r="BK1721" t="s">
        <v>86</v>
      </c>
      <c r="BL1721" t="s">
        <v>87</v>
      </c>
    </row>
    <row r="1722" spans="1:64" x14ac:dyDescent="0.3">
      <c r="A1722" t="str">
        <f>"201018C0300"</f>
        <v>201018C0300</v>
      </c>
      <c r="B1722" t="str">
        <f>"201018C03003"</f>
        <v>201018C03003</v>
      </c>
      <c r="C1722" t="str">
        <f t="shared" si="101"/>
        <v>20</v>
      </c>
      <c r="D1722" t="s">
        <v>81</v>
      </c>
      <c r="E1722" t="str">
        <f t="shared" si="103"/>
        <v>182</v>
      </c>
      <c r="F1722" t="s">
        <v>1853</v>
      </c>
      <c r="G1722" t="str">
        <f t="shared" si="105"/>
        <v>1018</v>
      </c>
      <c r="H1722" t="str">
        <f>"0003"</f>
        <v>0003</v>
      </c>
      <c r="I1722" t="s">
        <v>89</v>
      </c>
      <c r="J1722">
        <v>0</v>
      </c>
      <c r="K1722">
        <v>1</v>
      </c>
      <c r="L1722">
        <v>3</v>
      </c>
      <c r="M1722">
        <v>308</v>
      </c>
      <c r="N1722">
        <v>377</v>
      </c>
      <c r="O1722">
        <v>5</v>
      </c>
      <c r="P1722">
        <v>383</v>
      </c>
      <c r="Q1722">
        <v>2</v>
      </c>
      <c r="R1722">
        <v>26</v>
      </c>
      <c r="S1722">
        <v>1</v>
      </c>
      <c r="T1722">
        <v>4</v>
      </c>
      <c r="U1722">
        <v>8</v>
      </c>
      <c r="V1722">
        <v>50</v>
      </c>
      <c r="W1722">
        <v>4</v>
      </c>
      <c r="X1722">
        <v>188</v>
      </c>
      <c r="Y1722">
        <v>49</v>
      </c>
      <c r="Z1722">
        <v>5</v>
      </c>
      <c r="AB1722">
        <v>35</v>
      </c>
      <c r="AO1722">
        <v>2</v>
      </c>
      <c r="AU1722">
        <v>1</v>
      </c>
      <c r="AW1722">
        <v>0</v>
      </c>
      <c r="AX1722">
        <v>8</v>
      </c>
      <c r="AY1722">
        <v>383</v>
      </c>
      <c r="AZ1722">
        <v>383</v>
      </c>
      <c r="BA1722">
        <v>641</v>
      </c>
      <c r="BB1722">
        <v>44</v>
      </c>
      <c r="BD1722">
        <v>1</v>
      </c>
      <c r="BF1722" t="s">
        <v>1879</v>
      </c>
      <c r="BG1722" s="1">
        <v>44354.078472222223</v>
      </c>
      <c r="BH1722" s="1">
        <v>44354.086076388892</v>
      </c>
      <c r="BI1722" s="1">
        <v>44354.086527777778</v>
      </c>
      <c r="BJ1722" t="s">
        <v>85</v>
      </c>
      <c r="BK1722" t="s">
        <v>86</v>
      </c>
      <c r="BL1722" t="s">
        <v>87</v>
      </c>
    </row>
    <row r="1723" spans="1:64" x14ac:dyDescent="0.3">
      <c r="A1723" t="str">
        <f>"201018C0400"</f>
        <v>201018C0400</v>
      </c>
      <c r="B1723" t="str">
        <f>"201018C04003"</f>
        <v>201018C04003</v>
      </c>
      <c r="C1723" t="str">
        <f t="shared" si="101"/>
        <v>20</v>
      </c>
      <c r="D1723" t="s">
        <v>81</v>
      </c>
      <c r="E1723" t="str">
        <f t="shared" si="103"/>
        <v>182</v>
      </c>
      <c r="F1723" t="s">
        <v>1853</v>
      </c>
      <c r="G1723" t="str">
        <f t="shared" si="105"/>
        <v>1018</v>
      </c>
      <c r="H1723" t="str">
        <f>"0004"</f>
        <v>0004</v>
      </c>
      <c r="I1723" t="s">
        <v>89</v>
      </c>
      <c r="J1723">
        <v>0</v>
      </c>
      <c r="K1723">
        <v>1</v>
      </c>
      <c r="L1723">
        <v>3</v>
      </c>
      <c r="M1723">
        <v>334</v>
      </c>
      <c r="N1723">
        <v>350</v>
      </c>
      <c r="O1723">
        <v>5</v>
      </c>
      <c r="P1723">
        <v>348</v>
      </c>
      <c r="Q1723">
        <v>0</v>
      </c>
      <c r="R1723">
        <v>34</v>
      </c>
      <c r="S1723">
        <v>0</v>
      </c>
      <c r="T1723">
        <v>3</v>
      </c>
      <c r="U1723">
        <v>10</v>
      </c>
      <c r="V1723">
        <v>47</v>
      </c>
      <c r="W1723">
        <v>4</v>
      </c>
      <c r="X1723">
        <v>154</v>
      </c>
      <c r="Y1723">
        <v>50</v>
      </c>
      <c r="Z1723">
        <v>6</v>
      </c>
      <c r="AB1723">
        <v>31</v>
      </c>
      <c r="AO1723">
        <v>0</v>
      </c>
      <c r="AU1723">
        <v>0</v>
      </c>
      <c r="AW1723">
        <v>0</v>
      </c>
      <c r="AX1723">
        <v>9</v>
      </c>
      <c r="AY1723">
        <v>348</v>
      </c>
      <c r="AZ1723">
        <v>348</v>
      </c>
      <c r="BA1723">
        <v>641</v>
      </c>
      <c r="BB1723">
        <v>44</v>
      </c>
      <c r="BD1723">
        <v>1</v>
      </c>
      <c r="BF1723" t="s">
        <v>1880</v>
      </c>
      <c r="BG1723" s="1">
        <v>44354.065972222219</v>
      </c>
      <c r="BH1723" s="1">
        <v>44354.072754629633</v>
      </c>
      <c r="BI1723" s="1">
        <v>44354.073252314818</v>
      </c>
      <c r="BJ1723" t="s">
        <v>85</v>
      </c>
      <c r="BK1723" t="s">
        <v>86</v>
      </c>
      <c r="BL1723" t="s">
        <v>87</v>
      </c>
    </row>
    <row r="1724" spans="1:64" x14ac:dyDescent="0.3">
      <c r="A1724" t="str">
        <f>"201018E0100"</f>
        <v>201018E0100</v>
      </c>
      <c r="B1724" t="str">
        <f>"201018E01003"</f>
        <v>201018E01003</v>
      </c>
      <c r="C1724" t="str">
        <f t="shared" si="101"/>
        <v>20</v>
      </c>
      <c r="D1724" t="s">
        <v>81</v>
      </c>
      <c r="E1724" t="str">
        <f t="shared" si="103"/>
        <v>182</v>
      </c>
      <c r="F1724" t="s">
        <v>1853</v>
      </c>
      <c r="G1724" t="str">
        <f t="shared" si="105"/>
        <v>1018</v>
      </c>
      <c r="H1724" t="str">
        <f>"0001"</f>
        <v>0001</v>
      </c>
      <c r="I1724" t="s">
        <v>122</v>
      </c>
      <c r="J1724">
        <v>0</v>
      </c>
      <c r="K1724">
        <v>1</v>
      </c>
      <c r="L1724">
        <v>3</v>
      </c>
      <c r="M1724">
        <v>217</v>
      </c>
      <c r="N1724">
        <v>254</v>
      </c>
      <c r="O1724">
        <v>2</v>
      </c>
      <c r="P1724">
        <v>254</v>
      </c>
      <c r="Q1724">
        <v>3</v>
      </c>
      <c r="R1724">
        <v>24</v>
      </c>
      <c r="S1724">
        <v>0</v>
      </c>
      <c r="T1724">
        <v>0</v>
      </c>
      <c r="U1724">
        <v>1</v>
      </c>
      <c r="V1724">
        <v>43</v>
      </c>
      <c r="W1724">
        <v>2</v>
      </c>
      <c r="X1724">
        <v>124</v>
      </c>
      <c r="Y1724">
        <v>23</v>
      </c>
      <c r="Z1724">
        <v>1</v>
      </c>
      <c r="AB1724">
        <v>22</v>
      </c>
      <c r="AO1724">
        <v>2</v>
      </c>
      <c r="AU1724">
        <v>0</v>
      </c>
      <c r="AW1724">
        <v>0</v>
      </c>
      <c r="AX1724">
        <v>9</v>
      </c>
      <c r="AY1724">
        <v>254</v>
      </c>
      <c r="AZ1724">
        <v>254</v>
      </c>
      <c r="BA1724">
        <v>428</v>
      </c>
      <c r="BB1724">
        <v>44</v>
      </c>
      <c r="BD1724">
        <v>1</v>
      </c>
      <c r="BF1724" t="s">
        <v>1881</v>
      </c>
      <c r="BG1724" s="1">
        <v>44354.3125</v>
      </c>
      <c r="BH1724" s="1">
        <v>44354.314803240741</v>
      </c>
      <c r="BI1724" s="1">
        <v>44354.315347222226</v>
      </c>
      <c r="BJ1724" t="s">
        <v>85</v>
      </c>
      <c r="BK1724" t="s">
        <v>86</v>
      </c>
      <c r="BL1724" t="s">
        <v>87</v>
      </c>
    </row>
    <row r="1725" spans="1:64" x14ac:dyDescent="0.3">
      <c r="A1725" t="str">
        <f>"201018E0101"</f>
        <v>201018E0101</v>
      </c>
      <c r="B1725" t="str">
        <f>"201018E01013"</f>
        <v>201018E01013</v>
      </c>
      <c r="C1725" t="str">
        <f t="shared" si="101"/>
        <v>20</v>
      </c>
      <c r="D1725" t="s">
        <v>81</v>
      </c>
      <c r="E1725" t="str">
        <f t="shared" si="103"/>
        <v>182</v>
      </c>
      <c r="F1725" t="s">
        <v>1853</v>
      </c>
      <c r="G1725" t="str">
        <f t="shared" si="105"/>
        <v>1018</v>
      </c>
      <c r="H1725" t="str">
        <f>"0001"</f>
        <v>0001</v>
      </c>
      <c r="I1725" t="s">
        <v>122</v>
      </c>
      <c r="J1725">
        <v>1</v>
      </c>
      <c r="K1725">
        <v>1</v>
      </c>
      <c r="L1725">
        <v>3</v>
      </c>
      <c r="M1725">
        <v>211</v>
      </c>
      <c r="N1725">
        <v>260</v>
      </c>
      <c r="O1725">
        <v>3</v>
      </c>
      <c r="P1725">
        <v>260</v>
      </c>
      <c r="Q1725">
        <v>6</v>
      </c>
      <c r="R1725">
        <v>23</v>
      </c>
      <c r="S1725">
        <v>0</v>
      </c>
      <c r="T1725">
        <v>2</v>
      </c>
      <c r="U1725">
        <v>3</v>
      </c>
      <c r="V1725">
        <v>39</v>
      </c>
      <c r="W1725">
        <v>7</v>
      </c>
      <c r="X1725">
        <v>141</v>
      </c>
      <c r="Y1725">
        <v>21</v>
      </c>
      <c r="Z1725">
        <v>3</v>
      </c>
      <c r="AB1725">
        <v>10</v>
      </c>
      <c r="AO1725">
        <v>2</v>
      </c>
      <c r="AU1725">
        <v>0</v>
      </c>
      <c r="AW1725">
        <v>0</v>
      </c>
      <c r="AX1725">
        <v>3</v>
      </c>
      <c r="AY1725">
        <v>260</v>
      </c>
      <c r="AZ1725">
        <v>260</v>
      </c>
      <c r="BA1725">
        <v>427</v>
      </c>
      <c r="BB1725">
        <v>44</v>
      </c>
      <c r="BD1725">
        <v>1</v>
      </c>
      <c r="BF1725" t="s">
        <v>1882</v>
      </c>
      <c r="BG1725" s="1">
        <v>44354.290972222225</v>
      </c>
      <c r="BH1725" s="1">
        <v>44354.293437499997</v>
      </c>
      <c r="BI1725" s="1">
        <v>44354.294062499997</v>
      </c>
      <c r="BJ1725" t="s">
        <v>85</v>
      </c>
      <c r="BK1725" t="s">
        <v>86</v>
      </c>
      <c r="BL1725" t="s">
        <v>87</v>
      </c>
    </row>
    <row r="1726" spans="1:64" x14ac:dyDescent="0.3">
      <c r="A1726" t="str">
        <f>"201019B0000"</f>
        <v>201019B0000</v>
      </c>
      <c r="B1726" t="str">
        <f>"201019B00003"</f>
        <v>201019B00003</v>
      </c>
      <c r="C1726" t="str">
        <f t="shared" si="101"/>
        <v>20</v>
      </c>
      <c r="D1726" t="s">
        <v>81</v>
      </c>
      <c r="E1726" t="str">
        <f t="shared" si="103"/>
        <v>182</v>
      </c>
      <c r="F1726" t="s">
        <v>1853</v>
      </c>
      <c r="G1726" t="str">
        <f>"1019"</f>
        <v>1019</v>
      </c>
      <c r="H1726" t="str">
        <f>"0000"</f>
        <v>0000</v>
      </c>
      <c r="I1726" t="s">
        <v>83</v>
      </c>
      <c r="J1726">
        <v>0</v>
      </c>
      <c r="K1726">
        <v>1</v>
      </c>
      <c r="L1726">
        <v>3</v>
      </c>
      <c r="M1726">
        <v>276</v>
      </c>
      <c r="N1726">
        <v>356</v>
      </c>
      <c r="O1726">
        <v>7</v>
      </c>
      <c r="P1726">
        <v>356</v>
      </c>
      <c r="Q1726">
        <v>4</v>
      </c>
      <c r="R1726">
        <v>36</v>
      </c>
      <c r="S1726">
        <v>1</v>
      </c>
      <c r="T1726">
        <v>1</v>
      </c>
      <c r="U1726">
        <v>14</v>
      </c>
      <c r="V1726">
        <v>72</v>
      </c>
      <c r="W1726">
        <v>2</v>
      </c>
      <c r="X1726">
        <v>136</v>
      </c>
      <c r="Y1726">
        <v>50</v>
      </c>
      <c r="Z1726">
        <v>4</v>
      </c>
      <c r="AB1726">
        <v>23</v>
      </c>
      <c r="AO1726">
        <v>4</v>
      </c>
      <c r="AU1726">
        <v>0</v>
      </c>
      <c r="AW1726">
        <v>1</v>
      </c>
      <c r="AX1726">
        <v>8</v>
      </c>
      <c r="AY1726">
        <v>356</v>
      </c>
      <c r="AZ1726">
        <v>356</v>
      </c>
      <c r="BA1726">
        <v>588</v>
      </c>
      <c r="BB1726">
        <v>44</v>
      </c>
      <c r="BD1726">
        <v>1</v>
      </c>
      <c r="BF1726" t="s">
        <v>1883</v>
      </c>
      <c r="BG1726" s="1">
        <v>44353.974305555559</v>
      </c>
      <c r="BH1726" s="1">
        <v>44353.976284722223</v>
      </c>
      <c r="BI1726" s="1">
        <v>44353.976793981485</v>
      </c>
      <c r="BJ1726" t="s">
        <v>85</v>
      </c>
      <c r="BK1726" t="s">
        <v>86</v>
      </c>
      <c r="BL1726" t="s">
        <v>87</v>
      </c>
    </row>
    <row r="1727" spans="1:64" x14ac:dyDescent="0.3">
      <c r="A1727" t="str">
        <f>"201019C0100"</f>
        <v>201019C0100</v>
      </c>
      <c r="B1727" t="str">
        <f>"201019C01003"</f>
        <v>201019C01003</v>
      </c>
      <c r="C1727" t="str">
        <f t="shared" si="101"/>
        <v>20</v>
      </c>
      <c r="D1727" t="s">
        <v>81</v>
      </c>
      <c r="E1727" t="str">
        <f t="shared" si="103"/>
        <v>182</v>
      </c>
      <c r="F1727" t="s">
        <v>1853</v>
      </c>
      <c r="G1727" t="str">
        <f>"1019"</f>
        <v>1019</v>
      </c>
      <c r="H1727" t="str">
        <f>"0001"</f>
        <v>0001</v>
      </c>
      <c r="I1727" t="s">
        <v>89</v>
      </c>
      <c r="J1727">
        <v>0</v>
      </c>
      <c r="K1727">
        <v>1</v>
      </c>
      <c r="L1727">
        <v>3</v>
      </c>
      <c r="M1727">
        <v>288</v>
      </c>
      <c r="N1727">
        <v>344</v>
      </c>
      <c r="O1727">
        <v>6</v>
      </c>
      <c r="P1727">
        <v>344</v>
      </c>
      <c r="Q1727">
        <v>5</v>
      </c>
      <c r="R1727">
        <v>33</v>
      </c>
      <c r="S1727">
        <v>2</v>
      </c>
      <c r="T1727">
        <v>0</v>
      </c>
      <c r="U1727">
        <v>8</v>
      </c>
      <c r="V1727">
        <v>72</v>
      </c>
      <c r="W1727">
        <v>4</v>
      </c>
      <c r="X1727">
        <v>124</v>
      </c>
      <c r="Y1727">
        <v>52</v>
      </c>
      <c r="Z1727">
        <v>4</v>
      </c>
      <c r="AB1727">
        <v>26</v>
      </c>
      <c r="AO1727">
        <v>5</v>
      </c>
      <c r="AU1727">
        <v>0</v>
      </c>
      <c r="AW1727">
        <v>0</v>
      </c>
      <c r="AX1727">
        <v>8</v>
      </c>
      <c r="AY1727">
        <v>343</v>
      </c>
      <c r="AZ1727">
        <v>343</v>
      </c>
      <c r="BA1727">
        <v>588</v>
      </c>
      <c r="BB1727">
        <v>44</v>
      </c>
      <c r="BD1727">
        <v>1</v>
      </c>
      <c r="BF1727" t="s">
        <v>1884</v>
      </c>
      <c r="BG1727" s="1">
        <v>44353.995833333334</v>
      </c>
      <c r="BH1727" s="1">
        <v>44354.003287037034</v>
      </c>
      <c r="BI1727" s="1">
        <v>44354.004178240742</v>
      </c>
      <c r="BJ1727" t="s">
        <v>85</v>
      </c>
      <c r="BK1727" t="s">
        <v>86</v>
      </c>
      <c r="BL1727" t="s">
        <v>87</v>
      </c>
    </row>
    <row r="1728" spans="1:64" x14ac:dyDescent="0.3">
      <c r="A1728" t="str">
        <f>"201019C0200"</f>
        <v>201019C0200</v>
      </c>
      <c r="B1728" t="str">
        <f>"201019C02003"</f>
        <v>201019C02003</v>
      </c>
      <c r="C1728" t="str">
        <f t="shared" si="101"/>
        <v>20</v>
      </c>
      <c r="D1728" t="s">
        <v>81</v>
      </c>
      <c r="E1728" t="str">
        <f t="shared" si="103"/>
        <v>182</v>
      </c>
      <c r="F1728" t="s">
        <v>1853</v>
      </c>
      <c r="G1728" t="str">
        <f>"1019"</f>
        <v>1019</v>
      </c>
      <c r="H1728" t="str">
        <f>"0002"</f>
        <v>0002</v>
      </c>
      <c r="I1728" t="s">
        <v>89</v>
      </c>
      <c r="J1728">
        <v>0</v>
      </c>
      <c r="K1728">
        <v>1</v>
      </c>
      <c r="L1728">
        <v>3</v>
      </c>
      <c r="M1728">
        <v>297</v>
      </c>
      <c r="N1728">
        <v>632</v>
      </c>
      <c r="O1728">
        <v>3</v>
      </c>
      <c r="P1728">
        <v>335</v>
      </c>
      <c r="Q1728">
        <v>4</v>
      </c>
      <c r="R1728">
        <v>34</v>
      </c>
      <c r="S1728">
        <v>2</v>
      </c>
      <c r="T1728">
        <v>3</v>
      </c>
      <c r="U1728">
        <v>8</v>
      </c>
      <c r="V1728">
        <v>69</v>
      </c>
      <c r="W1728">
        <v>2</v>
      </c>
      <c r="X1728">
        <v>125</v>
      </c>
      <c r="Y1728">
        <v>42</v>
      </c>
      <c r="Z1728">
        <v>3</v>
      </c>
      <c r="AB1728">
        <v>32</v>
      </c>
      <c r="AO1728">
        <v>0</v>
      </c>
      <c r="AU1728">
        <v>0</v>
      </c>
      <c r="AW1728">
        <v>0</v>
      </c>
      <c r="AX1728">
        <v>11</v>
      </c>
      <c r="AY1728">
        <v>335</v>
      </c>
      <c r="AZ1728">
        <v>335</v>
      </c>
      <c r="BA1728">
        <v>588</v>
      </c>
      <c r="BB1728">
        <v>44</v>
      </c>
      <c r="BD1728">
        <v>1</v>
      </c>
      <c r="BF1728" t="s">
        <v>1885</v>
      </c>
      <c r="BG1728" s="1">
        <v>44354.005555555559</v>
      </c>
      <c r="BH1728" s="1">
        <v>44354.011469907404</v>
      </c>
      <c r="BI1728" s="1">
        <v>44354.01226851852</v>
      </c>
      <c r="BJ1728" t="s">
        <v>85</v>
      </c>
      <c r="BK1728" t="s">
        <v>86</v>
      </c>
      <c r="BL1728" t="s">
        <v>87</v>
      </c>
    </row>
    <row r="1729" spans="1:64" x14ac:dyDescent="0.3">
      <c r="A1729" t="str">
        <f>"201020B0000"</f>
        <v>201020B0000</v>
      </c>
      <c r="B1729" t="str">
        <f>"201020B00003"</f>
        <v>201020B00003</v>
      </c>
      <c r="C1729" t="str">
        <f t="shared" si="101"/>
        <v>20</v>
      </c>
      <c r="D1729" t="s">
        <v>81</v>
      </c>
      <c r="E1729" t="str">
        <f t="shared" si="103"/>
        <v>182</v>
      </c>
      <c r="F1729" t="s">
        <v>1853</v>
      </c>
      <c r="G1729" t="str">
        <f>"1020"</f>
        <v>1020</v>
      </c>
      <c r="H1729" t="str">
        <f>"0000"</f>
        <v>0000</v>
      </c>
      <c r="I1729" t="s">
        <v>83</v>
      </c>
      <c r="J1729">
        <v>0</v>
      </c>
      <c r="K1729">
        <v>1</v>
      </c>
      <c r="L1729">
        <v>3</v>
      </c>
      <c r="M1729">
        <v>309</v>
      </c>
      <c r="N1729">
        <v>333</v>
      </c>
      <c r="O1729">
        <v>10</v>
      </c>
      <c r="P1729">
        <v>333</v>
      </c>
      <c r="Q1729">
        <v>12</v>
      </c>
      <c r="R1729">
        <v>53</v>
      </c>
      <c r="S1729">
        <v>1</v>
      </c>
      <c r="T1729">
        <v>0</v>
      </c>
      <c r="U1729">
        <v>5</v>
      </c>
      <c r="V1729">
        <v>46</v>
      </c>
      <c r="W1729">
        <v>1</v>
      </c>
      <c r="X1729">
        <v>130</v>
      </c>
      <c r="Y1729">
        <v>46</v>
      </c>
      <c r="Z1729">
        <v>2</v>
      </c>
      <c r="AB1729">
        <v>32</v>
      </c>
      <c r="AO1729">
        <v>1</v>
      </c>
      <c r="AU1729">
        <v>0</v>
      </c>
      <c r="AW1729">
        <v>0</v>
      </c>
      <c r="AX1729">
        <v>4</v>
      </c>
      <c r="AY1729">
        <v>333</v>
      </c>
      <c r="AZ1729">
        <v>333</v>
      </c>
      <c r="BA1729">
        <v>598</v>
      </c>
      <c r="BB1729">
        <v>44</v>
      </c>
      <c r="BD1729">
        <v>1</v>
      </c>
      <c r="BF1729" t="s">
        <v>1886</v>
      </c>
      <c r="BG1729" s="1">
        <v>44354.124305555553</v>
      </c>
      <c r="BH1729" s="1">
        <v>44354.126585648148</v>
      </c>
      <c r="BI1729" s="1">
        <v>44354.126898148148</v>
      </c>
      <c r="BJ1729" t="s">
        <v>85</v>
      </c>
      <c r="BK1729" t="s">
        <v>86</v>
      </c>
      <c r="BL1729" t="s">
        <v>87</v>
      </c>
    </row>
    <row r="1730" spans="1:64" x14ac:dyDescent="0.3">
      <c r="A1730" t="str">
        <f>"201020C0100"</f>
        <v>201020C0100</v>
      </c>
      <c r="B1730" t="str">
        <f>"201020C01003"</f>
        <v>201020C01003</v>
      </c>
      <c r="C1730" t="str">
        <f t="shared" si="101"/>
        <v>20</v>
      </c>
      <c r="D1730" t="s">
        <v>81</v>
      </c>
      <c r="E1730" t="str">
        <f t="shared" si="103"/>
        <v>182</v>
      </c>
      <c r="F1730" t="s">
        <v>1853</v>
      </c>
      <c r="G1730" t="str">
        <f>"1020"</f>
        <v>1020</v>
      </c>
      <c r="H1730" t="str">
        <f>"0001"</f>
        <v>0001</v>
      </c>
      <c r="I1730" t="s">
        <v>89</v>
      </c>
      <c r="J1730">
        <v>0</v>
      </c>
      <c r="K1730">
        <v>1</v>
      </c>
      <c r="L1730">
        <v>3</v>
      </c>
      <c r="M1730">
        <v>326</v>
      </c>
      <c r="N1730">
        <v>314</v>
      </c>
      <c r="O1730">
        <v>11</v>
      </c>
      <c r="P1730">
        <v>316</v>
      </c>
      <c r="Q1730">
        <v>16</v>
      </c>
      <c r="R1730">
        <v>45</v>
      </c>
      <c r="S1730">
        <v>1</v>
      </c>
      <c r="T1730">
        <v>0</v>
      </c>
      <c r="U1730">
        <v>5</v>
      </c>
      <c r="V1730">
        <v>32</v>
      </c>
      <c r="W1730">
        <v>1</v>
      </c>
      <c r="X1730">
        <v>143</v>
      </c>
      <c r="Y1730">
        <v>42</v>
      </c>
      <c r="Z1730">
        <v>1</v>
      </c>
      <c r="AB1730">
        <v>20</v>
      </c>
      <c r="AO1730">
        <v>4</v>
      </c>
      <c r="AU1730">
        <v>0</v>
      </c>
      <c r="AW1730">
        <v>0</v>
      </c>
      <c r="AX1730">
        <v>6</v>
      </c>
      <c r="AY1730">
        <v>316</v>
      </c>
      <c r="AZ1730">
        <v>316</v>
      </c>
      <c r="BA1730">
        <v>598</v>
      </c>
      <c r="BB1730">
        <v>44</v>
      </c>
      <c r="BD1730">
        <v>1</v>
      </c>
      <c r="BF1730" t="s">
        <v>1887</v>
      </c>
      <c r="BG1730" s="1">
        <v>44354.125</v>
      </c>
      <c r="BH1730" s="1">
        <v>44354.127453703702</v>
      </c>
      <c r="BI1730" s="1">
        <v>44354.128506944442</v>
      </c>
      <c r="BJ1730" t="s">
        <v>85</v>
      </c>
      <c r="BK1730" t="s">
        <v>86</v>
      </c>
      <c r="BL1730" t="s">
        <v>87</v>
      </c>
    </row>
    <row r="1731" spans="1:64" x14ac:dyDescent="0.3">
      <c r="A1731" t="str">
        <f>"201020C0200"</f>
        <v>201020C0200</v>
      </c>
      <c r="B1731" t="str">
        <f>"201020C02003"</f>
        <v>201020C02003</v>
      </c>
      <c r="C1731" t="str">
        <f t="shared" si="101"/>
        <v>20</v>
      </c>
      <c r="D1731" t="s">
        <v>81</v>
      </c>
      <c r="E1731" t="str">
        <f t="shared" si="103"/>
        <v>182</v>
      </c>
      <c r="F1731" t="s">
        <v>1853</v>
      </c>
      <c r="G1731" t="str">
        <f>"1020"</f>
        <v>1020</v>
      </c>
      <c r="H1731" t="str">
        <f>"0002"</f>
        <v>0002</v>
      </c>
      <c r="I1731" t="s">
        <v>89</v>
      </c>
      <c r="J1731">
        <v>0</v>
      </c>
      <c r="K1731">
        <v>1</v>
      </c>
      <c r="L1731">
        <v>3</v>
      </c>
      <c r="M1731">
        <v>300</v>
      </c>
      <c r="N1731">
        <v>342</v>
      </c>
      <c r="O1731">
        <v>7</v>
      </c>
      <c r="P1731">
        <v>342</v>
      </c>
      <c r="Q1731">
        <v>9</v>
      </c>
      <c r="R1731">
        <v>62</v>
      </c>
      <c r="S1731">
        <v>0</v>
      </c>
      <c r="T1731">
        <v>1</v>
      </c>
      <c r="U1731">
        <v>5</v>
      </c>
      <c r="V1731">
        <v>35</v>
      </c>
      <c r="W1731">
        <v>1</v>
      </c>
      <c r="X1731">
        <v>121</v>
      </c>
      <c r="Y1731">
        <v>59</v>
      </c>
      <c r="Z1731">
        <v>3</v>
      </c>
      <c r="AB1731">
        <v>41</v>
      </c>
      <c r="AO1731">
        <v>3</v>
      </c>
      <c r="AU1731">
        <v>0</v>
      </c>
      <c r="AW1731">
        <v>0</v>
      </c>
      <c r="AX1731">
        <v>2</v>
      </c>
      <c r="AY1731">
        <v>342</v>
      </c>
      <c r="AZ1731">
        <v>342</v>
      </c>
      <c r="BA1731">
        <v>598</v>
      </c>
      <c r="BB1731">
        <v>44</v>
      </c>
      <c r="BD1731">
        <v>1</v>
      </c>
      <c r="BF1731" t="s">
        <v>1888</v>
      </c>
      <c r="BG1731" s="1">
        <v>44354.122916666667</v>
      </c>
      <c r="BH1731" s="1">
        <v>44354.125949074078</v>
      </c>
      <c r="BI1731" s="1">
        <v>44354.126435185186</v>
      </c>
      <c r="BJ1731" t="s">
        <v>85</v>
      </c>
      <c r="BK1731" t="s">
        <v>86</v>
      </c>
      <c r="BL1731" t="s">
        <v>87</v>
      </c>
    </row>
    <row r="1732" spans="1:64" x14ac:dyDescent="0.3">
      <c r="A1732" t="str">
        <f>"201020S0100"</f>
        <v>201020S0100</v>
      </c>
      <c r="B1732" t="str">
        <f>"201020S01003E"</f>
        <v>201020S01003E</v>
      </c>
      <c r="C1732" t="str">
        <f t="shared" si="101"/>
        <v>20</v>
      </c>
      <c r="D1732" t="s">
        <v>81</v>
      </c>
      <c r="E1732" t="str">
        <f t="shared" si="103"/>
        <v>182</v>
      </c>
      <c r="F1732" t="s">
        <v>1853</v>
      </c>
      <c r="G1732" t="str">
        <f>"1020"</f>
        <v>1020</v>
      </c>
      <c r="H1732" t="str">
        <f>"0001"</f>
        <v>0001</v>
      </c>
      <c r="I1732" t="s">
        <v>99</v>
      </c>
      <c r="J1732">
        <v>0</v>
      </c>
      <c r="K1732">
        <v>1</v>
      </c>
      <c r="L1732" t="s">
        <v>100</v>
      </c>
      <c r="M1732">
        <v>172</v>
      </c>
      <c r="N1732">
        <v>172</v>
      </c>
      <c r="O1732">
        <v>0</v>
      </c>
      <c r="P1732">
        <v>172</v>
      </c>
      <c r="Q1732">
        <v>7</v>
      </c>
      <c r="R1732">
        <v>17</v>
      </c>
      <c r="S1732">
        <v>1</v>
      </c>
      <c r="T1732">
        <v>0</v>
      </c>
      <c r="U1732">
        <v>1</v>
      </c>
      <c r="V1732">
        <v>16</v>
      </c>
      <c r="W1732">
        <v>7</v>
      </c>
      <c r="X1732">
        <v>72</v>
      </c>
      <c r="Y1732">
        <v>26</v>
      </c>
      <c r="Z1732">
        <v>0</v>
      </c>
      <c r="AB1732">
        <v>22</v>
      </c>
      <c r="AO1732">
        <v>1</v>
      </c>
      <c r="AU1732">
        <v>0</v>
      </c>
      <c r="AW1732">
        <v>0</v>
      </c>
      <c r="AX1732">
        <v>2</v>
      </c>
      <c r="AY1732">
        <v>172</v>
      </c>
      <c r="AZ1732">
        <v>172</v>
      </c>
      <c r="BA1732">
        <v>0</v>
      </c>
      <c r="BB1732">
        <v>44</v>
      </c>
      <c r="BD1732">
        <v>1</v>
      </c>
      <c r="BF1732" t="s">
        <v>1889</v>
      </c>
      <c r="BG1732" s="1">
        <v>44354.128472222219</v>
      </c>
      <c r="BH1732" s="1">
        <v>44354.131423611114</v>
      </c>
      <c r="BI1732" s="1">
        <v>44354.132280092592</v>
      </c>
      <c r="BJ1732" t="s">
        <v>85</v>
      </c>
      <c r="BK1732" t="s">
        <v>86</v>
      </c>
      <c r="BL1732" t="s">
        <v>87</v>
      </c>
    </row>
    <row r="1733" spans="1:64" x14ac:dyDescent="0.3">
      <c r="A1733" t="str">
        <f>"201021B0000"</f>
        <v>201021B0000</v>
      </c>
      <c r="B1733" t="str">
        <f>"201021B00003"</f>
        <v>201021B00003</v>
      </c>
      <c r="C1733" t="str">
        <f t="shared" si="101"/>
        <v>20</v>
      </c>
      <c r="D1733" t="s">
        <v>81</v>
      </c>
      <c r="E1733" t="str">
        <f t="shared" si="103"/>
        <v>182</v>
      </c>
      <c r="F1733" t="s">
        <v>1853</v>
      </c>
      <c r="G1733" t="str">
        <f>"1021"</f>
        <v>1021</v>
      </c>
      <c r="H1733" t="str">
        <f>"0000"</f>
        <v>0000</v>
      </c>
      <c r="I1733" t="s">
        <v>83</v>
      </c>
      <c r="J1733">
        <v>0</v>
      </c>
      <c r="K1733">
        <v>1</v>
      </c>
      <c r="L1733">
        <v>3</v>
      </c>
      <c r="M1733">
        <v>270</v>
      </c>
      <c r="N1733">
        <v>278</v>
      </c>
      <c r="O1733">
        <v>6</v>
      </c>
      <c r="P1733">
        <v>278</v>
      </c>
      <c r="Q1733">
        <v>9</v>
      </c>
      <c r="R1733">
        <v>52</v>
      </c>
      <c r="S1733">
        <v>1</v>
      </c>
      <c r="T1733">
        <v>5</v>
      </c>
      <c r="U1733">
        <v>0</v>
      </c>
      <c r="V1733">
        <v>35</v>
      </c>
      <c r="W1733">
        <v>6</v>
      </c>
      <c r="X1733">
        <v>84</v>
      </c>
      <c r="Y1733">
        <v>38</v>
      </c>
      <c r="Z1733">
        <v>4</v>
      </c>
      <c r="AB1733">
        <v>35</v>
      </c>
      <c r="AO1733">
        <v>0</v>
      </c>
      <c r="AU1733">
        <v>0</v>
      </c>
      <c r="AW1733">
        <v>0</v>
      </c>
      <c r="AX1733">
        <v>9</v>
      </c>
      <c r="AY1733">
        <v>278</v>
      </c>
      <c r="AZ1733">
        <v>278</v>
      </c>
      <c r="BA1733">
        <v>504</v>
      </c>
      <c r="BB1733">
        <v>44</v>
      </c>
      <c r="BD1733">
        <v>1</v>
      </c>
      <c r="BF1733" t="s">
        <v>1890</v>
      </c>
      <c r="BG1733" s="1">
        <v>44353.995138888888</v>
      </c>
      <c r="BH1733" s="1">
        <v>44354.002152777779</v>
      </c>
      <c r="BI1733" s="1">
        <v>44354.00273148148</v>
      </c>
      <c r="BJ1733" t="s">
        <v>85</v>
      </c>
      <c r="BK1733" t="s">
        <v>86</v>
      </c>
      <c r="BL1733" t="s">
        <v>87</v>
      </c>
    </row>
    <row r="1734" spans="1:64" x14ac:dyDescent="0.3">
      <c r="A1734" t="str">
        <f>"201021C0100"</f>
        <v>201021C0100</v>
      </c>
      <c r="B1734" t="str">
        <f>"201021C01003"</f>
        <v>201021C01003</v>
      </c>
      <c r="C1734" t="str">
        <f t="shared" si="101"/>
        <v>20</v>
      </c>
      <c r="D1734" t="s">
        <v>81</v>
      </c>
      <c r="E1734" t="str">
        <f t="shared" si="103"/>
        <v>182</v>
      </c>
      <c r="F1734" t="s">
        <v>1853</v>
      </c>
      <c r="G1734" t="str">
        <f>"1021"</f>
        <v>1021</v>
      </c>
      <c r="H1734" t="str">
        <f>"0001"</f>
        <v>0001</v>
      </c>
      <c r="I1734" t="s">
        <v>89</v>
      </c>
      <c r="J1734">
        <v>0</v>
      </c>
      <c r="K1734">
        <v>1</v>
      </c>
      <c r="L1734">
        <v>3</v>
      </c>
      <c r="M1734">
        <v>261</v>
      </c>
      <c r="N1734">
        <v>286</v>
      </c>
      <c r="O1734">
        <v>5</v>
      </c>
      <c r="P1734">
        <v>286</v>
      </c>
      <c r="Q1734">
        <v>7</v>
      </c>
      <c r="R1734">
        <v>37</v>
      </c>
      <c r="S1734">
        <v>0</v>
      </c>
      <c r="T1734">
        <v>3</v>
      </c>
      <c r="U1734">
        <v>3</v>
      </c>
      <c r="V1734">
        <v>35</v>
      </c>
      <c r="W1734">
        <v>11</v>
      </c>
      <c r="X1734">
        <v>87</v>
      </c>
      <c r="Y1734">
        <v>42</v>
      </c>
      <c r="Z1734">
        <v>4</v>
      </c>
      <c r="AB1734">
        <v>51</v>
      </c>
      <c r="AO1734">
        <v>0</v>
      </c>
      <c r="AU1734">
        <v>0</v>
      </c>
      <c r="AW1734">
        <v>0</v>
      </c>
      <c r="AX1734">
        <v>6</v>
      </c>
      <c r="AY1734">
        <v>286</v>
      </c>
      <c r="AZ1734">
        <v>286</v>
      </c>
      <c r="BA1734">
        <v>503</v>
      </c>
      <c r="BB1734">
        <v>44</v>
      </c>
      <c r="BD1734">
        <v>1</v>
      </c>
      <c r="BF1734" t="s">
        <v>1891</v>
      </c>
      <c r="BG1734" s="1">
        <v>44353.99722222222</v>
      </c>
      <c r="BH1734" s="1">
        <v>44354.003668981481</v>
      </c>
      <c r="BI1734" s="1">
        <v>44354.00408564815</v>
      </c>
      <c r="BJ1734" t="s">
        <v>85</v>
      </c>
      <c r="BK1734" t="s">
        <v>86</v>
      </c>
      <c r="BL1734" t="s">
        <v>87</v>
      </c>
    </row>
    <row r="1735" spans="1:64" x14ac:dyDescent="0.3">
      <c r="A1735" t="str">
        <f>"201022B0000"</f>
        <v>201022B0000</v>
      </c>
      <c r="B1735" t="str">
        <f>"201022B00003"</f>
        <v>201022B00003</v>
      </c>
      <c r="C1735" t="str">
        <f t="shared" ref="C1735:C1798" si="106">"20"</f>
        <v>20</v>
      </c>
      <c r="D1735" t="s">
        <v>81</v>
      </c>
      <c r="E1735" t="str">
        <f t="shared" si="103"/>
        <v>182</v>
      </c>
      <c r="F1735" t="s">
        <v>1853</v>
      </c>
      <c r="G1735" t="str">
        <f>"1022"</f>
        <v>1022</v>
      </c>
      <c r="H1735" t="str">
        <f>"0000"</f>
        <v>0000</v>
      </c>
      <c r="I1735" t="s">
        <v>83</v>
      </c>
      <c r="J1735">
        <v>0</v>
      </c>
      <c r="K1735">
        <v>1</v>
      </c>
      <c r="L1735">
        <v>3</v>
      </c>
      <c r="M1735">
        <v>304</v>
      </c>
      <c r="N1735">
        <v>311</v>
      </c>
      <c r="O1735">
        <v>9</v>
      </c>
      <c r="P1735">
        <v>324</v>
      </c>
      <c r="Q1735">
        <v>6</v>
      </c>
      <c r="R1735">
        <v>41</v>
      </c>
      <c r="S1735">
        <v>0</v>
      </c>
      <c r="T1735">
        <v>2</v>
      </c>
      <c r="U1735">
        <v>3</v>
      </c>
      <c r="V1735">
        <v>38</v>
      </c>
      <c r="W1735">
        <v>10</v>
      </c>
      <c r="X1735">
        <v>108</v>
      </c>
      <c r="Y1735">
        <v>71</v>
      </c>
      <c r="Z1735">
        <v>3</v>
      </c>
      <c r="AB1735">
        <v>28</v>
      </c>
      <c r="AO1735">
        <v>2</v>
      </c>
      <c r="AU1735">
        <v>1</v>
      </c>
      <c r="AW1735">
        <v>0</v>
      </c>
      <c r="AX1735">
        <v>11</v>
      </c>
      <c r="AY1735">
        <v>324</v>
      </c>
      <c r="AZ1735">
        <v>324</v>
      </c>
      <c r="BA1735">
        <v>585</v>
      </c>
      <c r="BB1735">
        <v>44</v>
      </c>
      <c r="BD1735">
        <v>1</v>
      </c>
      <c r="BF1735" t="s">
        <v>1892</v>
      </c>
      <c r="BG1735" s="1">
        <v>44354.446527777778</v>
      </c>
      <c r="BH1735" s="1">
        <v>44354.533738425926</v>
      </c>
      <c r="BI1735" s="1">
        <v>44354.534733796296</v>
      </c>
      <c r="BJ1735" t="s">
        <v>85</v>
      </c>
      <c r="BK1735" t="s">
        <v>86</v>
      </c>
      <c r="BL1735" t="s">
        <v>1893</v>
      </c>
    </row>
    <row r="1736" spans="1:64" x14ac:dyDescent="0.3">
      <c r="A1736" t="str">
        <f>"201022C0100"</f>
        <v>201022C0100</v>
      </c>
      <c r="B1736" t="str">
        <f>"201022C01003"</f>
        <v>201022C01003</v>
      </c>
      <c r="C1736" t="str">
        <f t="shared" si="106"/>
        <v>20</v>
      </c>
      <c r="D1736" t="s">
        <v>81</v>
      </c>
      <c r="E1736" t="str">
        <f t="shared" si="103"/>
        <v>182</v>
      </c>
      <c r="F1736" t="s">
        <v>1853</v>
      </c>
      <c r="G1736" t="str">
        <f>"1022"</f>
        <v>1022</v>
      </c>
      <c r="H1736" t="str">
        <f>"0001"</f>
        <v>0001</v>
      </c>
      <c r="I1736" t="s">
        <v>89</v>
      </c>
      <c r="J1736">
        <v>0</v>
      </c>
      <c r="K1736">
        <v>1</v>
      </c>
      <c r="L1736">
        <v>3</v>
      </c>
      <c r="M1736">
        <v>308</v>
      </c>
      <c r="N1736">
        <v>320</v>
      </c>
      <c r="O1736">
        <v>5</v>
      </c>
      <c r="P1736">
        <v>319</v>
      </c>
      <c r="Q1736">
        <v>5</v>
      </c>
      <c r="R1736">
        <v>28</v>
      </c>
      <c r="S1736">
        <v>1</v>
      </c>
      <c r="T1736">
        <v>1</v>
      </c>
      <c r="U1736">
        <v>3</v>
      </c>
      <c r="V1736">
        <v>43</v>
      </c>
      <c r="W1736">
        <v>4</v>
      </c>
      <c r="X1736">
        <v>116</v>
      </c>
      <c r="Y1736">
        <v>62</v>
      </c>
      <c r="Z1736">
        <v>2</v>
      </c>
      <c r="AB1736">
        <v>39</v>
      </c>
      <c r="AO1736">
        <v>5</v>
      </c>
      <c r="AU1736">
        <v>0</v>
      </c>
      <c r="AW1736">
        <v>0</v>
      </c>
      <c r="AX1736">
        <v>10</v>
      </c>
      <c r="AY1736">
        <v>319</v>
      </c>
      <c r="AZ1736">
        <v>319</v>
      </c>
      <c r="BA1736">
        <v>584</v>
      </c>
      <c r="BB1736">
        <v>44</v>
      </c>
      <c r="BD1736">
        <v>1</v>
      </c>
      <c r="BF1736" t="s">
        <v>1894</v>
      </c>
      <c r="BG1736" s="1">
        <v>44353.993750000001</v>
      </c>
      <c r="BH1736" s="1">
        <v>44354.018680555557</v>
      </c>
      <c r="BI1736" s="1">
        <v>44354.020543981482</v>
      </c>
      <c r="BJ1736" t="s">
        <v>85</v>
      </c>
      <c r="BK1736" t="s">
        <v>86</v>
      </c>
      <c r="BL1736" t="s">
        <v>87</v>
      </c>
    </row>
    <row r="1737" spans="1:64" x14ac:dyDescent="0.3">
      <c r="A1737" t="str">
        <f>"201022C0200"</f>
        <v>201022C0200</v>
      </c>
      <c r="B1737" t="str">
        <f>"201022C02003"</f>
        <v>201022C02003</v>
      </c>
      <c r="C1737" t="str">
        <f t="shared" si="106"/>
        <v>20</v>
      </c>
      <c r="D1737" t="s">
        <v>81</v>
      </c>
      <c r="E1737" t="str">
        <f t="shared" si="103"/>
        <v>182</v>
      </c>
      <c r="F1737" t="s">
        <v>1853</v>
      </c>
      <c r="G1737" t="str">
        <f>"1022"</f>
        <v>1022</v>
      </c>
      <c r="H1737" t="str">
        <f>"0002"</f>
        <v>0002</v>
      </c>
      <c r="I1737" t="s">
        <v>89</v>
      </c>
      <c r="J1737">
        <v>0</v>
      </c>
      <c r="K1737">
        <v>1</v>
      </c>
      <c r="L1737">
        <v>3</v>
      </c>
      <c r="M1737">
        <v>293</v>
      </c>
      <c r="N1737">
        <v>332</v>
      </c>
      <c r="O1737">
        <v>9</v>
      </c>
      <c r="P1737">
        <v>333</v>
      </c>
      <c r="Q1737">
        <v>1</v>
      </c>
      <c r="R1737">
        <v>40</v>
      </c>
      <c r="S1737">
        <v>1</v>
      </c>
      <c r="T1737">
        <v>0</v>
      </c>
      <c r="U1737">
        <v>8</v>
      </c>
      <c r="V1737">
        <v>48</v>
      </c>
      <c r="W1737">
        <v>5</v>
      </c>
      <c r="X1737">
        <v>125</v>
      </c>
      <c r="Y1737">
        <v>48</v>
      </c>
      <c r="Z1737">
        <v>1</v>
      </c>
      <c r="AB1737">
        <v>45</v>
      </c>
      <c r="AO1737">
        <v>1</v>
      </c>
      <c r="AU1737" t="s">
        <v>95</v>
      </c>
      <c r="AW1737" t="s">
        <v>95</v>
      </c>
      <c r="AX1737">
        <v>10</v>
      </c>
      <c r="AY1737">
        <v>333</v>
      </c>
      <c r="AZ1737">
        <v>333</v>
      </c>
      <c r="BA1737">
        <v>584</v>
      </c>
      <c r="BB1737">
        <v>44</v>
      </c>
      <c r="BC1737" t="s">
        <v>96</v>
      </c>
      <c r="BD1737">
        <v>1</v>
      </c>
      <c r="BF1737" t="s">
        <v>1895</v>
      </c>
      <c r="BG1737" s="1">
        <v>44353.990972222222</v>
      </c>
      <c r="BH1737" s="1">
        <v>44353.995729166665</v>
      </c>
      <c r="BI1737" s="1">
        <v>44353.99622685185</v>
      </c>
      <c r="BJ1737" t="s">
        <v>85</v>
      </c>
      <c r="BK1737" t="s">
        <v>86</v>
      </c>
      <c r="BL1737" t="s">
        <v>87</v>
      </c>
    </row>
    <row r="1738" spans="1:64" x14ac:dyDescent="0.3">
      <c r="A1738" t="str">
        <f>"201023B0000"</f>
        <v>201023B0000</v>
      </c>
      <c r="B1738" t="str">
        <f>"201023B00003"</f>
        <v>201023B00003</v>
      </c>
      <c r="C1738" t="str">
        <f t="shared" si="106"/>
        <v>20</v>
      </c>
      <c r="D1738" t="s">
        <v>81</v>
      </c>
      <c r="E1738" t="str">
        <f t="shared" si="103"/>
        <v>182</v>
      </c>
      <c r="F1738" t="s">
        <v>1853</v>
      </c>
      <c r="G1738" t="str">
        <f>"1023"</f>
        <v>1023</v>
      </c>
      <c r="H1738" t="str">
        <f>"0000"</f>
        <v>0000</v>
      </c>
      <c r="I1738" t="s">
        <v>83</v>
      </c>
      <c r="J1738">
        <v>0</v>
      </c>
      <c r="K1738">
        <v>1</v>
      </c>
      <c r="L1738">
        <v>3</v>
      </c>
      <c r="M1738">
        <v>371</v>
      </c>
      <c r="N1738">
        <v>388</v>
      </c>
      <c r="O1738">
        <v>11</v>
      </c>
      <c r="P1738">
        <v>387</v>
      </c>
      <c r="Q1738">
        <v>6</v>
      </c>
      <c r="R1738">
        <v>55</v>
      </c>
      <c r="S1738">
        <v>0</v>
      </c>
      <c r="T1738">
        <v>0</v>
      </c>
      <c r="U1738">
        <v>2</v>
      </c>
      <c r="V1738">
        <v>56</v>
      </c>
      <c r="W1738">
        <v>7</v>
      </c>
      <c r="X1738">
        <v>134</v>
      </c>
      <c r="Y1738">
        <v>67</v>
      </c>
      <c r="Z1738">
        <v>5</v>
      </c>
      <c r="AB1738">
        <v>49</v>
      </c>
      <c r="AO1738">
        <v>0</v>
      </c>
      <c r="AU1738">
        <v>0</v>
      </c>
      <c r="AW1738">
        <v>0</v>
      </c>
      <c r="AX1738">
        <v>4</v>
      </c>
      <c r="AY1738">
        <v>385</v>
      </c>
      <c r="AZ1738">
        <v>385</v>
      </c>
      <c r="BA1738">
        <v>717</v>
      </c>
      <c r="BB1738">
        <v>44</v>
      </c>
      <c r="BD1738">
        <v>1</v>
      </c>
      <c r="BF1738" t="s">
        <v>1896</v>
      </c>
      <c r="BG1738" s="1">
        <v>44354.22152777778</v>
      </c>
      <c r="BH1738" s="1">
        <v>44354.224432870367</v>
      </c>
      <c r="BI1738" s="1">
        <v>44354.225057870368</v>
      </c>
      <c r="BJ1738" t="s">
        <v>85</v>
      </c>
      <c r="BK1738" t="s">
        <v>86</v>
      </c>
      <c r="BL1738" t="s">
        <v>87</v>
      </c>
    </row>
    <row r="1739" spans="1:64" x14ac:dyDescent="0.3">
      <c r="A1739" t="str">
        <f>"201023C0100"</f>
        <v>201023C0100</v>
      </c>
      <c r="B1739" t="str">
        <f>"201023C01003"</f>
        <v>201023C01003</v>
      </c>
      <c r="C1739" t="str">
        <f t="shared" si="106"/>
        <v>20</v>
      </c>
      <c r="D1739" t="s">
        <v>81</v>
      </c>
      <c r="E1739" t="str">
        <f t="shared" si="103"/>
        <v>182</v>
      </c>
      <c r="F1739" t="s">
        <v>1853</v>
      </c>
      <c r="G1739" t="str">
        <f>"1023"</f>
        <v>1023</v>
      </c>
      <c r="H1739" t="str">
        <f>"0001"</f>
        <v>0001</v>
      </c>
      <c r="I1739" t="s">
        <v>89</v>
      </c>
      <c r="J1739">
        <v>0</v>
      </c>
      <c r="K1739">
        <v>1</v>
      </c>
      <c r="L1739">
        <v>3</v>
      </c>
      <c r="M1739">
        <v>343</v>
      </c>
      <c r="N1739">
        <v>417</v>
      </c>
      <c r="O1739">
        <v>4</v>
      </c>
      <c r="P1739">
        <v>417</v>
      </c>
      <c r="Q1739">
        <v>9</v>
      </c>
      <c r="R1739">
        <v>51</v>
      </c>
      <c r="S1739">
        <v>3</v>
      </c>
      <c r="T1739">
        <v>0</v>
      </c>
      <c r="U1739">
        <v>1</v>
      </c>
      <c r="V1739">
        <v>66</v>
      </c>
      <c r="W1739">
        <v>2</v>
      </c>
      <c r="X1739">
        <v>148</v>
      </c>
      <c r="Y1739">
        <v>65</v>
      </c>
      <c r="Z1739">
        <v>9</v>
      </c>
      <c r="AB1739">
        <v>53</v>
      </c>
      <c r="AO1739">
        <v>2</v>
      </c>
      <c r="AU1739">
        <v>0</v>
      </c>
      <c r="AW1739">
        <v>0</v>
      </c>
      <c r="AX1739">
        <v>8</v>
      </c>
      <c r="AY1739">
        <v>417</v>
      </c>
      <c r="AZ1739">
        <v>417</v>
      </c>
      <c r="BA1739">
        <v>716</v>
      </c>
      <c r="BB1739">
        <v>44</v>
      </c>
      <c r="BD1739">
        <v>1</v>
      </c>
      <c r="BF1739" t="s">
        <v>1897</v>
      </c>
      <c r="BG1739" s="1">
        <v>44354.25</v>
      </c>
      <c r="BH1739" s="1">
        <v>44354.265428240738</v>
      </c>
      <c r="BI1739" s="1">
        <v>44354.266053240739</v>
      </c>
      <c r="BJ1739" t="s">
        <v>85</v>
      </c>
      <c r="BK1739" t="s">
        <v>86</v>
      </c>
      <c r="BL1739" t="s">
        <v>1893</v>
      </c>
    </row>
    <row r="1740" spans="1:64" x14ac:dyDescent="0.3">
      <c r="A1740" t="str">
        <f>"201024B0000"</f>
        <v>201024B0000</v>
      </c>
      <c r="B1740" t="str">
        <f>"201024B00003"</f>
        <v>201024B00003</v>
      </c>
      <c r="C1740" t="str">
        <f t="shared" si="106"/>
        <v>20</v>
      </c>
      <c r="D1740" t="s">
        <v>81</v>
      </c>
      <c r="E1740" t="str">
        <f t="shared" si="103"/>
        <v>182</v>
      </c>
      <c r="F1740" t="s">
        <v>1853</v>
      </c>
      <c r="G1740" t="str">
        <f>"1024"</f>
        <v>1024</v>
      </c>
      <c r="H1740" t="str">
        <f>"0000"</f>
        <v>0000</v>
      </c>
      <c r="I1740" t="s">
        <v>83</v>
      </c>
      <c r="J1740">
        <v>0</v>
      </c>
      <c r="K1740">
        <v>1</v>
      </c>
      <c r="L1740">
        <v>3</v>
      </c>
      <c r="M1740">
        <v>322</v>
      </c>
      <c r="N1740">
        <v>414</v>
      </c>
      <c r="O1740">
        <v>8</v>
      </c>
      <c r="P1740">
        <v>414</v>
      </c>
      <c r="Q1740">
        <v>6</v>
      </c>
      <c r="R1740">
        <v>55</v>
      </c>
      <c r="S1740">
        <v>1</v>
      </c>
      <c r="T1740">
        <v>1</v>
      </c>
      <c r="U1740">
        <v>3</v>
      </c>
      <c r="V1740">
        <v>48</v>
      </c>
      <c r="W1740">
        <v>10</v>
      </c>
      <c r="X1740">
        <v>140</v>
      </c>
      <c r="Y1740">
        <v>58</v>
      </c>
      <c r="Z1740">
        <v>2</v>
      </c>
      <c r="AB1740">
        <v>78</v>
      </c>
      <c r="AO1740">
        <v>1</v>
      </c>
      <c r="AU1740">
        <v>0</v>
      </c>
      <c r="AW1740">
        <v>0</v>
      </c>
      <c r="AX1740">
        <v>11</v>
      </c>
      <c r="AY1740">
        <v>414</v>
      </c>
      <c r="AZ1740">
        <v>414</v>
      </c>
      <c r="BA1740">
        <v>692</v>
      </c>
      <c r="BB1740">
        <v>44</v>
      </c>
      <c r="BD1740">
        <v>1</v>
      </c>
      <c r="BF1740" t="s">
        <v>1898</v>
      </c>
      <c r="BG1740" s="1">
        <v>44354.217361111114</v>
      </c>
      <c r="BH1740" s="1">
        <v>44354.219513888886</v>
      </c>
      <c r="BI1740" s="1">
        <v>44354.21974537037</v>
      </c>
      <c r="BJ1740" t="s">
        <v>85</v>
      </c>
      <c r="BK1740" t="s">
        <v>86</v>
      </c>
      <c r="BL1740" t="s">
        <v>87</v>
      </c>
    </row>
    <row r="1741" spans="1:64" x14ac:dyDescent="0.3">
      <c r="A1741" t="str">
        <f>"201024C0100"</f>
        <v>201024C0100</v>
      </c>
      <c r="B1741" t="str">
        <f>"201024C01003"</f>
        <v>201024C01003</v>
      </c>
      <c r="C1741" t="str">
        <f t="shared" si="106"/>
        <v>20</v>
      </c>
      <c r="D1741" t="s">
        <v>81</v>
      </c>
      <c r="E1741" t="str">
        <f t="shared" si="103"/>
        <v>182</v>
      </c>
      <c r="F1741" t="s">
        <v>1853</v>
      </c>
      <c r="G1741" t="str">
        <f>"1024"</f>
        <v>1024</v>
      </c>
      <c r="H1741" t="str">
        <f>"0001"</f>
        <v>0001</v>
      </c>
      <c r="I1741" t="s">
        <v>89</v>
      </c>
      <c r="J1741">
        <v>0</v>
      </c>
      <c r="K1741">
        <v>1</v>
      </c>
      <c r="L1741">
        <v>3</v>
      </c>
      <c r="M1741">
        <v>331</v>
      </c>
      <c r="N1741">
        <v>404</v>
      </c>
      <c r="O1741">
        <v>12</v>
      </c>
      <c r="P1741" t="s">
        <v>92</v>
      </c>
      <c r="Q1741">
        <v>8</v>
      </c>
      <c r="R1741">
        <v>72</v>
      </c>
      <c r="S1741">
        <v>1</v>
      </c>
      <c r="T1741">
        <v>0</v>
      </c>
      <c r="U1741">
        <v>4</v>
      </c>
      <c r="V1741">
        <v>39</v>
      </c>
      <c r="W1741">
        <v>8</v>
      </c>
      <c r="X1741">
        <v>125</v>
      </c>
      <c r="Y1741">
        <v>66</v>
      </c>
      <c r="Z1741">
        <v>1</v>
      </c>
      <c r="AB1741">
        <v>69</v>
      </c>
      <c r="AO1741">
        <v>5</v>
      </c>
      <c r="AU1741">
        <v>0</v>
      </c>
      <c r="AW1741">
        <v>0</v>
      </c>
      <c r="AX1741">
        <v>6</v>
      </c>
      <c r="AY1741">
        <v>404</v>
      </c>
      <c r="AZ1741">
        <v>404</v>
      </c>
      <c r="BA1741">
        <v>691</v>
      </c>
      <c r="BB1741">
        <v>44</v>
      </c>
      <c r="BD1741">
        <v>1</v>
      </c>
      <c r="BF1741" t="s">
        <v>1899</v>
      </c>
      <c r="BG1741" s="1">
        <v>44354.215277777781</v>
      </c>
      <c r="BH1741" s="1">
        <v>44354.218553240738</v>
      </c>
      <c r="BI1741" s="1">
        <v>44354.218981481485</v>
      </c>
      <c r="BJ1741" t="s">
        <v>85</v>
      </c>
      <c r="BK1741" t="s">
        <v>86</v>
      </c>
      <c r="BL1741" t="s">
        <v>87</v>
      </c>
    </row>
    <row r="1742" spans="1:64" x14ac:dyDescent="0.3">
      <c r="A1742" t="str">
        <f>"201025B0000"</f>
        <v>201025B0000</v>
      </c>
      <c r="B1742" t="str">
        <f>"201025B00003"</f>
        <v>201025B00003</v>
      </c>
      <c r="C1742" t="str">
        <f t="shared" si="106"/>
        <v>20</v>
      </c>
      <c r="D1742" t="s">
        <v>81</v>
      </c>
      <c r="E1742" t="str">
        <f t="shared" si="103"/>
        <v>182</v>
      </c>
      <c r="F1742" t="s">
        <v>1853</v>
      </c>
      <c r="G1742" t="str">
        <f>"1025"</f>
        <v>1025</v>
      </c>
      <c r="H1742" t="str">
        <f>"0000"</f>
        <v>0000</v>
      </c>
      <c r="I1742" t="s">
        <v>83</v>
      </c>
      <c r="J1742">
        <v>0</v>
      </c>
      <c r="K1742">
        <v>1</v>
      </c>
      <c r="L1742">
        <v>3</v>
      </c>
      <c r="M1742" t="s">
        <v>92</v>
      </c>
      <c r="N1742" t="s">
        <v>92</v>
      </c>
      <c r="O1742" t="s">
        <v>92</v>
      </c>
      <c r="P1742" t="s">
        <v>92</v>
      </c>
      <c r="Q1742">
        <v>7</v>
      </c>
      <c r="R1742">
        <v>55</v>
      </c>
      <c r="S1742">
        <v>0</v>
      </c>
      <c r="T1742">
        <v>1</v>
      </c>
      <c r="U1742">
        <v>4</v>
      </c>
      <c r="V1742">
        <v>44</v>
      </c>
      <c r="W1742">
        <v>8</v>
      </c>
      <c r="X1742">
        <v>121</v>
      </c>
      <c r="Y1742">
        <v>34</v>
      </c>
      <c r="Z1742">
        <v>2</v>
      </c>
      <c r="AB1742">
        <v>33</v>
      </c>
      <c r="AO1742">
        <v>2</v>
      </c>
      <c r="AU1742" t="s">
        <v>95</v>
      </c>
      <c r="AW1742" t="s">
        <v>95</v>
      </c>
      <c r="AX1742">
        <v>7</v>
      </c>
      <c r="AY1742" t="s">
        <v>95</v>
      </c>
      <c r="AZ1742">
        <v>318</v>
      </c>
      <c r="BA1742">
        <v>585</v>
      </c>
      <c r="BB1742">
        <v>44</v>
      </c>
      <c r="BC1742" t="s">
        <v>96</v>
      </c>
      <c r="BD1742">
        <v>1</v>
      </c>
      <c r="BF1742" t="s">
        <v>1900</v>
      </c>
      <c r="BG1742" s="1">
        <v>44354.167361111111</v>
      </c>
      <c r="BH1742" s="1">
        <v>44354.171203703707</v>
      </c>
      <c r="BI1742" s="1">
        <v>44354.1719212963</v>
      </c>
      <c r="BJ1742" t="s">
        <v>85</v>
      </c>
      <c r="BK1742" t="s">
        <v>86</v>
      </c>
      <c r="BL1742" t="s">
        <v>87</v>
      </c>
    </row>
    <row r="1743" spans="1:64" x14ac:dyDescent="0.3">
      <c r="A1743" t="str">
        <f>"201025C0100"</f>
        <v>201025C0100</v>
      </c>
      <c r="B1743" t="str">
        <f>"201025C01003"</f>
        <v>201025C01003</v>
      </c>
      <c r="C1743" t="str">
        <f t="shared" si="106"/>
        <v>20</v>
      </c>
      <c r="D1743" t="s">
        <v>81</v>
      </c>
      <c r="E1743" t="str">
        <f t="shared" si="103"/>
        <v>182</v>
      </c>
      <c r="F1743" t="s">
        <v>1853</v>
      </c>
      <c r="G1743" t="str">
        <f>"1025"</f>
        <v>1025</v>
      </c>
      <c r="H1743" t="str">
        <f>"0001"</f>
        <v>0001</v>
      </c>
      <c r="I1743" t="s">
        <v>89</v>
      </c>
      <c r="J1743">
        <v>0</v>
      </c>
      <c r="K1743">
        <v>1</v>
      </c>
      <c r="L1743">
        <v>3</v>
      </c>
      <c r="M1743">
        <v>265</v>
      </c>
      <c r="N1743">
        <v>370</v>
      </c>
      <c r="O1743">
        <v>7</v>
      </c>
      <c r="P1743">
        <v>370</v>
      </c>
      <c r="Q1743">
        <v>9</v>
      </c>
      <c r="R1743">
        <v>53</v>
      </c>
      <c r="S1743">
        <v>1</v>
      </c>
      <c r="T1743">
        <v>0</v>
      </c>
      <c r="U1743">
        <v>2</v>
      </c>
      <c r="V1743">
        <v>60</v>
      </c>
      <c r="W1743">
        <v>5</v>
      </c>
      <c r="X1743">
        <v>138</v>
      </c>
      <c r="Y1743">
        <v>36</v>
      </c>
      <c r="Z1743">
        <v>4</v>
      </c>
      <c r="AB1743">
        <v>48</v>
      </c>
      <c r="AO1743">
        <v>2</v>
      </c>
      <c r="AU1743" t="s">
        <v>95</v>
      </c>
      <c r="AW1743" t="s">
        <v>95</v>
      </c>
      <c r="AX1743">
        <v>12</v>
      </c>
      <c r="AY1743" t="s">
        <v>95</v>
      </c>
      <c r="AZ1743">
        <v>370</v>
      </c>
      <c r="BA1743">
        <v>584</v>
      </c>
      <c r="BB1743">
        <v>44</v>
      </c>
      <c r="BC1743" t="s">
        <v>96</v>
      </c>
      <c r="BD1743">
        <v>1</v>
      </c>
      <c r="BF1743" t="s">
        <v>1901</v>
      </c>
      <c r="BG1743" s="1">
        <v>44354.172222222223</v>
      </c>
      <c r="BH1743" s="1">
        <v>44354.176655092589</v>
      </c>
      <c r="BI1743" s="1">
        <v>44354.177361111113</v>
      </c>
      <c r="BJ1743" t="s">
        <v>85</v>
      </c>
      <c r="BK1743" t="s">
        <v>86</v>
      </c>
      <c r="BL1743" t="s">
        <v>1390</v>
      </c>
    </row>
    <row r="1744" spans="1:64" x14ac:dyDescent="0.3">
      <c r="A1744" t="str">
        <f>"201026B0000"</f>
        <v>201026B0000</v>
      </c>
      <c r="B1744" t="str">
        <f>"201026B00003"</f>
        <v>201026B00003</v>
      </c>
      <c r="C1744" t="str">
        <f t="shared" si="106"/>
        <v>20</v>
      </c>
      <c r="D1744" t="s">
        <v>81</v>
      </c>
      <c r="E1744" t="str">
        <f t="shared" si="103"/>
        <v>182</v>
      </c>
      <c r="F1744" t="s">
        <v>1853</v>
      </c>
      <c r="G1744" t="str">
        <f>"1026"</f>
        <v>1026</v>
      </c>
      <c r="H1744" t="str">
        <f>"0000"</f>
        <v>0000</v>
      </c>
      <c r="I1744" t="s">
        <v>83</v>
      </c>
      <c r="J1744">
        <v>0</v>
      </c>
      <c r="K1744">
        <v>1</v>
      </c>
      <c r="L1744">
        <v>3</v>
      </c>
      <c r="M1744">
        <v>333</v>
      </c>
      <c r="N1744">
        <v>436</v>
      </c>
      <c r="O1744">
        <v>10</v>
      </c>
      <c r="P1744">
        <v>436</v>
      </c>
      <c r="Q1744">
        <v>1</v>
      </c>
      <c r="R1744">
        <v>71</v>
      </c>
      <c r="S1744">
        <v>1</v>
      </c>
      <c r="T1744">
        <v>0</v>
      </c>
      <c r="U1744">
        <v>3</v>
      </c>
      <c r="V1744">
        <v>43</v>
      </c>
      <c r="W1744">
        <v>4</v>
      </c>
      <c r="X1744">
        <v>147</v>
      </c>
      <c r="Y1744">
        <v>106</v>
      </c>
      <c r="Z1744">
        <v>2</v>
      </c>
      <c r="AB1744">
        <v>41</v>
      </c>
      <c r="AO1744">
        <v>2</v>
      </c>
      <c r="AU1744">
        <v>0</v>
      </c>
      <c r="AW1744">
        <v>1</v>
      </c>
      <c r="AX1744">
        <v>14</v>
      </c>
      <c r="AY1744">
        <v>436</v>
      </c>
      <c r="AZ1744">
        <v>436</v>
      </c>
      <c r="BA1744">
        <v>725</v>
      </c>
      <c r="BB1744">
        <v>44</v>
      </c>
      <c r="BD1744">
        <v>1</v>
      </c>
      <c r="BF1744" t="s">
        <v>1902</v>
      </c>
      <c r="BG1744" s="1">
        <v>44354.261805555558</v>
      </c>
      <c r="BH1744" s="1">
        <v>44354.264189814814</v>
      </c>
      <c r="BI1744" s="1">
        <v>44354.264618055553</v>
      </c>
      <c r="BJ1744" t="s">
        <v>85</v>
      </c>
      <c r="BK1744" t="s">
        <v>86</v>
      </c>
      <c r="BL1744" t="s">
        <v>87</v>
      </c>
    </row>
    <row r="1745" spans="1:64" x14ac:dyDescent="0.3">
      <c r="A1745" t="str">
        <f>"201027B0000"</f>
        <v>201027B0000</v>
      </c>
      <c r="B1745" t="str">
        <f>"201027B00003"</f>
        <v>201027B00003</v>
      </c>
      <c r="C1745" t="str">
        <f t="shared" si="106"/>
        <v>20</v>
      </c>
      <c r="D1745" t="s">
        <v>81</v>
      </c>
      <c r="E1745" t="str">
        <f t="shared" si="103"/>
        <v>182</v>
      </c>
      <c r="F1745" t="s">
        <v>1853</v>
      </c>
      <c r="G1745" t="str">
        <f>"1027"</f>
        <v>1027</v>
      </c>
      <c r="H1745" t="str">
        <f>"0000"</f>
        <v>0000</v>
      </c>
      <c r="I1745" t="s">
        <v>83</v>
      </c>
      <c r="J1745">
        <v>0</v>
      </c>
      <c r="K1745">
        <v>1</v>
      </c>
      <c r="L1745">
        <v>3</v>
      </c>
      <c r="M1745">
        <v>237</v>
      </c>
      <c r="N1745">
        <v>258</v>
      </c>
      <c r="O1745">
        <v>5</v>
      </c>
      <c r="P1745" t="s">
        <v>92</v>
      </c>
      <c r="Q1745">
        <v>3</v>
      </c>
      <c r="R1745">
        <v>58</v>
      </c>
      <c r="S1745">
        <v>1</v>
      </c>
      <c r="T1745">
        <v>1</v>
      </c>
      <c r="U1745">
        <v>1</v>
      </c>
      <c r="V1745">
        <v>35</v>
      </c>
      <c r="W1745">
        <v>6</v>
      </c>
      <c r="X1745">
        <v>58</v>
      </c>
      <c r="Y1745">
        <v>60</v>
      </c>
      <c r="Z1745">
        <v>1</v>
      </c>
      <c r="AB1745">
        <v>25</v>
      </c>
      <c r="AO1745">
        <v>0</v>
      </c>
      <c r="AU1745">
        <v>0</v>
      </c>
      <c r="AW1745" t="s">
        <v>131</v>
      </c>
      <c r="AX1745">
        <v>9</v>
      </c>
      <c r="AY1745">
        <v>258</v>
      </c>
      <c r="AZ1745">
        <v>258</v>
      </c>
      <c r="BA1745">
        <v>451</v>
      </c>
      <c r="BB1745">
        <v>44</v>
      </c>
      <c r="BC1745" t="s">
        <v>96</v>
      </c>
      <c r="BD1745">
        <v>1</v>
      </c>
      <c r="BF1745" t="s">
        <v>1903</v>
      </c>
      <c r="BG1745" s="1">
        <v>44354.095833333333</v>
      </c>
      <c r="BH1745" s="1">
        <v>44354.103425925925</v>
      </c>
      <c r="BI1745" s="1">
        <v>44354.104942129627</v>
      </c>
      <c r="BJ1745" t="s">
        <v>85</v>
      </c>
      <c r="BK1745" t="s">
        <v>86</v>
      </c>
      <c r="BL1745" t="s">
        <v>87</v>
      </c>
    </row>
    <row r="1746" spans="1:64" x14ac:dyDescent="0.3">
      <c r="A1746" t="str">
        <f>"201027C0100"</f>
        <v>201027C0100</v>
      </c>
      <c r="B1746" t="str">
        <f>"201027C01003"</f>
        <v>201027C01003</v>
      </c>
      <c r="C1746" t="str">
        <f t="shared" si="106"/>
        <v>20</v>
      </c>
      <c r="D1746" t="s">
        <v>81</v>
      </c>
      <c r="E1746" t="str">
        <f t="shared" si="103"/>
        <v>182</v>
      </c>
      <c r="F1746" t="s">
        <v>1853</v>
      </c>
      <c r="G1746" t="str">
        <f>"1027"</f>
        <v>1027</v>
      </c>
      <c r="H1746" t="str">
        <f>"0001"</f>
        <v>0001</v>
      </c>
      <c r="I1746" t="s">
        <v>89</v>
      </c>
      <c r="J1746">
        <v>0</v>
      </c>
      <c r="K1746">
        <v>1</v>
      </c>
      <c r="L1746">
        <v>3</v>
      </c>
      <c r="M1746">
        <v>224</v>
      </c>
      <c r="N1746">
        <v>271</v>
      </c>
      <c r="O1746">
        <v>10</v>
      </c>
      <c r="P1746">
        <v>271</v>
      </c>
      <c r="Q1746">
        <v>5</v>
      </c>
      <c r="R1746">
        <v>48</v>
      </c>
      <c r="S1746">
        <v>0</v>
      </c>
      <c r="T1746">
        <v>0</v>
      </c>
      <c r="U1746">
        <v>0</v>
      </c>
      <c r="V1746">
        <v>37</v>
      </c>
      <c r="W1746">
        <v>6</v>
      </c>
      <c r="X1746">
        <v>75</v>
      </c>
      <c r="Y1746">
        <v>68</v>
      </c>
      <c r="Z1746">
        <v>2</v>
      </c>
      <c r="AB1746">
        <v>25</v>
      </c>
      <c r="AO1746">
        <v>1</v>
      </c>
      <c r="AU1746">
        <v>0</v>
      </c>
      <c r="AW1746">
        <v>1</v>
      </c>
      <c r="AX1746">
        <v>4</v>
      </c>
      <c r="AY1746">
        <v>271</v>
      </c>
      <c r="AZ1746">
        <v>272</v>
      </c>
      <c r="BA1746">
        <v>451</v>
      </c>
      <c r="BB1746">
        <v>44</v>
      </c>
      <c r="BD1746">
        <v>1</v>
      </c>
      <c r="BF1746" t="s">
        <v>1904</v>
      </c>
      <c r="BG1746" s="1">
        <v>44354.049305555556</v>
      </c>
      <c r="BH1746" s="1">
        <v>44354.056863425925</v>
      </c>
      <c r="BI1746" s="1">
        <v>44354.057141203702</v>
      </c>
      <c r="BJ1746" t="s">
        <v>85</v>
      </c>
      <c r="BK1746" t="s">
        <v>86</v>
      </c>
      <c r="BL1746" t="s">
        <v>87</v>
      </c>
    </row>
    <row r="1747" spans="1:64" x14ac:dyDescent="0.3">
      <c r="A1747" t="str">
        <f>"201028B0000"</f>
        <v>201028B0000</v>
      </c>
      <c r="B1747" t="str">
        <f>"201028B00003"</f>
        <v>201028B00003</v>
      </c>
      <c r="C1747" t="str">
        <f t="shared" si="106"/>
        <v>20</v>
      </c>
      <c r="D1747" t="s">
        <v>81</v>
      </c>
      <c r="E1747" t="str">
        <f t="shared" si="103"/>
        <v>182</v>
      </c>
      <c r="F1747" t="s">
        <v>1853</v>
      </c>
      <c r="G1747" t="str">
        <f>"1028"</f>
        <v>1028</v>
      </c>
      <c r="H1747" t="str">
        <f>"0000"</f>
        <v>0000</v>
      </c>
      <c r="I1747" t="s">
        <v>83</v>
      </c>
      <c r="J1747">
        <v>0</v>
      </c>
      <c r="K1747">
        <v>1</v>
      </c>
      <c r="L1747">
        <v>3</v>
      </c>
      <c r="M1747">
        <v>299</v>
      </c>
      <c r="N1747">
        <v>287</v>
      </c>
      <c r="O1747">
        <v>9</v>
      </c>
      <c r="P1747">
        <v>287</v>
      </c>
      <c r="Q1747">
        <v>6</v>
      </c>
      <c r="R1747">
        <v>60</v>
      </c>
      <c r="S1747">
        <v>0</v>
      </c>
      <c r="T1747">
        <v>0</v>
      </c>
      <c r="U1747">
        <v>0</v>
      </c>
      <c r="V1747">
        <v>35</v>
      </c>
      <c r="W1747">
        <v>9</v>
      </c>
      <c r="X1747">
        <v>78</v>
      </c>
      <c r="Y1747">
        <v>41</v>
      </c>
      <c r="Z1747">
        <v>1</v>
      </c>
      <c r="AB1747">
        <v>50</v>
      </c>
      <c r="AO1747">
        <v>2</v>
      </c>
      <c r="AU1747">
        <v>0</v>
      </c>
      <c r="AW1747">
        <v>0</v>
      </c>
      <c r="AX1747">
        <v>5</v>
      </c>
      <c r="AY1747">
        <v>287</v>
      </c>
      <c r="AZ1747">
        <v>287</v>
      </c>
      <c r="BA1747">
        <v>543</v>
      </c>
      <c r="BB1747">
        <v>44</v>
      </c>
      <c r="BD1747">
        <v>1</v>
      </c>
      <c r="BF1747" s="2" t="s">
        <v>1905</v>
      </c>
      <c r="BG1747" s="1">
        <v>44354.095833333333</v>
      </c>
      <c r="BH1747" s="1">
        <v>44354.099594907406</v>
      </c>
      <c r="BI1747" s="1">
        <v>44354.099988425929</v>
      </c>
      <c r="BJ1747" t="s">
        <v>85</v>
      </c>
      <c r="BK1747" t="s">
        <v>86</v>
      </c>
      <c r="BL1747" t="s">
        <v>87</v>
      </c>
    </row>
    <row r="1748" spans="1:64" x14ac:dyDescent="0.3">
      <c r="A1748" t="str">
        <f>"201028C0100"</f>
        <v>201028C0100</v>
      </c>
      <c r="B1748" t="str">
        <f>"201028C01003"</f>
        <v>201028C01003</v>
      </c>
      <c r="C1748" t="str">
        <f t="shared" si="106"/>
        <v>20</v>
      </c>
      <c r="D1748" t="s">
        <v>81</v>
      </c>
      <c r="E1748" t="str">
        <f t="shared" si="103"/>
        <v>182</v>
      </c>
      <c r="F1748" t="s">
        <v>1853</v>
      </c>
      <c r="G1748" t="str">
        <f>"1028"</f>
        <v>1028</v>
      </c>
      <c r="H1748" t="str">
        <f>"0001"</f>
        <v>0001</v>
      </c>
      <c r="I1748" t="s">
        <v>89</v>
      </c>
      <c r="J1748">
        <v>0</v>
      </c>
      <c r="K1748">
        <v>1</v>
      </c>
      <c r="L1748">
        <v>3</v>
      </c>
      <c r="M1748" t="s">
        <v>92</v>
      </c>
      <c r="N1748">
        <v>327</v>
      </c>
      <c r="O1748">
        <v>259</v>
      </c>
      <c r="P1748">
        <v>328</v>
      </c>
      <c r="Q1748">
        <v>5</v>
      </c>
      <c r="R1748">
        <v>64</v>
      </c>
      <c r="S1748">
        <v>0</v>
      </c>
      <c r="T1748">
        <v>0</v>
      </c>
      <c r="U1748">
        <v>3</v>
      </c>
      <c r="V1748">
        <v>56</v>
      </c>
      <c r="W1748">
        <v>8</v>
      </c>
      <c r="X1748">
        <v>85</v>
      </c>
      <c r="Y1748">
        <v>46</v>
      </c>
      <c r="Z1748">
        <v>2</v>
      </c>
      <c r="AB1748">
        <v>52</v>
      </c>
      <c r="AO1748">
        <v>5</v>
      </c>
      <c r="AU1748">
        <v>0</v>
      </c>
      <c r="AW1748">
        <v>0</v>
      </c>
      <c r="AX1748">
        <v>2</v>
      </c>
      <c r="AY1748" t="s">
        <v>131</v>
      </c>
      <c r="AZ1748">
        <v>328</v>
      </c>
      <c r="BA1748">
        <v>543</v>
      </c>
      <c r="BB1748">
        <v>44</v>
      </c>
      <c r="BD1748">
        <v>1</v>
      </c>
      <c r="BF1748" t="s">
        <v>1906</v>
      </c>
      <c r="BG1748" s="1">
        <v>44354.097916666666</v>
      </c>
      <c r="BH1748" s="1">
        <v>44354.102824074071</v>
      </c>
      <c r="BI1748" s="1">
        <v>44354.103495370371</v>
      </c>
      <c r="BJ1748" t="s">
        <v>85</v>
      </c>
      <c r="BK1748" t="s">
        <v>86</v>
      </c>
      <c r="BL1748" t="s">
        <v>87</v>
      </c>
    </row>
    <row r="1749" spans="1:64" x14ac:dyDescent="0.3">
      <c r="A1749" t="str">
        <f>"201028S0100"</f>
        <v>201028S0100</v>
      </c>
      <c r="B1749" t="str">
        <f>"201028S01003E"</f>
        <v>201028S01003E</v>
      </c>
      <c r="C1749" t="str">
        <f t="shared" si="106"/>
        <v>20</v>
      </c>
      <c r="D1749" t="s">
        <v>81</v>
      </c>
      <c r="E1749" t="str">
        <f t="shared" si="103"/>
        <v>182</v>
      </c>
      <c r="F1749" t="s">
        <v>1853</v>
      </c>
      <c r="G1749" t="str">
        <f>"1028"</f>
        <v>1028</v>
      </c>
      <c r="H1749" t="str">
        <f>"0001"</f>
        <v>0001</v>
      </c>
      <c r="I1749" t="s">
        <v>99</v>
      </c>
      <c r="J1749">
        <v>0</v>
      </c>
      <c r="K1749">
        <v>1</v>
      </c>
      <c r="L1749" t="s">
        <v>100</v>
      </c>
      <c r="M1749">
        <v>903</v>
      </c>
      <c r="N1749">
        <v>97</v>
      </c>
      <c r="O1749">
        <v>0</v>
      </c>
      <c r="P1749" t="s">
        <v>92</v>
      </c>
      <c r="Q1749">
        <v>0</v>
      </c>
      <c r="R1749">
        <v>7</v>
      </c>
      <c r="S1749">
        <v>0</v>
      </c>
      <c r="T1749">
        <v>1</v>
      </c>
      <c r="U1749">
        <v>1</v>
      </c>
      <c r="V1749">
        <v>6</v>
      </c>
      <c r="W1749">
        <v>2</v>
      </c>
      <c r="X1749">
        <v>30</v>
      </c>
      <c r="Y1749">
        <v>28</v>
      </c>
      <c r="Z1749">
        <v>2</v>
      </c>
      <c r="AB1749">
        <v>18</v>
      </c>
      <c r="AO1749">
        <v>0</v>
      </c>
      <c r="AU1749">
        <v>0</v>
      </c>
      <c r="AW1749">
        <v>0</v>
      </c>
      <c r="AX1749">
        <v>2</v>
      </c>
      <c r="AY1749">
        <v>97</v>
      </c>
      <c r="AZ1749">
        <v>97</v>
      </c>
      <c r="BA1749">
        <v>0</v>
      </c>
      <c r="BB1749">
        <v>44</v>
      </c>
      <c r="BD1749">
        <v>1</v>
      </c>
      <c r="BF1749" t="s">
        <v>1907</v>
      </c>
      <c r="BG1749" s="1">
        <v>44354.093055555553</v>
      </c>
      <c r="BH1749" s="1">
        <v>44354.097488425927</v>
      </c>
      <c r="BI1749" s="1">
        <v>44354.098252314812</v>
      </c>
      <c r="BJ1749" t="s">
        <v>85</v>
      </c>
      <c r="BK1749" t="s">
        <v>86</v>
      </c>
      <c r="BL1749" t="s">
        <v>87</v>
      </c>
    </row>
    <row r="1750" spans="1:64" x14ac:dyDescent="0.3">
      <c r="A1750" t="str">
        <f>"201029B0000"</f>
        <v>201029B0000</v>
      </c>
      <c r="B1750" t="str">
        <f>"201029B00003"</f>
        <v>201029B00003</v>
      </c>
      <c r="C1750" t="str">
        <f t="shared" si="106"/>
        <v>20</v>
      </c>
      <c r="D1750" t="s">
        <v>81</v>
      </c>
      <c r="E1750" t="str">
        <f t="shared" si="103"/>
        <v>182</v>
      </c>
      <c r="F1750" t="s">
        <v>1853</v>
      </c>
      <c r="G1750" t="str">
        <f>"1029"</f>
        <v>1029</v>
      </c>
      <c r="H1750" t="str">
        <f>"0000"</f>
        <v>0000</v>
      </c>
      <c r="I1750" t="s">
        <v>83</v>
      </c>
      <c r="J1750">
        <v>0</v>
      </c>
      <c r="K1750">
        <v>1</v>
      </c>
      <c r="L1750">
        <v>3</v>
      </c>
      <c r="M1750">
        <v>261</v>
      </c>
      <c r="N1750">
        <v>302</v>
      </c>
      <c r="O1750">
        <v>13</v>
      </c>
      <c r="P1750">
        <v>302</v>
      </c>
      <c r="Q1750">
        <v>12</v>
      </c>
      <c r="R1750">
        <v>82</v>
      </c>
      <c r="S1750" t="s">
        <v>95</v>
      </c>
      <c r="T1750" t="s">
        <v>95</v>
      </c>
      <c r="U1750" t="s">
        <v>95</v>
      </c>
      <c r="V1750">
        <v>20</v>
      </c>
      <c r="W1750">
        <v>16</v>
      </c>
      <c r="X1750">
        <v>100</v>
      </c>
      <c r="Y1750">
        <v>33</v>
      </c>
      <c r="Z1750">
        <v>1</v>
      </c>
      <c r="AB1750">
        <v>33</v>
      </c>
      <c r="AO1750">
        <v>2</v>
      </c>
      <c r="AU1750" t="s">
        <v>95</v>
      </c>
      <c r="AW1750" t="s">
        <v>95</v>
      </c>
      <c r="AX1750">
        <v>3</v>
      </c>
      <c r="AY1750">
        <v>302</v>
      </c>
      <c r="AZ1750">
        <v>302</v>
      </c>
      <c r="BA1750">
        <v>519</v>
      </c>
      <c r="BB1750">
        <v>44</v>
      </c>
      <c r="BC1750" t="s">
        <v>96</v>
      </c>
      <c r="BD1750">
        <v>1</v>
      </c>
      <c r="BF1750" t="s">
        <v>1908</v>
      </c>
      <c r="BG1750" s="1">
        <v>44354.063194444447</v>
      </c>
      <c r="BH1750" s="1">
        <v>44354.069907407407</v>
      </c>
      <c r="BI1750" s="1">
        <v>44354.070532407408</v>
      </c>
      <c r="BJ1750" t="s">
        <v>85</v>
      </c>
      <c r="BK1750" t="s">
        <v>86</v>
      </c>
      <c r="BL1750" t="s">
        <v>87</v>
      </c>
    </row>
    <row r="1751" spans="1:64" x14ac:dyDescent="0.3">
      <c r="A1751" t="str">
        <f>"201029C0100"</f>
        <v>201029C0100</v>
      </c>
      <c r="B1751" t="str">
        <f>"201029C01003"</f>
        <v>201029C01003</v>
      </c>
      <c r="C1751" t="str">
        <f t="shared" si="106"/>
        <v>20</v>
      </c>
      <c r="D1751" t="s">
        <v>81</v>
      </c>
      <c r="E1751" t="str">
        <f t="shared" si="103"/>
        <v>182</v>
      </c>
      <c r="F1751" t="s">
        <v>1853</v>
      </c>
      <c r="G1751" t="str">
        <f>"1029"</f>
        <v>1029</v>
      </c>
      <c r="H1751" t="str">
        <f>"0001"</f>
        <v>0001</v>
      </c>
      <c r="I1751" t="s">
        <v>89</v>
      </c>
      <c r="J1751">
        <v>0</v>
      </c>
      <c r="K1751">
        <v>1</v>
      </c>
      <c r="L1751">
        <v>3</v>
      </c>
      <c r="M1751">
        <v>276</v>
      </c>
      <c r="N1751">
        <v>287</v>
      </c>
      <c r="O1751">
        <v>9</v>
      </c>
      <c r="P1751">
        <v>287</v>
      </c>
      <c r="Q1751">
        <v>8</v>
      </c>
      <c r="R1751">
        <v>56</v>
      </c>
      <c r="S1751">
        <v>0</v>
      </c>
      <c r="T1751">
        <v>3</v>
      </c>
      <c r="U1751">
        <v>1</v>
      </c>
      <c r="V1751">
        <v>22</v>
      </c>
      <c r="W1751">
        <v>12</v>
      </c>
      <c r="X1751">
        <v>88</v>
      </c>
      <c r="Y1751">
        <v>31</v>
      </c>
      <c r="Z1751">
        <v>4</v>
      </c>
      <c r="AB1751">
        <v>57</v>
      </c>
      <c r="AO1751">
        <v>2</v>
      </c>
      <c r="AU1751">
        <v>0</v>
      </c>
      <c r="AW1751">
        <v>0</v>
      </c>
      <c r="AX1751">
        <v>3</v>
      </c>
      <c r="AY1751">
        <v>287</v>
      </c>
      <c r="AZ1751">
        <v>287</v>
      </c>
      <c r="BA1751">
        <v>519</v>
      </c>
      <c r="BB1751">
        <v>44</v>
      </c>
      <c r="BD1751">
        <v>1</v>
      </c>
      <c r="BF1751" t="s">
        <v>1909</v>
      </c>
      <c r="BG1751" s="1">
        <v>44354.048611111109</v>
      </c>
      <c r="BH1751" s="1">
        <v>44354.055636574078</v>
      </c>
      <c r="BI1751" s="1">
        <v>44354.05609953704</v>
      </c>
      <c r="BJ1751" t="s">
        <v>85</v>
      </c>
      <c r="BK1751" t="s">
        <v>86</v>
      </c>
      <c r="BL1751" t="s">
        <v>87</v>
      </c>
    </row>
    <row r="1752" spans="1:64" x14ac:dyDescent="0.3">
      <c r="A1752" t="str">
        <f>"201030B0000"</f>
        <v>201030B0000</v>
      </c>
      <c r="B1752" t="str">
        <f>"201030B00003"</f>
        <v>201030B00003</v>
      </c>
      <c r="C1752" t="str">
        <f t="shared" si="106"/>
        <v>20</v>
      </c>
      <c r="D1752" t="s">
        <v>81</v>
      </c>
      <c r="E1752" t="str">
        <f t="shared" si="103"/>
        <v>182</v>
      </c>
      <c r="F1752" t="s">
        <v>1853</v>
      </c>
      <c r="G1752" t="str">
        <f>"1030"</f>
        <v>1030</v>
      </c>
      <c r="H1752" t="str">
        <f>"0000"</f>
        <v>0000</v>
      </c>
      <c r="I1752" t="s">
        <v>83</v>
      </c>
      <c r="J1752">
        <v>0</v>
      </c>
      <c r="K1752">
        <v>1</v>
      </c>
      <c r="L1752">
        <v>3</v>
      </c>
      <c r="M1752">
        <v>228</v>
      </c>
      <c r="N1752">
        <v>240</v>
      </c>
      <c r="O1752">
        <v>9</v>
      </c>
      <c r="P1752">
        <v>240</v>
      </c>
      <c r="Q1752">
        <v>10</v>
      </c>
      <c r="R1752">
        <v>41</v>
      </c>
      <c r="S1752">
        <v>0</v>
      </c>
      <c r="T1752">
        <v>0</v>
      </c>
      <c r="U1752">
        <v>4</v>
      </c>
      <c r="V1752">
        <v>24</v>
      </c>
      <c r="W1752">
        <v>5</v>
      </c>
      <c r="X1752">
        <v>90</v>
      </c>
      <c r="Y1752">
        <v>24</v>
      </c>
      <c r="Z1752">
        <v>0</v>
      </c>
      <c r="AB1752">
        <v>38</v>
      </c>
      <c r="AO1752">
        <v>1</v>
      </c>
      <c r="AU1752">
        <v>0</v>
      </c>
      <c r="AW1752">
        <v>0</v>
      </c>
      <c r="AX1752">
        <v>3</v>
      </c>
      <c r="AY1752">
        <v>240</v>
      </c>
      <c r="AZ1752">
        <v>240</v>
      </c>
      <c r="BA1752">
        <v>424</v>
      </c>
      <c r="BB1752">
        <v>44</v>
      </c>
      <c r="BD1752">
        <v>1</v>
      </c>
      <c r="BF1752" t="s">
        <v>1910</v>
      </c>
      <c r="BG1752" s="1">
        <v>44354.054166666669</v>
      </c>
      <c r="BH1752" s="1">
        <v>44354.060972222222</v>
      </c>
      <c r="BI1752" s="1">
        <v>44354.06145833333</v>
      </c>
      <c r="BJ1752" t="s">
        <v>85</v>
      </c>
      <c r="BK1752" t="s">
        <v>86</v>
      </c>
      <c r="BL1752" t="s">
        <v>87</v>
      </c>
    </row>
    <row r="1753" spans="1:64" x14ac:dyDescent="0.3">
      <c r="A1753" t="str">
        <f>"201030C0100"</f>
        <v>201030C0100</v>
      </c>
      <c r="B1753" t="str">
        <f>"201030C01003"</f>
        <v>201030C01003</v>
      </c>
      <c r="C1753" t="str">
        <f t="shared" si="106"/>
        <v>20</v>
      </c>
      <c r="D1753" t="s">
        <v>81</v>
      </c>
      <c r="E1753" t="str">
        <f t="shared" si="103"/>
        <v>182</v>
      </c>
      <c r="F1753" t="s">
        <v>1853</v>
      </c>
      <c r="G1753" t="str">
        <f>"1030"</f>
        <v>1030</v>
      </c>
      <c r="H1753" t="str">
        <f>"0001"</f>
        <v>0001</v>
      </c>
      <c r="I1753" t="s">
        <v>89</v>
      </c>
      <c r="J1753">
        <v>0</v>
      </c>
      <c r="K1753">
        <v>1</v>
      </c>
      <c r="L1753">
        <v>3</v>
      </c>
      <c r="M1753" t="s">
        <v>92</v>
      </c>
      <c r="N1753" t="s">
        <v>92</v>
      </c>
      <c r="O1753" t="s">
        <v>92</v>
      </c>
      <c r="P1753" t="s">
        <v>92</v>
      </c>
      <c r="Q1753">
        <v>8</v>
      </c>
      <c r="R1753">
        <v>48</v>
      </c>
      <c r="S1753">
        <v>0</v>
      </c>
      <c r="T1753">
        <v>0</v>
      </c>
      <c r="U1753">
        <v>1</v>
      </c>
      <c r="V1753">
        <v>14</v>
      </c>
      <c r="W1753">
        <v>11</v>
      </c>
      <c r="X1753">
        <v>79</v>
      </c>
      <c r="Y1753">
        <v>36</v>
      </c>
      <c r="Z1753">
        <v>1</v>
      </c>
      <c r="AB1753">
        <v>33</v>
      </c>
      <c r="AO1753">
        <v>1</v>
      </c>
      <c r="AU1753">
        <v>0</v>
      </c>
      <c r="AW1753">
        <v>0</v>
      </c>
      <c r="AX1753">
        <v>7</v>
      </c>
      <c r="AY1753">
        <v>239</v>
      </c>
      <c r="AZ1753">
        <v>239</v>
      </c>
      <c r="BA1753">
        <v>423</v>
      </c>
      <c r="BB1753">
        <v>44</v>
      </c>
      <c r="BD1753">
        <v>1</v>
      </c>
      <c r="BF1753" t="s">
        <v>1911</v>
      </c>
      <c r="BG1753" s="1">
        <v>44354.052777777775</v>
      </c>
      <c r="BH1753" s="1">
        <v>44354.059699074074</v>
      </c>
      <c r="BI1753" s="1">
        <v>44354.060254629629</v>
      </c>
      <c r="BJ1753" t="s">
        <v>85</v>
      </c>
      <c r="BK1753" t="s">
        <v>86</v>
      </c>
      <c r="BL1753" t="s">
        <v>87</v>
      </c>
    </row>
    <row r="1754" spans="1:64" x14ac:dyDescent="0.3">
      <c r="A1754" t="str">
        <f>"201031B0000"</f>
        <v>201031B0000</v>
      </c>
      <c r="B1754" t="str">
        <f>"201031B00003"</f>
        <v>201031B00003</v>
      </c>
      <c r="C1754" t="str">
        <f t="shared" si="106"/>
        <v>20</v>
      </c>
      <c r="D1754" t="s">
        <v>81</v>
      </c>
      <c r="E1754" t="str">
        <f t="shared" si="103"/>
        <v>182</v>
      </c>
      <c r="F1754" t="s">
        <v>1853</v>
      </c>
      <c r="G1754" t="str">
        <f>"1031"</f>
        <v>1031</v>
      </c>
      <c r="H1754" t="str">
        <f>"0000"</f>
        <v>0000</v>
      </c>
      <c r="I1754" t="s">
        <v>83</v>
      </c>
      <c r="J1754">
        <v>0</v>
      </c>
      <c r="K1754">
        <v>1</v>
      </c>
      <c r="L1754">
        <v>3</v>
      </c>
      <c r="M1754">
        <v>309</v>
      </c>
      <c r="N1754">
        <v>319</v>
      </c>
      <c r="O1754">
        <v>4</v>
      </c>
      <c r="P1754" t="s">
        <v>92</v>
      </c>
      <c r="Q1754">
        <v>6</v>
      </c>
      <c r="R1754">
        <v>50</v>
      </c>
      <c r="S1754">
        <v>1</v>
      </c>
      <c r="T1754">
        <v>1</v>
      </c>
      <c r="U1754">
        <v>3</v>
      </c>
      <c r="V1754">
        <v>40</v>
      </c>
      <c r="W1754">
        <v>10</v>
      </c>
      <c r="X1754">
        <v>114</v>
      </c>
      <c r="Y1754">
        <v>34</v>
      </c>
      <c r="Z1754">
        <v>2</v>
      </c>
      <c r="AB1754">
        <v>53</v>
      </c>
      <c r="AO1754">
        <v>0</v>
      </c>
      <c r="AU1754">
        <v>0</v>
      </c>
      <c r="AW1754">
        <v>0</v>
      </c>
      <c r="AX1754">
        <v>6</v>
      </c>
      <c r="AY1754">
        <v>320</v>
      </c>
      <c r="AZ1754">
        <v>320</v>
      </c>
      <c r="BA1754">
        <v>584</v>
      </c>
      <c r="BB1754">
        <v>44</v>
      </c>
      <c r="BD1754">
        <v>1</v>
      </c>
      <c r="BF1754" t="s">
        <v>1912</v>
      </c>
      <c r="BG1754" s="1">
        <v>44354.070833333331</v>
      </c>
      <c r="BH1754" s="1">
        <v>44354.077534722222</v>
      </c>
      <c r="BI1754" s="1">
        <v>44354.077986111108</v>
      </c>
      <c r="BJ1754" t="s">
        <v>85</v>
      </c>
      <c r="BK1754" t="s">
        <v>86</v>
      </c>
      <c r="BL1754" t="s">
        <v>87</v>
      </c>
    </row>
    <row r="1755" spans="1:64" x14ac:dyDescent="0.3">
      <c r="A1755" t="str">
        <f>"201031C0100"</f>
        <v>201031C0100</v>
      </c>
      <c r="B1755" t="str">
        <f>"201031C01003"</f>
        <v>201031C01003</v>
      </c>
      <c r="C1755" t="str">
        <f t="shared" si="106"/>
        <v>20</v>
      </c>
      <c r="D1755" t="s">
        <v>81</v>
      </c>
      <c r="E1755" t="str">
        <f t="shared" si="103"/>
        <v>182</v>
      </c>
      <c r="F1755" t="s">
        <v>1853</v>
      </c>
      <c r="G1755" t="str">
        <f>"1031"</f>
        <v>1031</v>
      </c>
      <c r="H1755" t="str">
        <f>"0001"</f>
        <v>0001</v>
      </c>
      <c r="I1755" t="s">
        <v>89</v>
      </c>
      <c r="J1755">
        <v>0</v>
      </c>
      <c r="K1755">
        <v>1</v>
      </c>
      <c r="L1755">
        <v>3</v>
      </c>
      <c r="M1755">
        <v>282</v>
      </c>
      <c r="N1755">
        <v>345</v>
      </c>
      <c r="O1755">
        <v>3</v>
      </c>
      <c r="P1755">
        <v>345</v>
      </c>
      <c r="Q1755">
        <v>11</v>
      </c>
      <c r="R1755">
        <v>57</v>
      </c>
      <c r="S1755">
        <v>1</v>
      </c>
      <c r="T1755">
        <v>0</v>
      </c>
      <c r="U1755">
        <v>3</v>
      </c>
      <c r="V1755">
        <v>51</v>
      </c>
      <c r="W1755">
        <v>11</v>
      </c>
      <c r="X1755">
        <v>129</v>
      </c>
      <c r="Y1755">
        <v>30</v>
      </c>
      <c r="Z1755">
        <v>6</v>
      </c>
      <c r="AB1755">
        <v>42</v>
      </c>
      <c r="AO1755">
        <v>2</v>
      </c>
      <c r="AU1755">
        <v>0</v>
      </c>
      <c r="AW1755">
        <v>0</v>
      </c>
      <c r="AX1755">
        <v>2</v>
      </c>
      <c r="AY1755">
        <v>345</v>
      </c>
      <c r="AZ1755">
        <v>345</v>
      </c>
      <c r="BA1755">
        <v>583</v>
      </c>
      <c r="BB1755">
        <v>44</v>
      </c>
      <c r="BD1755">
        <v>1</v>
      </c>
      <c r="BF1755" t="s">
        <v>1913</v>
      </c>
      <c r="BG1755" s="1">
        <v>44354.072916666664</v>
      </c>
      <c r="BH1755" s="1">
        <v>44354.080891203703</v>
      </c>
      <c r="BI1755" s="1">
        <v>44354.081643518519</v>
      </c>
      <c r="BJ1755" t="s">
        <v>85</v>
      </c>
      <c r="BK1755" t="s">
        <v>86</v>
      </c>
      <c r="BL1755" t="s">
        <v>87</v>
      </c>
    </row>
    <row r="1756" spans="1:64" x14ac:dyDescent="0.3">
      <c r="A1756" t="str">
        <f>"201032B0000"</f>
        <v>201032B0000</v>
      </c>
      <c r="B1756" t="str">
        <f>"201032B00003"</f>
        <v>201032B00003</v>
      </c>
      <c r="C1756" t="str">
        <f t="shared" si="106"/>
        <v>20</v>
      </c>
      <c r="D1756" t="s">
        <v>81</v>
      </c>
      <c r="E1756" t="str">
        <f t="shared" si="103"/>
        <v>182</v>
      </c>
      <c r="F1756" t="s">
        <v>1853</v>
      </c>
      <c r="G1756" t="str">
        <f>"1032"</f>
        <v>1032</v>
      </c>
      <c r="H1756" t="str">
        <f>"0000"</f>
        <v>0000</v>
      </c>
      <c r="I1756" t="s">
        <v>83</v>
      </c>
      <c r="J1756">
        <v>0</v>
      </c>
      <c r="K1756">
        <v>1</v>
      </c>
      <c r="L1756">
        <v>3</v>
      </c>
      <c r="M1756">
        <v>227</v>
      </c>
      <c r="N1756">
        <v>212</v>
      </c>
      <c r="O1756">
        <v>3</v>
      </c>
      <c r="P1756">
        <v>212</v>
      </c>
      <c r="Q1756">
        <v>6</v>
      </c>
      <c r="R1756">
        <v>28</v>
      </c>
      <c r="S1756">
        <v>0</v>
      </c>
      <c r="T1756">
        <v>1</v>
      </c>
      <c r="U1756">
        <v>2</v>
      </c>
      <c r="V1756">
        <v>41</v>
      </c>
      <c r="W1756">
        <v>3</v>
      </c>
      <c r="X1756">
        <v>52</v>
      </c>
      <c r="Y1756">
        <v>64</v>
      </c>
      <c r="Z1756">
        <v>0</v>
      </c>
      <c r="AB1756">
        <v>12</v>
      </c>
      <c r="AO1756">
        <v>0</v>
      </c>
      <c r="AU1756">
        <v>0</v>
      </c>
      <c r="AW1756">
        <v>0</v>
      </c>
      <c r="AX1756">
        <v>3</v>
      </c>
      <c r="AY1756">
        <v>212</v>
      </c>
      <c r="AZ1756">
        <v>212</v>
      </c>
      <c r="BA1756">
        <v>395</v>
      </c>
      <c r="BB1756">
        <v>44</v>
      </c>
      <c r="BD1756">
        <v>1</v>
      </c>
      <c r="BF1756" t="s">
        <v>1914</v>
      </c>
      <c r="BG1756" s="1">
        <v>44353.956944444442</v>
      </c>
      <c r="BH1756" s="1">
        <v>44353.959363425929</v>
      </c>
      <c r="BI1756" s="1">
        <v>44353.96020833333</v>
      </c>
      <c r="BJ1756" t="s">
        <v>85</v>
      </c>
      <c r="BK1756" t="s">
        <v>86</v>
      </c>
      <c r="BL1756" t="s">
        <v>87</v>
      </c>
    </row>
    <row r="1757" spans="1:64" x14ac:dyDescent="0.3">
      <c r="A1757" t="str">
        <f>"201032C0100"</f>
        <v>201032C0100</v>
      </c>
      <c r="B1757" t="str">
        <f>"201032C01003"</f>
        <v>201032C01003</v>
      </c>
      <c r="C1757" t="str">
        <f t="shared" si="106"/>
        <v>20</v>
      </c>
      <c r="D1757" t="s">
        <v>81</v>
      </c>
      <c r="E1757" t="str">
        <f t="shared" si="103"/>
        <v>182</v>
      </c>
      <c r="F1757" t="s">
        <v>1853</v>
      </c>
      <c r="G1757" t="str">
        <f>"1032"</f>
        <v>1032</v>
      </c>
      <c r="H1757" t="str">
        <f>"0001"</f>
        <v>0001</v>
      </c>
      <c r="I1757" t="s">
        <v>89</v>
      </c>
      <c r="J1757">
        <v>0</v>
      </c>
      <c r="K1757">
        <v>1</v>
      </c>
      <c r="L1757">
        <v>3</v>
      </c>
      <c r="M1757">
        <v>191</v>
      </c>
      <c r="N1757">
        <v>248</v>
      </c>
      <c r="O1757">
        <v>7</v>
      </c>
      <c r="P1757">
        <v>248</v>
      </c>
      <c r="Q1757">
        <v>7</v>
      </c>
      <c r="R1757">
        <v>45</v>
      </c>
      <c r="S1757">
        <v>0</v>
      </c>
      <c r="T1757">
        <v>1</v>
      </c>
      <c r="U1757">
        <v>1</v>
      </c>
      <c r="V1757">
        <v>41</v>
      </c>
      <c r="W1757">
        <v>4</v>
      </c>
      <c r="X1757">
        <v>67</v>
      </c>
      <c r="Y1757">
        <v>54</v>
      </c>
      <c r="Z1757">
        <v>1</v>
      </c>
      <c r="AB1757">
        <v>22</v>
      </c>
      <c r="AO1757">
        <v>1</v>
      </c>
      <c r="AU1757">
        <v>0</v>
      </c>
      <c r="AW1757">
        <v>0</v>
      </c>
      <c r="AX1757">
        <v>4</v>
      </c>
      <c r="AY1757">
        <v>248</v>
      </c>
      <c r="AZ1757">
        <v>248</v>
      </c>
      <c r="BA1757">
        <v>395</v>
      </c>
      <c r="BB1757">
        <v>44</v>
      </c>
      <c r="BD1757">
        <v>1</v>
      </c>
      <c r="BF1757" t="s">
        <v>1915</v>
      </c>
      <c r="BG1757" s="1">
        <v>44353.955555555556</v>
      </c>
      <c r="BH1757" s="1">
        <v>44353.95988425926</v>
      </c>
      <c r="BI1757" s="1">
        <v>44353.960300925923</v>
      </c>
      <c r="BJ1757" t="s">
        <v>85</v>
      </c>
      <c r="BK1757" t="s">
        <v>86</v>
      </c>
      <c r="BL1757" t="s">
        <v>87</v>
      </c>
    </row>
    <row r="1758" spans="1:64" x14ac:dyDescent="0.3">
      <c r="A1758" t="str">
        <f>"201033B0000"</f>
        <v>201033B0000</v>
      </c>
      <c r="B1758" t="str">
        <f>"201033B00003"</f>
        <v>201033B00003</v>
      </c>
      <c r="C1758" t="str">
        <f t="shared" si="106"/>
        <v>20</v>
      </c>
      <c r="D1758" t="s">
        <v>81</v>
      </c>
      <c r="E1758" t="str">
        <f t="shared" si="103"/>
        <v>182</v>
      </c>
      <c r="F1758" t="s">
        <v>1853</v>
      </c>
      <c r="G1758" t="str">
        <f>"1033"</f>
        <v>1033</v>
      </c>
      <c r="H1758" t="str">
        <f>"0000"</f>
        <v>0000</v>
      </c>
      <c r="I1758" t="s">
        <v>83</v>
      </c>
      <c r="J1758">
        <v>0</v>
      </c>
      <c r="K1758">
        <v>1</v>
      </c>
      <c r="L1758">
        <v>3</v>
      </c>
      <c r="M1758">
        <v>356</v>
      </c>
      <c r="N1758">
        <v>359</v>
      </c>
      <c r="O1758">
        <v>10</v>
      </c>
      <c r="P1758">
        <v>357</v>
      </c>
      <c r="Q1758">
        <v>1</v>
      </c>
      <c r="R1758">
        <v>32</v>
      </c>
      <c r="S1758">
        <v>1</v>
      </c>
      <c r="T1758">
        <v>3</v>
      </c>
      <c r="U1758">
        <v>5</v>
      </c>
      <c r="V1758">
        <v>57</v>
      </c>
      <c r="W1758">
        <v>7</v>
      </c>
      <c r="X1758">
        <v>124</v>
      </c>
      <c r="Y1758">
        <v>62</v>
      </c>
      <c r="Z1758">
        <v>1</v>
      </c>
      <c r="AB1758">
        <v>42</v>
      </c>
      <c r="AO1758">
        <v>1</v>
      </c>
      <c r="AU1758">
        <v>0</v>
      </c>
      <c r="AW1758">
        <v>0</v>
      </c>
      <c r="AX1758">
        <v>21</v>
      </c>
      <c r="AY1758">
        <v>357</v>
      </c>
      <c r="AZ1758">
        <v>357</v>
      </c>
      <c r="BA1758">
        <v>671</v>
      </c>
      <c r="BB1758">
        <v>44</v>
      </c>
      <c r="BD1758">
        <v>1</v>
      </c>
      <c r="BF1758" t="s">
        <v>1916</v>
      </c>
      <c r="BG1758" s="1">
        <v>44354.272222222222</v>
      </c>
      <c r="BH1758" s="1">
        <v>44354.275914351849</v>
      </c>
      <c r="BI1758" s="1">
        <v>44354.276469907411</v>
      </c>
      <c r="BJ1758" t="s">
        <v>85</v>
      </c>
      <c r="BK1758" t="s">
        <v>86</v>
      </c>
      <c r="BL1758" t="s">
        <v>87</v>
      </c>
    </row>
    <row r="1759" spans="1:64" x14ac:dyDescent="0.3">
      <c r="A1759" t="str">
        <f>"201033C0100"</f>
        <v>201033C0100</v>
      </c>
      <c r="B1759" t="str">
        <f>"201033C01003"</f>
        <v>201033C01003</v>
      </c>
      <c r="C1759" t="str">
        <f t="shared" si="106"/>
        <v>20</v>
      </c>
      <c r="D1759" t="s">
        <v>81</v>
      </c>
      <c r="E1759" t="str">
        <f t="shared" si="103"/>
        <v>182</v>
      </c>
      <c r="F1759" t="s">
        <v>1853</v>
      </c>
      <c r="G1759" t="str">
        <f>"1033"</f>
        <v>1033</v>
      </c>
      <c r="H1759" t="str">
        <f>"0001"</f>
        <v>0001</v>
      </c>
      <c r="I1759" t="s">
        <v>89</v>
      </c>
      <c r="J1759">
        <v>0</v>
      </c>
      <c r="K1759">
        <v>1</v>
      </c>
      <c r="L1759">
        <v>3</v>
      </c>
      <c r="M1759">
        <v>324</v>
      </c>
      <c r="N1759">
        <v>391</v>
      </c>
      <c r="O1759">
        <v>6</v>
      </c>
      <c r="P1759" t="s">
        <v>92</v>
      </c>
      <c r="Q1759">
        <v>7</v>
      </c>
      <c r="R1759">
        <v>39</v>
      </c>
      <c r="S1759">
        <v>7</v>
      </c>
      <c r="T1759">
        <v>1</v>
      </c>
      <c r="U1759">
        <v>4</v>
      </c>
      <c r="V1759">
        <v>55</v>
      </c>
      <c r="W1759">
        <v>5</v>
      </c>
      <c r="X1759">
        <v>156</v>
      </c>
      <c r="Y1759">
        <v>73</v>
      </c>
      <c r="Z1759">
        <v>5</v>
      </c>
      <c r="AB1759">
        <v>38</v>
      </c>
      <c r="AO1759">
        <v>7</v>
      </c>
      <c r="AU1759" t="s">
        <v>95</v>
      </c>
      <c r="AW1759" t="s">
        <v>95</v>
      </c>
      <c r="AX1759">
        <v>6</v>
      </c>
      <c r="AY1759">
        <v>391</v>
      </c>
      <c r="AZ1759">
        <v>403</v>
      </c>
      <c r="BA1759">
        <v>670</v>
      </c>
      <c r="BB1759">
        <v>44</v>
      </c>
      <c r="BC1759" t="s">
        <v>96</v>
      </c>
      <c r="BD1759">
        <v>1</v>
      </c>
      <c r="BF1759" s="2" t="s">
        <v>1917</v>
      </c>
      <c r="BG1759" s="1">
        <v>44354.272916666669</v>
      </c>
      <c r="BH1759" s="1">
        <v>44354.282268518517</v>
      </c>
      <c r="BI1759" s="1">
        <v>44354.282743055555</v>
      </c>
      <c r="BJ1759" t="s">
        <v>85</v>
      </c>
      <c r="BK1759" t="s">
        <v>86</v>
      </c>
      <c r="BL1759" t="s">
        <v>87</v>
      </c>
    </row>
    <row r="1760" spans="1:64" x14ac:dyDescent="0.3">
      <c r="A1760" t="str">
        <f>"201034B0000"</f>
        <v>201034B0000</v>
      </c>
      <c r="B1760" t="str">
        <f>"201034B00003"</f>
        <v>201034B00003</v>
      </c>
      <c r="C1760" t="str">
        <f t="shared" si="106"/>
        <v>20</v>
      </c>
      <c r="D1760" t="s">
        <v>81</v>
      </c>
      <c r="E1760" t="str">
        <f t="shared" si="103"/>
        <v>182</v>
      </c>
      <c r="F1760" t="s">
        <v>1853</v>
      </c>
      <c r="G1760" t="str">
        <f t="shared" ref="G1760:G1766" si="107">"1034"</f>
        <v>1034</v>
      </c>
      <c r="H1760" t="str">
        <f>"0000"</f>
        <v>0000</v>
      </c>
      <c r="I1760" t="s">
        <v>83</v>
      </c>
      <c r="J1760">
        <v>0</v>
      </c>
      <c r="K1760">
        <v>1</v>
      </c>
      <c r="L1760">
        <v>3</v>
      </c>
      <c r="M1760">
        <v>271</v>
      </c>
      <c r="N1760">
        <v>369</v>
      </c>
      <c r="O1760">
        <v>12</v>
      </c>
      <c r="P1760">
        <v>376</v>
      </c>
      <c r="Q1760">
        <v>3</v>
      </c>
      <c r="R1760">
        <v>33</v>
      </c>
      <c r="S1760">
        <v>1</v>
      </c>
      <c r="T1760">
        <v>0</v>
      </c>
      <c r="U1760">
        <v>2</v>
      </c>
      <c r="V1760">
        <v>62</v>
      </c>
      <c r="W1760">
        <v>5</v>
      </c>
      <c r="X1760">
        <v>161</v>
      </c>
      <c r="Y1760">
        <v>57</v>
      </c>
      <c r="Z1760">
        <v>4</v>
      </c>
      <c r="AB1760">
        <v>36</v>
      </c>
      <c r="AO1760">
        <v>4</v>
      </c>
      <c r="AU1760">
        <v>0</v>
      </c>
      <c r="AW1760">
        <v>0</v>
      </c>
      <c r="AX1760">
        <v>8</v>
      </c>
      <c r="AY1760">
        <v>376</v>
      </c>
      <c r="AZ1760">
        <v>376</v>
      </c>
      <c r="BA1760">
        <v>603</v>
      </c>
      <c r="BB1760">
        <v>44</v>
      </c>
      <c r="BD1760">
        <v>1</v>
      </c>
      <c r="BF1760" t="s">
        <v>1918</v>
      </c>
      <c r="BG1760" s="1">
        <v>44354.25277777778</v>
      </c>
      <c r="BH1760" s="1">
        <v>44354.255694444444</v>
      </c>
      <c r="BI1760" s="1">
        <v>44354.256249999999</v>
      </c>
      <c r="BJ1760" t="s">
        <v>85</v>
      </c>
      <c r="BK1760" t="s">
        <v>86</v>
      </c>
      <c r="BL1760" t="s">
        <v>87</v>
      </c>
    </row>
    <row r="1761" spans="1:64" x14ac:dyDescent="0.3">
      <c r="A1761" t="str">
        <f>"201034C0100"</f>
        <v>201034C0100</v>
      </c>
      <c r="B1761" t="str">
        <f>"201034C01003"</f>
        <v>201034C01003</v>
      </c>
      <c r="C1761" t="str">
        <f t="shared" si="106"/>
        <v>20</v>
      </c>
      <c r="D1761" t="s">
        <v>81</v>
      </c>
      <c r="E1761" t="str">
        <f t="shared" ref="E1761:E1824" si="108">"182"</f>
        <v>182</v>
      </c>
      <c r="F1761" t="s">
        <v>1853</v>
      </c>
      <c r="G1761" t="str">
        <f t="shared" si="107"/>
        <v>1034</v>
      </c>
      <c r="H1761" t="str">
        <f>"0001"</f>
        <v>0001</v>
      </c>
      <c r="I1761" t="s">
        <v>89</v>
      </c>
      <c r="J1761">
        <v>0</v>
      </c>
      <c r="K1761">
        <v>1</v>
      </c>
      <c r="L1761">
        <v>3</v>
      </c>
      <c r="M1761">
        <v>264</v>
      </c>
      <c r="N1761">
        <v>379</v>
      </c>
      <c r="O1761">
        <v>11</v>
      </c>
      <c r="P1761">
        <v>386</v>
      </c>
      <c r="Q1761">
        <v>8</v>
      </c>
      <c r="R1761">
        <v>60</v>
      </c>
      <c r="S1761">
        <v>1</v>
      </c>
      <c r="T1761">
        <v>0</v>
      </c>
      <c r="U1761">
        <v>4</v>
      </c>
      <c r="V1761">
        <v>61</v>
      </c>
      <c r="W1761">
        <v>7</v>
      </c>
      <c r="X1761">
        <v>149</v>
      </c>
      <c r="Y1761">
        <v>58</v>
      </c>
      <c r="Z1761">
        <v>4</v>
      </c>
      <c r="AB1761">
        <v>30</v>
      </c>
      <c r="AO1761">
        <v>1</v>
      </c>
      <c r="AU1761">
        <v>0</v>
      </c>
      <c r="AW1761">
        <v>0</v>
      </c>
      <c r="AX1761">
        <v>3</v>
      </c>
      <c r="AY1761">
        <v>386</v>
      </c>
      <c r="AZ1761">
        <v>386</v>
      </c>
      <c r="BA1761">
        <v>602</v>
      </c>
      <c r="BB1761">
        <v>44</v>
      </c>
      <c r="BD1761">
        <v>1</v>
      </c>
      <c r="BF1761" t="s">
        <v>1919</v>
      </c>
      <c r="BG1761" s="1">
        <v>44354.21875</v>
      </c>
      <c r="BH1761" s="1">
        <v>44354.221608796295</v>
      </c>
      <c r="BI1761" s="1">
        <v>44354.222418981481</v>
      </c>
      <c r="BJ1761" t="s">
        <v>85</v>
      </c>
      <c r="BK1761" t="s">
        <v>86</v>
      </c>
      <c r="BL1761" t="s">
        <v>87</v>
      </c>
    </row>
    <row r="1762" spans="1:64" x14ac:dyDescent="0.3">
      <c r="A1762" t="str">
        <f>"201034C0200"</f>
        <v>201034C0200</v>
      </c>
      <c r="B1762" t="str">
        <f>"201034C02003"</f>
        <v>201034C02003</v>
      </c>
      <c r="C1762" t="str">
        <f t="shared" si="106"/>
        <v>20</v>
      </c>
      <c r="D1762" t="s">
        <v>81</v>
      </c>
      <c r="E1762" t="str">
        <f t="shared" si="108"/>
        <v>182</v>
      </c>
      <c r="F1762" t="s">
        <v>1853</v>
      </c>
      <c r="G1762" t="str">
        <f t="shared" si="107"/>
        <v>1034</v>
      </c>
      <c r="H1762" t="str">
        <f>"0002"</f>
        <v>0002</v>
      </c>
      <c r="I1762" t="s">
        <v>89</v>
      </c>
      <c r="J1762">
        <v>0</v>
      </c>
      <c r="K1762">
        <v>1</v>
      </c>
      <c r="L1762">
        <v>3</v>
      </c>
      <c r="M1762">
        <v>316</v>
      </c>
      <c r="N1762">
        <v>330</v>
      </c>
      <c r="O1762">
        <v>15</v>
      </c>
      <c r="P1762">
        <v>332</v>
      </c>
      <c r="Q1762">
        <v>6</v>
      </c>
      <c r="R1762">
        <v>26</v>
      </c>
      <c r="S1762">
        <v>0</v>
      </c>
      <c r="T1762">
        <v>0</v>
      </c>
      <c r="U1762">
        <v>52</v>
      </c>
      <c r="V1762">
        <v>5</v>
      </c>
      <c r="W1762">
        <v>5</v>
      </c>
      <c r="X1762">
        <v>165</v>
      </c>
      <c r="Y1762">
        <v>46</v>
      </c>
      <c r="Z1762">
        <v>0</v>
      </c>
      <c r="AB1762">
        <v>23</v>
      </c>
      <c r="AO1762">
        <v>3</v>
      </c>
      <c r="AU1762">
        <v>0</v>
      </c>
      <c r="AW1762">
        <v>0</v>
      </c>
      <c r="AX1762">
        <v>6</v>
      </c>
      <c r="AY1762">
        <v>332</v>
      </c>
      <c r="AZ1762">
        <v>337</v>
      </c>
      <c r="BA1762">
        <v>602</v>
      </c>
      <c r="BB1762">
        <v>44</v>
      </c>
      <c r="BD1762">
        <v>1</v>
      </c>
      <c r="BF1762" t="s">
        <v>1920</v>
      </c>
      <c r="BG1762" s="1">
        <v>44354.036805555559</v>
      </c>
      <c r="BH1762" s="1">
        <v>44354.048425925925</v>
      </c>
      <c r="BI1762" s="1">
        <v>44354.049502314818</v>
      </c>
      <c r="BJ1762" t="s">
        <v>85</v>
      </c>
      <c r="BK1762" t="s">
        <v>86</v>
      </c>
      <c r="BL1762" t="s">
        <v>87</v>
      </c>
    </row>
    <row r="1763" spans="1:64" x14ac:dyDescent="0.3">
      <c r="A1763" t="str">
        <f>"201034E0100"</f>
        <v>201034E0100</v>
      </c>
      <c r="B1763" t="str">
        <f>"201034E01003"</f>
        <v>201034E01003</v>
      </c>
      <c r="C1763" t="str">
        <f t="shared" si="106"/>
        <v>20</v>
      </c>
      <c r="D1763" t="s">
        <v>81</v>
      </c>
      <c r="E1763" t="str">
        <f t="shared" si="108"/>
        <v>182</v>
      </c>
      <c r="F1763" t="s">
        <v>1853</v>
      </c>
      <c r="G1763" t="str">
        <f t="shared" si="107"/>
        <v>1034</v>
      </c>
      <c r="H1763" t="str">
        <f>"0001"</f>
        <v>0001</v>
      </c>
      <c r="I1763" t="s">
        <v>122</v>
      </c>
      <c r="J1763">
        <v>0</v>
      </c>
      <c r="K1763">
        <v>1</v>
      </c>
      <c r="L1763">
        <v>3</v>
      </c>
      <c r="M1763">
        <v>364</v>
      </c>
      <c r="N1763">
        <v>372</v>
      </c>
      <c r="O1763">
        <v>13</v>
      </c>
      <c r="P1763" t="s">
        <v>92</v>
      </c>
      <c r="Q1763">
        <v>5</v>
      </c>
      <c r="R1763">
        <v>31</v>
      </c>
      <c r="S1763">
        <v>1</v>
      </c>
      <c r="T1763">
        <v>1</v>
      </c>
      <c r="U1763">
        <v>9</v>
      </c>
      <c r="V1763">
        <v>65</v>
      </c>
      <c r="W1763">
        <v>2</v>
      </c>
      <c r="X1763">
        <v>127</v>
      </c>
      <c r="Y1763">
        <v>69</v>
      </c>
      <c r="Z1763">
        <v>2</v>
      </c>
      <c r="AB1763">
        <v>50</v>
      </c>
      <c r="AO1763" t="s">
        <v>95</v>
      </c>
      <c r="AU1763" t="s">
        <v>95</v>
      </c>
      <c r="AW1763" t="s">
        <v>95</v>
      </c>
      <c r="AX1763">
        <v>6</v>
      </c>
      <c r="AY1763">
        <v>372</v>
      </c>
      <c r="AZ1763">
        <v>368</v>
      </c>
      <c r="BA1763">
        <v>699</v>
      </c>
      <c r="BB1763">
        <v>44</v>
      </c>
      <c r="BC1763" t="s">
        <v>96</v>
      </c>
      <c r="BD1763">
        <v>1</v>
      </c>
      <c r="BF1763" t="s">
        <v>1921</v>
      </c>
      <c r="BG1763" s="1">
        <v>44354.022222222222</v>
      </c>
      <c r="BH1763" s="1">
        <v>44354.030740740738</v>
      </c>
      <c r="BI1763" s="1">
        <v>44354.031261574077</v>
      </c>
      <c r="BJ1763" t="s">
        <v>85</v>
      </c>
      <c r="BK1763" t="s">
        <v>86</v>
      </c>
      <c r="BL1763" t="s">
        <v>87</v>
      </c>
    </row>
    <row r="1764" spans="1:64" x14ac:dyDescent="0.3">
      <c r="A1764" t="str">
        <f>"201034E0101"</f>
        <v>201034E0101</v>
      </c>
      <c r="B1764" t="str">
        <f>"201034E01013"</f>
        <v>201034E01013</v>
      </c>
      <c r="C1764" t="str">
        <f t="shared" si="106"/>
        <v>20</v>
      </c>
      <c r="D1764" t="s">
        <v>81</v>
      </c>
      <c r="E1764" t="str">
        <f t="shared" si="108"/>
        <v>182</v>
      </c>
      <c r="F1764" t="s">
        <v>1853</v>
      </c>
      <c r="G1764" t="str">
        <f t="shared" si="107"/>
        <v>1034</v>
      </c>
      <c r="H1764" t="str">
        <f>"0001"</f>
        <v>0001</v>
      </c>
      <c r="I1764" t="s">
        <v>122</v>
      </c>
      <c r="J1764">
        <v>1</v>
      </c>
      <c r="K1764">
        <v>1</v>
      </c>
      <c r="L1764">
        <v>3</v>
      </c>
      <c r="M1764">
        <v>383</v>
      </c>
      <c r="N1764">
        <v>359</v>
      </c>
      <c r="O1764">
        <v>11</v>
      </c>
      <c r="P1764">
        <v>360</v>
      </c>
      <c r="Q1764">
        <v>7</v>
      </c>
      <c r="R1764">
        <v>30</v>
      </c>
      <c r="S1764">
        <v>0</v>
      </c>
      <c r="T1764">
        <v>2</v>
      </c>
      <c r="U1764">
        <v>13</v>
      </c>
      <c r="V1764">
        <v>39</v>
      </c>
      <c r="W1764">
        <v>5</v>
      </c>
      <c r="X1764">
        <v>106</v>
      </c>
      <c r="Y1764">
        <v>103</v>
      </c>
      <c r="Z1764">
        <v>3</v>
      </c>
      <c r="AB1764">
        <v>45</v>
      </c>
      <c r="AO1764">
        <v>1</v>
      </c>
      <c r="AU1764">
        <v>0</v>
      </c>
      <c r="AW1764">
        <v>0</v>
      </c>
      <c r="AX1764">
        <v>6</v>
      </c>
      <c r="AY1764">
        <v>360</v>
      </c>
      <c r="AZ1764">
        <v>360</v>
      </c>
      <c r="BA1764">
        <v>699</v>
      </c>
      <c r="BB1764">
        <v>44</v>
      </c>
      <c r="BD1764">
        <v>1</v>
      </c>
      <c r="BF1764" t="s">
        <v>1922</v>
      </c>
      <c r="BG1764" s="1">
        <v>44354.012499999997</v>
      </c>
      <c r="BH1764" s="1">
        <v>44354.020902777775</v>
      </c>
      <c r="BI1764" s="1">
        <v>44354.021504629629</v>
      </c>
      <c r="BJ1764" t="s">
        <v>85</v>
      </c>
      <c r="BK1764" t="s">
        <v>86</v>
      </c>
      <c r="BL1764" t="s">
        <v>87</v>
      </c>
    </row>
    <row r="1765" spans="1:64" x14ac:dyDescent="0.3">
      <c r="A1765" t="str">
        <f>"201034E0102"</f>
        <v>201034E0102</v>
      </c>
      <c r="B1765" t="str">
        <f>"201034E01023"</f>
        <v>201034E01023</v>
      </c>
      <c r="C1765" t="str">
        <f t="shared" si="106"/>
        <v>20</v>
      </c>
      <c r="D1765" t="s">
        <v>81</v>
      </c>
      <c r="E1765" t="str">
        <f t="shared" si="108"/>
        <v>182</v>
      </c>
      <c r="F1765" t="s">
        <v>1853</v>
      </c>
      <c r="G1765" t="str">
        <f t="shared" si="107"/>
        <v>1034</v>
      </c>
      <c r="H1765" t="str">
        <f>"0001"</f>
        <v>0001</v>
      </c>
      <c r="I1765" t="s">
        <v>122</v>
      </c>
      <c r="J1765">
        <v>2</v>
      </c>
      <c r="K1765">
        <v>1</v>
      </c>
      <c r="L1765">
        <v>3</v>
      </c>
      <c r="M1765">
        <v>391</v>
      </c>
      <c r="N1765">
        <v>351</v>
      </c>
      <c r="O1765">
        <v>8</v>
      </c>
      <c r="P1765">
        <v>352</v>
      </c>
      <c r="Q1765">
        <v>3</v>
      </c>
      <c r="R1765">
        <v>33</v>
      </c>
      <c r="S1765">
        <v>1</v>
      </c>
      <c r="T1765">
        <v>3</v>
      </c>
      <c r="U1765">
        <v>13</v>
      </c>
      <c r="V1765">
        <v>42</v>
      </c>
      <c r="W1765">
        <v>1</v>
      </c>
      <c r="X1765">
        <v>119</v>
      </c>
      <c r="Y1765">
        <v>80</v>
      </c>
      <c r="Z1765">
        <v>3</v>
      </c>
      <c r="AB1765">
        <v>41</v>
      </c>
      <c r="AO1765">
        <v>1</v>
      </c>
      <c r="AU1765">
        <v>0</v>
      </c>
      <c r="AW1765">
        <v>0</v>
      </c>
      <c r="AX1765">
        <v>12</v>
      </c>
      <c r="AY1765">
        <v>352</v>
      </c>
      <c r="AZ1765">
        <v>352</v>
      </c>
      <c r="BA1765">
        <v>698</v>
      </c>
      <c r="BB1765">
        <v>44</v>
      </c>
      <c r="BD1765">
        <v>1</v>
      </c>
      <c r="BF1765" t="s">
        <v>1923</v>
      </c>
      <c r="BG1765" s="1">
        <v>44354.01458333333</v>
      </c>
      <c r="BH1765" s="1">
        <v>44354.022847222222</v>
      </c>
      <c r="BI1765" s="1">
        <v>44354.0231712963</v>
      </c>
      <c r="BJ1765" t="s">
        <v>85</v>
      </c>
      <c r="BK1765" t="s">
        <v>86</v>
      </c>
      <c r="BL1765" t="s">
        <v>87</v>
      </c>
    </row>
    <row r="1766" spans="1:64" x14ac:dyDescent="0.3">
      <c r="A1766" t="str">
        <f>"201034E0200"</f>
        <v>201034E0200</v>
      </c>
      <c r="B1766" t="str">
        <f>"201034E02003"</f>
        <v>201034E02003</v>
      </c>
      <c r="C1766" t="str">
        <f t="shared" si="106"/>
        <v>20</v>
      </c>
      <c r="D1766" t="s">
        <v>81</v>
      </c>
      <c r="E1766" t="str">
        <f t="shared" si="108"/>
        <v>182</v>
      </c>
      <c r="F1766" t="s">
        <v>1853</v>
      </c>
      <c r="G1766" t="str">
        <f t="shared" si="107"/>
        <v>1034</v>
      </c>
      <c r="H1766" t="str">
        <f>"0002"</f>
        <v>0002</v>
      </c>
      <c r="I1766" t="s">
        <v>122</v>
      </c>
      <c r="J1766">
        <v>0</v>
      </c>
      <c r="K1766">
        <v>1</v>
      </c>
      <c r="L1766">
        <v>3</v>
      </c>
      <c r="M1766">
        <v>178</v>
      </c>
      <c r="N1766">
        <v>222</v>
      </c>
      <c r="O1766">
        <v>11</v>
      </c>
      <c r="P1766" t="s">
        <v>92</v>
      </c>
      <c r="Q1766">
        <v>5</v>
      </c>
      <c r="R1766">
        <v>42</v>
      </c>
      <c r="S1766">
        <v>2</v>
      </c>
      <c r="T1766">
        <v>1</v>
      </c>
      <c r="U1766">
        <v>1</v>
      </c>
      <c r="V1766">
        <v>40</v>
      </c>
      <c r="W1766">
        <v>1</v>
      </c>
      <c r="X1766">
        <v>80</v>
      </c>
      <c r="Y1766">
        <v>32</v>
      </c>
      <c r="Z1766">
        <v>2</v>
      </c>
      <c r="AB1766">
        <v>8</v>
      </c>
      <c r="AO1766">
        <v>1</v>
      </c>
      <c r="AU1766">
        <v>0</v>
      </c>
      <c r="AW1766">
        <v>0</v>
      </c>
      <c r="AX1766">
        <v>7</v>
      </c>
      <c r="AY1766">
        <v>222</v>
      </c>
      <c r="AZ1766">
        <v>222</v>
      </c>
      <c r="BA1766">
        <v>356</v>
      </c>
      <c r="BB1766">
        <v>44</v>
      </c>
      <c r="BD1766">
        <v>1</v>
      </c>
      <c r="BF1766" t="s">
        <v>1924</v>
      </c>
      <c r="BG1766" s="1">
        <v>44354.019444444442</v>
      </c>
      <c r="BH1766" s="1">
        <v>44354.028356481482</v>
      </c>
      <c r="BI1766" s="1">
        <v>44354.029085648152</v>
      </c>
      <c r="BJ1766" t="s">
        <v>85</v>
      </c>
      <c r="BK1766" t="s">
        <v>86</v>
      </c>
      <c r="BL1766" t="s">
        <v>87</v>
      </c>
    </row>
    <row r="1767" spans="1:64" x14ac:dyDescent="0.3">
      <c r="A1767" t="str">
        <f>"201035B0000"</f>
        <v>201035B0000</v>
      </c>
      <c r="B1767" t="str">
        <f>"201035B00003"</f>
        <v>201035B00003</v>
      </c>
      <c r="C1767" t="str">
        <f t="shared" si="106"/>
        <v>20</v>
      </c>
      <c r="D1767" t="s">
        <v>81</v>
      </c>
      <c r="E1767" t="str">
        <f t="shared" si="108"/>
        <v>182</v>
      </c>
      <c r="F1767" t="s">
        <v>1853</v>
      </c>
      <c r="G1767" t="str">
        <f>"1035"</f>
        <v>1035</v>
      </c>
      <c r="H1767" t="str">
        <f>"0000"</f>
        <v>0000</v>
      </c>
      <c r="I1767" t="s">
        <v>83</v>
      </c>
      <c r="J1767">
        <v>0</v>
      </c>
      <c r="K1767">
        <v>1</v>
      </c>
      <c r="L1767">
        <v>3</v>
      </c>
      <c r="M1767">
        <v>354</v>
      </c>
      <c r="N1767">
        <v>799</v>
      </c>
      <c r="O1767">
        <v>7</v>
      </c>
      <c r="P1767">
        <v>438</v>
      </c>
      <c r="Q1767">
        <v>13</v>
      </c>
      <c r="R1767">
        <v>92</v>
      </c>
      <c r="S1767">
        <v>0</v>
      </c>
      <c r="T1767">
        <v>3</v>
      </c>
      <c r="U1767">
        <v>0</v>
      </c>
      <c r="V1767">
        <v>0</v>
      </c>
      <c r="W1767">
        <v>4</v>
      </c>
      <c r="X1767">
        <v>194</v>
      </c>
      <c r="Y1767">
        <v>61</v>
      </c>
      <c r="Z1767">
        <v>3</v>
      </c>
      <c r="AB1767">
        <v>21</v>
      </c>
      <c r="AO1767">
        <v>3</v>
      </c>
      <c r="AU1767">
        <v>0</v>
      </c>
      <c r="AW1767">
        <v>0</v>
      </c>
      <c r="AX1767">
        <v>4</v>
      </c>
      <c r="AY1767">
        <v>438</v>
      </c>
      <c r="AZ1767">
        <v>398</v>
      </c>
      <c r="BA1767">
        <v>750</v>
      </c>
      <c r="BB1767">
        <v>44</v>
      </c>
      <c r="BD1767">
        <v>1</v>
      </c>
      <c r="BF1767" t="s">
        <v>1925</v>
      </c>
      <c r="BG1767" s="1">
        <v>44354.102777777778</v>
      </c>
      <c r="BH1767" s="1">
        <v>44354.110324074078</v>
      </c>
      <c r="BI1767" s="1">
        <v>44354.111250000002</v>
      </c>
      <c r="BJ1767" t="s">
        <v>85</v>
      </c>
      <c r="BK1767" t="s">
        <v>86</v>
      </c>
      <c r="BL1767" t="s">
        <v>87</v>
      </c>
    </row>
    <row r="1768" spans="1:64" x14ac:dyDescent="0.3">
      <c r="A1768" t="str">
        <f>"201035C0100"</f>
        <v>201035C0100</v>
      </c>
      <c r="B1768" t="str">
        <f>"201035C01003"</f>
        <v>201035C01003</v>
      </c>
      <c r="C1768" t="str">
        <f t="shared" si="106"/>
        <v>20</v>
      </c>
      <c r="D1768" t="s">
        <v>81</v>
      </c>
      <c r="E1768" t="str">
        <f t="shared" si="108"/>
        <v>182</v>
      </c>
      <c r="F1768" t="s">
        <v>1853</v>
      </c>
      <c r="G1768" t="str">
        <f>"1035"</f>
        <v>1035</v>
      </c>
      <c r="H1768" t="str">
        <f>"0001"</f>
        <v>0001</v>
      </c>
      <c r="I1768" t="s">
        <v>89</v>
      </c>
      <c r="J1768">
        <v>0</v>
      </c>
      <c r="K1768">
        <v>1</v>
      </c>
      <c r="L1768">
        <v>3</v>
      </c>
      <c r="M1768">
        <v>331</v>
      </c>
      <c r="N1768">
        <v>463</v>
      </c>
      <c r="O1768">
        <v>8</v>
      </c>
      <c r="P1768">
        <v>463</v>
      </c>
      <c r="Q1768">
        <v>7</v>
      </c>
      <c r="R1768">
        <v>79</v>
      </c>
      <c r="S1768">
        <v>0</v>
      </c>
      <c r="T1768">
        <v>2</v>
      </c>
      <c r="U1768">
        <v>4</v>
      </c>
      <c r="V1768">
        <v>67</v>
      </c>
      <c r="W1768">
        <v>9</v>
      </c>
      <c r="X1768">
        <v>196</v>
      </c>
      <c r="Y1768">
        <v>65</v>
      </c>
      <c r="Z1768">
        <v>1</v>
      </c>
      <c r="AB1768">
        <v>21</v>
      </c>
      <c r="AO1768">
        <v>2</v>
      </c>
      <c r="AU1768">
        <v>0</v>
      </c>
      <c r="AW1768">
        <v>0</v>
      </c>
      <c r="AX1768">
        <v>10</v>
      </c>
      <c r="AY1768">
        <v>463</v>
      </c>
      <c r="AZ1768">
        <v>463</v>
      </c>
      <c r="BA1768">
        <v>749</v>
      </c>
      <c r="BB1768">
        <v>44</v>
      </c>
      <c r="BD1768">
        <v>1</v>
      </c>
      <c r="BF1768" t="s">
        <v>1926</v>
      </c>
      <c r="BG1768" s="1">
        <v>44354.218055555553</v>
      </c>
      <c r="BH1768" s="1">
        <v>44354.22278935185</v>
      </c>
      <c r="BI1768" s="1">
        <v>44354.223287037035</v>
      </c>
      <c r="BJ1768" t="s">
        <v>85</v>
      </c>
      <c r="BK1768" t="s">
        <v>86</v>
      </c>
      <c r="BL1768" t="s">
        <v>87</v>
      </c>
    </row>
    <row r="1769" spans="1:64" x14ac:dyDescent="0.3">
      <c r="A1769" t="str">
        <f>"201036B0000"</f>
        <v>201036B0000</v>
      </c>
      <c r="B1769" t="str">
        <f>"201036B00003"</f>
        <v>201036B00003</v>
      </c>
      <c r="C1769" t="str">
        <f t="shared" si="106"/>
        <v>20</v>
      </c>
      <c r="D1769" t="s">
        <v>81</v>
      </c>
      <c r="E1769" t="str">
        <f t="shared" si="108"/>
        <v>182</v>
      </c>
      <c r="F1769" t="s">
        <v>1853</v>
      </c>
      <c r="G1769" t="str">
        <f>"1036"</f>
        <v>1036</v>
      </c>
      <c r="H1769" t="str">
        <f>"0000"</f>
        <v>0000</v>
      </c>
      <c r="I1769" t="s">
        <v>83</v>
      </c>
      <c r="J1769">
        <v>0</v>
      </c>
      <c r="K1769">
        <v>1</v>
      </c>
      <c r="L1769">
        <v>3</v>
      </c>
      <c r="BA1769">
        <v>733</v>
      </c>
      <c r="BB1769">
        <v>44</v>
      </c>
      <c r="BC1769" t="s">
        <v>381</v>
      </c>
      <c r="BD1769">
        <v>0</v>
      </c>
      <c r="BF1769" t="s">
        <v>1927</v>
      </c>
      <c r="BG1769" s="1">
        <v>44354.520833333336</v>
      </c>
      <c r="BH1769" s="1">
        <v>44354.535555555558</v>
      </c>
      <c r="BI1769" s="1">
        <v>44354.535555555558</v>
      </c>
      <c r="BJ1769" t="s">
        <v>85</v>
      </c>
      <c r="BK1769" t="s">
        <v>86</v>
      </c>
      <c r="BL1769" t="s">
        <v>87</v>
      </c>
    </row>
    <row r="1770" spans="1:64" x14ac:dyDescent="0.3">
      <c r="A1770" t="str">
        <f>"201036C0100"</f>
        <v>201036C0100</v>
      </c>
      <c r="B1770" t="str">
        <f>"201036C01003"</f>
        <v>201036C01003</v>
      </c>
      <c r="C1770" t="str">
        <f t="shared" si="106"/>
        <v>20</v>
      </c>
      <c r="D1770" t="s">
        <v>81</v>
      </c>
      <c r="E1770" t="str">
        <f t="shared" si="108"/>
        <v>182</v>
      </c>
      <c r="F1770" t="s">
        <v>1853</v>
      </c>
      <c r="G1770" t="str">
        <f>"1036"</f>
        <v>1036</v>
      </c>
      <c r="H1770" t="str">
        <f>"0001"</f>
        <v>0001</v>
      </c>
      <c r="I1770" t="s">
        <v>89</v>
      </c>
      <c r="J1770">
        <v>0</v>
      </c>
      <c r="K1770">
        <v>1</v>
      </c>
      <c r="L1770">
        <v>3</v>
      </c>
      <c r="M1770">
        <v>386</v>
      </c>
      <c r="N1770">
        <v>391</v>
      </c>
      <c r="O1770">
        <v>10</v>
      </c>
      <c r="P1770">
        <v>391</v>
      </c>
      <c r="Q1770">
        <v>10</v>
      </c>
      <c r="R1770">
        <v>67</v>
      </c>
      <c r="S1770">
        <v>0</v>
      </c>
      <c r="T1770">
        <v>0</v>
      </c>
      <c r="U1770">
        <v>3</v>
      </c>
      <c r="V1770">
        <v>48</v>
      </c>
      <c r="W1770">
        <v>2</v>
      </c>
      <c r="X1770">
        <v>149</v>
      </c>
      <c r="Y1770">
        <v>65</v>
      </c>
      <c r="Z1770">
        <v>5</v>
      </c>
      <c r="AB1770">
        <v>27</v>
      </c>
      <c r="AO1770">
        <v>2</v>
      </c>
      <c r="AU1770">
        <v>0</v>
      </c>
      <c r="AW1770">
        <v>0</v>
      </c>
      <c r="AX1770">
        <v>13</v>
      </c>
      <c r="AY1770">
        <v>391</v>
      </c>
      <c r="AZ1770">
        <v>391</v>
      </c>
      <c r="BA1770">
        <v>733</v>
      </c>
      <c r="BB1770">
        <v>44</v>
      </c>
      <c r="BD1770">
        <v>1</v>
      </c>
      <c r="BF1770" t="s">
        <v>1928</v>
      </c>
      <c r="BG1770" s="1">
        <v>44354.118055555555</v>
      </c>
      <c r="BH1770" s="1">
        <v>44354.12054398148</v>
      </c>
      <c r="BI1770" s="1">
        <v>44354.121608796297</v>
      </c>
      <c r="BJ1770" t="s">
        <v>85</v>
      </c>
      <c r="BK1770" t="s">
        <v>86</v>
      </c>
      <c r="BL1770" t="s">
        <v>87</v>
      </c>
    </row>
    <row r="1771" spans="1:64" x14ac:dyDescent="0.3">
      <c r="A1771" t="str">
        <f>"201037B0000"</f>
        <v>201037B0000</v>
      </c>
      <c r="B1771" t="str">
        <f>"201037B00003"</f>
        <v>201037B00003</v>
      </c>
      <c r="C1771" t="str">
        <f t="shared" si="106"/>
        <v>20</v>
      </c>
      <c r="D1771" t="s">
        <v>81</v>
      </c>
      <c r="E1771" t="str">
        <f t="shared" si="108"/>
        <v>182</v>
      </c>
      <c r="F1771" t="s">
        <v>1853</v>
      </c>
      <c r="G1771" t="str">
        <f>"1037"</f>
        <v>1037</v>
      </c>
      <c r="H1771" t="str">
        <f>"0000"</f>
        <v>0000</v>
      </c>
      <c r="I1771" t="s">
        <v>83</v>
      </c>
      <c r="J1771">
        <v>0</v>
      </c>
      <c r="K1771">
        <v>1</v>
      </c>
      <c r="L1771">
        <v>3</v>
      </c>
      <c r="M1771">
        <v>251</v>
      </c>
      <c r="N1771">
        <v>308</v>
      </c>
      <c r="O1771">
        <v>14</v>
      </c>
      <c r="P1771">
        <v>308</v>
      </c>
      <c r="Q1771">
        <v>3</v>
      </c>
      <c r="R1771">
        <v>53</v>
      </c>
      <c r="S1771">
        <v>0</v>
      </c>
      <c r="T1771">
        <v>1</v>
      </c>
      <c r="U1771">
        <v>10</v>
      </c>
      <c r="V1771">
        <v>2</v>
      </c>
      <c r="W1771">
        <v>5</v>
      </c>
      <c r="X1771">
        <v>92</v>
      </c>
      <c r="Y1771">
        <v>48</v>
      </c>
      <c r="Z1771">
        <v>2</v>
      </c>
      <c r="AB1771">
        <v>23</v>
      </c>
      <c r="AO1771">
        <v>0</v>
      </c>
      <c r="AU1771">
        <v>0</v>
      </c>
      <c r="AW1771">
        <v>0</v>
      </c>
      <c r="AX1771">
        <v>9</v>
      </c>
      <c r="AY1771">
        <v>308</v>
      </c>
      <c r="AZ1771">
        <v>248</v>
      </c>
      <c r="BA1771">
        <v>515</v>
      </c>
      <c r="BB1771">
        <v>44</v>
      </c>
      <c r="BD1771">
        <v>1</v>
      </c>
      <c r="BF1771" t="s">
        <v>1929</v>
      </c>
      <c r="BG1771" s="1">
        <v>44353.945833333331</v>
      </c>
      <c r="BH1771" s="1">
        <v>44353.949247685188</v>
      </c>
      <c r="BI1771" s="1">
        <v>44353.949976851851</v>
      </c>
      <c r="BJ1771" t="s">
        <v>85</v>
      </c>
      <c r="BK1771" t="s">
        <v>86</v>
      </c>
      <c r="BL1771" t="s">
        <v>87</v>
      </c>
    </row>
    <row r="1772" spans="1:64" x14ac:dyDescent="0.3">
      <c r="A1772" t="str">
        <f>"201037C0100"</f>
        <v>201037C0100</v>
      </c>
      <c r="B1772" t="str">
        <f>"201037C01003"</f>
        <v>201037C01003</v>
      </c>
      <c r="C1772" t="str">
        <f t="shared" si="106"/>
        <v>20</v>
      </c>
      <c r="D1772" t="s">
        <v>81</v>
      </c>
      <c r="E1772" t="str">
        <f t="shared" si="108"/>
        <v>182</v>
      </c>
      <c r="F1772" t="s">
        <v>1853</v>
      </c>
      <c r="G1772" t="str">
        <f>"1037"</f>
        <v>1037</v>
      </c>
      <c r="H1772" t="str">
        <f>"0001"</f>
        <v>0001</v>
      </c>
      <c r="I1772" t="s">
        <v>89</v>
      </c>
      <c r="J1772">
        <v>0</v>
      </c>
      <c r="K1772">
        <v>1</v>
      </c>
      <c r="L1772">
        <v>3</v>
      </c>
      <c r="M1772">
        <v>235</v>
      </c>
      <c r="N1772">
        <v>324</v>
      </c>
      <c r="O1772">
        <v>12</v>
      </c>
      <c r="P1772" t="s">
        <v>92</v>
      </c>
      <c r="Q1772">
        <v>3</v>
      </c>
      <c r="R1772">
        <v>47</v>
      </c>
      <c r="S1772">
        <v>1</v>
      </c>
      <c r="T1772">
        <v>1</v>
      </c>
      <c r="U1772">
        <v>5</v>
      </c>
      <c r="V1772">
        <v>59</v>
      </c>
      <c r="W1772">
        <v>2</v>
      </c>
      <c r="X1772">
        <v>116</v>
      </c>
      <c r="Y1772">
        <v>57</v>
      </c>
      <c r="Z1772">
        <v>4</v>
      </c>
      <c r="AB1772">
        <v>18</v>
      </c>
      <c r="AO1772">
        <v>3</v>
      </c>
      <c r="AU1772">
        <v>0</v>
      </c>
      <c r="AW1772">
        <v>0</v>
      </c>
      <c r="AX1772">
        <v>8</v>
      </c>
      <c r="AY1772">
        <v>324</v>
      </c>
      <c r="AZ1772">
        <v>324</v>
      </c>
      <c r="BA1772">
        <v>515</v>
      </c>
      <c r="BB1772">
        <v>44</v>
      </c>
      <c r="BD1772">
        <v>1</v>
      </c>
      <c r="BF1772" t="s">
        <v>1930</v>
      </c>
      <c r="BG1772" s="1">
        <v>44353.952777777777</v>
      </c>
      <c r="BH1772" s="1">
        <v>44353.959745370368</v>
      </c>
      <c r="BI1772" s="1">
        <v>44353.960555555554</v>
      </c>
      <c r="BJ1772" t="s">
        <v>85</v>
      </c>
      <c r="BK1772" t="s">
        <v>86</v>
      </c>
      <c r="BL1772" t="s">
        <v>87</v>
      </c>
    </row>
    <row r="1773" spans="1:64" x14ac:dyDescent="0.3">
      <c r="A1773" t="str">
        <f>"201037C0200"</f>
        <v>201037C0200</v>
      </c>
      <c r="B1773" t="str">
        <f>"201037C02003"</f>
        <v>201037C02003</v>
      </c>
      <c r="C1773" t="str">
        <f t="shared" si="106"/>
        <v>20</v>
      </c>
      <c r="D1773" t="s">
        <v>81</v>
      </c>
      <c r="E1773" t="str">
        <f t="shared" si="108"/>
        <v>182</v>
      </c>
      <c r="F1773" t="s">
        <v>1853</v>
      </c>
      <c r="G1773" t="str">
        <f>"1037"</f>
        <v>1037</v>
      </c>
      <c r="H1773" t="str">
        <f>"0002"</f>
        <v>0002</v>
      </c>
      <c r="I1773" t="s">
        <v>89</v>
      </c>
      <c r="J1773">
        <v>0</v>
      </c>
      <c r="K1773">
        <v>1</v>
      </c>
      <c r="L1773">
        <v>3</v>
      </c>
      <c r="M1773">
        <v>260</v>
      </c>
      <c r="N1773">
        <v>298</v>
      </c>
      <c r="O1773">
        <v>11</v>
      </c>
      <c r="P1773">
        <v>298</v>
      </c>
      <c r="Q1773">
        <v>2</v>
      </c>
      <c r="R1773">
        <v>32</v>
      </c>
      <c r="S1773">
        <v>0</v>
      </c>
      <c r="T1773">
        <v>0</v>
      </c>
      <c r="U1773">
        <v>9</v>
      </c>
      <c r="V1773">
        <v>47</v>
      </c>
      <c r="W1773">
        <v>7</v>
      </c>
      <c r="X1773">
        <v>118</v>
      </c>
      <c r="Y1773">
        <v>54</v>
      </c>
      <c r="Z1773">
        <v>0</v>
      </c>
      <c r="AB1773">
        <v>21</v>
      </c>
      <c r="AO1773">
        <v>1</v>
      </c>
      <c r="AU1773">
        <v>0</v>
      </c>
      <c r="AW1773">
        <v>0</v>
      </c>
      <c r="AX1773">
        <v>7</v>
      </c>
      <c r="AY1773">
        <v>298</v>
      </c>
      <c r="AZ1773">
        <v>298</v>
      </c>
      <c r="BA1773">
        <v>514</v>
      </c>
      <c r="BB1773">
        <v>44</v>
      </c>
      <c r="BD1773">
        <v>1</v>
      </c>
      <c r="BF1773" t="s">
        <v>1931</v>
      </c>
      <c r="BG1773" s="1">
        <v>44353.970833333333</v>
      </c>
      <c r="BH1773" s="1">
        <v>44353.973124999997</v>
      </c>
      <c r="BI1773" s="1">
        <v>44353.973993055559</v>
      </c>
      <c r="BJ1773" t="s">
        <v>85</v>
      </c>
      <c r="BK1773" t="s">
        <v>86</v>
      </c>
      <c r="BL1773" t="s">
        <v>1390</v>
      </c>
    </row>
    <row r="1774" spans="1:64" x14ac:dyDescent="0.3">
      <c r="A1774" t="str">
        <f>"201038B0000"</f>
        <v>201038B0000</v>
      </c>
      <c r="B1774" t="str">
        <f>"201038B00003"</f>
        <v>201038B00003</v>
      </c>
      <c r="C1774" t="str">
        <f t="shared" si="106"/>
        <v>20</v>
      </c>
      <c r="D1774" t="s">
        <v>81</v>
      </c>
      <c r="E1774" t="str">
        <f t="shared" si="108"/>
        <v>182</v>
      </c>
      <c r="F1774" t="s">
        <v>1853</v>
      </c>
      <c r="G1774" t="str">
        <f>"1038"</f>
        <v>1038</v>
      </c>
      <c r="H1774" t="str">
        <f>"0000"</f>
        <v>0000</v>
      </c>
      <c r="I1774" t="s">
        <v>83</v>
      </c>
      <c r="J1774">
        <v>0</v>
      </c>
      <c r="K1774">
        <v>1</v>
      </c>
      <c r="L1774">
        <v>3</v>
      </c>
      <c r="M1774" t="s">
        <v>92</v>
      </c>
      <c r="N1774" t="s">
        <v>92</v>
      </c>
      <c r="O1774" t="s">
        <v>92</v>
      </c>
      <c r="P1774">
        <v>345</v>
      </c>
      <c r="Q1774">
        <v>3</v>
      </c>
      <c r="R1774">
        <v>36</v>
      </c>
      <c r="S1774">
        <v>0</v>
      </c>
      <c r="T1774">
        <v>1</v>
      </c>
      <c r="U1774">
        <v>6</v>
      </c>
      <c r="V1774">
        <v>27</v>
      </c>
      <c r="W1774">
        <v>2</v>
      </c>
      <c r="X1774">
        <v>148</v>
      </c>
      <c r="Y1774">
        <v>99</v>
      </c>
      <c r="Z1774">
        <v>0</v>
      </c>
      <c r="AB1774">
        <v>20</v>
      </c>
      <c r="AO1774">
        <v>1</v>
      </c>
      <c r="AU1774">
        <v>0</v>
      </c>
      <c r="AW1774">
        <v>0</v>
      </c>
      <c r="AX1774">
        <v>2</v>
      </c>
      <c r="AY1774">
        <v>345</v>
      </c>
      <c r="AZ1774">
        <v>345</v>
      </c>
      <c r="BA1774">
        <v>558</v>
      </c>
      <c r="BB1774">
        <v>44</v>
      </c>
      <c r="BD1774">
        <v>1</v>
      </c>
      <c r="BF1774" t="s">
        <v>1932</v>
      </c>
      <c r="BG1774" s="1">
        <v>44354.018750000003</v>
      </c>
      <c r="BH1774" s="1">
        <v>44354.02753472222</v>
      </c>
      <c r="BI1774" s="1">
        <v>44354.028240740743</v>
      </c>
      <c r="BJ1774" t="s">
        <v>85</v>
      </c>
      <c r="BK1774" t="s">
        <v>86</v>
      </c>
      <c r="BL1774" t="s">
        <v>87</v>
      </c>
    </row>
    <row r="1775" spans="1:64" x14ac:dyDescent="0.3">
      <c r="A1775" t="str">
        <f>"201038C0100"</f>
        <v>201038C0100</v>
      </c>
      <c r="B1775" t="str">
        <f>"201038C01003"</f>
        <v>201038C01003</v>
      </c>
      <c r="C1775" t="str">
        <f t="shared" si="106"/>
        <v>20</v>
      </c>
      <c r="D1775" t="s">
        <v>81</v>
      </c>
      <c r="E1775" t="str">
        <f t="shared" si="108"/>
        <v>182</v>
      </c>
      <c r="F1775" t="s">
        <v>1853</v>
      </c>
      <c r="G1775" t="str">
        <f>"1038"</f>
        <v>1038</v>
      </c>
      <c r="H1775" t="str">
        <f>"0001"</f>
        <v>0001</v>
      </c>
      <c r="I1775" t="s">
        <v>89</v>
      </c>
      <c r="J1775">
        <v>0</v>
      </c>
      <c r="K1775">
        <v>1</v>
      </c>
      <c r="L1775">
        <v>3</v>
      </c>
      <c r="M1775">
        <v>266</v>
      </c>
      <c r="N1775">
        <v>336</v>
      </c>
      <c r="O1775">
        <v>9</v>
      </c>
      <c r="P1775" t="s">
        <v>92</v>
      </c>
      <c r="Q1775">
        <v>2</v>
      </c>
      <c r="R1775">
        <v>55</v>
      </c>
      <c r="S1775">
        <v>0</v>
      </c>
      <c r="T1775">
        <v>0</v>
      </c>
      <c r="U1775">
        <v>3</v>
      </c>
      <c r="V1775">
        <v>25</v>
      </c>
      <c r="W1775">
        <v>4</v>
      </c>
      <c r="X1775">
        <v>136</v>
      </c>
      <c r="Y1775">
        <v>76</v>
      </c>
      <c r="Z1775">
        <v>1</v>
      </c>
      <c r="AB1775">
        <v>28</v>
      </c>
      <c r="AO1775">
        <v>0</v>
      </c>
      <c r="AU1775">
        <v>0</v>
      </c>
      <c r="AW1775">
        <v>0</v>
      </c>
      <c r="AX1775" t="s">
        <v>95</v>
      </c>
      <c r="AY1775">
        <v>336</v>
      </c>
      <c r="AZ1775">
        <v>330</v>
      </c>
      <c r="BA1775">
        <v>558</v>
      </c>
      <c r="BB1775">
        <v>44</v>
      </c>
      <c r="BC1775" t="s">
        <v>96</v>
      </c>
      <c r="BD1775">
        <v>1</v>
      </c>
      <c r="BF1775" t="s">
        <v>1933</v>
      </c>
      <c r="BG1775" s="1">
        <v>44354.015972222223</v>
      </c>
      <c r="BH1775" s="1">
        <v>44354.028414351851</v>
      </c>
      <c r="BI1775" s="1">
        <v>44354.029097222221</v>
      </c>
      <c r="BJ1775" t="s">
        <v>85</v>
      </c>
      <c r="BK1775" t="s">
        <v>86</v>
      </c>
      <c r="BL1775" t="s">
        <v>87</v>
      </c>
    </row>
    <row r="1776" spans="1:64" x14ac:dyDescent="0.3">
      <c r="A1776" t="str">
        <f>"201038C0200"</f>
        <v>201038C0200</v>
      </c>
      <c r="B1776" t="str">
        <f>"201038C02003"</f>
        <v>201038C02003</v>
      </c>
      <c r="C1776" t="str">
        <f t="shared" si="106"/>
        <v>20</v>
      </c>
      <c r="D1776" t="s">
        <v>81</v>
      </c>
      <c r="E1776" t="str">
        <f t="shared" si="108"/>
        <v>182</v>
      </c>
      <c r="F1776" t="s">
        <v>1853</v>
      </c>
      <c r="G1776" t="str">
        <f>"1038"</f>
        <v>1038</v>
      </c>
      <c r="H1776" t="str">
        <f>"0002"</f>
        <v>0002</v>
      </c>
      <c r="I1776" t="s">
        <v>89</v>
      </c>
      <c r="J1776">
        <v>0</v>
      </c>
      <c r="K1776">
        <v>1</v>
      </c>
      <c r="L1776">
        <v>3</v>
      </c>
      <c r="M1776">
        <v>260</v>
      </c>
      <c r="N1776">
        <v>341</v>
      </c>
      <c r="O1776">
        <v>13</v>
      </c>
      <c r="P1776">
        <v>341</v>
      </c>
      <c r="Q1776">
        <v>7</v>
      </c>
      <c r="R1776">
        <v>53</v>
      </c>
      <c r="S1776">
        <v>1</v>
      </c>
      <c r="T1776">
        <v>2</v>
      </c>
      <c r="U1776">
        <v>4</v>
      </c>
      <c r="V1776">
        <v>37</v>
      </c>
      <c r="W1776">
        <v>5</v>
      </c>
      <c r="X1776">
        <v>126</v>
      </c>
      <c r="Y1776">
        <v>84</v>
      </c>
      <c r="Z1776">
        <v>2</v>
      </c>
      <c r="AB1776">
        <v>13</v>
      </c>
      <c r="AO1776">
        <v>2</v>
      </c>
      <c r="AU1776">
        <v>0</v>
      </c>
      <c r="AW1776">
        <v>0</v>
      </c>
      <c r="AX1776">
        <v>4</v>
      </c>
      <c r="AY1776">
        <v>0</v>
      </c>
      <c r="AZ1776">
        <v>340</v>
      </c>
      <c r="BA1776">
        <v>557</v>
      </c>
      <c r="BB1776">
        <v>44</v>
      </c>
      <c r="BD1776">
        <v>1</v>
      </c>
      <c r="BF1776" t="s">
        <v>1934</v>
      </c>
      <c r="BG1776" s="1">
        <v>44354.009722222225</v>
      </c>
      <c r="BH1776" s="1">
        <v>44354.016562500001</v>
      </c>
      <c r="BI1776" s="1">
        <v>44354.017233796294</v>
      </c>
      <c r="BJ1776" t="s">
        <v>85</v>
      </c>
      <c r="BK1776" t="s">
        <v>86</v>
      </c>
      <c r="BL1776" t="s">
        <v>87</v>
      </c>
    </row>
    <row r="1777" spans="1:64" x14ac:dyDescent="0.3">
      <c r="A1777" t="str">
        <f>"201039B0000"</f>
        <v>201039B0000</v>
      </c>
      <c r="B1777" t="str">
        <f>"201039B00003"</f>
        <v>201039B00003</v>
      </c>
      <c r="C1777" t="str">
        <f t="shared" si="106"/>
        <v>20</v>
      </c>
      <c r="D1777" t="s">
        <v>81</v>
      </c>
      <c r="E1777" t="str">
        <f t="shared" si="108"/>
        <v>182</v>
      </c>
      <c r="F1777" t="s">
        <v>1853</v>
      </c>
      <c r="G1777" t="str">
        <f>"1039"</f>
        <v>1039</v>
      </c>
      <c r="H1777" t="str">
        <f>"0000"</f>
        <v>0000</v>
      </c>
      <c r="I1777" t="s">
        <v>83</v>
      </c>
      <c r="J1777">
        <v>0</v>
      </c>
      <c r="K1777">
        <v>1</v>
      </c>
      <c r="L1777">
        <v>3</v>
      </c>
      <c r="M1777">
        <v>284</v>
      </c>
      <c r="N1777">
        <v>288</v>
      </c>
      <c r="O1777">
        <v>9</v>
      </c>
      <c r="P1777">
        <v>290</v>
      </c>
      <c r="Q1777">
        <v>0</v>
      </c>
      <c r="R1777">
        <v>39</v>
      </c>
      <c r="S1777">
        <v>2</v>
      </c>
      <c r="T1777">
        <v>1</v>
      </c>
      <c r="U1777">
        <v>5</v>
      </c>
      <c r="V1777">
        <v>42</v>
      </c>
      <c r="W1777">
        <v>4</v>
      </c>
      <c r="X1777">
        <v>112</v>
      </c>
      <c r="Y1777">
        <v>46</v>
      </c>
      <c r="Z1777">
        <v>3</v>
      </c>
      <c r="AB1777">
        <v>20</v>
      </c>
      <c r="AO1777">
        <v>4</v>
      </c>
      <c r="AU1777">
        <v>0</v>
      </c>
      <c r="AW1777">
        <v>0</v>
      </c>
      <c r="AX1777">
        <v>12</v>
      </c>
      <c r="AY1777">
        <v>290</v>
      </c>
      <c r="AZ1777">
        <v>290</v>
      </c>
      <c r="BA1777">
        <v>529</v>
      </c>
      <c r="BB1777">
        <v>44</v>
      </c>
      <c r="BD1777">
        <v>1</v>
      </c>
      <c r="BF1777" t="s">
        <v>1935</v>
      </c>
      <c r="BG1777" s="1">
        <v>44354.056250000001</v>
      </c>
      <c r="BH1777" s="1">
        <v>44354.062534722223</v>
      </c>
      <c r="BI1777" s="1">
        <v>44354.063043981485</v>
      </c>
      <c r="BJ1777" t="s">
        <v>85</v>
      </c>
      <c r="BK1777" t="s">
        <v>86</v>
      </c>
      <c r="BL1777" t="s">
        <v>87</v>
      </c>
    </row>
    <row r="1778" spans="1:64" x14ac:dyDescent="0.3">
      <c r="A1778" t="str">
        <f>"201039C0100"</f>
        <v>201039C0100</v>
      </c>
      <c r="B1778" t="str">
        <f>"201039C01003"</f>
        <v>201039C01003</v>
      </c>
      <c r="C1778" t="str">
        <f t="shared" si="106"/>
        <v>20</v>
      </c>
      <c r="D1778" t="s">
        <v>81</v>
      </c>
      <c r="E1778" t="str">
        <f t="shared" si="108"/>
        <v>182</v>
      </c>
      <c r="F1778" t="s">
        <v>1853</v>
      </c>
      <c r="G1778" t="str">
        <f>"1039"</f>
        <v>1039</v>
      </c>
      <c r="H1778" t="str">
        <f>"0001"</f>
        <v>0001</v>
      </c>
      <c r="I1778" t="s">
        <v>89</v>
      </c>
      <c r="J1778">
        <v>0</v>
      </c>
      <c r="K1778">
        <v>1</v>
      </c>
      <c r="L1778">
        <v>3</v>
      </c>
      <c r="M1778">
        <v>271</v>
      </c>
      <c r="N1778">
        <v>303</v>
      </c>
      <c r="O1778">
        <v>7</v>
      </c>
      <c r="P1778">
        <v>301</v>
      </c>
      <c r="Q1778">
        <v>5</v>
      </c>
      <c r="R1778">
        <v>48</v>
      </c>
      <c r="S1778">
        <v>0</v>
      </c>
      <c r="T1778">
        <v>1</v>
      </c>
      <c r="U1778">
        <v>2</v>
      </c>
      <c r="V1778">
        <v>43</v>
      </c>
      <c r="W1778">
        <v>1</v>
      </c>
      <c r="X1778">
        <v>131</v>
      </c>
      <c r="Y1778">
        <v>46</v>
      </c>
      <c r="Z1778">
        <v>2</v>
      </c>
      <c r="AB1778">
        <v>19</v>
      </c>
      <c r="AO1778">
        <v>2</v>
      </c>
      <c r="AU1778">
        <v>0</v>
      </c>
      <c r="AW1778">
        <v>0</v>
      </c>
      <c r="AX1778">
        <v>1</v>
      </c>
      <c r="AY1778">
        <v>301</v>
      </c>
      <c r="AZ1778">
        <v>301</v>
      </c>
      <c r="BA1778">
        <v>528</v>
      </c>
      <c r="BB1778">
        <v>44</v>
      </c>
      <c r="BD1778">
        <v>1</v>
      </c>
      <c r="BF1778" t="s">
        <v>1936</v>
      </c>
      <c r="BG1778" s="1">
        <v>44354.057638888888</v>
      </c>
      <c r="BH1778" s="1">
        <v>44354.064351851855</v>
      </c>
      <c r="BI1778" s="1">
        <v>44354.064826388887</v>
      </c>
      <c r="BJ1778" t="s">
        <v>85</v>
      </c>
      <c r="BK1778" t="s">
        <v>86</v>
      </c>
      <c r="BL1778" t="s">
        <v>87</v>
      </c>
    </row>
    <row r="1779" spans="1:64" x14ac:dyDescent="0.3">
      <c r="A1779" t="str">
        <f>"201039C0200"</f>
        <v>201039C0200</v>
      </c>
      <c r="B1779" t="str">
        <f>"201039C02003"</f>
        <v>201039C02003</v>
      </c>
      <c r="C1779" t="str">
        <f t="shared" si="106"/>
        <v>20</v>
      </c>
      <c r="D1779" t="s">
        <v>81</v>
      </c>
      <c r="E1779" t="str">
        <f t="shared" si="108"/>
        <v>182</v>
      </c>
      <c r="F1779" t="s">
        <v>1853</v>
      </c>
      <c r="G1779" t="str">
        <f>"1039"</f>
        <v>1039</v>
      </c>
      <c r="H1779" t="str">
        <f>"0002"</f>
        <v>0002</v>
      </c>
      <c r="I1779" t="s">
        <v>89</v>
      </c>
      <c r="J1779">
        <v>0</v>
      </c>
      <c r="K1779">
        <v>1</v>
      </c>
      <c r="L1779">
        <v>3</v>
      </c>
      <c r="M1779">
        <v>298</v>
      </c>
      <c r="N1779">
        <v>277</v>
      </c>
      <c r="O1779">
        <v>9</v>
      </c>
      <c r="P1779">
        <v>272</v>
      </c>
      <c r="Q1779">
        <v>7</v>
      </c>
      <c r="R1779">
        <v>47</v>
      </c>
      <c r="S1779">
        <v>0</v>
      </c>
      <c r="T1779">
        <v>1</v>
      </c>
      <c r="U1779">
        <v>3</v>
      </c>
      <c r="V1779">
        <v>25</v>
      </c>
      <c r="W1779">
        <v>4</v>
      </c>
      <c r="X1779">
        <v>117</v>
      </c>
      <c r="Y1779">
        <v>44</v>
      </c>
      <c r="Z1779">
        <v>2</v>
      </c>
      <c r="AB1779">
        <v>14</v>
      </c>
      <c r="AO1779">
        <v>4</v>
      </c>
      <c r="AU1779">
        <v>0</v>
      </c>
      <c r="AW1779">
        <v>0</v>
      </c>
      <c r="AX1779">
        <v>4</v>
      </c>
      <c r="AY1779">
        <v>272</v>
      </c>
      <c r="AZ1779">
        <v>272</v>
      </c>
      <c r="BA1779">
        <v>528</v>
      </c>
      <c r="BB1779">
        <v>44</v>
      </c>
      <c r="BD1779">
        <v>1</v>
      </c>
      <c r="BF1779" t="s">
        <v>1937</v>
      </c>
      <c r="BG1779" s="1">
        <v>44354.054861111108</v>
      </c>
      <c r="BH1779" s="1">
        <v>44354.06212962963</v>
      </c>
      <c r="BI1779" s="1">
        <v>44354.062523148146</v>
      </c>
      <c r="BJ1779" t="s">
        <v>85</v>
      </c>
      <c r="BK1779" t="s">
        <v>86</v>
      </c>
      <c r="BL1779" t="s">
        <v>87</v>
      </c>
    </row>
    <row r="1780" spans="1:64" x14ac:dyDescent="0.3">
      <c r="A1780" t="str">
        <f>"201040B0000"</f>
        <v>201040B0000</v>
      </c>
      <c r="B1780" t="str">
        <f>"201040B00003"</f>
        <v>201040B00003</v>
      </c>
      <c r="C1780" t="str">
        <f t="shared" si="106"/>
        <v>20</v>
      </c>
      <c r="D1780" t="s">
        <v>81</v>
      </c>
      <c r="E1780" t="str">
        <f t="shared" si="108"/>
        <v>182</v>
      </c>
      <c r="F1780" t="s">
        <v>1853</v>
      </c>
      <c r="G1780" t="str">
        <f>"1040"</f>
        <v>1040</v>
      </c>
      <c r="H1780" t="str">
        <f>"0000"</f>
        <v>0000</v>
      </c>
      <c r="I1780" t="s">
        <v>83</v>
      </c>
      <c r="J1780">
        <v>0</v>
      </c>
      <c r="K1780">
        <v>1</v>
      </c>
      <c r="L1780">
        <v>3</v>
      </c>
      <c r="M1780">
        <v>302</v>
      </c>
      <c r="N1780">
        <v>377</v>
      </c>
      <c r="O1780">
        <v>12</v>
      </c>
      <c r="P1780" t="s">
        <v>92</v>
      </c>
      <c r="Q1780">
        <v>9</v>
      </c>
      <c r="R1780">
        <v>45</v>
      </c>
      <c r="S1780">
        <v>1</v>
      </c>
      <c r="T1780">
        <v>2</v>
      </c>
      <c r="U1780">
        <v>1</v>
      </c>
      <c r="V1780">
        <v>44</v>
      </c>
      <c r="W1780">
        <v>4</v>
      </c>
      <c r="X1780">
        <v>171</v>
      </c>
      <c r="Y1780">
        <v>57</v>
      </c>
      <c r="Z1780">
        <v>6</v>
      </c>
      <c r="AB1780">
        <v>24</v>
      </c>
      <c r="AO1780">
        <v>3</v>
      </c>
      <c r="AU1780">
        <v>0</v>
      </c>
      <c r="AW1780">
        <v>0</v>
      </c>
      <c r="AX1780">
        <v>10</v>
      </c>
      <c r="AY1780">
        <v>377</v>
      </c>
      <c r="AZ1780">
        <v>377</v>
      </c>
      <c r="BA1780">
        <v>635</v>
      </c>
      <c r="BB1780">
        <v>44</v>
      </c>
      <c r="BD1780">
        <v>1</v>
      </c>
      <c r="BF1780" t="s">
        <v>1938</v>
      </c>
      <c r="BG1780" s="1">
        <v>44353.941666666666</v>
      </c>
      <c r="BH1780" s="1">
        <v>44353.946504629632</v>
      </c>
      <c r="BI1780" s="1">
        <v>44353.947337962964</v>
      </c>
      <c r="BJ1780" t="s">
        <v>85</v>
      </c>
      <c r="BK1780" t="s">
        <v>86</v>
      </c>
      <c r="BL1780" t="s">
        <v>87</v>
      </c>
    </row>
    <row r="1781" spans="1:64" x14ac:dyDescent="0.3">
      <c r="A1781" t="str">
        <f>"201041B0000"</f>
        <v>201041B0000</v>
      </c>
      <c r="B1781" t="str">
        <f>"201041B00003"</f>
        <v>201041B00003</v>
      </c>
      <c r="C1781" t="str">
        <f t="shared" si="106"/>
        <v>20</v>
      </c>
      <c r="D1781" t="s">
        <v>81</v>
      </c>
      <c r="E1781" t="str">
        <f t="shared" si="108"/>
        <v>182</v>
      </c>
      <c r="F1781" t="s">
        <v>1853</v>
      </c>
      <c r="G1781" t="str">
        <f>"1041"</f>
        <v>1041</v>
      </c>
      <c r="H1781" t="str">
        <f>"0000"</f>
        <v>0000</v>
      </c>
      <c r="I1781" t="s">
        <v>83</v>
      </c>
      <c r="J1781">
        <v>0</v>
      </c>
      <c r="K1781">
        <v>1</v>
      </c>
      <c r="L1781">
        <v>3</v>
      </c>
      <c r="M1781">
        <v>325</v>
      </c>
      <c r="N1781">
        <v>322</v>
      </c>
      <c r="O1781">
        <v>3</v>
      </c>
      <c r="P1781">
        <v>322</v>
      </c>
      <c r="Q1781">
        <v>0</v>
      </c>
      <c r="R1781">
        <v>58</v>
      </c>
      <c r="S1781">
        <v>0</v>
      </c>
      <c r="T1781">
        <v>0</v>
      </c>
      <c r="U1781">
        <v>2</v>
      </c>
      <c r="V1781">
        <v>61</v>
      </c>
      <c r="W1781">
        <v>11</v>
      </c>
      <c r="X1781">
        <v>108</v>
      </c>
      <c r="Y1781">
        <v>38</v>
      </c>
      <c r="Z1781">
        <v>1</v>
      </c>
      <c r="AB1781">
        <v>30</v>
      </c>
      <c r="AO1781">
        <v>0</v>
      </c>
      <c r="AU1781">
        <v>0</v>
      </c>
      <c r="AW1781">
        <v>1</v>
      </c>
      <c r="AX1781">
        <v>12</v>
      </c>
      <c r="AY1781" t="s">
        <v>95</v>
      </c>
      <c r="AZ1781">
        <v>322</v>
      </c>
      <c r="BA1781">
        <v>603</v>
      </c>
      <c r="BB1781">
        <v>44</v>
      </c>
      <c r="BD1781">
        <v>1</v>
      </c>
      <c r="BF1781" t="s">
        <v>1939</v>
      </c>
      <c r="BG1781" s="1">
        <v>44354.113194444442</v>
      </c>
      <c r="BH1781" s="1">
        <v>44354.117164351854</v>
      </c>
      <c r="BI1781" s="1">
        <v>44354.117905092593</v>
      </c>
      <c r="BJ1781" t="s">
        <v>85</v>
      </c>
      <c r="BK1781" t="s">
        <v>86</v>
      </c>
      <c r="BL1781" t="s">
        <v>87</v>
      </c>
    </row>
    <row r="1782" spans="1:64" x14ac:dyDescent="0.3">
      <c r="A1782" t="str">
        <f>"201042B0000"</f>
        <v>201042B0000</v>
      </c>
      <c r="B1782" t="str">
        <f>"201042B00003"</f>
        <v>201042B00003</v>
      </c>
      <c r="C1782" t="str">
        <f t="shared" si="106"/>
        <v>20</v>
      </c>
      <c r="D1782" t="s">
        <v>81</v>
      </c>
      <c r="E1782" t="str">
        <f t="shared" si="108"/>
        <v>182</v>
      </c>
      <c r="F1782" t="s">
        <v>1853</v>
      </c>
      <c r="G1782" t="str">
        <f t="shared" ref="G1782:G1791" si="109">"1042"</f>
        <v>1042</v>
      </c>
      <c r="H1782" t="str">
        <f>"0000"</f>
        <v>0000</v>
      </c>
      <c r="I1782" t="s">
        <v>83</v>
      </c>
      <c r="J1782">
        <v>0</v>
      </c>
      <c r="K1782">
        <v>1</v>
      </c>
      <c r="L1782">
        <v>3</v>
      </c>
      <c r="M1782">
        <v>338</v>
      </c>
      <c r="N1782">
        <v>390</v>
      </c>
      <c r="O1782">
        <v>5</v>
      </c>
      <c r="P1782">
        <v>390</v>
      </c>
      <c r="Q1782">
        <v>9</v>
      </c>
      <c r="R1782">
        <v>40</v>
      </c>
      <c r="S1782">
        <v>2</v>
      </c>
      <c r="T1782">
        <v>0</v>
      </c>
      <c r="U1782">
        <v>10</v>
      </c>
      <c r="V1782">
        <v>51</v>
      </c>
      <c r="W1782">
        <v>3</v>
      </c>
      <c r="X1782">
        <v>144</v>
      </c>
      <c r="Y1782">
        <v>88</v>
      </c>
      <c r="Z1782">
        <v>3</v>
      </c>
      <c r="AB1782">
        <v>28</v>
      </c>
      <c r="AO1782">
        <v>2</v>
      </c>
      <c r="AU1782">
        <v>1</v>
      </c>
      <c r="AW1782">
        <v>1</v>
      </c>
      <c r="AX1782">
        <v>8</v>
      </c>
      <c r="AY1782">
        <v>390</v>
      </c>
      <c r="AZ1782">
        <v>390</v>
      </c>
      <c r="BA1782">
        <v>684</v>
      </c>
      <c r="BB1782">
        <v>44</v>
      </c>
      <c r="BD1782">
        <v>1</v>
      </c>
      <c r="BF1782" t="s">
        <v>1940</v>
      </c>
      <c r="BG1782" s="1">
        <v>44354.225694444445</v>
      </c>
      <c r="BH1782" s="1">
        <v>44354.231192129628</v>
      </c>
      <c r="BI1782" s="1">
        <v>44354.231932870367</v>
      </c>
      <c r="BJ1782" t="s">
        <v>85</v>
      </c>
      <c r="BK1782" t="s">
        <v>86</v>
      </c>
      <c r="BL1782" t="s">
        <v>87</v>
      </c>
    </row>
    <row r="1783" spans="1:64" x14ac:dyDescent="0.3">
      <c r="A1783" t="str">
        <f>"201042C0100"</f>
        <v>201042C0100</v>
      </c>
      <c r="B1783" t="str">
        <f>"201042C01003"</f>
        <v>201042C01003</v>
      </c>
      <c r="C1783" t="str">
        <f t="shared" si="106"/>
        <v>20</v>
      </c>
      <c r="D1783" t="s">
        <v>81</v>
      </c>
      <c r="E1783" t="str">
        <f t="shared" si="108"/>
        <v>182</v>
      </c>
      <c r="F1783" t="s">
        <v>1853</v>
      </c>
      <c r="G1783" t="str">
        <f t="shared" si="109"/>
        <v>1042</v>
      </c>
      <c r="H1783" t="str">
        <f>"0001"</f>
        <v>0001</v>
      </c>
      <c r="I1783" t="s">
        <v>89</v>
      </c>
      <c r="J1783">
        <v>0</v>
      </c>
      <c r="K1783">
        <v>1</v>
      </c>
      <c r="L1783">
        <v>3</v>
      </c>
      <c r="M1783">
        <v>333</v>
      </c>
      <c r="N1783">
        <v>395</v>
      </c>
      <c r="O1783">
        <v>6</v>
      </c>
      <c r="P1783">
        <v>395</v>
      </c>
      <c r="Q1783">
        <v>4</v>
      </c>
      <c r="R1783">
        <v>30</v>
      </c>
      <c r="S1783">
        <v>1</v>
      </c>
      <c r="T1783">
        <v>0</v>
      </c>
      <c r="U1783">
        <v>22</v>
      </c>
      <c r="V1783">
        <v>60</v>
      </c>
      <c r="W1783">
        <v>6</v>
      </c>
      <c r="X1783">
        <v>141</v>
      </c>
      <c r="Y1783">
        <v>88</v>
      </c>
      <c r="Z1783">
        <v>4</v>
      </c>
      <c r="AB1783">
        <v>21</v>
      </c>
      <c r="AO1783">
        <v>0</v>
      </c>
      <c r="AU1783">
        <v>4</v>
      </c>
      <c r="AW1783">
        <v>0</v>
      </c>
      <c r="AX1783">
        <v>14</v>
      </c>
      <c r="AY1783">
        <v>395</v>
      </c>
      <c r="AZ1783">
        <v>395</v>
      </c>
      <c r="BA1783">
        <v>684</v>
      </c>
      <c r="BB1783">
        <v>44</v>
      </c>
      <c r="BD1783">
        <v>1</v>
      </c>
      <c r="BF1783" t="s">
        <v>1941</v>
      </c>
      <c r="BG1783" s="1">
        <v>44354.243055555555</v>
      </c>
      <c r="BH1783" s="1">
        <v>44354.24726851852</v>
      </c>
      <c r="BI1783" s="1">
        <v>44354.247754629629</v>
      </c>
      <c r="BJ1783" t="s">
        <v>85</v>
      </c>
      <c r="BK1783" t="s">
        <v>86</v>
      </c>
      <c r="BL1783" t="s">
        <v>87</v>
      </c>
    </row>
    <row r="1784" spans="1:64" x14ac:dyDescent="0.3">
      <c r="A1784" t="str">
        <f>"201042C0200"</f>
        <v>201042C0200</v>
      </c>
      <c r="B1784" t="str">
        <f>"201042C02003"</f>
        <v>201042C02003</v>
      </c>
      <c r="C1784" t="str">
        <f t="shared" si="106"/>
        <v>20</v>
      </c>
      <c r="D1784" t="s">
        <v>81</v>
      </c>
      <c r="E1784" t="str">
        <f t="shared" si="108"/>
        <v>182</v>
      </c>
      <c r="F1784" t="s">
        <v>1853</v>
      </c>
      <c r="G1784" t="str">
        <f t="shared" si="109"/>
        <v>1042</v>
      </c>
      <c r="H1784" t="str">
        <f>"0002"</f>
        <v>0002</v>
      </c>
      <c r="I1784" t="s">
        <v>89</v>
      </c>
      <c r="J1784">
        <v>0</v>
      </c>
      <c r="K1784">
        <v>1</v>
      </c>
      <c r="L1784">
        <v>3</v>
      </c>
      <c r="M1784">
        <v>327</v>
      </c>
      <c r="N1784">
        <v>400</v>
      </c>
      <c r="O1784">
        <v>9</v>
      </c>
      <c r="P1784">
        <v>400</v>
      </c>
      <c r="Q1784">
        <v>2</v>
      </c>
      <c r="R1784">
        <v>52</v>
      </c>
      <c r="S1784">
        <v>0</v>
      </c>
      <c r="T1784">
        <v>1</v>
      </c>
      <c r="U1784">
        <v>9</v>
      </c>
      <c r="V1784">
        <v>64</v>
      </c>
      <c r="W1784">
        <v>3</v>
      </c>
      <c r="X1784">
        <v>141</v>
      </c>
      <c r="Y1784">
        <v>88</v>
      </c>
      <c r="Z1784">
        <v>5</v>
      </c>
      <c r="AB1784">
        <v>22</v>
      </c>
      <c r="AO1784">
        <v>2</v>
      </c>
      <c r="AU1784">
        <v>1</v>
      </c>
      <c r="AW1784">
        <v>1</v>
      </c>
      <c r="AX1784">
        <v>9</v>
      </c>
      <c r="AY1784">
        <v>400</v>
      </c>
      <c r="AZ1784">
        <v>400</v>
      </c>
      <c r="BA1784">
        <v>683</v>
      </c>
      <c r="BB1784">
        <v>44</v>
      </c>
      <c r="BD1784">
        <v>1</v>
      </c>
      <c r="BF1784" t="s">
        <v>1942</v>
      </c>
      <c r="BG1784" s="1">
        <v>44354.241666666669</v>
      </c>
      <c r="BH1784" s="1">
        <v>44354.245648148149</v>
      </c>
      <c r="BI1784" s="1">
        <v>44354.246435185189</v>
      </c>
      <c r="BJ1784" t="s">
        <v>85</v>
      </c>
      <c r="BK1784" t="s">
        <v>86</v>
      </c>
      <c r="BL1784" t="s">
        <v>87</v>
      </c>
    </row>
    <row r="1785" spans="1:64" x14ac:dyDescent="0.3">
      <c r="A1785" t="str">
        <f>"201042C0300"</f>
        <v>201042C0300</v>
      </c>
      <c r="B1785" t="str">
        <f>"201042C03003"</f>
        <v>201042C03003</v>
      </c>
      <c r="C1785" t="str">
        <f t="shared" si="106"/>
        <v>20</v>
      </c>
      <c r="D1785" t="s">
        <v>81</v>
      </c>
      <c r="E1785" t="str">
        <f t="shared" si="108"/>
        <v>182</v>
      </c>
      <c r="F1785" t="s">
        <v>1853</v>
      </c>
      <c r="G1785" t="str">
        <f t="shared" si="109"/>
        <v>1042</v>
      </c>
      <c r="H1785" t="str">
        <f>"0003"</f>
        <v>0003</v>
      </c>
      <c r="I1785" t="s">
        <v>89</v>
      </c>
      <c r="J1785">
        <v>0</v>
      </c>
      <c r="K1785">
        <v>1</v>
      </c>
      <c r="L1785">
        <v>3</v>
      </c>
      <c r="M1785">
        <v>349</v>
      </c>
      <c r="N1785">
        <v>378</v>
      </c>
      <c r="O1785">
        <v>5</v>
      </c>
      <c r="P1785">
        <v>378</v>
      </c>
      <c r="Q1785">
        <v>4</v>
      </c>
      <c r="R1785">
        <v>28</v>
      </c>
      <c r="S1785">
        <v>2</v>
      </c>
      <c r="T1785">
        <v>13</v>
      </c>
      <c r="U1785">
        <v>9</v>
      </c>
      <c r="V1785">
        <v>32</v>
      </c>
      <c r="W1785">
        <v>3</v>
      </c>
      <c r="X1785">
        <v>203</v>
      </c>
      <c r="Y1785">
        <v>56</v>
      </c>
      <c r="Z1785">
        <v>6</v>
      </c>
      <c r="AB1785">
        <v>12</v>
      </c>
      <c r="AO1785">
        <v>2</v>
      </c>
      <c r="AU1785">
        <v>0</v>
      </c>
      <c r="AW1785">
        <v>0</v>
      </c>
      <c r="AX1785">
        <v>7</v>
      </c>
      <c r="AY1785" t="s">
        <v>95</v>
      </c>
      <c r="AZ1785">
        <v>377</v>
      </c>
      <c r="BA1785">
        <v>683</v>
      </c>
      <c r="BB1785">
        <v>44</v>
      </c>
      <c r="BD1785">
        <v>1</v>
      </c>
      <c r="BF1785" t="s">
        <v>1943</v>
      </c>
      <c r="BG1785" s="1">
        <v>44354.234722222223</v>
      </c>
      <c r="BH1785" s="1">
        <v>44354.236458333333</v>
      </c>
      <c r="BI1785" s="1">
        <v>44354.236678240741</v>
      </c>
      <c r="BJ1785" t="s">
        <v>85</v>
      </c>
      <c r="BK1785" t="s">
        <v>86</v>
      </c>
      <c r="BL1785" t="s">
        <v>87</v>
      </c>
    </row>
    <row r="1786" spans="1:64" x14ac:dyDescent="0.3">
      <c r="A1786" t="str">
        <f>"201042C0400"</f>
        <v>201042C0400</v>
      </c>
      <c r="B1786" t="str">
        <f>"201042C04003"</f>
        <v>201042C04003</v>
      </c>
      <c r="C1786" t="str">
        <f t="shared" si="106"/>
        <v>20</v>
      </c>
      <c r="D1786" t="s">
        <v>81</v>
      </c>
      <c r="E1786" t="str">
        <f t="shared" si="108"/>
        <v>182</v>
      </c>
      <c r="F1786" t="s">
        <v>1853</v>
      </c>
      <c r="G1786" t="str">
        <f t="shared" si="109"/>
        <v>1042</v>
      </c>
      <c r="H1786" t="str">
        <f>"0004"</f>
        <v>0004</v>
      </c>
      <c r="I1786" t="s">
        <v>89</v>
      </c>
      <c r="J1786">
        <v>0</v>
      </c>
      <c r="K1786">
        <v>1</v>
      </c>
      <c r="L1786">
        <v>3</v>
      </c>
      <c r="M1786">
        <v>320</v>
      </c>
      <c r="N1786">
        <v>407</v>
      </c>
      <c r="O1786">
        <v>2</v>
      </c>
      <c r="P1786" t="s">
        <v>92</v>
      </c>
      <c r="Q1786">
        <v>10</v>
      </c>
      <c r="R1786">
        <v>33</v>
      </c>
      <c r="S1786">
        <v>0</v>
      </c>
      <c r="T1786">
        <v>3</v>
      </c>
      <c r="U1786">
        <v>6</v>
      </c>
      <c r="V1786">
        <v>64</v>
      </c>
      <c r="W1786">
        <v>6</v>
      </c>
      <c r="X1786">
        <v>153</v>
      </c>
      <c r="Y1786">
        <v>80</v>
      </c>
      <c r="Z1786">
        <v>5</v>
      </c>
      <c r="AB1786">
        <v>29</v>
      </c>
      <c r="AO1786">
        <v>1</v>
      </c>
      <c r="AU1786">
        <v>0</v>
      </c>
      <c r="AW1786">
        <v>0</v>
      </c>
      <c r="AX1786">
        <v>17</v>
      </c>
      <c r="AY1786">
        <v>407</v>
      </c>
      <c r="AZ1786">
        <v>407</v>
      </c>
      <c r="BA1786">
        <v>683</v>
      </c>
      <c r="BB1786">
        <v>44</v>
      </c>
      <c r="BD1786">
        <v>1</v>
      </c>
      <c r="BF1786" t="s">
        <v>1944</v>
      </c>
      <c r="BG1786" s="1">
        <v>44354.251388888886</v>
      </c>
      <c r="BH1786" s="1">
        <v>44354.255254629628</v>
      </c>
      <c r="BI1786" s="1">
        <v>44354.255914351852</v>
      </c>
      <c r="BJ1786" t="s">
        <v>85</v>
      </c>
      <c r="BK1786" t="s">
        <v>86</v>
      </c>
      <c r="BL1786" t="s">
        <v>87</v>
      </c>
    </row>
    <row r="1787" spans="1:64" x14ac:dyDescent="0.3">
      <c r="A1787" t="str">
        <f>"201042C0500"</f>
        <v>201042C0500</v>
      </c>
      <c r="B1787" t="str">
        <f>"201042C05003"</f>
        <v>201042C05003</v>
      </c>
      <c r="C1787" t="str">
        <f t="shared" si="106"/>
        <v>20</v>
      </c>
      <c r="D1787" t="s">
        <v>81</v>
      </c>
      <c r="E1787" t="str">
        <f t="shared" si="108"/>
        <v>182</v>
      </c>
      <c r="F1787" t="s">
        <v>1853</v>
      </c>
      <c r="G1787" t="str">
        <f t="shared" si="109"/>
        <v>1042</v>
      </c>
      <c r="H1787" t="str">
        <f>"0005"</f>
        <v>0005</v>
      </c>
      <c r="I1787" t="s">
        <v>89</v>
      </c>
      <c r="J1787">
        <v>0</v>
      </c>
      <c r="K1787">
        <v>1</v>
      </c>
      <c r="L1787">
        <v>3</v>
      </c>
      <c r="M1787">
        <v>340</v>
      </c>
      <c r="N1787">
        <v>387</v>
      </c>
      <c r="O1787">
        <v>3</v>
      </c>
      <c r="P1787">
        <v>387</v>
      </c>
      <c r="Q1787">
        <v>3</v>
      </c>
      <c r="R1787">
        <v>38</v>
      </c>
      <c r="S1787">
        <v>1</v>
      </c>
      <c r="T1787">
        <v>4</v>
      </c>
      <c r="U1787">
        <v>9</v>
      </c>
      <c r="V1787">
        <v>77</v>
      </c>
      <c r="W1787">
        <v>5</v>
      </c>
      <c r="X1787">
        <v>130</v>
      </c>
      <c r="Y1787">
        <v>90</v>
      </c>
      <c r="Z1787">
        <v>1</v>
      </c>
      <c r="AB1787">
        <v>21</v>
      </c>
      <c r="AO1787">
        <v>1</v>
      </c>
      <c r="AU1787">
        <v>0</v>
      </c>
      <c r="AW1787">
        <v>0</v>
      </c>
      <c r="AX1787">
        <v>7</v>
      </c>
      <c r="AY1787">
        <v>387</v>
      </c>
      <c r="AZ1787">
        <v>387</v>
      </c>
      <c r="BA1787">
        <v>683</v>
      </c>
      <c r="BB1787">
        <v>44</v>
      </c>
      <c r="BD1787">
        <v>1</v>
      </c>
      <c r="BF1787" t="s">
        <v>1945</v>
      </c>
      <c r="BG1787" s="1">
        <v>44354.240972222222</v>
      </c>
      <c r="BH1787" s="1">
        <v>44354.245972222219</v>
      </c>
      <c r="BI1787" s="1">
        <v>44354.246770833335</v>
      </c>
      <c r="BJ1787" t="s">
        <v>85</v>
      </c>
      <c r="BK1787" t="s">
        <v>86</v>
      </c>
      <c r="BL1787" t="s">
        <v>87</v>
      </c>
    </row>
    <row r="1788" spans="1:64" x14ac:dyDescent="0.3">
      <c r="A1788" t="str">
        <f>"201042C0600"</f>
        <v>201042C0600</v>
      </c>
      <c r="B1788" t="str">
        <f>"201042C06003"</f>
        <v>201042C06003</v>
      </c>
      <c r="C1788" t="str">
        <f t="shared" si="106"/>
        <v>20</v>
      </c>
      <c r="D1788" t="s">
        <v>81</v>
      </c>
      <c r="E1788" t="str">
        <f t="shared" si="108"/>
        <v>182</v>
      </c>
      <c r="F1788" t="s">
        <v>1853</v>
      </c>
      <c r="G1788" t="str">
        <f t="shared" si="109"/>
        <v>1042</v>
      </c>
      <c r="H1788" t="str">
        <f>"0006"</f>
        <v>0006</v>
      </c>
      <c r="I1788" t="s">
        <v>89</v>
      </c>
      <c r="J1788">
        <v>0</v>
      </c>
      <c r="K1788">
        <v>1</v>
      </c>
      <c r="L1788">
        <v>3</v>
      </c>
      <c r="M1788">
        <v>335</v>
      </c>
      <c r="N1788">
        <v>393</v>
      </c>
      <c r="O1788">
        <v>8</v>
      </c>
      <c r="P1788">
        <v>393</v>
      </c>
      <c r="Q1788">
        <v>2</v>
      </c>
      <c r="R1788">
        <v>41</v>
      </c>
      <c r="S1788">
        <v>1</v>
      </c>
      <c r="T1788">
        <v>2</v>
      </c>
      <c r="U1788">
        <v>24</v>
      </c>
      <c r="V1788">
        <v>58</v>
      </c>
      <c r="W1788" t="s">
        <v>95</v>
      </c>
      <c r="X1788">
        <v>132</v>
      </c>
      <c r="Y1788">
        <v>95</v>
      </c>
      <c r="Z1788">
        <v>2</v>
      </c>
      <c r="AB1788">
        <v>20</v>
      </c>
      <c r="AO1788">
        <v>3</v>
      </c>
      <c r="AU1788" t="s">
        <v>95</v>
      </c>
      <c r="AW1788" t="s">
        <v>95</v>
      </c>
      <c r="AX1788">
        <v>13</v>
      </c>
      <c r="AY1788">
        <v>393</v>
      </c>
      <c r="AZ1788">
        <v>393</v>
      </c>
      <c r="BA1788">
        <v>683</v>
      </c>
      <c r="BB1788">
        <v>44</v>
      </c>
      <c r="BC1788" t="s">
        <v>96</v>
      </c>
      <c r="BD1788">
        <v>1</v>
      </c>
      <c r="BF1788" t="s">
        <v>1946</v>
      </c>
      <c r="BG1788" s="1">
        <v>44354.24722222222</v>
      </c>
      <c r="BH1788" s="1">
        <v>44354.249849537038</v>
      </c>
      <c r="BI1788" s="1">
        <v>44354.250462962962</v>
      </c>
      <c r="BJ1788" t="s">
        <v>85</v>
      </c>
      <c r="BK1788" t="s">
        <v>86</v>
      </c>
      <c r="BL1788" t="s">
        <v>87</v>
      </c>
    </row>
    <row r="1789" spans="1:64" x14ac:dyDescent="0.3">
      <c r="A1789" t="str">
        <f>"201042E0100"</f>
        <v>201042E0100</v>
      </c>
      <c r="B1789" t="str">
        <f>"201042E01003"</f>
        <v>201042E01003</v>
      </c>
      <c r="C1789" t="str">
        <f t="shared" si="106"/>
        <v>20</v>
      </c>
      <c r="D1789" t="s">
        <v>81</v>
      </c>
      <c r="E1789" t="str">
        <f t="shared" si="108"/>
        <v>182</v>
      </c>
      <c r="F1789" t="s">
        <v>1853</v>
      </c>
      <c r="G1789" t="str">
        <f t="shared" si="109"/>
        <v>1042</v>
      </c>
      <c r="H1789" t="str">
        <f>"0001"</f>
        <v>0001</v>
      </c>
      <c r="I1789" t="s">
        <v>122</v>
      </c>
      <c r="J1789">
        <v>0</v>
      </c>
      <c r="K1789">
        <v>1</v>
      </c>
      <c r="L1789">
        <v>3</v>
      </c>
      <c r="M1789">
        <v>307</v>
      </c>
      <c r="N1789">
        <v>366</v>
      </c>
      <c r="O1789">
        <v>5</v>
      </c>
      <c r="P1789">
        <v>366</v>
      </c>
      <c r="Q1789">
        <v>3</v>
      </c>
      <c r="R1789">
        <v>50</v>
      </c>
      <c r="S1789">
        <v>1</v>
      </c>
      <c r="T1789">
        <v>4</v>
      </c>
      <c r="U1789">
        <v>7</v>
      </c>
      <c r="V1789">
        <v>61</v>
      </c>
      <c r="W1789">
        <v>6</v>
      </c>
      <c r="X1789">
        <v>97</v>
      </c>
      <c r="Y1789">
        <v>91</v>
      </c>
      <c r="Z1789">
        <v>2</v>
      </c>
      <c r="AB1789">
        <v>35</v>
      </c>
      <c r="AO1789">
        <v>1</v>
      </c>
      <c r="AU1789">
        <v>0</v>
      </c>
      <c r="AW1789">
        <v>0</v>
      </c>
      <c r="AX1789">
        <v>8</v>
      </c>
      <c r="AY1789">
        <v>366</v>
      </c>
      <c r="AZ1789">
        <v>366</v>
      </c>
      <c r="BA1789">
        <v>629</v>
      </c>
      <c r="BB1789">
        <v>44</v>
      </c>
      <c r="BD1789">
        <v>1</v>
      </c>
      <c r="BF1789" t="s">
        <v>1947</v>
      </c>
      <c r="BG1789" s="1">
        <v>44354.29583333333</v>
      </c>
      <c r="BH1789" s="1">
        <v>44354.299050925925</v>
      </c>
      <c r="BI1789" s="1">
        <v>44354.299502314818</v>
      </c>
      <c r="BJ1789" t="s">
        <v>85</v>
      </c>
      <c r="BK1789" t="s">
        <v>86</v>
      </c>
      <c r="BL1789" t="s">
        <v>87</v>
      </c>
    </row>
    <row r="1790" spans="1:64" x14ac:dyDescent="0.3">
      <c r="A1790" t="str">
        <f>"201042E0101"</f>
        <v>201042E0101</v>
      </c>
      <c r="B1790" t="str">
        <f>"201042E01013"</f>
        <v>201042E01013</v>
      </c>
      <c r="C1790" t="str">
        <f t="shared" si="106"/>
        <v>20</v>
      </c>
      <c r="D1790" t="s">
        <v>81</v>
      </c>
      <c r="E1790" t="str">
        <f t="shared" si="108"/>
        <v>182</v>
      </c>
      <c r="F1790" t="s">
        <v>1853</v>
      </c>
      <c r="G1790" t="str">
        <f t="shared" si="109"/>
        <v>1042</v>
      </c>
      <c r="H1790" t="str">
        <f>"0001"</f>
        <v>0001</v>
      </c>
      <c r="I1790" t="s">
        <v>122</v>
      </c>
      <c r="J1790">
        <v>1</v>
      </c>
      <c r="K1790">
        <v>1</v>
      </c>
      <c r="L1790">
        <v>3</v>
      </c>
      <c r="M1790">
        <v>337</v>
      </c>
      <c r="N1790">
        <v>335</v>
      </c>
      <c r="O1790">
        <v>8</v>
      </c>
      <c r="P1790">
        <v>335</v>
      </c>
      <c r="Q1790">
        <v>8</v>
      </c>
      <c r="R1790">
        <v>46</v>
      </c>
      <c r="S1790">
        <v>1</v>
      </c>
      <c r="T1790">
        <v>2</v>
      </c>
      <c r="U1790">
        <v>3</v>
      </c>
      <c r="V1790">
        <v>48</v>
      </c>
      <c r="W1790">
        <v>4</v>
      </c>
      <c r="X1790">
        <v>110</v>
      </c>
      <c r="Y1790">
        <v>78</v>
      </c>
      <c r="Z1790">
        <v>3</v>
      </c>
      <c r="AB1790">
        <v>24</v>
      </c>
      <c r="AO1790">
        <v>1</v>
      </c>
      <c r="AU1790">
        <v>0</v>
      </c>
      <c r="AW1790">
        <v>0</v>
      </c>
      <c r="AX1790">
        <v>7</v>
      </c>
      <c r="AY1790">
        <v>335</v>
      </c>
      <c r="AZ1790">
        <v>335</v>
      </c>
      <c r="BA1790">
        <v>628</v>
      </c>
      <c r="BB1790">
        <v>44</v>
      </c>
      <c r="BD1790">
        <v>1</v>
      </c>
      <c r="BF1790" t="s">
        <v>1948</v>
      </c>
      <c r="BG1790" s="1">
        <v>44354.295138888891</v>
      </c>
      <c r="BH1790" s="1">
        <v>44354.298761574071</v>
      </c>
      <c r="BI1790" s="1">
        <v>44354.29960648148</v>
      </c>
      <c r="BJ1790" t="s">
        <v>85</v>
      </c>
      <c r="BK1790" t="s">
        <v>86</v>
      </c>
      <c r="BL1790" t="s">
        <v>87</v>
      </c>
    </row>
    <row r="1791" spans="1:64" x14ac:dyDescent="0.3">
      <c r="A1791" t="str">
        <f>"201042E0102"</f>
        <v>201042E0102</v>
      </c>
      <c r="B1791" t="str">
        <f>"201042E01023"</f>
        <v>201042E01023</v>
      </c>
      <c r="C1791" t="str">
        <f t="shared" si="106"/>
        <v>20</v>
      </c>
      <c r="D1791" t="s">
        <v>81</v>
      </c>
      <c r="E1791" t="str">
        <f t="shared" si="108"/>
        <v>182</v>
      </c>
      <c r="F1791" t="s">
        <v>1853</v>
      </c>
      <c r="G1791" t="str">
        <f t="shared" si="109"/>
        <v>1042</v>
      </c>
      <c r="H1791" t="str">
        <f>"0001"</f>
        <v>0001</v>
      </c>
      <c r="I1791" t="s">
        <v>122</v>
      </c>
      <c r="J1791">
        <v>2</v>
      </c>
      <c r="K1791">
        <v>1</v>
      </c>
      <c r="L1791">
        <v>3</v>
      </c>
      <c r="M1791">
        <v>318</v>
      </c>
      <c r="N1791">
        <v>354</v>
      </c>
      <c r="O1791">
        <v>6</v>
      </c>
      <c r="P1791">
        <v>354</v>
      </c>
      <c r="Q1791">
        <v>7</v>
      </c>
      <c r="R1791">
        <v>34</v>
      </c>
      <c r="S1791">
        <v>1</v>
      </c>
      <c r="T1791">
        <v>2</v>
      </c>
      <c r="U1791">
        <v>4</v>
      </c>
      <c r="V1791">
        <v>72</v>
      </c>
      <c r="W1791">
        <v>3</v>
      </c>
      <c r="X1791">
        <v>98</v>
      </c>
      <c r="Y1791">
        <v>89</v>
      </c>
      <c r="Z1791">
        <v>7</v>
      </c>
      <c r="AB1791">
        <v>30</v>
      </c>
      <c r="AO1791">
        <v>2</v>
      </c>
      <c r="AU1791">
        <v>0</v>
      </c>
      <c r="AW1791">
        <v>0</v>
      </c>
      <c r="AX1791">
        <v>5</v>
      </c>
      <c r="AY1791">
        <v>354</v>
      </c>
      <c r="AZ1791">
        <v>354</v>
      </c>
      <c r="BA1791">
        <v>628</v>
      </c>
      <c r="BB1791">
        <v>44</v>
      </c>
      <c r="BD1791">
        <v>1</v>
      </c>
      <c r="BF1791" t="s">
        <v>1949</v>
      </c>
      <c r="BG1791" s="1">
        <v>44354.299305555556</v>
      </c>
      <c r="BH1791" s="1">
        <v>44354.301377314812</v>
      </c>
      <c r="BI1791" s="1">
        <v>44354.303043981483</v>
      </c>
      <c r="BJ1791" t="s">
        <v>85</v>
      </c>
      <c r="BK1791" t="s">
        <v>86</v>
      </c>
      <c r="BL1791" t="s">
        <v>87</v>
      </c>
    </row>
    <row r="1792" spans="1:64" x14ac:dyDescent="0.3">
      <c r="A1792" t="str">
        <f>"201043B0000"</f>
        <v>201043B0000</v>
      </c>
      <c r="B1792" t="str">
        <f>"201043B00003"</f>
        <v>201043B00003</v>
      </c>
      <c r="C1792" t="str">
        <f t="shared" si="106"/>
        <v>20</v>
      </c>
      <c r="D1792" t="s">
        <v>81</v>
      </c>
      <c r="E1792" t="str">
        <f t="shared" si="108"/>
        <v>182</v>
      </c>
      <c r="F1792" t="s">
        <v>1853</v>
      </c>
      <c r="G1792" t="str">
        <f>"1043"</f>
        <v>1043</v>
      </c>
      <c r="H1792" t="str">
        <f>"0000"</f>
        <v>0000</v>
      </c>
      <c r="I1792" t="s">
        <v>83</v>
      </c>
      <c r="J1792">
        <v>0</v>
      </c>
      <c r="K1792">
        <v>1</v>
      </c>
      <c r="L1792">
        <v>3</v>
      </c>
      <c r="M1792">
        <v>248</v>
      </c>
      <c r="N1792">
        <v>325</v>
      </c>
      <c r="O1792">
        <v>5</v>
      </c>
      <c r="P1792">
        <v>318</v>
      </c>
      <c r="Q1792">
        <v>5</v>
      </c>
      <c r="R1792">
        <v>45</v>
      </c>
      <c r="S1792">
        <v>0</v>
      </c>
      <c r="T1792">
        <v>1</v>
      </c>
      <c r="U1792">
        <v>8</v>
      </c>
      <c r="V1792">
        <v>34</v>
      </c>
      <c r="W1792">
        <v>7</v>
      </c>
      <c r="X1792">
        <v>118</v>
      </c>
      <c r="Y1792">
        <v>64</v>
      </c>
      <c r="Z1792">
        <v>4</v>
      </c>
      <c r="AB1792">
        <v>30</v>
      </c>
      <c r="AO1792">
        <v>0</v>
      </c>
      <c r="AU1792">
        <v>0</v>
      </c>
      <c r="AW1792">
        <v>0</v>
      </c>
      <c r="AX1792">
        <v>2</v>
      </c>
      <c r="AY1792">
        <v>318</v>
      </c>
      <c r="AZ1792">
        <v>318</v>
      </c>
      <c r="BA1792">
        <v>525</v>
      </c>
      <c r="BB1792">
        <v>44</v>
      </c>
      <c r="BD1792">
        <v>1</v>
      </c>
      <c r="BF1792" t="s">
        <v>1950</v>
      </c>
      <c r="BG1792" s="1">
        <v>44354.026388888888</v>
      </c>
      <c r="BH1792" s="1">
        <v>44354.033842592595</v>
      </c>
      <c r="BI1792" s="1">
        <v>44354.034270833334</v>
      </c>
      <c r="BJ1792" t="s">
        <v>85</v>
      </c>
      <c r="BK1792" t="s">
        <v>86</v>
      </c>
      <c r="BL1792" t="s">
        <v>87</v>
      </c>
    </row>
    <row r="1793" spans="1:64" x14ac:dyDescent="0.3">
      <c r="A1793" t="str">
        <f>"201043C0100"</f>
        <v>201043C0100</v>
      </c>
      <c r="B1793" t="str">
        <f>"201043C01003"</f>
        <v>201043C01003</v>
      </c>
      <c r="C1793" t="str">
        <f t="shared" si="106"/>
        <v>20</v>
      </c>
      <c r="D1793" t="s">
        <v>81</v>
      </c>
      <c r="E1793" t="str">
        <f t="shared" si="108"/>
        <v>182</v>
      </c>
      <c r="F1793" t="s">
        <v>1853</v>
      </c>
      <c r="G1793" t="str">
        <f>"1043"</f>
        <v>1043</v>
      </c>
      <c r="H1793" t="str">
        <f>"0001"</f>
        <v>0001</v>
      </c>
      <c r="I1793" t="s">
        <v>89</v>
      </c>
      <c r="J1793">
        <v>0</v>
      </c>
      <c r="K1793">
        <v>1</v>
      </c>
      <c r="L1793">
        <v>3</v>
      </c>
      <c r="M1793">
        <v>226</v>
      </c>
      <c r="N1793">
        <v>342</v>
      </c>
      <c r="O1793" t="s">
        <v>92</v>
      </c>
      <c r="P1793">
        <v>342</v>
      </c>
      <c r="Q1793">
        <v>7</v>
      </c>
      <c r="R1793">
        <v>41</v>
      </c>
      <c r="S1793">
        <v>0</v>
      </c>
      <c r="T1793">
        <v>0</v>
      </c>
      <c r="U1793">
        <v>4</v>
      </c>
      <c r="V1793">
        <v>42</v>
      </c>
      <c r="W1793">
        <v>6</v>
      </c>
      <c r="X1793">
        <v>124</v>
      </c>
      <c r="Y1793">
        <v>70</v>
      </c>
      <c r="Z1793">
        <v>1</v>
      </c>
      <c r="AB1793">
        <v>38</v>
      </c>
      <c r="AO1793">
        <v>4</v>
      </c>
      <c r="AU1793">
        <v>0</v>
      </c>
      <c r="AW1793">
        <v>0</v>
      </c>
      <c r="AX1793">
        <v>5</v>
      </c>
      <c r="AY1793">
        <v>342</v>
      </c>
      <c r="AZ1793">
        <v>342</v>
      </c>
      <c r="BA1793">
        <v>524</v>
      </c>
      <c r="BB1793">
        <v>44</v>
      </c>
      <c r="BD1793">
        <v>1</v>
      </c>
      <c r="BF1793" t="s">
        <v>1951</v>
      </c>
      <c r="BG1793" s="1">
        <v>44354.027777777781</v>
      </c>
      <c r="BH1793" s="1">
        <v>44354.034953703704</v>
      </c>
      <c r="BI1793" s="1">
        <v>44354.035949074074</v>
      </c>
      <c r="BJ1793" t="s">
        <v>85</v>
      </c>
      <c r="BK1793" t="s">
        <v>86</v>
      </c>
      <c r="BL1793" t="s">
        <v>87</v>
      </c>
    </row>
    <row r="1794" spans="1:64" x14ac:dyDescent="0.3">
      <c r="A1794" t="str">
        <f>"201043C0200"</f>
        <v>201043C0200</v>
      </c>
      <c r="B1794" t="str">
        <f>"201043C02003"</f>
        <v>201043C02003</v>
      </c>
      <c r="C1794" t="str">
        <f t="shared" si="106"/>
        <v>20</v>
      </c>
      <c r="D1794" t="s">
        <v>81</v>
      </c>
      <c r="E1794" t="str">
        <f t="shared" si="108"/>
        <v>182</v>
      </c>
      <c r="F1794" t="s">
        <v>1853</v>
      </c>
      <c r="G1794" t="str">
        <f>"1043"</f>
        <v>1043</v>
      </c>
      <c r="H1794" t="str">
        <f>"0002"</f>
        <v>0002</v>
      </c>
      <c r="I1794" t="s">
        <v>89</v>
      </c>
      <c r="J1794">
        <v>0</v>
      </c>
      <c r="K1794">
        <v>1</v>
      </c>
      <c r="L1794">
        <v>3</v>
      </c>
      <c r="M1794">
        <v>254</v>
      </c>
      <c r="N1794">
        <v>314</v>
      </c>
      <c r="O1794">
        <v>11</v>
      </c>
      <c r="P1794">
        <v>313</v>
      </c>
      <c r="Q1794">
        <v>8</v>
      </c>
      <c r="R1794">
        <v>54</v>
      </c>
      <c r="S1794">
        <v>0</v>
      </c>
      <c r="T1794">
        <v>0</v>
      </c>
      <c r="U1794">
        <v>2</v>
      </c>
      <c r="V1794">
        <v>44</v>
      </c>
      <c r="W1794">
        <v>3</v>
      </c>
      <c r="X1794">
        <v>136</v>
      </c>
      <c r="Y1794">
        <v>38</v>
      </c>
      <c r="Z1794">
        <v>1</v>
      </c>
      <c r="AB1794">
        <v>25</v>
      </c>
      <c r="AO1794">
        <v>2</v>
      </c>
      <c r="AU1794">
        <v>0</v>
      </c>
      <c r="AW1794">
        <v>0</v>
      </c>
      <c r="AX1794">
        <v>2</v>
      </c>
      <c r="AY1794">
        <v>313</v>
      </c>
      <c r="AZ1794">
        <v>315</v>
      </c>
      <c r="BA1794">
        <v>524</v>
      </c>
      <c r="BB1794">
        <v>44</v>
      </c>
      <c r="BD1794">
        <v>1</v>
      </c>
      <c r="BF1794" t="s">
        <v>1952</v>
      </c>
      <c r="BG1794" s="1">
        <v>44354.029166666667</v>
      </c>
      <c r="BH1794" s="1">
        <v>44354.042037037034</v>
      </c>
      <c r="BI1794" s="1">
        <v>44354.042685185188</v>
      </c>
      <c r="BJ1794" t="s">
        <v>85</v>
      </c>
      <c r="BK1794" t="s">
        <v>86</v>
      </c>
      <c r="BL1794" t="s">
        <v>87</v>
      </c>
    </row>
    <row r="1795" spans="1:64" x14ac:dyDescent="0.3">
      <c r="A1795" t="str">
        <f>"201044B0000"</f>
        <v>201044B0000</v>
      </c>
      <c r="B1795" t="str">
        <f>"201044B00003"</f>
        <v>201044B00003</v>
      </c>
      <c r="C1795" t="str">
        <f t="shared" si="106"/>
        <v>20</v>
      </c>
      <c r="D1795" t="s">
        <v>81</v>
      </c>
      <c r="E1795" t="str">
        <f t="shared" si="108"/>
        <v>182</v>
      </c>
      <c r="F1795" t="s">
        <v>1853</v>
      </c>
      <c r="G1795" t="str">
        <f>"1044"</f>
        <v>1044</v>
      </c>
      <c r="H1795" t="str">
        <f>"0000"</f>
        <v>0000</v>
      </c>
      <c r="I1795" t="s">
        <v>83</v>
      </c>
      <c r="J1795">
        <v>0</v>
      </c>
      <c r="K1795">
        <v>1</v>
      </c>
      <c r="L1795">
        <v>3</v>
      </c>
      <c r="M1795">
        <v>353</v>
      </c>
      <c r="N1795">
        <v>414</v>
      </c>
      <c r="O1795">
        <v>8</v>
      </c>
      <c r="P1795">
        <v>414</v>
      </c>
      <c r="Q1795">
        <v>5</v>
      </c>
      <c r="R1795">
        <v>54</v>
      </c>
      <c r="S1795">
        <v>1</v>
      </c>
      <c r="T1795">
        <v>1</v>
      </c>
      <c r="U1795">
        <v>6</v>
      </c>
      <c r="V1795">
        <v>106</v>
      </c>
      <c r="W1795">
        <v>5</v>
      </c>
      <c r="X1795">
        <v>149</v>
      </c>
      <c r="Y1795">
        <v>49</v>
      </c>
      <c r="Z1795">
        <v>0</v>
      </c>
      <c r="AB1795">
        <v>21</v>
      </c>
      <c r="AO1795">
        <v>3</v>
      </c>
      <c r="AU1795">
        <v>0</v>
      </c>
      <c r="AW1795">
        <v>0</v>
      </c>
      <c r="AX1795">
        <v>14</v>
      </c>
      <c r="AY1795">
        <v>414</v>
      </c>
      <c r="AZ1795">
        <v>414</v>
      </c>
      <c r="BA1795">
        <v>724</v>
      </c>
      <c r="BB1795">
        <v>44</v>
      </c>
      <c r="BD1795">
        <v>1</v>
      </c>
      <c r="BF1795" t="s">
        <v>1953</v>
      </c>
      <c r="BG1795" s="1">
        <v>44354.13958333333</v>
      </c>
      <c r="BH1795" s="1">
        <v>44354.142106481479</v>
      </c>
      <c r="BI1795" s="1">
        <v>44354.142800925925</v>
      </c>
      <c r="BJ1795" t="s">
        <v>85</v>
      </c>
      <c r="BK1795" t="s">
        <v>86</v>
      </c>
      <c r="BL1795" t="s">
        <v>87</v>
      </c>
    </row>
    <row r="1796" spans="1:64" x14ac:dyDescent="0.3">
      <c r="A1796" t="str">
        <f>"201044C0100"</f>
        <v>201044C0100</v>
      </c>
      <c r="B1796" t="str">
        <f>"201044C01003"</f>
        <v>201044C01003</v>
      </c>
      <c r="C1796" t="str">
        <f t="shared" si="106"/>
        <v>20</v>
      </c>
      <c r="D1796" t="s">
        <v>81</v>
      </c>
      <c r="E1796" t="str">
        <f t="shared" si="108"/>
        <v>182</v>
      </c>
      <c r="F1796" t="s">
        <v>1853</v>
      </c>
      <c r="G1796" t="str">
        <f>"1044"</f>
        <v>1044</v>
      </c>
      <c r="H1796" t="str">
        <f>"0001"</f>
        <v>0001</v>
      </c>
      <c r="I1796" t="s">
        <v>89</v>
      </c>
      <c r="J1796">
        <v>0</v>
      </c>
      <c r="K1796">
        <v>1</v>
      </c>
      <c r="L1796">
        <v>3</v>
      </c>
      <c r="M1796">
        <v>358</v>
      </c>
      <c r="N1796">
        <v>408</v>
      </c>
      <c r="O1796">
        <v>7</v>
      </c>
      <c r="P1796" t="s">
        <v>92</v>
      </c>
      <c r="Q1796">
        <v>3</v>
      </c>
      <c r="R1796">
        <v>50</v>
      </c>
      <c r="S1796">
        <v>11</v>
      </c>
      <c r="T1796">
        <v>2</v>
      </c>
      <c r="U1796">
        <v>4</v>
      </c>
      <c r="V1796">
        <v>81</v>
      </c>
      <c r="W1796">
        <v>5</v>
      </c>
      <c r="X1796">
        <v>176</v>
      </c>
      <c r="Y1796">
        <v>47</v>
      </c>
      <c r="Z1796">
        <v>3</v>
      </c>
      <c r="AB1796">
        <v>19</v>
      </c>
      <c r="AO1796">
        <v>1</v>
      </c>
      <c r="AU1796">
        <v>0</v>
      </c>
      <c r="AW1796">
        <v>0</v>
      </c>
      <c r="AX1796">
        <v>9</v>
      </c>
      <c r="AY1796">
        <v>411</v>
      </c>
      <c r="AZ1796">
        <v>411</v>
      </c>
      <c r="BA1796">
        <v>724</v>
      </c>
      <c r="BB1796">
        <v>44</v>
      </c>
      <c r="BD1796">
        <v>1</v>
      </c>
      <c r="BF1796" t="s">
        <v>1954</v>
      </c>
      <c r="BG1796" s="1">
        <v>44354.134027777778</v>
      </c>
      <c r="BH1796" s="1">
        <v>44354.137314814812</v>
      </c>
      <c r="BI1796" s="1">
        <v>44354.137835648151</v>
      </c>
      <c r="BJ1796" t="s">
        <v>85</v>
      </c>
      <c r="BK1796" t="s">
        <v>86</v>
      </c>
      <c r="BL1796" t="s">
        <v>87</v>
      </c>
    </row>
    <row r="1797" spans="1:64" x14ac:dyDescent="0.3">
      <c r="A1797" t="str">
        <f>"201045B0000"</f>
        <v>201045B0000</v>
      </c>
      <c r="B1797" t="str">
        <f>"201045B00003"</f>
        <v>201045B00003</v>
      </c>
      <c r="C1797" t="str">
        <f t="shared" si="106"/>
        <v>20</v>
      </c>
      <c r="D1797" t="s">
        <v>81</v>
      </c>
      <c r="E1797" t="str">
        <f t="shared" si="108"/>
        <v>182</v>
      </c>
      <c r="F1797" t="s">
        <v>1853</v>
      </c>
      <c r="G1797" t="str">
        <f>"1045"</f>
        <v>1045</v>
      </c>
      <c r="H1797" t="str">
        <f>"0000"</f>
        <v>0000</v>
      </c>
      <c r="I1797" t="s">
        <v>83</v>
      </c>
      <c r="J1797">
        <v>0</v>
      </c>
      <c r="K1797">
        <v>1</v>
      </c>
      <c r="L1797">
        <v>3</v>
      </c>
      <c r="M1797">
        <v>287</v>
      </c>
      <c r="N1797">
        <v>418</v>
      </c>
      <c r="O1797">
        <v>9</v>
      </c>
      <c r="P1797">
        <v>423</v>
      </c>
      <c r="Q1797">
        <v>6</v>
      </c>
      <c r="R1797">
        <v>56</v>
      </c>
      <c r="S1797">
        <v>1</v>
      </c>
      <c r="T1797">
        <v>0</v>
      </c>
      <c r="U1797">
        <v>2</v>
      </c>
      <c r="V1797">
        <v>98</v>
      </c>
      <c r="W1797">
        <v>5</v>
      </c>
      <c r="X1797">
        <v>142</v>
      </c>
      <c r="Y1797">
        <v>72</v>
      </c>
      <c r="Z1797">
        <v>2</v>
      </c>
      <c r="AB1797">
        <v>32</v>
      </c>
      <c r="AO1797">
        <v>1</v>
      </c>
      <c r="AU1797">
        <v>0</v>
      </c>
      <c r="AW1797">
        <v>0</v>
      </c>
      <c r="AX1797">
        <v>6</v>
      </c>
      <c r="AY1797">
        <v>423</v>
      </c>
      <c r="AZ1797">
        <v>423</v>
      </c>
      <c r="BA1797">
        <v>661</v>
      </c>
      <c r="BB1797">
        <v>44</v>
      </c>
      <c r="BD1797">
        <v>1</v>
      </c>
      <c r="BF1797" t="s">
        <v>1955</v>
      </c>
      <c r="BG1797" s="1">
        <v>44354.136111111111</v>
      </c>
      <c r="BH1797" s="1">
        <v>44354.137916666667</v>
      </c>
      <c r="BI1797" s="1">
        <v>44354.138437499998</v>
      </c>
      <c r="BJ1797" t="s">
        <v>85</v>
      </c>
      <c r="BK1797" t="s">
        <v>86</v>
      </c>
      <c r="BL1797" t="s">
        <v>87</v>
      </c>
    </row>
    <row r="1798" spans="1:64" x14ac:dyDescent="0.3">
      <c r="A1798" t="str">
        <f>"201045C0100"</f>
        <v>201045C0100</v>
      </c>
      <c r="B1798" t="str">
        <f>"201045C01003"</f>
        <v>201045C01003</v>
      </c>
      <c r="C1798" t="str">
        <f t="shared" si="106"/>
        <v>20</v>
      </c>
      <c r="D1798" t="s">
        <v>81</v>
      </c>
      <c r="E1798" t="str">
        <f t="shared" si="108"/>
        <v>182</v>
      </c>
      <c r="F1798" t="s">
        <v>1853</v>
      </c>
      <c r="G1798" t="str">
        <f>"1045"</f>
        <v>1045</v>
      </c>
      <c r="H1798" t="str">
        <f>"0001"</f>
        <v>0001</v>
      </c>
      <c r="I1798" t="s">
        <v>89</v>
      </c>
      <c r="J1798">
        <v>0</v>
      </c>
      <c r="K1798">
        <v>1</v>
      </c>
      <c r="L1798">
        <v>3</v>
      </c>
      <c r="M1798">
        <v>317</v>
      </c>
      <c r="N1798" t="s">
        <v>92</v>
      </c>
      <c r="O1798" t="s">
        <v>92</v>
      </c>
      <c r="P1798" t="s">
        <v>92</v>
      </c>
      <c r="Q1798">
        <v>3</v>
      </c>
      <c r="R1798">
        <v>36</v>
      </c>
      <c r="S1798">
        <v>1</v>
      </c>
      <c r="T1798">
        <v>2</v>
      </c>
      <c r="U1798">
        <v>2</v>
      </c>
      <c r="V1798">
        <v>65</v>
      </c>
      <c r="W1798">
        <v>13</v>
      </c>
      <c r="X1798">
        <v>155</v>
      </c>
      <c r="Y1798">
        <v>71</v>
      </c>
      <c r="Z1798">
        <v>2</v>
      </c>
      <c r="AB1798">
        <v>22</v>
      </c>
      <c r="AO1798">
        <v>1</v>
      </c>
      <c r="AU1798" t="s">
        <v>95</v>
      </c>
      <c r="AW1798" t="s">
        <v>95</v>
      </c>
      <c r="AX1798">
        <v>9</v>
      </c>
      <c r="AY1798">
        <v>382</v>
      </c>
      <c r="AZ1798">
        <v>382</v>
      </c>
      <c r="BA1798">
        <v>660</v>
      </c>
      <c r="BB1798">
        <v>44</v>
      </c>
      <c r="BC1798" t="s">
        <v>96</v>
      </c>
      <c r="BD1798">
        <v>1</v>
      </c>
      <c r="BF1798" t="s">
        <v>1956</v>
      </c>
      <c r="BG1798" s="1">
        <v>44354.138888888891</v>
      </c>
      <c r="BH1798" s="1">
        <v>44354.141435185185</v>
      </c>
      <c r="BI1798" s="1">
        <v>44354.142222222225</v>
      </c>
      <c r="BJ1798" t="s">
        <v>85</v>
      </c>
      <c r="BK1798" t="s">
        <v>86</v>
      </c>
      <c r="BL1798" t="s">
        <v>87</v>
      </c>
    </row>
    <row r="1799" spans="1:64" x14ac:dyDescent="0.3">
      <c r="A1799" t="str">
        <f>"201046B0000"</f>
        <v>201046B0000</v>
      </c>
      <c r="B1799" t="str">
        <f>"201046B00003"</f>
        <v>201046B00003</v>
      </c>
      <c r="C1799" t="str">
        <f t="shared" ref="C1799:C1862" si="110">"20"</f>
        <v>20</v>
      </c>
      <c r="D1799" t="s">
        <v>81</v>
      </c>
      <c r="E1799" t="str">
        <f t="shared" si="108"/>
        <v>182</v>
      </c>
      <c r="F1799" t="s">
        <v>1853</v>
      </c>
      <c r="G1799" t="str">
        <f>"1046"</f>
        <v>1046</v>
      </c>
      <c r="H1799" t="str">
        <f>"0000"</f>
        <v>0000</v>
      </c>
      <c r="I1799" t="s">
        <v>83</v>
      </c>
      <c r="J1799">
        <v>0</v>
      </c>
      <c r="K1799">
        <v>1</v>
      </c>
      <c r="L1799">
        <v>3</v>
      </c>
      <c r="M1799">
        <v>201</v>
      </c>
      <c r="N1799">
        <v>260</v>
      </c>
      <c r="O1799">
        <v>11</v>
      </c>
      <c r="P1799">
        <v>260</v>
      </c>
      <c r="Q1799">
        <v>2</v>
      </c>
      <c r="R1799">
        <v>52</v>
      </c>
      <c r="S1799">
        <v>0</v>
      </c>
      <c r="T1799">
        <v>3</v>
      </c>
      <c r="U1799">
        <v>2</v>
      </c>
      <c r="V1799">
        <v>56</v>
      </c>
      <c r="W1799">
        <v>3</v>
      </c>
      <c r="X1799">
        <v>104</v>
      </c>
      <c r="Y1799">
        <v>16</v>
      </c>
      <c r="Z1799">
        <v>2</v>
      </c>
      <c r="AB1799">
        <v>19</v>
      </c>
      <c r="AO1799">
        <v>0</v>
      </c>
      <c r="AU1799">
        <v>0</v>
      </c>
      <c r="AW1799">
        <v>0</v>
      </c>
      <c r="AX1799">
        <v>1</v>
      </c>
      <c r="AY1799">
        <v>260</v>
      </c>
      <c r="AZ1799">
        <v>260</v>
      </c>
      <c r="BA1799">
        <v>417</v>
      </c>
      <c r="BB1799">
        <v>44</v>
      </c>
      <c r="BD1799">
        <v>1</v>
      </c>
      <c r="BF1799" t="s">
        <v>1957</v>
      </c>
      <c r="BG1799" s="1">
        <v>44354.115277777775</v>
      </c>
      <c r="BH1799" s="1">
        <v>44354.120567129627</v>
      </c>
      <c r="BI1799" s="1">
        <v>44354.122118055559</v>
      </c>
      <c r="BJ1799" t="s">
        <v>85</v>
      </c>
      <c r="BK1799" t="s">
        <v>86</v>
      </c>
      <c r="BL1799" t="s">
        <v>87</v>
      </c>
    </row>
    <row r="1800" spans="1:64" x14ac:dyDescent="0.3">
      <c r="A1800" t="str">
        <f>"201046C0100"</f>
        <v>201046C0100</v>
      </c>
      <c r="B1800" t="str">
        <f>"201046C01003"</f>
        <v>201046C01003</v>
      </c>
      <c r="C1800" t="str">
        <f t="shared" si="110"/>
        <v>20</v>
      </c>
      <c r="D1800" t="s">
        <v>81</v>
      </c>
      <c r="E1800" t="str">
        <f t="shared" si="108"/>
        <v>182</v>
      </c>
      <c r="F1800" t="s">
        <v>1853</v>
      </c>
      <c r="G1800" t="str">
        <f>"1046"</f>
        <v>1046</v>
      </c>
      <c r="H1800" t="str">
        <f>"0001"</f>
        <v>0001</v>
      </c>
      <c r="I1800" t="s">
        <v>89</v>
      </c>
      <c r="J1800">
        <v>0</v>
      </c>
      <c r="K1800">
        <v>1</v>
      </c>
      <c r="L1800">
        <v>3</v>
      </c>
      <c r="M1800">
        <v>201</v>
      </c>
      <c r="N1800">
        <v>259</v>
      </c>
      <c r="O1800">
        <v>10</v>
      </c>
      <c r="P1800">
        <v>259</v>
      </c>
      <c r="Q1800">
        <v>4</v>
      </c>
      <c r="R1800">
        <v>41</v>
      </c>
      <c r="S1800">
        <v>0</v>
      </c>
      <c r="T1800">
        <v>1</v>
      </c>
      <c r="U1800">
        <v>0</v>
      </c>
      <c r="V1800">
        <v>51</v>
      </c>
      <c r="W1800">
        <v>3</v>
      </c>
      <c r="X1800">
        <v>123</v>
      </c>
      <c r="Y1800">
        <v>14</v>
      </c>
      <c r="Z1800">
        <v>0</v>
      </c>
      <c r="AB1800">
        <v>15</v>
      </c>
      <c r="AO1800">
        <v>0</v>
      </c>
      <c r="AU1800">
        <v>0</v>
      </c>
      <c r="AW1800">
        <v>0</v>
      </c>
      <c r="AX1800">
        <v>7</v>
      </c>
      <c r="AY1800">
        <v>259</v>
      </c>
      <c r="AZ1800">
        <v>259</v>
      </c>
      <c r="BA1800">
        <v>416</v>
      </c>
      <c r="BB1800">
        <v>44</v>
      </c>
      <c r="BD1800">
        <v>1</v>
      </c>
      <c r="BF1800" t="s">
        <v>1958</v>
      </c>
      <c r="BG1800" s="1">
        <v>44354.12222222222</v>
      </c>
      <c r="BH1800" s="1">
        <v>44354.124849537038</v>
      </c>
      <c r="BI1800" s="1">
        <v>44354.1250462963</v>
      </c>
      <c r="BJ1800" t="s">
        <v>85</v>
      </c>
      <c r="BK1800" t="s">
        <v>86</v>
      </c>
      <c r="BL1800" t="s">
        <v>1390</v>
      </c>
    </row>
    <row r="1801" spans="1:64" x14ac:dyDescent="0.3">
      <c r="A1801" t="str">
        <f>"201047B0000"</f>
        <v>201047B0000</v>
      </c>
      <c r="B1801" t="str">
        <f>"201047B00003"</f>
        <v>201047B00003</v>
      </c>
      <c r="C1801" t="str">
        <f t="shared" si="110"/>
        <v>20</v>
      </c>
      <c r="D1801" t="s">
        <v>81</v>
      </c>
      <c r="E1801" t="str">
        <f t="shared" si="108"/>
        <v>182</v>
      </c>
      <c r="F1801" t="s">
        <v>1853</v>
      </c>
      <c r="G1801" t="str">
        <f>"1047"</f>
        <v>1047</v>
      </c>
      <c r="H1801" t="str">
        <f>"0000"</f>
        <v>0000</v>
      </c>
      <c r="I1801" t="s">
        <v>83</v>
      </c>
      <c r="J1801">
        <v>0</v>
      </c>
      <c r="K1801">
        <v>1</v>
      </c>
      <c r="L1801">
        <v>3</v>
      </c>
      <c r="M1801">
        <v>310</v>
      </c>
      <c r="N1801">
        <v>472</v>
      </c>
      <c r="O1801">
        <v>4</v>
      </c>
      <c r="P1801">
        <v>472</v>
      </c>
      <c r="Q1801">
        <v>12</v>
      </c>
      <c r="R1801">
        <v>89</v>
      </c>
      <c r="S1801">
        <v>0</v>
      </c>
      <c r="T1801">
        <v>2</v>
      </c>
      <c r="U1801">
        <v>4</v>
      </c>
      <c r="V1801">
        <v>92</v>
      </c>
      <c r="W1801">
        <v>1</v>
      </c>
      <c r="X1801">
        <v>189</v>
      </c>
      <c r="Y1801">
        <v>47</v>
      </c>
      <c r="Z1801">
        <v>5</v>
      </c>
      <c r="AB1801">
        <v>16</v>
      </c>
      <c r="AO1801">
        <v>1</v>
      </c>
      <c r="AU1801">
        <v>0</v>
      </c>
      <c r="AW1801">
        <v>0</v>
      </c>
      <c r="AX1801">
        <v>12</v>
      </c>
      <c r="AY1801">
        <v>472</v>
      </c>
      <c r="AZ1801">
        <v>470</v>
      </c>
      <c r="BA1801">
        <v>738</v>
      </c>
      <c r="BB1801">
        <v>44</v>
      </c>
      <c r="BD1801">
        <v>1</v>
      </c>
      <c r="BF1801" t="s">
        <v>1959</v>
      </c>
      <c r="BG1801" s="1">
        <v>44354.113888888889</v>
      </c>
      <c r="BH1801" s="1">
        <v>44354.117974537039</v>
      </c>
      <c r="BI1801" s="1">
        <v>44354.118645833332</v>
      </c>
      <c r="BJ1801" t="s">
        <v>85</v>
      </c>
      <c r="BK1801" t="s">
        <v>86</v>
      </c>
      <c r="BL1801" t="s">
        <v>87</v>
      </c>
    </row>
    <row r="1802" spans="1:64" x14ac:dyDescent="0.3">
      <c r="A1802" t="str">
        <f>"201048B0000"</f>
        <v>201048B0000</v>
      </c>
      <c r="B1802" t="str">
        <f>"201048B00003"</f>
        <v>201048B00003</v>
      </c>
      <c r="C1802" t="str">
        <f t="shared" si="110"/>
        <v>20</v>
      </c>
      <c r="D1802" t="s">
        <v>81</v>
      </c>
      <c r="E1802" t="str">
        <f t="shared" si="108"/>
        <v>182</v>
      </c>
      <c r="F1802" t="s">
        <v>1853</v>
      </c>
      <c r="G1802" t="str">
        <f>"1048"</f>
        <v>1048</v>
      </c>
      <c r="H1802" t="str">
        <f>"0000"</f>
        <v>0000</v>
      </c>
      <c r="I1802" t="s">
        <v>83</v>
      </c>
      <c r="J1802">
        <v>0</v>
      </c>
      <c r="K1802">
        <v>1</v>
      </c>
      <c r="L1802">
        <v>3</v>
      </c>
      <c r="M1802">
        <v>310</v>
      </c>
      <c r="N1802">
        <v>392</v>
      </c>
      <c r="O1802">
        <v>0</v>
      </c>
      <c r="P1802">
        <v>388</v>
      </c>
      <c r="Q1802">
        <v>5</v>
      </c>
      <c r="R1802">
        <v>76</v>
      </c>
      <c r="S1802">
        <v>1</v>
      </c>
      <c r="T1802">
        <v>2</v>
      </c>
      <c r="U1802">
        <v>2</v>
      </c>
      <c r="V1802">
        <v>23</v>
      </c>
      <c r="W1802">
        <v>2</v>
      </c>
      <c r="X1802">
        <v>194</v>
      </c>
      <c r="Y1802">
        <v>62</v>
      </c>
      <c r="Z1802">
        <v>4</v>
      </c>
      <c r="AB1802">
        <v>15</v>
      </c>
      <c r="AO1802">
        <v>2</v>
      </c>
      <c r="AU1802">
        <v>0</v>
      </c>
      <c r="AW1802" t="s">
        <v>95</v>
      </c>
      <c r="AX1802" t="s">
        <v>95</v>
      </c>
      <c r="AY1802" t="s">
        <v>95</v>
      </c>
      <c r="AZ1802">
        <v>388</v>
      </c>
      <c r="BA1802">
        <v>662</v>
      </c>
      <c r="BB1802">
        <v>44</v>
      </c>
      <c r="BC1802" t="s">
        <v>96</v>
      </c>
      <c r="BD1802">
        <v>1</v>
      </c>
      <c r="BF1802" t="s">
        <v>1960</v>
      </c>
      <c r="BG1802" s="1">
        <v>44354.270138888889</v>
      </c>
      <c r="BH1802" s="1">
        <v>44354.273923611108</v>
      </c>
      <c r="BI1802" s="1">
        <v>44354.274953703702</v>
      </c>
      <c r="BJ1802" t="s">
        <v>85</v>
      </c>
      <c r="BK1802" t="s">
        <v>86</v>
      </c>
      <c r="BL1802" t="s">
        <v>1390</v>
      </c>
    </row>
    <row r="1803" spans="1:64" x14ac:dyDescent="0.3">
      <c r="A1803" t="str">
        <f>"201048C0100"</f>
        <v>201048C0100</v>
      </c>
      <c r="B1803" t="str">
        <f>"201048C01003"</f>
        <v>201048C01003</v>
      </c>
      <c r="C1803" t="str">
        <f t="shared" si="110"/>
        <v>20</v>
      </c>
      <c r="D1803" t="s">
        <v>81</v>
      </c>
      <c r="E1803" t="str">
        <f t="shared" si="108"/>
        <v>182</v>
      </c>
      <c r="F1803" t="s">
        <v>1853</v>
      </c>
      <c r="G1803" t="str">
        <f>"1048"</f>
        <v>1048</v>
      </c>
      <c r="H1803" t="str">
        <f>"0001"</f>
        <v>0001</v>
      </c>
      <c r="I1803" t="s">
        <v>89</v>
      </c>
      <c r="J1803">
        <v>0</v>
      </c>
      <c r="K1803">
        <v>1</v>
      </c>
      <c r="L1803">
        <v>3</v>
      </c>
      <c r="M1803">
        <v>221</v>
      </c>
      <c r="N1803">
        <v>421</v>
      </c>
      <c r="O1803">
        <v>0</v>
      </c>
      <c r="P1803">
        <v>421</v>
      </c>
      <c r="Q1803">
        <v>3</v>
      </c>
      <c r="R1803">
        <v>68</v>
      </c>
      <c r="S1803">
        <v>0</v>
      </c>
      <c r="T1803">
        <v>1</v>
      </c>
      <c r="U1803">
        <v>4</v>
      </c>
      <c r="V1803">
        <v>42</v>
      </c>
      <c r="W1803">
        <v>1</v>
      </c>
      <c r="X1803">
        <v>202</v>
      </c>
      <c r="Y1803">
        <v>67</v>
      </c>
      <c r="Z1803">
        <v>1</v>
      </c>
      <c r="AB1803">
        <v>22</v>
      </c>
      <c r="AO1803" t="s">
        <v>95</v>
      </c>
      <c r="AU1803" t="s">
        <v>95</v>
      </c>
      <c r="AW1803" t="s">
        <v>95</v>
      </c>
      <c r="AX1803">
        <v>7</v>
      </c>
      <c r="AY1803">
        <v>421</v>
      </c>
      <c r="AZ1803">
        <v>418</v>
      </c>
      <c r="BA1803">
        <v>661</v>
      </c>
      <c r="BB1803">
        <v>44</v>
      </c>
      <c r="BC1803" t="s">
        <v>96</v>
      </c>
      <c r="BD1803">
        <v>1</v>
      </c>
      <c r="BF1803" t="s">
        <v>1961</v>
      </c>
      <c r="BG1803" s="1">
        <v>44354.277777777781</v>
      </c>
      <c r="BH1803" s="1">
        <v>44354.279629629629</v>
      </c>
      <c r="BI1803" s="1">
        <v>44354.280821759261</v>
      </c>
      <c r="BJ1803" t="s">
        <v>85</v>
      </c>
      <c r="BK1803" t="s">
        <v>86</v>
      </c>
      <c r="BL1803" t="s">
        <v>1390</v>
      </c>
    </row>
    <row r="1804" spans="1:64" x14ac:dyDescent="0.3">
      <c r="A1804" t="str">
        <f>"201048E0100"</f>
        <v>201048E0100</v>
      </c>
      <c r="B1804" t="str">
        <f>"201048E01003"</f>
        <v>201048E01003</v>
      </c>
      <c r="C1804" t="str">
        <f t="shared" si="110"/>
        <v>20</v>
      </c>
      <c r="D1804" t="s">
        <v>81</v>
      </c>
      <c r="E1804" t="str">
        <f t="shared" si="108"/>
        <v>182</v>
      </c>
      <c r="F1804" t="s">
        <v>1853</v>
      </c>
      <c r="G1804" t="str">
        <f>"1048"</f>
        <v>1048</v>
      </c>
      <c r="H1804" t="str">
        <f>"0001"</f>
        <v>0001</v>
      </c>
      <c r="I1804" t="s">
        <v>122</v>
      </c>
      <c r="J1804">
        <v>0</v>
      </c>
      <c r="K1804">
        <v>1</v>
      </c>
      <c r="L1804">
        <v>3</v>
      </c>
      <c r="M1804">
        <v>175</v>
      </c>
      <c r="N1804">
        <v>221</v>
      </c>
      <c r="O1804">
        <v>8</v>
      </c>
      <c r="P1804">
        <v>213</v>
      </c>
      <c r="Q1804">
        <v>3</v>
      </c>
      <c r="R1804">
        <v>40</v>
      </c>
      <c r="S1804">
        <v>0</v>
      </c>
      <c r="T1804">
        <v>2</v>
      </c>
      <c r="U1804">
        <v>3</v>
      </c>
      <c r="V1804">
        <v>20</v>
      </c>
      <c r="W1804">
        <v>2</v>
      </c>
      <c r="X1804">
        <v>83</v>
      </c>
      <c r="Y1804">
        <v>57</v>
      </c>
      <c r="Z1804">
        <v>1</v>
      </c>
      <c r="AB1804">
        <v>3</v>
      </c>
      <c r="AO1804">
        <v>1</v>
      </c>
      <c r="AU1804">
        <v>0</v>
      </c>
      <c r="AW1804">
        <v>0</v>
      </c>
      <c r="AX1804">
        <v>6</v>
      </c>
      <c r="AY1804">
        <v>213</v>
      </c>
      <c r="AZ1804">
        <v>221</v>
      </c>
      <c r="BA1804">
        <v>352</v>
      </c>
      <c r="BB1804">
        <v>44</v>
      </c>
      <c r="BD1804">
        <v>1</v>
      </c>
      <c r="BF1804" t="s">
        <v>1962</v>
      </c>
      <c r="BG1804" s="1">
        <v>44354.133333333331</v>
      </c>
      <c r="BH1804" s="1">
        <v>44354.136064814818</v>
      </c>
      <c r="BI1804" s="1">
        <v>44354.136423611111</v>
      </c>
      <c r="BJ1804" t="s">
        <v>85</v>
      </c>
      <c r="BK1804" t="s">
        <v>86</v>
      </c>
      <c r="BL1804" t="s">
        <v>87</v>
      </c>
    </row>
    <row r="1805" spans="1:64" x14ac:dyDescent="0.3">
      <c r="A1805" t="str">
        <f>"201048E0200"</f>
        <v>201048E0200</v>
      </c>
      <c r="B1805" t="str">
        <f>"201048E02003"</f>
        <v>201048E02003</v>
      </c>
      <c r="C1805" t="str">
        <f t="shared" si="110"/>
        <v>20</v>
      </c>
      <c r="D1805" t="s">
        <v>81</v>
      </c>
      <c r="E1805" t="str">
        <f t="shared" si="108"/>
        <v>182</v>
      </c>
      <c r="F1805" t="s">
        <v>1853</v>
      </c>
      <c r="G1805" t="str">
        <f>"1048"</f>
        <v>1048</v>
      </c>
      <c r="H1805" t="str">
        <f>"0002"</f>
        <v>0002</v>
      </c>
      <c r="I1805" t="s">
        <v>122</v>
      </c>
      <c r="J1805">
        <v>0</v>
      </c>
      <c r="K1805">
        <v>1</v>
      </c>
      <c r="L1805">
        <v>3</v>
      </c>
      <c r="M1805">
        <v>234</v>
      </c>
      <c r="N1805">
        <v>299</v>
      </c>
      <c r="O1805">
        <v>13</v>
      </c>
      <c r="P1805">
        <v>299</v>
      </c>
      <c r="Q1805">
        <v>1</v>
      </c>
      <c r="R1805">
        <v>42</v>
      </c>
      <c r="S1805">
        <v>0</v>
      </c>
      <c r="T1805">
        <v>4</v>
      </c>
      <c r="U1805">
        <v>1</v>
      </c>
      <c r="V1805">
        <v>48</v>
      </c>
      <c r="W1805">
        <v>0</v>
      </c>
      <c r="X1805">
        <v>119</v>
      </c>
      <c r="Y1805">
        <v>60</v>
      </c>
      <c r="Z1805">
        <v>2</v>
      </c>
      <c r="AB1805">
        <v>7</v>
      </c>
      <c r="AO1805">
        <v>1</v>
      </c>
      <c r="AU1805">
        <v>0</v>
      </c>
      <c r="AW1805">
        <v>0</v>
      </c>
      <c r="AX1805">
        <v>14</v>
      </c>
      <c r="AY1805">
        <v>299</v>
      </c>
      <c r="AZ1805">
        <v>299</v>
      </c>
      <c r="BA1805">
        <v>489</v>
      </c>
      <c r="BB1805">
        <v>44</v>
      </c>
      <c r="BD1805">
        <v>1</v>
      </c>
      <c r="BF1805" t="s">
        <v>1963</v>
      </c>
      <c r="BG1805" s="1">
        <v>44354.129861111112</v>
      </c>
      <c r="BH1805" s="1">
        <v>44354.131944444445</v>
      </c>
      <c r="BI1805" s="1">
        <v>44354.132650462961</v>
      </c>
      <c r="BJ1805" t="s">
        <v>85</v>
      </c>
      <c r="BK1805" t="s">
        <v>86</v>
      </c>
      <c r="BL1805" t="s">
        <v>87</v>
      </c>
    </row>
    <row r="1806" spans="1:64" x14ac:dyDescent="0.3">
      <c r="A1806" t="str">
        <f>"201048E0300"</f>
        <v>201048E0300</v>
      </c>
      <c r="B1806" t="str">
        <f>"201048E03003"</f>
        <v>201048E03003</v>
      </c>
      <c r="C1806" t="str">
        <f t="shared" si="110"/>
        <v>20</v>
      </c>
      <c r="D1806" t="s">
        <v>81</v>
      </c>
      <c r="E1806" t="str">
        <f t="shared" si="108"/>
        <v>182</v>
      </c>
      <c r="F1806" t="s">
        <v>1853</v>
      </c>
      <c r="G1806" t="str">
        <f>"1048"</f>
        <v>1048</v>
      </c>
      <c r="H1806" t="str">
        <f>"0003"</f>
        <v>0003</v>
      </c>
      <c r="I1806" t="s">
        <v>122</v>
      </c>
      <c r="J1806">
        <v>0</v>
      </c>
      <c r="K1806">
        <v>1</v>
      </c>
      <c r="L1806">
        <v>3</v>
      </c>
      <c r="M1806">
        <v>192</v>
      </c>
      <c r="N1806">
        <v>388</v>
      </c>
      <c r="O1806">
        <v>10</v>
      </c>
      <c r="P1806">
        <v>388</v>
      </c>
      <c r="Q1806">
        <v>7</v>
      </c>
      <c r="R1806">
        <v>106</v>
      </c>
      <c r="S1806">
        <v>1</v>
      </c>
      <c r="T1806">
        <v>2</v>
      </c>
      <c r="U1806">
        <v>5</v>
      </c>
      <c r="V1806">
        <v>86</v>
      </c>
      <c r="W1806">
        <v>0</v>
      </c>
      <c r="X1806">
        <v>100</v>
      </c>
      <c r="Y1806">
        <v>66</v>
      </c>
      <c r="Z1806">
        <v>1</v>
      </c>
      <c r="AB1806">
        <v>3</v>
      </c>
      <c r="AO1806">
        <v>1</v>
      </c>
      <c r="AU1806">
        <v>0</v>
      </c>
      <c r="AW1806">
        <v>0</v>
      </c>
      <c r="AX1806">
        <v>10</v>
      </c>
      <c r="AY1806">
        <v>388</v>
      </c>
      <c r="AZ1806">
        <v>388</v>
      </c>
      <c r="BA1806">
        <v>536</v>
      </c>
      <c r="BB1806">
        <v>44</v>
      </c>
      <c r="BD1806">
        <v>1</v>
      </c>
      <c r="BF1806" t="s">
        <v>1964</v>
      </c>
      <c r="BG1806" s="1">
        <v>44354.125694444447</v>
      </c>
      <c r="BH1806" s="1">
        <v>44354.129467592589</v>
      </c>
      <c r="BI1806" s="1">
        <v>44354.13009259259</v>
      </c>
      <c r="BJ1806" t="s">
        <v>85</v>
      </c>
      <c r="BK1806" t="s">
        <v>86</v>
      </c>
      <c r="BL1806" t="s">
        <v>87</v>
      </c>
    </row>
    <row r="1807" spans="1:64" x14ac:dyDescent="0.3">
      <c r="A1807" t="str">
        <f>"201049B0000"</f>
        <v>201049B0000</v>
      </c>
      <c r="B1807" t="str">
        <f>"201049B00003"</f>
        <v>201049B00003</v>
      </c>
      <c r="C1807" t="str">
        <f t="shared" si="110"/>
        <v>20</v>
      </c>
      <c r="D1807" t="s">
        <v>81</v>
      </c>
      <c r="E1807" t="str">
        <f t="shared" si="108"/>
        <v>182</v>
      </c>
      <c r="F1807" t="s">
        <v>1853</v>
      </c>
      <c r="G1807" t="str">
        <f>"1049"</f>
        <v>1049</v>
      </c>
      <c r="H1807" t="str">
        <f>"0000"</f>
        <v>0000</v>
      </c>
      <c r="I1807" t="s">
        <v>83</v>
      </c>
      <c r="J1807">
        <v>0</v>
      </c>
      <c r="K1807">
        <v>1</v>
      </c>
      <c r="L1807">
        <v>3</v>
      </c>
      <c r="M1807">
        <v>297</v>
      </c>
      <c r="N1807">
        <v>297</v>
      </c>
      <c r="O1807">
        <v>7</v>
      </c>
      <c r="P1807">
        <v>297</v>
      </c>
      <c r="Q1807">
        <v>5</v>
      </c>
      <c r="R1807">
        <v>68</v>
      </c>
      <c r="S1807">
        <v>2</v>
      </c>
      <c r="T1807">
        <v>2</v>
      </c>
      <c r="U1807">
        <v>5</v>
      </c>
      <c r="V1807">
        <v>82</v>
      </c>
      <c r="W1807">
        <v>2</v>
      </c>
      <c r="X1807">
        <v>79</v>
      </c>
      <c r="Y1807">
        <v>28</v>
      </c>
      <c r="Z1807">
        <v>3</v>
      </c>
      <c r="AB1807">
        <v>5</v>
      </c>
      <c r="AO1807">
        <v>1</v>
      </c>
      <c r="AU1807">
        <v>0</v>
      </c>
      <c r="AW1807">
        <v>0</v>
      </c>
      <c r="AX1807">
        <v>15</v>
      </c>
      <c r="AY1807">
        <v>297</v>
      </c>
      <c r="AZ1807">
        <v>297</v>
      </c>
      <c r="BA1807">
        <v>502</v>
      </c>
      <c r="BB1807">
        <v>44</v>
      </c>
      <c r="BD1807">
        <v>1</v>
      </c>
      <c r="BF1807" t="s">
        <v>1965</v>
      </c>
      <c r="BG1807" s="1">
        <v>44354.201388888891</v>
      </c>
      <c r="BH1807" s="1">
        <v>44354.204062500001</v>
      </c>
      <c r="BI1807" s="1">
        <v>44354.204479166663</v>
      </c>
      <c r="BJ1807" t="s">
        <v>85</v>
      </c>
      <c r="BK1807" t="s">
        <v>86</v>
      </c>
      <c r="BL1807" t="s">
        <v>87</v>
      </c>
    </row>
    <row r="1808" spans="1:64" x14ac:dyDescent="0.3">
      <c r="A1808" t="str">
        <f>"201050B0000"</f>
        <v>201050B0000</v>
      </c>
      <c r="B1808" t="str">
        <f>"201050B00003"</f>
        <v>201050B00003</v>
      </c>
      <c r="C1808" t="str">
        <f t="shared" si="110"/>
        <v>20</v>
      </c>
      <c r="D1808" t="s">
        <v>81</v>
      </c>
      <c r="E1808" t="str">
        <f t="shared" si="108"/>
        <v>182</v>
      </c>
      <c r="F1808" t="s">
        <v>1853</v>
      </c>
      <c r="G1808" t="str">
        <f>"1050"</f>
        <v>1050</v>
      </c>
      <c r="H1808" t="str">
        <f>"0000"</f>
        <v>0000</v>
      </c>
      <c r="I1808" t="s">
        <v>83</v>
      </c>
      <c r="J1808">
        <v>0</v>
      </c>
      <c r="K1808">
        <v>1</v>
      </c>
      <c r="L1808">
        <v>3</v>
      </c>
      <c r="M1808">
        <v>235</v>
      </c>
      <c r="N1808">
        <v>264</v>
      </c>
      <c r="O1808">
        <v>0</v>
      </c>
      <c r="P1808">
        <v>264</v>
      </c>
      <c r="Q1808">
        <v>3</v>
      </c>
      <c r="R1808">
        <v>40</v>
      </c>
      <c r="S1808">
        <v>1</v>
      </c>
      <c r="T1808">
        <v>2</v>
      </c>
      <c r="U1808">
        <v>2</v>
      </c>
      <c r="V1808">
        <v>62</v>
      </c>
      <c r="W1808">
        <v>2</v>
      </c>
      <c r="X1808">
        <v>98</v>
      </c>
      <c r="Y1808">
        <v>34</v>
      </c>
      <c r="Z1808">
        <v>1</v>
      </c>
      <c r="AB1808">
        <v>7</v>
      </c>
      <c r="AO1808">
        <v>2</v>
      </c>
      <c r="AU1808">
        <v>0</v>
      </c>
      <c r="AW1808">
        <v>0</v>
      </c>
      <c r="AX1808">
        <v>9</v>
      </c>
      <c r="AY1808">
        <v>264</v>
      </c>
      <c r="AZ1808">
        <v>263</v>
      </c>
      <c r="BA1808">
        <v>455</v>
      </c>
      <c r="BB1808">
        <v>44</v>
      </c>
      <c r="BD1808">
        <v>1</v>
      </c>
      <c r="BF1808" t="s">
        <v>1966</v>
      </c>
      <c r="BG1808" s="1">
        <v>44354.320833333331</v>
      </c>
      <c r="BH1808" s="1">
        <v>44354.322905092595</v>
      </c>
      <c r="BI1808" s="1">
        <v>44354.323796296296</v>
      </c>
      <c r="BJ1808" t="s">
        <v>85</v>
      </c>
      <c r="BK1808" t="s">
        <v>86</v>
      </c>
      <c r="BL1808" t="s">
        <v>87</v>
      </c>
    </row>
    <row r="1809" spans="1:64" x14ac:dyDescent="0.3">
      <c r="A1809" t="str">
        <f>"201050C0100"</f>
        <v>201050C0100</v>
      </c>
      <c r="B1809" t="str">
        <f>"201050C01003"</f>
        <v>201050C01003</v>
      </c>
      <c r="C1809" t="str">
        <f t="shared" si="110"/>
        <v>20</v>
      </c>
      <c r="D1809" t="s">
        <v>81</v>
      </c>
      <c r="E1809" t="str">
        <f t="shared" si="108"/>
        <v>182</v>
      </c>
      <c r="F1809" t="s">
        <v>1853</v>
      </c>
      <c r="G1809" t="str">
        <f>"1050"</f>
        <v>1050</v>
      </c>
      <c r="H1809" t="str">
        <f>"0001"</f>
        <v>0001</v>
      </c>
      <c r="I1809" t="s">
        <v>89</v>
      </c>
      <c r="J1809">
        <v>0</v>
      </c>
      <c r="K1809">
        <v>1</v>
      </c>
      <c r="L1809">
        <v>3</v>
      </c>
      <c r="M1809">
        <v>226</v>
      </c>
      <c r="N1809">
        <v>272</v>
      </c>
      <c r="O1809">
        <v>7</v>
      </c>
      <c r="P1809">
        <v>272</v>
      </c>
      <c r="Q1809">
        <v>2</v>
      </c>
      <c r="R1809">
        <v>43</v>
      </c>
      <c r="S1809">
        <v>1</v>
      </c>
      <c r="T1809">
        <v>3</v>
      </c>
      <c r="U1809">
        <v>2</v>
      </c>
      <c r="V1809">
        <v>45</v>
      </c>
      <c r="W1809">
        <v>2</v>
      </c>
      <c r="X1809">
        <v>124</v>
      </c>
      <c r="Y1809">
        <v>30</v>
      </c>
      <c r="Z1809">
        <v>2</v>
      </c>
      <c r="AB1809">
        <v>8</v>
      </c>
      <c r="AO1809">
        <v>1</v>
      </c>
      <c r="AU1809">
        <v>0</v>
      </c>
      <c r="AW1809">
        <v>0</v>
      </c>
      <c r="AX1809">
        <v>9</v>
      </c>
      <c r="AY1809">
        <v>272</v>
      </c>
      <c r="AZ1809">
        <v>272</v>
      </c>
      <c r="BA1809">
        <v>454</v>
      </c>
      <c r="BB1809">
        <v>44</v>
      </c>
      <c r="BD1809">
        <v>1</v>
      </c>
      <c r="BF1809" t="s">
        <v>1967</v>
      </c>
      <c r="BG1809" s="1">
        <v>44354.318055555559</v>
      </c>
      <c r="BH1809" s="1">
        <v>44354.321134259262</v>
      </c>
      <c r="BI1809" s="1">
        <v>44354.321388888886</v>
      </c>
      <c r="BJ1809" t="s">
        <v>85</v>
      </c>
      <c r="BK1809" t="s">
        <v>86</v>
      </c>
      <c r="BL1809" t="s">
        <v>87</v>
      </c>
    </row>
    <row r="1810" spans="1:64" x14ac:dyDescent="0.3">
      <c r="A1810" t="str">
        <f>"201051B0000"</f>
        <v>201051B0000</v>
      </c>
      <c r="B1810" t="str">
        <f>"201051B00003"</f>
        <v>201051B00003</v>
      </c>
      <c r="C1810" t="str">
        <f t="shared" si="110"/>
        <v>20</v>
      </c>
      <c r="D1810" t="s">
        <v>81</v>
      </c>
      <c r="E1810" t="str">
        <f t="shared" si="108"/>
        <v>182</v>
      </c>
      <c r="F1810" t="s">
        <v>1853</v>
      </c>
      <c r="G1810" t="str">
        <f>"1051"</f>
        <v>1051</v>
      </c>
      <c r="H1810" t="str">
        <f>"0000"</f>
        <v>0000</v>
      </c>
      <c r="I1810" t="s">
        <v>83</v>
      </c>
      <c r="J1810">
        <v>0</v>
      </c>
      <c r="K1810">
        <v>1</v>
      </c>
      <c r="L1810">
        <v>3</v>
      </c>
      <c r="M1810">
        <v>226</v>
      </c>
      <c r="N1810">
        <v>255</v>
      </c>
      <c r="O1810">
        <v>6</v>
      </c>
      <c r="P1810">
        <v>253</v>
      </c>
      <c r="Q1810">
        <v>2</v>
      </c>
      <c r="R1810">
        <v>38</v>
      </c>
      <c r="S1810">
        <v>3</v>
      </c>
      <c r="T1810">
        <v>2</v>
      </c>
      <c r="U1810">
        <v>1</v>
      </c>
      <c r="V1810">
        <v>28</v>
      </c>
      <c r="W1810">
        <v>4</v>
      </c>
      <c r="X1810">
        <v>124</v>
      </c>
      <c r="Y1810">
        <v>32</v>
      </c>
      <c r="Z1810">
        <v>4</v>
      </c>
      <c r="AB1810">
        <v>9</v>
      </c>
      <c r="AO1810">
        <v>2</v>
      </c>
      <c r="AU1810">
        <v>0</v>
      </c>
      <c r="AW1810">
        <v>0</v>
      </c>
      <c r="AX1810">
        <v>5</v>
      </c>
      <c r="AY1810">
        <v>253</v>
      </c>
      <c r="AZ1810">
        <v>254</v>
      </c>
      <c r="BA1810">
        <v>437</v>
      </c>
      <c r="BB1810">
        <v>44</v>
      </c>
      <c r="BD1810">
        <v>1</v>
      </c>
      <c r="BF1810" t="s">
        <v>1968</v>
      </c>
      <c r="BG1810" s="1">
        <v>44354.2</v>
      </c>
      <c r="BH1810" s="1">
        <v>44354.203564814816</v>
      </c>
      <c r="BI1810" s="1">
        <v>44354.204074074078</v>
      </c>
      <c r="BJ1810" t="s">
        <v>85</v>
      </c>
      <c r="BK1810" t="s">
        <v>86</v>
      </c>
      <c r="BL1810" t="s">
        <v>87</v>
      </c>
    </row>
    <row r="1811" spans="1:64" x14ac:dyDescent="0.3">
      <c r="A1811" t="str">
        <f>"201051C0100"</f>
        <v>201051C0100</v>
      </c>
      <c r="B1811" t="str">
        <f>"201051C01003"</f>
        <v>201051C01003</v>
      </c>
      <c r="C1811" t="str">
        <f t="shared" si="110"/>
        <v>20</v>
      </c>
      <c r="D1811" t="s">
        <v>81</v>
      </c>
      <c r="E1811" t="str">
        <f t="shared" si="108"/>
        <v>182</v>
      </c>
      <c r="F1811" t="s">
        <v>1853</v>
      </c>
      <c r="G1811" t="str">
        <f>"1051"</f>
        <v>1051</v>
      </c>
      <c r="H1811" t="str">
        <f>"0001"</f>
        <v>0001</v>
      </c>
      <c r="I1811" t="s">
        <v>89</v>
      </c>
      <c r="J1811">
        <v>0</v>
      </c>
      <c r="K1811">
        <v>1</v>
      </c>
      <c r="L1811">
        <v>3</v>
      </c>
      <c r="M1811">
        <v>235</v>
      </c>
      <c r="N1811">
        <v>245</v>
      </c>
      <c r="O1811">
        <v>5</v>
      </c>
      <c r="P1811">
        <v>248</v>
      </c>
      <c r="Q1811">
        <v>1</v>
      </c>
      <c r="R1811">
        <v>39</v>
      </c>
      <c r="S1811">
        <v>1</v>
      </c>
      <c r="T1811">
        <v>1</v>
      </c>
      <c r="U1811">
        <v>4</v>
      </c>
      <c r="V1811">
        <v>32</v>
      </c>
      <c r="W1811">
        <v>1</v>
      </c>
      <c r="X1811">
        <v>121</v>
      </c>
      <c r="Y1811">
        <v>32</v>
      </c>
      <c r="Z1811">
        <v>0</v>
      </c>
      <c r="AB1811">
        <v>7</v>
      </c>
      <c r="AO1811">
        <v>2</v>
      </c>
      <c r="AU1811">
        <v>0</v>
      </c>
      <c r="AW1811">
        <v>0</v>
      </c>
      <c r="AX1811">
        <v>7</v>
      </c>
      <c r="AY1811">
        <v>248</v>
      </c>
      <c r="AZ1811">
        <v>248</v>
      </c>
      <c r="BA1811">
        <v>436</v>
      </c>
      <c r="BB1811">
        <v>44</v>
      </c>
      <c r="BD1811">
        <v>1</v>
      </c>
      <c r="BF1811" t="s">
        <v>1969</v>
      </c>
      <c r="BG1811" s="1">
        <v>44354.199305555558</v>
      </c>
      <c r="BH1811" s="1">
        <v>44354.201956018522</v>
      </c>
      <c r="BI1811" s="1">
        <v>44354.202453703707</v>
      </c>
      <c r="BJ1811" t="s">
        <v>85</v>
      </c>
      <c r="BK1811" t="s">
        <v>86</v>
      </c>
      <c r="BL1811" t="s">
        <v>87</v>
      </c>
    </row>
    <row r="1812" spans="1:64" x14ac:dyDescent="0.3">
      <c r="A1812" t="str">
        <f>"201051E0100"</f>
        <v>201051E0100</v>
      </c>
      <c r="B1812" t="str">
        <f>"201051E01003"</f>
        <v>201051E01003</v>
      </c>
      <c r="C1812" t="str">
        <f t="shared" si="110"/>
        <v>20</v>
      </c>
      <c r="D1812" t="s">
        <v>81</v>
      </c>
      <c r="E1812" t="str">
        <f t="shared" si="108"/>
        <v>182</v>
      </c>
      <c r="F1812" t="s">
        <v>1853</v>
      </c>
      <c r="G1812" t="str">
        <f>"1051"</f>
        <v>1051</v>
      </c>
      <c r="H1812" t="str">
        <f>"0001"</f>
        <v>0001</v>
      </c>
      <c r="I1812" t="s">
        <v>122</v>
      </c>
      <c r="J1812">
        <v>0</v>
      </c>
      <c r="K1812">
        <v>1</v>
      </c>
      <c r="L1812">
        <v>3</v>
      </c>
      <c r="M1812">
        <v>103</v>
      </c>
      <c r="N1812">
        <v>159</v>
      </c>
      <c r="O1812">
        <v>1</v>
      </c>
      <c r="P1812">
        <v>159</v>
      </c>
      <c r="Q1812">
        <v>2</v>
      </c>
      <c r="R1812">
        <v>29</v>
      </c>
      <c r="S1812">
        <v>0</v>
      </c>
      <c r="T1812">
        <v>2</v>
      </c>
      <c r="U1812">
        <v>8</v>
      </c>
      <c r="V1812">
        <v>45</v>
      </c>
      <c r="W1812">
        <v>0</v>
      </c>
      <c r="X1812">
        <v>37</v>
      </c>
      <c r="Y1812">
        <v>23</v>
      </c>
      <c r="Z1812">
        <v>2</v>
      </c>
      <c r="AB1812">
        <v>9</v>
      </c>
      <c r="AO1812">
        <v>1</v>
      </c>
      <c r="AU1812">
        <v>0</v>
      </c>
      <c r="AW1812">
        <v>0</v>
      </c>
      <c r="AX1812">
        <v>1</v>
      </c>
      <c r="AY1812">
        <v>159</v>
      </c>
      <c r="AZ1812">
        <v>159</v>
      </c>
      <c r="BA1812">
        <v>218</v>
      </c>
      <c r="BB1812">
        <v>44</v>
      </c>
      <c r="BD1812">
        <v>1</v>
      </c>
      <c r="BF1812" t="s">
        <v>1970</v>
      </c>
      <c r="BG1812" s="1">
        <v>44354.282638888886</v>
      </c>
      <c r="BH1812" s="1">
        <v>44354.284768518519</v>
      </c>
      <c r="BI1812" s="1">
        <v>44354.285266203704</v>
      </c>
      <c r="BJ1812" t="s">
        <v>85</v>
      </c>
      <c r="BK1812" t="s">
        <v>86</v>
      </c>
      <c r="BL1812" t="s">
        <v>87</v>
      </c>
    </row>
    <row r="1813" spans="1:64" x14ac:dyDescent="0.3">
      <c r="A1813" t="str">
        <f>"201051E0200"</f>
        <v>201051E0200</v>
      </c>
      <c r="B1813" t="str">
        <f>"201051E02003"</f>
        <v>201051E02003</v>
      </c>
      <c r="C1813" t="str">
        <f t="shared" si="110"/>
        <v>20</v>
      </c>
      <c r="D1813" t="s">
        <v>81</v>
      </c>
      <c r="E1813" t="str">
        <f t="shared" si="108"/>
        <v>182</v>
      </c>
      <c r="F1813" t="s">
        <v>1853</v>
      </c>
      <c r="G1813" t="str">
        <f>"1051"</f>
        <v>1051</v>
      </c>
      <c r="H1813" t="str">
        <f>"0002"</f>
        <v>0002</v>
      </c>
      <c r="I1813" t="s">
        <v>122</v>
      </c>
      <c r="J1813">
        <v>0</v>
      </c>
      <c r="K1813">
        <v>1</v>
      </c>
      <c r="L1813">
        <v>3</v>
      </c>
      <c r="M1813">
        <v>148</v>
      </c>
      <c r="N1813">
        <v>194</v>
      </c>
      <c r="O1813">
        <v>9</v>
      </c>
      <c r="P1813" t="s">
        <v>92</v>
      </c>
      <c r="Q1813">
        <v>3</v>
      </c>
      <c r="R1813">
        <v>43</v>
      </c>
      <c r="S1813">
        <v>0</v>
      </c>
      <c r="T1813">
        <v>0</v>
      </c>
      <c r="U1813">
        <v>7</v>
      </c>
      <c r="V1813">
        <v>38</v>
      </c>
      <c r="W1813">
        <v>1</v>
      </c>
      <c r="X1813">
        <v>87</v>
      </c>
      <c r="Y1813">
        <v>5</v>
      </c>
      <c r="Z1813">
        <v>0</v>
      </c>
      <c r="AB1813">
        <v>9</v>
      </c>
      <c r="AO1813" t="s">
        <v>95</v>
      </c>
      <c r="AU1813" t="s">
        <v>95</v>
      </c>
      <c r="AW1813" t="s">
        <v>95</v>
      </c>
      <c r="AX1813" t="s">
        <v>95</v>
      </c>
      <c r="AY1813" t="s">
        <v>95</v>
      </c>
      <c r="AZ1813">
        <v>193</v>
      </c>
      <c r="BA1813">
        <v>302</v>
      </c>
      <c r="BB1813">
        <v>44</v>
      </c>
      <c r="BC1813" t="s">
        <v>96</v>
      </c>
      <c r="BD1813">
        <v>1</v>
      </c>
      <c r="BF1813" t="s">
        <v>1971</v>
      </c>
      <c r="BG1813" s="1">
        <v>44354.203472222223</v>
      </c>
      <c r="BH1813" s="1">
        <v>44354.20579861111</v>
      </c>
      <c r="BI1813" s="1">
        <v>44354.206562500003</v>
      </c>
      <c r="BJ1813" t="s">
        <v>85</v>
      </c>
      <c r="BK1813" t="s">
        <v>86</v>
      </c>
      <c r="BL1813" t="s">
        <v>87</v>
      </c>
    </row>
    <row r="1814" spans="1:64" x14ac:dyDescent="0.3">
      <c r="A1814" t="str">
        <f>"201052B0000"</f>
        <v>201052B0000</v>
      </c>
      <c r="B1814" t="str">
        <f>"201052B00003"</f>
        <v>201052B00003</v>
      </c>
      <c r="C1814" t="str">
        <f t="shared" si="110"/>
        <v>20</v>
      </c>
      <c r="D1814" t="s">
        <v>81</v>
      </c>
      <c r="E1814" t="str">
        <f t="shared" si="108"/>
        <v>182</v>
      </c>
      <c r="F1814" t="s">
        <v>1853</v>
      </c>
      <c r="G1814" t="str">
        <f>"1052"</f>
        <v>1052</v>
      </c>
      <c r="H1814" t="str">
        <f>"0000"</f>
        <v>0000</v>
      </c>
      <c r="I1814" t="s">
        <v>83</v>
      </c>
      <c r="J1814">
        <v>0</v>
      </c>
      <c r="K1814">
        <v>1</v>
      </c>
      <c r="L1814">
        <v>3</v>
      </c>
      <c r="M1814">
        <v>350</v>
      </c>
      <c r="N1814">
        <v>315</v>
      </c>
      <c r="O1814">
        <v>4</v>
      </c>
      <c r="P1814" t="s">
        <v>92</v>
      </c>
      <c r="Q1814">
        <v>4</v>
      </c>
      <c r="R1814">
        <v>37</v>
      </c>
      <c r="S1814" t="s">
        <v>95</v>
      </c>
      <c r="T1814">
        <v>1</v>
      </c>
      <c r="U1814">
        <v>4</v>
      </c>
      <c r="V1814">
        <v>43</v>
      </c>
      <c r="W1814">
        <v>5</v>
      </c>
      <c r="X1814">
        <v>140</v>
      </c>
      <c r="Y1814">
        <v>51</v>
      </c>
      <c r="Z1814">
        <v>1</v>
      </c>
      <c r="AB1814">
        <v>26</v>
      </c>
      <c r="AO1814">
        <v>0</v>
      </c>
      <c r="AU1814">
        <v>0</v>
      </c>
      <c r="AW1814">
        <v>0</v>
      </c>
      <c r="AX1814">
        <v>4</v>
      </c>
      <c r="AY1814">
        <v>316</v>
      </c>
      <c r="AZ1814">
        <v>316</v>
      </c>
      <c r="BA1814">
        <v>621</v>
      </c>
      <c r="BB1814">
        <v>44</v>
      </c>
      <c r="BC1814" t="s">
        <v>96</v>
      </c>
      <c r="BD1814">
        <v>1</v>
      </c>
      <c r="BF1814" t="s">
        <v>1972</v>
      </c>
      <c r="BG1814" s="1">
        <v>44354.112500000003</v>
      </c>
      <c r="BH1814" s="1">
        <v>44354.115763888891</v>
      </c>
      <c r="BI1814" s="1">
        <v>44354.116261574076</v>
      </c>
      <c r="BJ1814" t="s">
        <v>85</v>
      </c>
      <c r="BK1814" t="s">
        <v>86</v>
      </c>
      <c r="BL1814" t="s">
        <v>1893</v>
      </c>
    </row>
    <row r="1815" spans="1:64" x14ac:dyDescent="0.3">
      <c r="A1815" t="str">
        <f>"201052C0100"</f>
        <v>201052C0100</v>
      </c>
      <c r="B1815" t="str">
        <f>"201052C01003"</f>
        <v>201052C01003</v>
      </c>
      <c r="C1815" t="str">
        <f t="shared" si="110"/>
        <v>20</v>
      </c>
      <c r="D1815" t="s">
        <v>81</v>
      </c>
      <c r="E1815" t="str">
        <f t="shared" si="108"/>
        <v>182</v>
      </c>
      <c r="F1815" t="s">
        <v>1853</v>
      </c>
      <c r="G1815" t="str">
        <f>"1052"</f>
        <v>1052</v>
      </c>
      <c r="H1815" t="str">
        <f>"0001"</f>
        <v>0001</v>
      </c>
      <c r="I1815" t="s">
        <v>89</v>
      </c>
      <c r="J1815">
        <v>0</v>
      </c>
      <c r="K1815">
        <v>1</v>
      </c>
      <c r="L1815">
        <v>3</v>
      </c>
      <c r="M1815">
        <v>359</v>
      </c>
      <c r="N1815">
        <v>304</v>
      </c>
      <c r="O1815">
        <v>3</v>
      </c>
      <c r="P1815">
        <v>305</v>
      </c>
      <c r="Q1815">
        <v>5</v>
      </c>
      <c r="R1815">
        <v>42</v>
      </c>
      <c r="S1815">
        <v>1</v>
      </c>
      <c r="T1815">
        <v>1</v>
      </c>
      <c r="U1815">
        <v>1</v>
      </c>
      <c r="V1815">
        <v>27</v>
      </c>
      <c r="W1815">
        <v>3</v>
      </c>
      <c r="X1815">
        <v>131</v>
      </c>
      <c r="Y1815">
        <v>60</v>
      </c>
      <c r="Z1815">
        <v>3</v>
      </c>
      <c r="AB1815">
        <v>24</v>
      </c>
      <c r="AO1815">
        <v>0</v>
      </c>
      <c r="AU1815">
        <v>0</v>
      </c>
      <c r="AW1815">
        <v>0</v>
      </c>
      <c r="AX1815">
        <v>7</v>
      </c>
      <c r="AY1815">
        <v>305</v>
      </c>
      <c r="AZ1815">
        <v>305</v>
      </c>
      <c r="BA1815">
        <v>621</v>
      </c>
      <c r="BB1815">
        <v>44</v>
      </c>
      <c r="BD1815">
        <v>1</v>
      </c>
      <c r="BF1815" t="s">
        <v>1973</v>
      </c>
      <c r="BG1815" s="1">
        <v>44354.103472222225</v>
      </c>
      <c r="BH1815" s="1">
        <v>44354.105439814812</v>
      </c>
      <c r="BI1815" s="1">
        <v>44354.105949074074</v>
      </c>
      <c r="BJ1815" t="s">
        <v>85</v>
      </c>
      <c r="BK1815" t="s">
        <v>86</v>
      </c>
      <c r="BL1815" t="s">
        <v>87</v>
      </c>
    </row>
    <row r="1816" spans="1:64" x14ac:dyDescent="0.3">
      <c r="A1816" t="str">
        <f>"201052C0200"</f>
        <v>201052C0200</v>
      </c>
      <c r="B1816" t="str">
        <f>"201052C02003"</f>
        <v>201052C02003</v>
      </c>
      <c r="C1816" t="str">
        <f t="shared" si="110"/>
        <v>20</v>
      </c>
      <c r="D1816" t="s">
        <v>81</v>
      </c>
      <c r="E1816" t="str">
        <f t="shared" si="108"/>
        <v>182</v>
      </c>
      <c r="F1816" t="s">
        <v>1853</v>
      </c>
      <c r="G1816" t="str">
        <f>"1052"</f>
        <v>1052</v>
      </c>
      <c r="H1816" t="str">
        <f>"0002"</f>
        <v>0002</v>
      </c>
      <c r="I1816" t="s">
        <v>89</v>
      </c>
      <c r="J1816">
        <v>0</v>
      </c>
      <c r="K1816">
        <v>1</v>
      </c>
      <c r="L1816">
        <v>3</v>
      </c>
      <c r="M1816">
        <v>339</v>
      </c>
      <c r="N1816">
        <v>326</v>
      </c>
      <c r="O1816">
        <v>4</v>
      </c>
      <c r="P1816">
        <v>0</v>
      </c>
      <c r="Q1816">
        <v>3</v>
      </c>
      <c r="R1816">
        <v>55</v>
      </c>
      <c r="S1816">
        <v>2</v>
      </c>
      <c r="T1816">
        <v>4</v>
      </c>
      <c r="U1816">
        <v>4</v>
      </c>
      <c r="V1816">
        <v>38</v>
      </c>
      <c r="W1816">
        <v>0</v>
      </c>
      <c r="X1816">
        <v>132</v>
      </c>
      <c r="Y1816">
        <v>55</v>
      </c>
      <c r="Z1816">
        <v>2</v>
      </c>
      <c r="AB1816">
        <v>21</v>
      </c>
      <c r="AO1816">
        <v>3</v>
      </c>
      <c r="AU1816">
        <v>0</v>
      </c>
      <c r="AW1816">
        <v>0</v>
      </c>
      <c r="AX1816">
        <v>7</v>
      </c>
      <c r="AY1816">
        <v>316</v>
      </c>
      <c r="AZ1816">
        <v>326</v>
      </c>
      <c r="BA1816">
        <v>621</v>
      </c>
      <c r="BB1816">
        <v>44</v>
      </c>
      <c r="BD1816">
        <v>1</v>
      </c>
      <c r="BF1816" t="s">
        <v>1974</v>
      </c>
      <c r="BG1816" s="1">
        <v>44354.10833333333</v>
      </c>
      <c r="BH1816" s="1">
        <v>44354.111134259256</v>
      </c>
      <c r="BI1816" s="1">
        <v>44354.111666666664</v>
      </c>
      <c r="BJ1816" t="s">
        <v>85</v>
      </c>
      <c r="BK1816" t="s">
        <v>86</v>
      </c>
      <c r="BL1816" t="s">
        <v>87</v>
      </c>
    </row>
    <row r="1817" spans="1:64" x14ac:dyDescent="0.3">
      <c r="A1817" t="str">
        <f>"201052C0300"</f>
        <v>201052C0300</v>
      </c>
      <c r="B1817" t="str">
        <f>"201052C03003"</f>
        <v>201052C03003</v>
      </c>
      <c r="C1817" t="str">
        <f t="shared" si="110"/>
        <v>20</v>
      </c>
      <c r="D1817" t="s">
        <v>81</v>
      </c>
      <c r="E1817" t="str">
        <f t="shared" si="108"/>
        <v>182</v>
      </c>
      <c r="F1817" t="s">
        <v>1853</v>
      </c>
      <c r="G1817" t="str">
        <f>"1052"</f>
        <v>1052</v>
      </c>
      <c r="H1817" t="str">
        <f>"0003"</f>
        <v>0003</v>
      </c>
      <c r="I1817" t="s">
        <v>89</v>
      </c>
      <c r="J1817">
        <v>0</v>
      </c>
      <c r="K1817">
        <v>1</v>
      </c>
      <c r="L1817">
        <v>3</v>
      </c>
      <c r="M1817">
        <v>352</v>
      </c>
      <c r="N1817">
        <v>312</v>
      </c>
      <c r="O1817">
        <v>5</v>
      </c>
      <c r="P1817">
        <v>313</v>
      </c>
      <c r="Q1817">
        <v>4</v>
      </c>
      <c r="R1817">
        <v>33</v>
      </c>
      <c r="S1817">
        <v>0</v>
      </c>
      <c r="T1817">
        <v>1</v>
      </c>
      <c r="U1817">
        <v>1</v>
      </c>
      <c r="V1817">
        <v>58</v>
      </c>
      <c r="W1817">
        <v>2</v>
      </c>
      <c r="X1817">
        <v>135</v>
      </c>
      <c r="Y1817">
        <v>59</v>
      </c>
      <c r="Z1817">
        <v>0</v>
      </c>
      <c r="AB1817">
        <v>13</v>
      </c>
      <c r="AO1817">
        <v>0</v>
      </c>
      <c r="AU1817">
        <v>0</v>
      </c>
      <c r="AW1817">
        <v>0</v>
      </c>
      <c r="AX1817">
        <v>7</v>
      </c>
      <c r="AY1817">
        <v>313</v>
      </c>
      <c r="AZ1817">
        <v>313</v>
      </c>
      <c r="BA1817">
        <v>621</v>
      </c>
      <c r="BB1817">
        <v>44</v>
      </c>
      <c r="BD1817">
        <v>1</v>
      </c>
      <c r="BF1817" t="s">
        <v>1975</v>
      </c>
      <c r="BG1817" s="1">
        <v>44354.106249999997</v>
      </c>
      <c r="BH1817" s="1">
        <v>44354.108969907407</v>
      </c>
      <c r="BI1817" s="1">
        <v>44354.109456018516</v>
      </c>
      <c r="BJ1817" t="s">
        <v>85</v>
      </c>
      <c r="BK1817" t="s">
        <v>86</v>
      </c>
      <c r="BL1817" t="s">
        <v>87</v>
      </c>
    </row>
    <row r="1818" spans="1:64" x14ac:dyDescent="0.3">
      <c r="A1818" t="str">
        <f>"201052C0400"</f>
        <v>201052C0400</v>
      </c>
      <c r="B1818" t="str">
        <f>"201052C04003"</f>
        <v>201052C04003</v>
      </c>
      <c r="C1818" t="str">
        <f t="shared" si="110"/>
        <v>20</v>
      </c>
      <c r="D1818" t="s">
        <v>81</v>
      </c>
      <c r="E1818" t="str">
        <f t="shared" si="108"/>
        <v>182</v>
      </c>
      <c r="F1818" t="s">
        <v>1853</v>
      </c>
      <c r="G1818" t="str">
        <f>"1052"</f>
        <v>1052</v>
      </c>
      <c r="H1818" t="str">
        <f>"0004"</f>
        <v>0004</v>
      </c>
      <c r="I1818" t="s">
        <v>89</v>
      </c>
      <c r="J1818">
        <v>0</v>
      </c>
      <c r="K1818">
        <v>1</v>
      </c>
      <c r="L1818">
        <v>3</v>
      </c>
      <c r="M1818">
        <v>329</v>
      </c>
      <c r="N1818">
        <v>337</v>
      </c>
      <c r="O1818">
        <v>8</v>
      </c>
      <c r="P1818">
        <v>337</v>
      </c>
      <c r="Q1818">
        <v>5</v>
      </c>
      <c r="R1818">
        <v>42</v>
      </c>
      <c r="S1818">
        <v>1</v>
      </c>
      <c r="T1818">
        <v>2</v>
      </c>
      <c r="U1818">
        <v>5</v>
      </c>
      <c r="V1818">
        <v>46</v>
      </c>
      <c r="W1818">
        <v>2</v>
      </c>
      <c r="X1818">
        <v>146</v>
      </c>
      <c r="Y1818">
        <v>49</v>
      </c>
      <c r="Z1818">
        <v>4</v>
      </c>
      <c r="AB1818">
        <v>26</v>
      </c>
      <c r="AO1818">
        <v>2</v>
      </c>
      <c r="AU1818" t="s">
        <v>95</v>
      </c>
      <c r="AW1818" t="s">
        <v>95</v>
      </c>
      <c r="AX1818">
        <v>8</v>
      </c>
      <c r="AY1818">
        <v>337</v>
      </c>
      <c r="AZ1818">
        <v>338</v>
      </c>
      <c r="BA1818">
        <v>621</v>
      </c>
      <c r="BB1818">
        <v>44</v>
      </c>
      <c r="BC1818" t="s">
        <v>96</v>
      </c>
      <c r="BD1818">
        <v>1</v>
      </c>
      <c r="BF1818" t="s">
        <v>1976</v>
      </c>
      <c r="BG1818" s="1">
        <v>44354.106944444444</v>
      </c>
      <c r="BH1818" s="1">
        <v>44354.110046296293</v>
      </c>
      <c r="BI1818" s="1">
        <v>44354.110648148147</v>
      </c>
      <c r="BJ1818" t="s">
        <v>85</v>
      </c>
      <c r="BK1818" t="s">
        <v>86</v>
      </c>
      <c r="BL1818" t="s">
        <v>87</v>
      </c>
    </row>
    <row r="1819" spans="1:64" x14ac:dyDescent="0.3">
      <c r="A1819" t="str">
        <f>"201053B0000"</f>
        <v>201053B0000</v>
      </c>
      <c r="B1819" t="str">
        <f>"201053B00003"</f>
        <v>201053B00003</v>
      </c>
      <c r="C1819" t="str">
        <f t="shared" si="110"/>
        <v>20</v>
      </c>
      <c r="D1819" t="s">
        <v>81</v>
      </c>
      <c r="E1819" t="str">
        <f t="shared" si="108"/>
        <v>182</v>
      </c>
      <c r="F1819" t="s">
        <v>1853</v>
      </c>
      <c r="G1819" t="str">
        <f t="shared" ref="G1819:G1824" si="111">"1053"</f>
        <v>1053</v>
      </c>
      <c r="H1819" t="str">
        <f>"0000"</f>
        <v>0000</v>
      </c>
      <c r="I1819" t="s">
        <v>83</v>
      </c>
      <c r="J1819">
        <v>0</v>
      </c>
      <c r="K1819">
        <v>1</v>
      </c>
      <c r="L1819">
        <v>3</v>
      </c>
      <c r="M1819">
        <v>361</v>
      </c>
      <c r="N1819">
        <v>403</v>
      </c>
      <c r="O1819">
        <v>8</v>
      </c>
      <c r="P1819">
        <v>403</v>
      </c>
      <c r="Q1819">
        <v>2</v>
      </c>
      <c r="R1819">
        <v>36</v>
      </c>
      <c r="S1819">
        <v>0</v>
      </c>
      <c r="T1819">
        <v>1</v>
      </c>
      <c r="U1819">
        <v>2</v>
      </c>
      <c r="V1819">
        <v>85</v>
      </c>
      <c r="W1819">
        <v>4</v>
      </c>
      <c r="X1819">
        <v>147</v>
      </c>
      <c r="Y1819">
        <v>92</v>
      </c>
      <c r="Z1819">
        <v>2</v>
      </c>
      <c r="AB1819">
        <v>17</v>
      </c>
      <c r="AO1819">
        <v>2</v>
      </c>
      <c r="AU1819">
        <v>0</v>
      </c>
      <c r="AW1819">
        <v>0</v>
      </c>
      <c r="AX1819">
        <v>13</v>
      </c>
      <c r="AY1819">
        <v>403</v>
      </c>
      <c r="AZ1819">
        <v>403</v>
      </c>
      <c r="BA1819">
        <v>720</v>
      </c>
      <c r="BB1819">
        <v>44</v>
      </c>
      <c r="BD1819">
        <v>1</v>
      </c>
      <c r="BF1819" t="s">
        <v>1977</v>
      </c>
      <c r="BG1819" s="1">
        <v>44354.169444444444</v>
      </c>
      <c r="BH1819" s="1">
        <v>44354.171134259261</v>
      </c>
      <c r="BI1819" s="1">
        <v>44354.171724537038</v>
      </c>
      <c r="BJ1819" t="s">
        <v>85</v>
      </c>
      <c r="BK1819" t="s">
        <v>86</v>
      </c>
      <c r="BL1819" t="s">
        <v>87</v>
      </c>
    </row>
    <row r="1820" spans="1:64" x14ac:dyDescent="0.3">
      <c r="A1820" t="str">
        <f>"201053C0100"</f>
        <v>201053C0100</v>
      </c>
      <c r="B1820" t="str">
        <f>"201053C01003"</f>
        <v>201053C01003</v>
      </c>
      <c r="C1820" t="str">
        <f t="shared" si="110"/>
        <v>20</v>
      </c>
      <c r="D1820" t="s">
        <v>81</v>
      </c>
      <c r="E1820" t="str">
        <f t="shared" si="108"/>
        <v>182</v>
      </c>
      <c r="F1820" t="s">
        <v>1853</v>
      </c>
      <c r="G1820" t="str">
        <f t="shared" si="111"/>
        <v>1053</v>
      </c>
      <c r="H1820" t="str">
        <f>"0001"</f>
        <v>0001</v>
      </c>
      <c r="I1820" t="s">
        <v>89</v>
      </c>
      <c r="J1820">
        <v>0</v>
      </c>
      <c r="K1820">
        <v>1</v>
      </c>
      <c r="L1820">
        <v>3</v>
      </c>
      <c r="M1820">
        <v>390</v>
      </c>
      <c r="N1820">
        <v>368</v>
      </c>
      <c r="O1820">
        <v>7</v>
      </c>
      <c r="P1820">
        <v>368</v>
      </c>
      <c r="Q1820">
        <v>5</v>
      </c>
      <c r="R1820">
        <v>35</v>
      </c>
      <c r="S1820">
        <v>2</v>
      </c>
      <c r="T1820">
        <v>0</v>
      </c>
      <c r="U1820">
        <v>2</v>
      </c>
      <c r="V1820">
        <v>56</v>
      </c>
      <c r="W1820">
        <v>5</v>
      </c>
      <c r="X1820">
        <v>136</v>
      </c>
      <c r="Y1820">
        <v>104</v>
      </c>
      <c r="Z1820">
        <v>4</v>
      </c>
      <c r="AB1820">
        <v>19</v>
      </c>
      <c r="AO1820">
        <v>0</v>
      </c>
      <c r="AU1820">
        <v>0</v>
      </c>
      <c r="AW1820">
        <v>0</v>
      </c>
      <c r="AX1820">
        <v>6</v>
      </c>
      <c r="AY1820">
        <v>374</v>
      </c>
      <c r="AZ1820">
        <v>374</v>
      </c>
      <c r="BA1820">
        <v>720</v>
      </c>
      <c r="BB1820">
        <v>44</v>
      </c>
      <c r="BD1820">
        <v>1</v>
      </c>
      <c r="BF1820" t="s">
        <v>1978</v>
      </c>
      <c r="BG1820" s="1">
        <v>44354.17291666667</v>
      </c>
      <c r="BH1820" s="1">
        <v>44354.17701388889</v>
      </c>
      <c r="BI1820" s="1">
        <v>44354.177453703705</v>
      </c>
      <c r="BJ1820" t="s">
        <v>85</v>
      </c>
      <c r="BK1820" t="s">
        <v>86</v>
      </c>
      <c r="BL1820" t="s">
        <v>87</v>
      </c>
    </row>
    <row r="1821" spans="1:64" x14ac:dyDescent="0.3">
      <c r="A1821" t="str">
        <f>"201053C0200"</f>
        <v>201053C0200</v>
      </c>
      <c r="B1821" t="str">
        <f>"201053C02003"</f>
        <v>201053C02003</v>
      </c>
      <c r="C1821" t="str">
        <f t="shared" si="110"/>
        <v>20</v>
      </c>
      <c r="D1821" t="s">
        <v>81</v>
      </c>
      <c r="E1821" t="str">
        <f t="shared" si="108"/>
        <v>182</v>
      </c>
      <c r="F1821" t="s">
        <v>1853</v>
      </c>
      <c r="G1821" t="str">
        <f t="shared" si="111"/>
        <v>1053</v>
      </c>
      <c r="H1821" t="str">
        <f>"0002"</f>
        <v>0002</v>
      </c>
      <c r="I1821" t="s">
        <v>89</v>
      </c>
      <c r="J1821">
        <v>0</v>
      </c>
      <c r="K1821">
        <v>1</v>
      </c>
      <c r="L1821">
        <v>3</v>
      </c>
      <c r="M1821">
        <v>362</v>
      </c>
      <c r="N1821">
        <v>402</v>
      </c>
      <c r="O1821">
        <v>6</v>
      </c>
      <c r="P1821">
        <v>402</v>
      </c>
      <c r="Q1821">
        <v>7</v>
      </c>
      <c r="R1821">
        <v>36</v>
      </c>
      <c r="S1821">
        <v>0</v>
      </c>
      <c r="T1821">
        <v>2</v>
      </c>
      <c r="U1821">
        <v>2</v>
      </c>
      <c r="V1821">
        <v>62</v>
      </c>
      <c r="W1821">
        <v>8</v>
      </c>
      <c r="X1821">
        <v>164</v>
      </c>
      <c r="Y1821">
        <v>78</v>
      </c>
      <c r="Z1821">
        <v>4</v>
      </c>
      <c r="AB1821">
        <v>26</v>
      </c>
      <c r="AO1821">
        <v>1</v>
      </c>
      <c r="AU1821" t="s">
        <v>95</v>
      </c>
      <c r="AW1821" t="s">
        <v>95</v>
      </c>
      <c r="AX1821">
        <v>12</v>
      </c>
      <c r="AY1821">
        <v>402</v>
      </c>
      <c r="AZ1821">
        <v>402</v>
      </c>
      <c r="BA1821">
        <v>720</v>
      </c>
      <c r="BB1821">
        <v>44</v>
      </c>
      <c r="BC1821" t="s">
        <v>96</v>
      </c>
      <c r="BD1821">
        <v>1</v>
      </c>
      <c r="BF1821" t="s">
        <v>1979</v>
      </c>
      <c r="BG1821" s="1">
        <v>44354.304861111108</v>
      </c>
      <c r="BH1821" s="1">
        <v>44354.307118055556</v>
      </c>
      <c r="BI1821" s="1">
        <v>44354.307905092595</v>
      </c>
      <c r="BJ1821" t="s">
        <v>85</v>
      </c>
      <c r="BK1821" t="s">
        <v>86</v>
      </c>
      <c r="BL1821" t="s">
        <v>87</v>
      </c>
    </row>
    <row r="1822" spans="1:64" x14ac:dyDescent="0.3">
      <c r="A1822" t="str">
        <f>"201053C0300"</f>
        <v>201053C0300</v>
      </c>
      <c r="B1822" t="str">
        <f>"201053C03003"</f>
        <v>201053C03003</v>
      </c>
      <c r="C1822" t="str">
        <f t="shared" si="110"/>
        <v>20</v>
      </c>
      <c r="D1822" t="s">
        <v>81</v>
      </c>
      <c r="E1822" t="str">
        <f t="shared" si="108"/>
        <v>182</v>
      </c>
      <c r="F1822" t="s">
        <v>1853</v>
      </c>
      <c r="G1822" t="str">
        <f t="shared" si="111"/>
        <v>1053</v>
      </c>
      <c r="H1822" t="str">
        <f>"0003"</f>
        <v>0003</v>
      </c>
      <c r="I1822" t="s">
        <v>89</v>
      </c>
      <c r="J1822">
        <v>0</v>
      </c>
      <c r="K1822">
        <v>1</v>
      </c>
      <c r="L1822">
        <v>3</v>
      </c>
      <c r="M1822">
        <v>383</v>
      </c>
      <c r="N1822">
        <v>379</v>
      </c>
      <c r="O1822">
        <v>9</v>
      </c>
      <c r="P1822">
        <v>379</v>
      </c>
      <c r="Q1822">
        <v>3</v>
      </c>
      <c r="R1822">
        <v>49</v>
      </c>
      <c r="S1822">
        <v>2</v>
      </c>
      <c r="T1822">
        <v>1</v>
      </c>
      <c r="U1822">
        <v>9</v>
      </c>
      <c r="V1822">
        <v>74</v>
      </c>
      <c r="W1822">
        <v>0</v>
      </c>
      <c r="X1822">
        <v>138</v>
      </c>
      <c r="Y1822">
        <v>69</v>
      </c>
      <c r="Z1822">
        <v>1</v>
      </c>
      <c r="AB1822">
        <v>19</v>
      </c>
      <c r="AO1822">
        <v>1</v>
      </c>
      <c r="AU1822">
        <v>0</v>
      </c>
      <c r="AW1822">
        <v>0</v>
      </c>
      <c r="AX1822">
        <v>14</v>
      </c>
      <c r="AY1822">
        <v>379</v>
      </c>
      <c r="AZ1822">
        <v>380</v>
      </c>
      <c r="BA1822">
        <v>719</v>
      </c>
      <c r="BB1822">
        <v>44</v>
      </c>
      <c r="BD1822">
        <v>1</v>
      </c>
      <c r="BF1822" t="s">
        <v>1980</v>
      </c>
      <c r="BG1822" s="1">
        <v>44354.30972222222</v>
      </c>
      <c r="BH1822" s="1">
        <v>44354.311898148146</v>
      </c>
      <c r="BI1822" s="1">
        <v>44354.312418981484</v>
      </c>
      <c r="BJ1822" t="s">
        <v>85</v>
      </c>
      <c r="BK1822" t="s">
        <v>86</v>
      </c>
      <c r="BL1822" t="s">
        <v>1390</v>
      </c>
    </row>
    <row r="1823" spans="1:64" x14ac:dyDescent="0.3">
      <c r="A1823" t="str">
        <f>"201053E0100"</f>
        <v>201053E0100</v>
      </c>
      <c r="B1823" t="str">
        <f>"201053E01003"</f>
        <v>201053E01003</v>
      </c>
      <c r="C1823" t="str">
        <f t="shared" si="110"/>
        <v>20</v>
      </c>
      <c r="D1823" t="s">
        <v>81</v>
      </c>
      <c r="E1823" t="str">
        <f t="shared" si="108"/>
        <v>182</v>
      </c>
      <c r="F1823" t="s">
        <v>1853</v>
      </c>
      <c r="G1823" t="str">
        <f t="shared" si="111"/>
        <v>1053</v>
      </c>
      <c r="H1823" t="str">
        <f>"0001"</f>
        <v>0001</v>
      </c>
      <c r="I1823" t="s">
        <v>122</v>
      </c>
      <c r="J1823">
        <v>0</v>
      </c>
      <c r="K1823">
        <v>1</v>
      </c>
      <c r="L1823">
        <v>3</v>
      </c>
      <c r="M1823">
        <v>384</v>
      </c>
      <c r="N1823">
        <v>333</v>
      </c>
      <c r="O1823">
        <v>7</v>
      </c>
      <c r="P1823">
        <v>333</v>
      </c>
      <c r="Q1823">
        <v>8</v>
      </c>
      <c r="R1823">
        <v>39</v>
      </c>
      <c r="S1823">
        <v>1</v>
      </c>
      <c r="T1823">
        <v>1</v>
      </c>
      <c r="U1823">
        <v>2</v>
      </c>
      <c r="V1823">
        <v>25</v>
      </c>
      <c r="W1823">
        <v>3</v>
      </c>
      <c r="X1823">
        <v>153</v>
      </c>
      <c r="Y1823">
        <v>66</v>
      </c>
      <c r="Z1823">
        <v>3</v>
      </c>
      <c r="AB1823">
        <v>24</v>
      </c>
      <c r="AO1823">
        <v>1</v>
      </c>
      <c r="AU1823">
        <v>0</v>
      </c>
      <c r="AW1823">
        <v>1</v>
      </c>
      <c r="AX1823">
        <v>6</v>
      </c>
      <c r="AY1823">
        <v>333</v>
      </c>
      <c r="AZ1823">
        <v>333</v>
      </c>
      <c r="BA1823">
        <v>673</v>
      </c>
      <c r="BB1823">
        <v>44</v>
      </c>
      <c r="BD1823">
        <v>1</v>
      </c>
      <c r="BF1823" t="s">
        <v>1981</v>
      </c>
      <c r="BG1823" s="1">
        <v>44354.30972222222</v>
      </c>
      <c r="BH1823" s="1">
        <v>44354.313136574077</v>
      </c>
      <c r="BI1823" s="1">
        <v>44354.313703703701</v>
      </c>
      <c r="BJ1823" t="s">
        <v>85</v>
      </c>
      <c r="BK1823" t="s">
        <v>86</v>
      </c>
      <c r="BL1823" t="s">
        <v>87</v>
      </c>
    </row>
    <row r="1824" spans="1:64" x14ac:dyDescent="0.3">
      <c r="A1824" t="str">
        <f>"201053E0101"</f>
        <v>201053E0101</v>
      </c>
      <c r="B1824" t="str">
        <f>"201053E01013"</f>
        <v>201053E01013</v>
      </c>
      <c r="C1824" t="str">
        <f t="shared" si="110"/>
        <v>20</v>
      </c>
      <c r="D1824" t="s">
        <v>81</v>
      </c>
      <c r="E1824" t="str">
        <f t="shared" si="108"/>
        <v>182</v>
      </c>
      <c r="F1824" t="s">
        <v>1853</v>
      </c>
      <c r="G1824" t="str">
        <f t="shared" si="111"/>
        <v>1053</v>
      </c>
      <c r="H1824" t="str">
        <f>"0001"</f>
        <v>0001</v>
      </c>
      <c r="I1824" t="s">
        <v>122</v>
      </c>
      <c r="J1824">
        <v>1</v>
      </c>
      <c r="K1824">
        <v>1</v>
      </c>
      <c r="L1824">
        <v>3</v>
      </c>
      <c r="M1824">
        <v>367</v>
      </c>
      <c r="N1824">
        <v>349</v>
      </c>
      <c r="O1824">
        <v>9</v>
      </c>
      <c r="P1824">
        <v>350</v>
      </c>
      <c r="Q1824">
        <v>5</v>
      </c>
      <c r="R1824">
        <v>40</v>
      </c>
      <c r="S1824">
        <v>0</v>
      </c>
      <c r="T1824">
        <v>0</v>
      </c>
      <c r="U1824">
        <v>4</v>
      </c>
      <c r="V1824">
        <v>43</v>
      </c>
      <c r="W1824">
        <v>4</v>
      </c>
      <c r="X1824">
        <v>132</v>
      </c>
      <c r="Y1824">
        <v>79</v>
      </c>
      <c r="Z1824">
        <v>2</v>
      </c>
      <c r="AB1824">
        <v>36</v>
      </c>
      <c r="AO1824">
        <v>2</v>
      </c>
      <c r="AU1824">
        <v>0</v>
      </c>
      <c r="AW1824">
        <v>0</v>
      </c>
      <c r="AX1824">
        <v>3</v>
      </c>
      <c r="AY1824">
        <v>350</v>
      </c>
      <c r="AZ1824">
        <v>350</v>
      </c>
      <c r="BA1824">
        <v>673</v>
      </c>
      <c r="BB1824">
        <v>44</v>
      </c>
      <c r="BD1824">
        <v>1</v>
      </c>
      <c r="BF1824" t="s">
        <v>1982</v>
      </c>
      <c r="BG1824" s="1">
        <v>44354.311805555553</v>
      </c>
      <c r="BH1824" s="1">
        <v>44354.313831018517</v>
      </c>
      <c r="BI1824" s="1">
        <v>44354.314791666664</v>
      </c>
      <c r="BJ1824" t="s">
        <v>85</v>
      </c>
      <c r="BK1824" t="s">
        <v>86</v>
      </c>
      <c r="BL1824" t="s">
        <v>87</v>
      </c>
    </row>
    <row r="1825" spans="1:64" x14ac:dyDescent="0.3">
      <c r="A1825" t="str">
        <f>"201055B0000"</f>
        <v>201055B0000</v>
      </c>
      <c r="B1825" t="str">
        <f>"201055B00003"</f>
        <v>201055B00003</v>
      </c>
      <c r="C1825" t="str">
        <f t="shared" si="110"/>
        <v>20</v>
      </c>
      <c r="D1825" t="s">
        <v>81</v>
      </c>
      <c r="E1825" t="str">
        <f t="shared" ref="E1825:E1888" si="112">"182"</f>
        <v>182</v>
      </c>
      <c r="F1825" t="s">
        <v>1853</v>
      </c>
      <c r="G1825" t="str">
        <f>"1055"</f>
        <v>1055</v>
      </c>
      <c r="H1825" t="str">
        <f>"0000"</f>
        <v>0000</v>
      </c>
      <c r="I1825" t="s">
        <v>83</v>
      </c>
      <c r="J1825">
        <v>0</v>
      </c>
      <c r="K1825">
        <v>1</v>
      </c>
      <c r="L1825">
        <v>3</v>
      </c>
      <c r="M1825">
        <v>283</v>
      </c>
      <c r="N1825">
        <v>330</v>
      </c>
      <c r="O1825">
        <v>9</v>
      </c>
      <c r="P1825" t="s">
        <v>92</v>
      </c>
      <c r="Q1825">
        <v>2</v>
      </c>
      <c r="R1825">
        <v>37</v>
      </c>
      <c r="S1825">
        <v>1</v>
      </c>
      <c r="T1825">
        <v>0</v>
      </c>
      <c r="U1825">
        <v>0</v>
      </c>
      <c r="V1825">
        <v>35</v>
      </c>
      <c r="W1825">
        <v>1</v>
      </c>
      <c r="X1825">
        <v>141</v>
      </c>
      <c r="Y1825">
        <v>76</v>
      </c>
      <c r="Z1825">
        <v>3</v>
      </c>
      <c r="AB1825">
        <v>19</v>
      </c>
      <c r="AO1825" t="s">
        <v>95</v>
      </c>
      <c r="AU1825" t="s">
        <v>95</v>
      </c>
      <c r="AW1825" t="s">
        <v>95</v>
      </c>
      <c r="AX1825">
        <v>15</v>
      </c>
      <c r="AY1825">
        <v>330</v>
      </c>
      <c r="AZ1825">
        <v>330</v>
      </c>
      <c r="BA1825">
        <v>569</v>
      </c>
      <c r="BB1825">
        <v>44</v>
      </c>
      <c r="BC1825" t="s">
        <v>96</v>
      </c>
      <c r="BD1825">
        <v>1</v>
      </c>
      <c r="BF1825" t="s">
        <v>1983</v>
      </c>
      <c r="BG1825" s="1">
        <v>44354.193055555559</v>
      </c>
      <c r="BH1825" s="1">
        <v>44354.195694444446</v>
      </c>
      <c r="BI1825" s="1">
        <v>44354.196226851855</v>
      </c>
      <c r="BJ1825" t="s">
        <v>85</v>
      </c>
      <c r="BK1825" t="s">
        <v>86</v>
      </c>
      <c r="BL1825" t="s">
        <v>87</v>
      </c>
    </row>
    <row r="1826" spans="1:64" x14ac:dyDescent="0.3">
      <c r="A1826" t="str">
        <f>"201055C0100"</f>
        <v>201055C0100</v>
      </c>
      <c r="B1826" t="str">
        <f>"201055C01003"</f>
        <v>201055C01003</v>
      </c>
      <c r="C1826" t="str">
        <f t="shared" si="110"/>
        <v>20</v>
      </c>
      <c r="D1826" t="s">
        <v>81</v>
      </c>
      <c r="E1826" t="str">
        <f t="shared" si="112"/>
        <v>182</v>
      </c>
      <c r="F1826" t="s">
        <v>1853</v>
      </c>
      <c r="G1826" t="str">
        <f>"1055"</f>
        <v>1055</v>
      </c>
      <c r="H1826" t="str">
        <f>"0001"</f>
        <v>0001</v>
      </c>
      <c r="I1826" t="s">
        <v>89</v>
      </c>
      <c r="J1826">
        <v>0</v>
      </c>
      <c r="K1826">
        <v>1</v>
      </c>
      <c r="L1826">
        <v>3</v>
      </c>
      <c r="M1826">
        <v>281</v>
      </c>
      <c r="N1826">
        <v>331</v>
      </c>
      <c r="O1826">
        <v>9</v>
      </c>
      <c r="P1826">
        <v>331</v>
      </c>
      <c r="Q1826">
        <v>3</v>
      </c>
      <c r="R1826">
        <v>29</v>
      </c>
      <c r="S1826">
        <v>1</v>
      </c>
      <c r="T1826">
        <v>0</v>
      </c>
      <c r="U1826">
        <v>2</v>
      </c>
      <c r="V1826">
        <v>51</v>
      </c>
      <c r="W1826">
        <v>3</v>
      </c>
      <c r="X1826">
        <v>140</v>
      </c>
      <c r="Y1826">
        <v>60</v>
      </c>
      <c r="Z1826">
        <v>1</v>
      </c>
      <c r="AB1826">
        <v>32</v>
      </c>
      <c r="AO1826">
        <v>0</v>
      </c>
      <c r="AU1826">
        <v>0</v>
      </c>
      <c r="AW1826">
        <v>1</v>
      </c>
      <c r="AX1826">
        <v>8</v>
      </c>
      <c r="AY1826">
        <v>331</v>
      </c>
      <c r="AZ1826">
        <v>331</v>
      </c>
      <c r="BA1826">
        <v>568</v>
      </c>
      <c r="BB1826">
        <v>44</v>
      </c>
      <c r="BD1826">
        <v>1</v>
      </c>
      <c r="BF1826" t="s">
        <v>1984</v>
      </c>
      <c r="BG1826" s="1">
        <v>44354.192361111112</v>
      </c>
      <c r="BH1826" s="1">
        <v>44354.194953703707</v>
      </c>
      <c r="BI1826" s="1">
        <v>44354.195451388892</v>
      </c>
      <c r="BJ1826" t="s">
        <v>85</v>
      </c>
      <c r="BK1826" t="s">
        <v>86</v>
      </c>
      <c r="BL1826" t="s">
        <v>87</v>
      </c>
    </row>
    <row r="1827" spans="1:64" x14ac:dyDescent="0.3">
      <c r="A1827" t="str">
        <f>"201055C0200"</f>
        <v>201055C0200</v>
      </c>
      <c r="B1827" t="str">
        <f>"201055C02003"</f>
        <v>201055C02003</v>
      </c>
      <c r="C1827" t="str">
        <f t="shared" si="110"/>
        <v>20</v>
      </c>
      <c r="D1827" t="s">
        <v>81</v>
      </c>
      <c r="E1827" t="str">
        <f t="shared" si="112"/>
        <v>182</v>
      </c>
      <c r="F1827" t="s">
        <v>1853</v>
      </c>
      <c r="G1827" t="str">
        <f>"1055"</f>
        <v>1055</v>
      </c>
      <c r="H1827" t="str">
        <f>"0002"</f>
        <v>0002</v>
      </c>
      <c r="I1827" t="s">
        <v>89</v>
      </c>
      <c r="J1827">
        <v>0</v>
      </c>
      <c r="K1827">
        <v>1</v>
      </c>
      <c r="L1827">
        <v>3</v>
      </c>
      <c r="M1827">
        <v>283</v>
      </c>
      <c r="N1827">
        <v>329</v>
      </c>
      <c r="O1827">
        <v>0</v>
      </c>
      <c r="P1827">
        <v>329</v>
      </c>
      <c r="Q1827">
        <v>2</v>
      </c>
      <c r="R1827">
        <v>27</v>
      </c>
      <c r="S1827">
        <v>0</v>
      </c>
      <c r="T1827">
        <v>0</v>
      </c>
      <c r="U1827">
        <v>3</v>
      </c>
      <c r="V1827">
        <v>49</v>
      </c>
      <c r="W1827">
        <v>0</v>
      </c>
      <c r="X1827">
        <v>143</v>
      </c>
      <c r="Y1827">
        <v>61</v>
      </c>
      <c r="Z1827">
        <v>0</v>
      </c>
      <c r="AB1827">
        <v>37</v>
      </c>
      <c r="AO1827">
        <v>0</v>
      </c>
      <c r="AU1827">
        <v>0</v>
      </c>
      <c r="AW1827">
        <v>0</v>
      </c>
      <c r="AX1827">
        <v>7</v>
      </c>
      <c r="AY1827">
        <v>329</v>
      </c>
      <c r="AZ1827">
        <v>329</v>
      </c>
      <c r="BA1827">
        <v>568</v>
      </c>
      <c r="BB1827">
        <v>44</v>
      </c>
      <c r="BD1827">
        <v>1</v>
      </c>
      <c r="BF1827" t="s">
        <v>1985</v>
      </c>
      <c r="BG1827" s="1">
        <v>44354.188888888886</v>
      </c>
      <c r="BH1827" s="1">
        <v>44354.192546296297</v>
      </c>
      <c r="BI1827" s="1">
        <v>44354.193124999998</v>
      </c>
      <c r="BJ1827" t="s">
        <v>85</v>
      </c>
      <c r="BK1827" t="s">
        <v>86</v>
      </c>
      <c r="BL1827" t="s">
        <v>87</v>
      </c>
    </row>
    <row r="1828" spans="1:64" x14ac:dyDescent="0.3">
      <c r="A1828" t="str">
        <f>"201056B0000"</f>
        <v>201056B0000</v>
      </c>
      <c r="B1828" t="str">
        <f>"201056B00003"</f>
        <v>201056B00003</v>
      </c>
      <c r="C1828" t="str">
        <f t="shared" si="110"/>
        <v>20</v>
      </c>
      <c r="D1828" t="s">
        <v>81</v>
      </c>
      <c r="E1828" t="str">
        <f t="shared" si="112"/>
        <v>182</v>
      </c>
      <c r="F1828" t="s">
        <v>1853</v>
      </c>
      <c r="G1828" t="str">
        <f>"1056"</f>
        <v>1056</v>
      </c>
      <c r="H1828" t="str">
        <f>"0000"</f>
        <v>0000</v>
      </c>
      <c r="I1828" t="s">
        <v>83</v>
      </c>
      <c r="J1828">
        <v>0</v>
      </c>
      <c r="K1828">
        <v>1</v>
      </c>
      <c r="L1828">
        <v>3</v>
      </c>
      <c r="M1828">
        <v>338</v>
      </c>
      <c r="N1828">
        <v>280</v>
      </c>
      <c r="O1828">
        <v>4</v>
      </c>
      <c r="P1828">
        <v>280</v>
      </c>
      <c r="Q1828">
        <v>3</v>
      </c>
      <c r="R1828">
        <v>23</v>
      </c>
      <c r="S1828">
        <v>0</v>
      </c>
      <c r="T1828">
        <v>3</v>
      </c>
      <c r="U1828">
        <v>8</v>
      </c>
      <c r="V1828">
        <v>42</v>
      </c>
      <c r="W1828">
        <v>5</v>
      </c>
      <c r="X1828">
        <v>121</v>
      </c>
      <c r="Y1828">
        <v>45</v>
      </c>
      <c r="Z1828">
        <v>1</v>
      </c>
      <c r="AB1828">
        <v>19</v>
      </c>
      <c r="AO1828">
        <v>0</v>
      </c>
      <c r="AU1828">
        <v>0</v>
      </c>
      <c r="AW1828">
        <v>0</v>
      </c>
      <c r="AX1828">
        <v>10</v>
      </c>
      <c r="AY1828">
        <v>280</v>
      </c>
      <c r="AZ1828">
        <v>280</v>
      </c>
      <c r="BA1828">
        <v>574</v>
      </c>
      <c r="BB1828">
        <v>44</v>
      </c>
      <c r="BD1828">
        <v>1</v>
      </c>
      <c r="BF1828" t="s">
        <v>1986</v>
      </c>
      <c r="BG1828" s="1">
        <v>44354.509027777778</v>
      </c>
      <c r="BH1828" s="1">
        <v>44354.512083333335</v>
      </c>
      <c r="BI1828" s="1">
        <v>44354.51226851852</v>
      </c>
      <c r="BJ1828" t="s">
        <v>85</v>
      </c>
      <c r="BK1828" t="s">
        <v>86</v>
      </c>
      <c r="BL1828" t="s">
        <v>87</v>
      </c>
    </row>
    <row r="1829" spans="1:64" x14ac:dyDescent="0.3">
      <c r="A1829" t="str">
        <f>"201056C0100"</f>
        <v>201056C0100</v>
      </c>
      <c r="B1829" t="str">
        <f>"201056C01003"</f>
        <v>201056C01003</v>
      </c>
      <c r="C1829" t="str">
        <f t="shared" si="110"/>
        <v>20</v>
      </c>
      <c r="D1829" t="s">
        <v>81</v>
      </c>
      <c r="E1829" t="str">
        <f t="shared" si="112"/>
        <v>182</v>
      </c>
      <c r="F1829" t="s">
        <v>1853</v>
      </c>
      <c r="G1829" t="str">
        <f>"1056"</f>
        <v>1056</v>
      </c>
      <c r="H1829" t="str">
        <f>"0001"</f>
        <v>0001</v>
      </c>
      <c r="I1829" t="s">
        <v>89</v>
      </c>
      <c r="J1829">
        <v>0</v>
      </c>
      <c r="K1829">
        <v>1</v>
      </c>
      <c r="L1829">
        <v>3</v>
      </c>
      <c r="M1829">
        <v>284</v>
      </c>
      <c r="N1829">
        <v>334</v>
      </c>
      <c r="O1829">
        <v>11</v>
      </c>
      <c r="P1829">
        <v>334</v>
      </c>
      <c r="Q1829">
        <v>6</v>
      </c>
      <c r="R1829">
        <v>28</v>
      </c>
      <c r="S1829">
        <v>2</v>
      </c>
      <c r="T1829">
        <v>3</v>
      </c>
      <c r="U1829">
        <v>4</v>
      </c>
      <c r="V1829">
        <v>69</v>
      </c>
      <c r="W1829">
        <v>4</v>
      </c>
      <c r="X1829">
        <v>111</v>
      </c>
      <c r="Y1829">
        <v>67</v>
      </c>
      <c r="Z1829">
        <v>2</v>
      </c>
      <c r="AB1829">
        <v>29</v>
      </c>
      <c r="AO1829">
        <v>0</v>
      </c>
      <c r="AU1829">
        <v>0</v>
      </c>
      <c r="AW1829">
        <v>0</v>
      </c>
      <c r="AX1829">
        <v>9</v>
      </c>
      <c r="AY1829">
        <v>334</v>
      </c>
      <c r="AZ1829">
        <v>334</v>
      </c>
      <c r="BA1829">
        <v>574</v>
      </c>
      <c r="BB1829">
        <v>44</v>
      </c>
      <c r="BD1829">
        <v>1</v>
      </c>
      <c r="BF1829" t="s">
        <v>1987</v>
      </c>
      <c r="BG1829" s="1">
        <v>44354.26458333333</v>
      </c>
      <c r="BH1829" s="1">
        <v>44354.269432870373</v>
      </c>
      <c r="BI1829" s="1">
        <v>44354.269745370373</v>
      </c>
      <c r="BJ1829" t="s">
        <v>85</v>
      </c>
      <c r="BK1829" t="s">
        <v>86</v>
      </c>
      <c r="BL1829" t="s">
        <v>87</v>
      </c>
    </row>
    <row r="1830" spans="1:64" x14ac:dyDescent="0.3">
      <c r="A1830" t="str">
        <f>"201056C0200"</f>
        <v>201056C0200</v>
      </c>
      <c r="B1830" t="str">
        <f>"201056C02003"</f>
        <v>201056C02003</v>
      </c>
      <c r="C1830" t="str">
        <f t="shared" si="110"/>
        <v>20</v>
      </c>
      <c r="D1830" t="s">
        <v>81</v>
      </c>
      <c r="E1830" t="str">
        <f t="shared" si="112"/>
        <v>182</v>
      </c>
      <c r="F1830" t="s">
        <v>1853</v>
      </c>
      <c r="G1830" t="str">
        <f>"1056"</f>
        <v>1056</v>
      </c>
      <c r="H1830" t="str">
        <f>"0002"</f>
        <v>0002</v>
      </c>
      <c r="I1830" t="s">
        <v>89</v>
      </c>
      <c r="J1830">
        <v>0</v>
      </c>
      <c r="K1830">
        <v>1</v>
      </c>
      <c r="L1830">
        <v>3</v>
      </c>
      <c r="M1830">
        <v>320</v>
      </c>
      <c r="N1830">
        <v>298</v>
      </c>
      <c r="O1830">
        <v>6</v>
      </c>
      <c r="P1830">
        <v>298</v>
      </c>
      <c r="Q1830">
        <v>4</v>
      </c>
      <c r="R1830">
        <v>20</v>
      </c>
      <c r="S1830">
        <v>1</v>
      </c>
      <c r="T1830">
        <v>0</v>
      </c>
      <c r="U1830">
        <v>14</v>
      </c>
      <c r="V1830">
        <v>43</v>
      </c>
      <c r="W1830">
        <v>2</v>
      </c>
      <c r="X1830">
        <v>117</v>
      </c>
      <c r="Y1830">
        <v>70</v>
      </c>
      <c r="Z1830">
        <v>1</v>
      </c>
      <c r="AB1830">
        <v>20</v>
      </c>
      <c r="AO1830">
        <v>0</v>
      </c>
      <c r="AU1830">
        <v>0</v>
      </c>
      <c r="AW1830">
        <v>0</v>
      </c>
      <c r="AX1830">
        <v>6</v>
      </c>
      <c r="AY1830">
        <v>298</v>
      </c>
      <c r="AZ1830">
        <v>298</v>
      </c>
      <c r="BA1830">
        <v>574</v>
      </c>
      <c r="BB1830">
        <v>44</v>
      </c>
      <c r="BD1830">
        <v>1</v>
      </c>
      <c r="BF1830" t="s">
        <v>1988</v>
      </c>
      <c r="BG1830" s="1">
        <v>44354.267361111109</v>
      </c>
      <c r="BH1830" s="1">
        <v>44354.297372685185</v>
      </c>
      <c r="BI1830" s="1">
        <v>44354.297627314816</v>
      </c>
      <c r="BJ1830" t="s">
        <v>85</v>
      </c>
      <c r="BK1830" t="s">
        <v>86</v>
      </c>
      <c r="BL1830" t="s">
        <v>87</v>
      </c>
    </row>
    <row r="1831" spans="1:64" x14ac:dyDescent="0.3">
      <c r="A1831" t="str">
        <f>"201056C0300"</f>
        <v>201056C0300</v>
      </c>
      <c r="B1831" t="str">
        <f>"201056C03003"</f>
        <v>201056C03003</v>
      </c>
      <c r="C1831" t="str">
        <f t="shared" si="110"/>
        <v>20</v>
      </c>
      <c r="D1831" t="s">
        <v>81</v>
      </c>
      <c r="E1831" t="str">
        <f t="shared" si="112"/>
        <v>182</v>
      </c>
      <c r="F1831" t="s">
        <v>1853</v>
      </c>
      <c r="G1831" t="str">
        <f>"1056"</f>
        <v>1056</v>
      </c>
      <c r="H1831" t="str">
        <f>"0003"</f>
        <v>0003</v>
      </c>
      <c r="I1831" t="s">
        <v>89</v>
      </c>
      <c r="J1831">
        <v>0</v>
      </c>
      <c r="K1831">
        <v>1</v>
      </c>
      <c r="L1831">
        <v>3</v>
      </c>
      <c r="M1831">
        <v>321</v>
      </c>
      <c r="N1831">
        <v>297</v>
      </c>
      <c r="O1831">
        <v>4</v>
      </c>
      <c r="P1831" t="s">
        <v>92</v>
      </c>
      <c r="Q1831">
        <v>7</v>
      </c>
      <c r="R1831">
        <v>21</v>
      </c>
      <c r="S1831">
        <v>1</v>
      </c>
      <c r="T1831">
        <v>1</v>
      </c>
      <c r="U1831">
        <v>3</v>
      </c>
      <c r="V1831">
        <v>65</v>
      </c>
      <c r="W1831">
        <v>2</v>
      </c>
      <c r="X1831">
        <v>93</v>
      </c>
      <c r="Y1831">
        <v>75</v>
      </c>
      <c r="Z1831">
        <v>4</v>
      </c>
      <c r="AB1831">
        <v>16</v>
      </c>
      <c r="AO1831">
        <v>0</v>
      </c>
      <c r="AU1831">
        <v>1</v>
      </c>
      <c r="AW1831">
        <v>0</v>
      </c>
      <c r="AX1831">
        <v>8</v>
      </c>
      <c r="AY1831">
        <v>297</v>
      </c>
      <c r="AZ1831">
        <v>297</v>
      </c>
      <c r="BA1831">
        <v>574</v>
      </c>
      <c r="BB1831">
        <v>44</v>
      </c>
      <c r="BD1831">
        <v>1</v>
      </c>
      <c r="BF1831" t="s">
        <v>1989</v>
      </c>
      <c r="BG1831" s="1">
        <v>44354.26666666667</v>
      </c>
      <c r="BH1831" s="1">
        <v>44354.269942129627</v>
      </c>
      <c r="BI1831" s="1">
        <v>44354.270358796297</v>
      </c>
      <c r="BJ1831" t="s">
        <v>85</v>
      </c>
      <c r="BK1831" t="s">
        <v>86</v>
      </c>
      <c r="BL1831" t="s">
        <v>87</v>
      </c>
    </row>
    <row r="1832" spans="1:64" x14ac:dyDescent="0.3">
      <c r="A1832" t="str">
        <f>"201057B0000"</f>
        <v>201057B0000</v>
      </c>
      <c r="B1832" t="str">
        <f>"201057B00003"</f>
        <v>201057B00003</v>
      </c>
      <c r="C1832" t="str">
        <f t="shared" si="110"/>
        <v>20</v>
      </c>
      <c r="D1832" t="s">
        <v>81</v>
      </c>
      <c r="E1832" t="str">
        <f t="shared" si="112"/>
        <v>182</v>
      </c>
      <c r="F1832" t="s">
        <v>1853</v>
      </c>
      <c r="G1832" t="str">
        <f>"1057"</f>
        <v>1057</v>
      </c>
      <c r="H1832" t="str">
        <f>"0000"</f>
        <v>0000</v>
      </c>
      <c r="I1832" t="s">
        <v>83</v>
      </c>
      <c r="J1832">
        <v>0</v>
      </c>
      <c r="K1832">
        <v>1</v>
      </c>
      <c r="L1832">
        <v>3</v>
      </c>
      <c r="M1832">
        <v>164</v>
      </c>
      <c r="N1832">
        <v>219</v>
      </c>
      <c r="O1832">
        <v>1</v>
      </c>
      <c r="P1832">
        <v>219</v>
      </c>
      <c r="Q1832">
        <v>4</v>
      </c>
      <c r="R1832">
        <v>25</v>
      </c>
      <c r="S1832">
        <v>1</v>
      </c>
      <c r="T1832">
        <v>1</v>
      </c>
      <c r="U1832">
        <v>6</v>
      </c>
      <c r="V1832">
        <v>67</v>
      </c>
      <c r="W1832">
        <v>1</v>
      </c>
      <c r="X1832">
        <v>68</v>
      </c>
      <c r="Y1832">
        <v>28</v>
      </c>
      <c r="Z1832">
        <v>1</v>
      </c>
      <c r="AB1832">
        <v>5</v>
      </c>
      <c r="AO1832">
        <v>1</v>
      </c>
      <c r="AU1832">
        <v>0</v>
      </c>
      <c r="AW1832">
        <v>0</v>
      </c>
      <c r="AX1832">
        <v>11</v>
      </c>
      <c r="AY1832">
        <v>219</v>
      </c>
      <c r="AZ1832">
        <v>219</v>
      </c>
      <c r="BA1832">
        <v>339</v>
      </c>
      <c r="BB1832">
        <v>44</v>
      </c>
      <c r="BD1832">
        <v>1</v>
      </c>
      <c r="BF1832" t="s">
        <v>1990</v>
      </c>
      <c r="BG1832" s="1">
        <v>44354.46875</v>
      </c>
      <c r="BH1832" s="1">
        <v>44354.472199074073</v>
      </c>
      <c r="BI1832" s="1">
        <v>44354.472870370373</v>
      </c>
      <c r="BJ1832" t="s">
        <v>85</v>
      </c>
      <c r="BK1832" t="s">
        <v>86</v>
      </c>
      <c r="BL1832" t="s">
        <v>87</v>
      </c>
    </row>
    <row r="1833" spans="1:64" x14ac:dyDescent="0.3">
      <c r="A1833" t="str">
        <f>"201057E0100"</f>
        <v>201057E0100</v>
      </c>
      <c r="B1833" t="str">
        <f>"201057E01003"</f>
        <v>201057E01003</v>
      </c>
      <c r="C1833" t="str">
        <f t="shared" si="110"/>
        <v>20</v>
      </c>
      <c r="D1833" t="s">
        <v>81</v>
      </c>
      <c r="E1833" t="str">
        <f t="shared" si="112"/>
        <v>182</v>
      </c>
      <c r="F1833" t="s">
        <v>1853</v>
      </c>
      <c r="G1833" t="str">
        <f>"1057"</f>
        <v>1057</v>
      </c>
      <c r="H1833" t="str">
        <f>"0001"</f>
        <v>0001</v>
      </c>
      <c r="I1833" t="s">
        <v>122</v>
      </c>
      <c r="J1833">
        <v>0</v>
      </c>
      <c r="K1833">
        <v>1</v>
      </c>
      <c r="L1833">
        <v>3</v>
      </c>
      <c r="M1833">
        <v>207</v>
      </c>
      <c r="N1833">
        <v>339</v>
      </c>
      <c r="O1833">
        <v>0</v>
      </c>
      <c r="P1833">
        <v>339</v>
      </c>
      <c r="Q1833">
        <v>1</v>
      </c>
      <c r="R1833">
        <v>29</v>
      </c>
      <c r="S1833">
        <v>0</v>
      </c>
      <c r="T1833">
        <v>2</v>
      </c>
      <c r="U1833">
        <v>8</v>
      </c>
      <c r="V1833">
        <v>59</v>
      </c>
      <c r="W1833">
        <v>0</v>
      </c>
      <c r="X1833">
        <v>118</v>
      </c>
      <c r="Y1833">
        <v>107</v>
      </c>
      <c r="Z1833">
        <v>2</v>
      </c>
      <c r="AB1833">
        <v>1</v>
      </c>
      <c r="AO1833">
        <v>0</v>
      </c>
      <c r="AU1833">
        <v>0</v>
      </c>
      <c r="AW1833">
        <v>0</v>
      </c>
      <c r="AX1833">
        <v>11</v>
      </c>
      <c r="AY1833">
        <v>339</v>
      </c>
      <c r="AZ1833">
        <v>338</v>
      </c>
      <c r="BA1833">
        <v>506</v>
      </c>
      <c r="BB1833">
        <v>44</v>
      </c>
      <c r="BD1833">
        <v>1</v>
      </c>
      <c r="BF1833" t="s">
        <v>1991</v>
      </c>
      <c r="BG1833" s="1">
        <v>44354.466666666667</v>
      </c>
      <c r="BH1833" s="1">
        <v>44354.47042824074</v>
      </c>
      <c r="BI1833" s="1">
        <v>44354.470914351848</v>
      </c>
      <c r="BJ1833" t="s">
        <v>85</v>
      </c>
      <c r="BK1833" t="s">
        <v>86</v>
      </c>
      <c r="BL1833" t="s">
        <v>87</v>
      </c>
    </row>
    <row r="1834" spans="1:64" x14ac:dyDescent="0.3">
      <c r="A1834" t="str">
        <f>"201058B0000"</f>
        <v>201058B0000</v>
      </c>
      <c r="B1834" t="str">
        <f>"201058B00003"</f>
        <v>201058B00003</v>
      </c>
      <c r="C1834" t="str">
        <f t="shared" si="110"/>
        <v>20</v>
      </c>
      <c r="D1834" t="s">
        <v>81</v>
      </c>
      <c r="E1834" t="str">
        <f t="shared" si="112"/>
        <v>182</v>
      </c>
      <c r="F1834" t="s">
        <v>1853</v>
      </c>
      <c r="G1834" t="str">
        <f>"1058"</f>
        <v>1058</v>
      </c>
      <c r="H1834" t="str">
        <f>"0000"</f>
        <v>0000</v>
      </c>
      <c r="I1834" t="s">
        <v>83</v>
      </c>
      <c r="J1834">
        <v>0</v>
      </c>
      <c r="K1834">
        <v>1</v>
      </c>
      <c r="L1834">
        <v>3</v>
      </c>
      <c r="M1834">
        <v>276</v>
      </c>
      <c r="N1834">
        <v>414</v>
      </c>
      <c r="O1834" t="s">
        <v>131</v>
      </c>
      <c r="P1834">
        <v>414</v>
      </c>
      <c r="Q1834">
        <v>8</v>
      </c>
      <c r="R1834">
        <v>26</v>
      </c>
      <c r="S1834">
        <v>1</v>
      </c>
      <c r="T1834">
        <v>5</v>
      </c>
      <c r="U1834">
        <v>3</v>
      </c>
      <c r="V1834">
        <v>99</v>
      </c>
      <c r="W1834">
        <v>3</v>
      </c>
      <c r="X1834">
        <v>156</v>
      </c>
      <c r="Y1834">
        <v>73</v>
      </c>
      <c r="Z1834">
        <v>5</v>
      </c>
      <c r="AB1834">
        <v>26</v>
      </c>
      <c r="AO1834">
        <v>34</v>
      </c>
      <c r="AU1834">
        <v>8</v>
      </c>
      <c r="AW1834" t="s">
        <v>95</v>
      </c>
      <c r="AX1834">
        <v>9</v>
      </c>
      <c r="AY1834">
        <v>414</v>
      </c>
      <c r="AZ1834">
        <v>456</v>
      </c>
      <c r="BA1834">
        <v>647</v>
      </c>
      <c r="BB1834">
        <v>44</v>
      </c>
      <c r="BC1834" t="s">
        <v>96</v>
      </c>
      <c r="BD1834">
        <v>1</v>
      </c>
      <c r="BF1834" s="2" t="s">
        <v>1992</v>
      </c>
      <c r="BG1834" s="1">
        <v>44354.314583333333</v>
      </c>
      <c r="BH1834" s="1">
        <v>44354.318506944444</v>
      </c>
      <c r="BI1834" s="1">
        <v>44354.319328703707</v>
      </c>
      <c r="BJ1834" t="s">
        <v>85</v>
      </c>
      <c r="BK1834" t="s">
        <v>86</v>
      </c>
      <c r="BL1834" t="s">
        <v>87</v>
      </c>
    </row>
    <row r="1835" spans="1:64" x14ac:dyDescent="0.3">
      <c r="A1835" t="str">
        <f>"201058E0100"</f>
        <v>201058E0100</v>
      </c>
      <c r="B1835" t="str">
        <f>"201058E01003"</f>
        <v>201058E01003</v>
      </c>
      <c r="C1835" t="str">
        <f t="shared" si="110"/>
        <v>20</v>
      </c>
      <c r="D1835" t="s">
        <v>81</v>
      </c>
      <c r="E1835" t="str">
        <f t="shared" si="112"/>
        <v>182</v>
      </c>
      <c r="F1835" t="s">
        <v>1853</v>
      </c>
      <c r="G1835" t="str">
        <f>"1058"</f>
        <v>1058</v>
      </c>
      <c r="H1835" t="str">
        <f>"0001"</f>
        <v>0001</v>
      </c>
      <c r="I1835" t="s">
        <v>122</v>
      </c>
      <c r="J1835">
        <v>0</v>
      </c>
      <c r="K1835">
        <v>1</v>
      </c>
      <c r="L1835">
        <v>3</v>
      </c>
      <c r="BA1835">
        <v>733</v>
      </c>
      <c r="BB1835">
        <v>44</v>
      </c>
      <c r="BC1835" t="s">
        <v>381</v>
      </c>
      <c r="BD1835">
        <v>0</v>
      </c>
      <c r="BF1835" t="s">
        <v>1993</v>
      </c>
      <c r="BG1835" s="1">
        <v>44354.520833333336</v>
      </c>
      <c r="BH1835" s="1">
        <v>44354.535324074073</v>
      </c>
      <c r="BI1835" s="1">
        <v>44354.535324074073</v>
      </c>
      <c r="BJ1835" t="s">
        <v>85</v>
      </c>
      <c r="BK1835" t="s">
        <v>86</v>
      </c>
      <c r="BL1835" t="s">
        <v>87</v>
      </c>
    </row>
    <row r="1836" spans="1:64" x14ac:dyDescent="0.3">
      <c r="A1836" t="str">
        <f>"201059B0000"</f>
        <v>201059B0000</v>
      </c>
      <c r="B1836" t="str">
        <f>"201059B00003"</f>
        <v>201059B00003</v>
      </c>
      <c r="C1836" t="str">
        <f t="shared" si="110"/>
        <v>20</v>
      </c>
      <c r="D1836" t="s">
        <v>81</v>
      </c>
      <c r="E1836" t="str">
        <f t="shared" si="112"/>
        <v>182</v>
      </c>
      <c r="F1836" t="s">
        <v>1853</v>
      </c>
      <c r="G1836" t="str">
        <f>"1059"</f>
        <v>1059</v>
      </c>
      <c r="H1836" t="str">
        <f>"0000"</f>
        <v>0000</v>
      </c>
      <c r="I1836" t="s">
        <v>83</v>
      </c>
      <c r="J1836">
        <v>0</v>
      </c>
      <c r="K1836">
        <v>1</v>
      </c>
      <c r="L1836">
        <v>3</v>
      </c>
      <c r="M1836">
        <v>144</v>
      </c>
      <c r="N1836">
        <v>277</v>
      </c>
      <c r="O1836">
        <v>12</v>
      </c>
      <c r="P1836" t="s">
        <v>92</v>
      </c>
      <c r="Q1836">
        <v>2</v>
      </c>
      <c r="R1836">
        <v>58</v>
      </c>
      <c r="S1836">
        <v>0</v>
      </c>
      <c r="T1836">
        <v>1</v>
      </c>
      <c r="U1836">
        <v>2</v>
      </c>
      <c r="V1836">
        <v>54</v>
      </c>
      <c r="W1836">
        <v>0</v>
      </c>
      <c r="X1836">
        <v>97</v>
      </c>
      <c r="Y1836">
        <v>46</v>
      </c>
      <c r="Z1836">
        <v>5</v>
      </c>
      <c r="AB1836">
        <v>5</v>
      </c>
      <c r="AO1836">
        <v>1</v>
      </c>
      <c r="AU1836">
        <v>0</v>
      </c>
      <c r="AW1836">
        <v>0</v>
      </c>
      <c r="AX1836">
        <v>6</v>
      </c>
      <c r="AY1836">
        <v>277</v>
      </c>
      <c r="AZ1836">
        <v>277</v>
      </c>
      <c r="BA1836">
        <v>377</v>
      </c>
      <c r="BB1836">
        <v>44</v>
      </c>
      <c r="BD1836">
        <v>1</v>
      </c>
      <c r="BF1836" t="s">
        <v>1994</v>
      </c>
      <c r="BG1836" s="1">
        <v>44354.111111111109</v>
      </c>
      <c r="BH1836" s="1">
        <v>44354.115219907406</v>
      </c>
      <c r="BI1836" s="1">
        <v>44354.11582175926</v>
      </c>
      <c r="BJ1836" t="s">
        <v>85</v>
      </c>
      <c r="BK1836" t="s">
        <v>86</v>
      </c>
      <c r="BL1836" t="s">
        <v>87</v>
      </c>
    </row>
    <row r="1837" spans="1:64" x14ac:dyDescent="0.3">
      <c r="A1837" t="str">
        <f>"201059C0100"</f>
        <v>201059C0100</v>
      </c>
      <c r="B1837" t="str">
        <f>"201059C01003"</f>
        <v>201059C01003</v>
      </c>
      <c r="C1837" t="str">
        <f t="shared" si="110"/>
        <v>20</v>
      </c>
      <c r="D1837" t="s">
        <v>81</v>
      </c>
      <c r="E1837" t="str">
        <f t="shared" si="112"/>
        <v>182</v>
      </c>
      <c r="F1837" t="s">
        <v>1853</v>
      </c>
      <c r="G1837" t="str">
        <f>"1059"</f>
        <v>1059</v>
      </c>
      <c r="H1837" t="str">
        <f>"0001"</f>
        <v>0001</v>
      </c>
      <c r="I1837" t="s">
        <v>89</v>
      </c>
      <c r="J1837">
        <v>0</v>
      </c>
      <c r="K1837">
        <v>1</v>
      </c>
      <c r="L1837">
        <v>3</v>
      </c>
      <c r="M1837">
        <v>163</v>
      </c>
      <c r="N1837">
        <v>257</v>
      </c>
      <c r="O1837">
        <v>4</v>
      </c>
      <c r="P1837">
        <v>257</v>
      </c>
      <c r="Q1837">
        <v>1</v>
      </c>
      <c r="R1837">
        <v>29</v>
      </c>
      <c r="S1837">
        <v>1</v>
      </c>
      <c r="T1837">
        <v>1</v>
      </c>
      <c r="U1837">
        <v>6</v>
      </c>
      <c r="V1837">
        <v>29</v>
      </c>
      <c r="W1837">
        <v>1</v>
      </c>
      <c r="X1837">
        <v>132</v>
      </c>
      <c r="Y1837">
        <v>41</v>
      </c>
      <c r="Z1837">
        <v>2</v>
      </c>
      <c r="AB1837">
        <v>6</v>
      </c>
      <c r="AO1837">
        <v>1</v>
      </c>
      <c r="AU1837">
        <v>0</v>
      </c>
      <c r="AW1837">
        <v>0</v>
      </c>
      <c r="AX1837">
        <v>7</v>
      </c>
      <c r="AY1837">
        <v>257</v>
      </c>
      <c r="AZ1837">
        <v>257</v>
      </c>
      <c r="BA1837">
        <v>376</v>
      </c>
      <c r="BB1837">
        <v>44</v>
      </c>
      <c r="BD1837">
        <v>1</v>
      </c>
      <c r="BF1837" t="s">
        <v>1995</v>
      </c>
      <c r="BG1837" s="1">
        <v>44354.120138888888</v>
      </c>
      <c r="BH1837" s="1">
        <v>44354.121701388889</v>
      </c>
      <c r="BI1837" s="1">
        <v>44354.122731481482</v>
      </c>
      <c r="BJ1837" t="s">
        <v>85</v>
      </c>
      <c r="BK1837" t="s">
        <v>86</v>
      </c>
      <c r="BL1837" t="s">
        <v>87</v>
      </c>
    </row>
    <row r="1838" spans="1:64" x14ac:dyDescent="0.3">
      <c r="A1838" t="str">
        <f>"201060B0000"</f>
        <v>201060B0000</v>
      </c>
      <c r="B1838" t="str">
        <f>"201060B00003"</f>
        <v>201060B00003</v>
      </c>
      <c r="C1838" t="str">
        <f t="shared" si="110"/>
        <v>20</v>
      </c>
      <c r="D1838" t="s">
        <v>81</v>
      </c>
      <c r="E1838" t="str">
        <f t="shared" si="112"/>
        <v>182</v>
      </c>
      <c r="F1838" t="s">
        <v>1853</v>
      </c>
      <c r="G1838" t="str">
        <f>"1060"</f>
        <v>1060</v>
      </c>
      <c r="H1838" t="str">
        <f>"0000"</f>
        <v>0000</v>
      </c>
      <c r="I1838" t="s">
        <v>83</v>
      </c>
      <c r="J1838">
        <v>0</v>
      </c>
      <c r="K1838">
        <v>1</v>
      </c>
      <c r="L1838">
        <v>3</v>
      </c>
      <c r="M1838">
        <v>253</v>
      </c>
      <c r="N1838">
        <v>314</v>
      </c>
      <c r="O1838">
        <v>0</v>
      </c>
      <c r="P1838">
        <v>314</v>
      </c>
      <c r="Q1838">
        <v>3</v>
      </c>
      <c r="R1838" t="s">
        <v>131</v>
      </c>
      <c r="S1838">
        <v>1</v>
      </c>
      <c r="T1838">
        <v>0</v>
      </c>
      <c r="U1838">
        <v>3</v>
      </c>
      <c r="V1838">
        <v>84</v>
      </c>
      <c r="W1838">
        <v>3</v>
      </c>
      <c r="X1838">
        <v>118</v>
      </c>
      <c r="Y1838">
        <v>53</v>
      </c>
      <c r="Z1838">
        <v>2</v>
      </c>
      <c r="AB1838">
        <v>6</v>
      </c>
      <c r="AO1838">
        <v>2</v>
      </c>
      <c r="AU1838">
        <v>0</v>
      </c>
      <c r="AW1838">
        <v>0</v>
      </c>
      <c r="AX1838">
        <v>2</v>
      </c>
      <c r="AY1838" t="s">
        <v>95</v>
      </c>
      <c r="AZ1838">
        <v>277</v>
      </c>
      <c r="BA1838">
        <v>523</v>
      </c>
      <c r="BB1838">
        <v>44</v>
      </c>
      <c r="BC1838" t="s">
        <v>96</v>
      </c>
      <c r="BD1838">
        <v>1</v>
      </c>
      <c r="BF1838" t="s">
        <v>1996</v>
      </c>
      <c r="BG1838" s="1">
        <v>44354.0625</v>
      </c>
      <c r="BH1838" s="1">
        <v>44354.094108796293</v>
      </c>
      <c r="BI1838" s="1">
        <v>44354.097314814811</v>
      </c>
      <c r="BJ1838" t="s">
        <v>85</v>
      </c>
      <c r="BK1838" t="s">
        <v>86</v>
      </c>
      <c r="BL1838" t="s">
        <v>1893</v>
      </c>
    </row>
    <row r="1839" spans="1:64" x14ac:dyDescent="0.3">
      <c r="A1839" t="str">
        <f>"201060C0100"</f>
        <v>201060C0100</v>
      </c>
      <c r="B1839" t="str">
        <f>"201060C01003"</f>
        <v>201060C01003</v>
      </c>
      <c r="C1839" t="str">
        <f t="shared" si="110"/>
        <v>20</v>
      </c>
      <c r="D1839" t="s">
        <v>81</v>
      </c>
      <c r="E1839" t="str">
        <f t="shared" si="112"/>
        <v>182</v>
      </c>
      <c r="F1839" t="s">
        <v>1853</v>
      </c>
      <c r="G1839" t="str">
        <f>"1060"</f>
        <v>1060</v>
      </c>
      <c r="H1839" t="str">
        <f>"0001"</f>
        <v>0001</v>
      </c>
      <c r="I1839" t="s">
        <v>89</v>
      </c>
      <c r="J1839">
        <v>0</v>
      </c>
      <c r="K1839">
        <v>1</v>
      </c>
      <c r="L1839">
        <v>3</v>
      </c>
      <c r="M1839">
        <v>222</v>
      </c>
      <c r="N1839">
        <v>344</v>
      </c>
      <c r="O1839">
        <v>11</v>
      </c>
      <c r="P1839">
        <v>344</v>
      </c>
      <c r="Q1839">
        <v>6</v>
      </c>
      <c r="R1839">
        <v>35</v>
      </c>
      <c r="S1839">
        <v>2</v>
      </c>
      <c r="T1839">
        <v>8</v>
      </c>
      <c r="U1839">
        <v>5</v>
      </c>
      <c r="V1839" t="s">
        <v>131</v>
      </c>
      <c r="W1839">
        <v>6</v>
      </c>
      <c r="X1839" t="s">
        <v>131</v>
      </c>
      <c r="Y1839">
        <v>27</v>
      </c>
      <c r="Z1839">
        <v>3</v>
      </c>
      <c r="AB1839">
        <v>7</v>
      </c>
      <c r="AO1839">
        <v>0</v>
      </c>
      <c r="AU1839">
        <v>0</v>
      </c>
      <c r="AW1839">
        <v>0</v>
      </c>
      <c r="AX1839">
        <v>7</v>
      </c>
      <c r="AY1839">
        <v>344</v>
      </c>
      <c r="AZ1839">
        <v>106</v>
      </c>
      <c r="BA1839">
        <v>522</v>
      </c>
      <c r="BB1839">
        <v>44</v>
      </c>
      <c r="BC1839" t="s">
        <v>96</v>
      </c>
      <c r="BD1839">
        <v>1</v>
      </c>
      <c r="BF1839" t="s">
        <v>1997</v>
      </c>
      <c r="BG1839" s="1">
        <v>44354.05972222222</v>
      </c>
      <c r="BH1839" s="1">
        <v>44354.066828703704</v>
      </c>
      <c r="BI1839" s="1">
        <v>44354.068124999998</v>
      </c>
      <c r="BJ1839" t="s">
        <v>85</v>
      </c>
      <c r="BK1839" t="s">
        <v>86</v>
      </c>
      <c r="BL1839" t="s">
        <v>87</v>
      </c>
    </row>
    <row r="1840" spans="1:64" x14ac:dyDescent="0.3">
      <c r="A1840" t="str">
        <f>"201060C0200"</f>
        <v>201060C0200</v>
      </c>
      <c r="B1840" t="str">
        <f>"201060C02003"</f>
        <v>201060C02003</v>
      </c>
      <c r="C1840" t="str">
        <f t="shared" si="110"/>
        <v>20</v>
      </c>
      <c r="D1840" t="s">
        <v>81</v>
      </c>
      <c r="E1840" t="str">
        <f t="shared" si="112"/>
        <v>182</v>
      </c>
      <c r="F1840" t="s">
        <v>1853</v>
      </c>
      <c r="G1840" t="str">
        <f>"1060"</f>
        <v>1060</v>
      </c>
      <c r="H1840" t="str">
        <f>"0002"</f>
        <v>0002</v>
      </c>
      <c r="I1840" t="s">
        <v>89</v>
      </c>
      <c r="J1840">
        <v>0</v>
      </c>
      <c r="K1840">
        <v>1</v>
      </c>
      <c r="L1840">
        <v>3</v>
      </c>
      <c r="M1840">
        <v>233</v>
      </c>
      <c r="N1840">
        <v>332</v>
      </c>
      <c r="O1840">
        <v>0</v>
      </c>
      <c r="P1840" t="s">
        <v>92</v>
      </c>
      <c r="Q1840">
        <v>7</v>
      </c>
      <c r="R1840">
        <v>37</v>
      </c>
      <c r="S1840">
        <v>0</v>
      </c>
      <c r="T1840">
        <v>1</v>
      </c>
      <c r="U1840">
        <v>5</v>
      </c>
      <c r="V1840">
        <v>91</v>
      </c>
      <c r="W1840">
        <v>5</v>
      </c>
      <c r="X1840">
        <v>110</v>
      </c>
      <c r="Y1840">
        <v>63</v>
      </c>
      <c r="Z1840">
        <v>2</v>
      </c>
      <c r="AB1840">
        <v>8</v>
      </c>
      <c r="AO1840">
        <v>0</v>
      </c>
      <c r="AU1840">
        <v>0</v>
      </c>
      <c r="AW1840">
        <v>0</v>
      </c>
      <c r="AX1840">
        <v>3</v>
      </c>
      <c r="AY1840">
        <v>332</v>
      </c>
      <c r="AZ1840">
        <v>332</v>
      </c>
      <c r="BA1840">
        <v>522</v>
      </c>
      <c r="BB1840">
        <v>44</v>
      </c>
      <c r="BD1840">
        <v>1</v>
      </c>
      <c r="BF1840" t="s">
        <v>1998</v>
      </c>
      <c r="BG1840" s="1">
        <v>44354.058333333334</v>
      </c>
      <c r="BH1840" s="1">
        <v>44354.064629629633</v>
      </c>
      <c r="BI1840" s="1">
        <v>44354.064872685187</v>
      </c>
      <c r="BJ1840" t="s">
        <v>85</v>
      </c>
      <c r="BK1840" t="s">
        <v>86</v>
      </c>
      <c r="BL1840" t="s">
        <v>87</v>
      </c>
    </row>
    <row r="1841" spans="1:64" x14ac:dyDescent="0.3">
      <c r="A1841" t="str">
        <f>"201061B0000"</f>
        <v>201061B0000</v>
      </c>
      <c r="B1841" t="str">
        <f>"201061B00003"</f>
        <v>201061B00003</v>
      </c>
      <c r="C1841" t="str">
        <f t="shared" si="110"/>
        <v>20</v>
      </c>
      <c r="D1841" t="s">
        <v>81</v>
      </c>
      <c r="E1841" t="str">
        <f t="shared" si="112"/>
        <v>182</v>
      </c>
      <c r="F1841" t="s">
        <v>1853</v>
      </c>
      <c r="G1841" t="str">
        <f>"1061"</f>
        <v>1061</v>
      </c>
      <c r="H1841" t="str">
        <f>"0000"</f>
        <v>0000</v>
      </c>
      <c r="I1841" t="s">
        <v>83</v>
      </c>
      <c r="J1841">
        <v>0</v>
      </c>
      <c r="K1841">
        <v>1</v>
      </c>
      <c r="L1841">
        <v>3</v>
      </c>
      <c r="M1841">
        <v>215</v>
      </c>
      <c r="N1841">
        <v>299</v>
      </c>
      <c r="O1841">
        <v>13</v>
      </c>
      <c r="P1841">
        <v>299</v>
      </c>
      <c r="Q1841">
        <v>4</v>
      </c>
      <c r="R1841">
        <v>48</v>
      </c>
      <c r="S1841">
        <v>0</v>
      </c>
      <c r="T1841">
        <v>1</v>
      </c>
      <c r="U1841">
        <v>3</v>
      </c>
      <c r="V1841">
        <v>39</v>
      </c>
      <c r="W1841">
        <v>7</v>
      </c>
      <c r="X1841">
        <v>134</v>
      </c>
      <c r="Y1841">
        <v>48</v>
      </c>
      <c r="Z1841">
        <v>3</v>
      </c>
      <c r="AB1841">
        <v>7</v>
      </c>
      <c r="AO1841">
        <v>0</v>
      </c>
      <c r="AU1841">
        <v>0</v>
      </c>
      <c r="AW1841">
        <v>0</v>
      </c>
      <c r="AX1841">
        <v>5</v>
      </c>
      <c r="AY1841">
        <v>299</v>
      </c>
      <c r="AZ1841">
        <v>299</v>
      </c>
      <c r="BA1841">
        <v>470</v>
      </c>
      <c r="BB1841">
        <v>44</v>
      </c>
      <c r="BD1841">
        <v>1</v>
      </c>
      <c r="BF1841" t="s">
        <v>1999</v>
      </c>
      <c r="BG1841" s="1">
        <v>44354.064583333333</v>
      </c>
      <c r="BH1841" s="1">
        <v>44354.070474537039</v>
      </c>
      <c r="BI1841" s="1">
        <v>44354.071099537039</v>
      </c>
      <c r="BJ1841" t="s">
        <v>85</v>
      </c>
      <c r="BK1841" t="s">
        <v>86</v>
      </c>
      <c r="BL1841" t="s">
        <v>87</v>
      </c>
    </row>
    <row r="1842" spans="1:64" x14ac:dyDescent="0.3">
      <c r="A1842" t="str">
        <f>"201061E0100"</f>
        <v>201061E0100</v>
      </c>
      <c r="B1842" t="str">
        <f>"201061E01003"</f>
        <v>201061E01003</v>
      </c>
      <c r="C1842" t="str">
        <f t="shared" si="110"/>
        <v>20</v>
      </c>
      <c r="D1842" t="s">
        <v>81</v>
      </c>
      <c r="E1842" t="str">
        <f t="shared" si="112"/>
        <v>182</v>
      </c>
      <c r="F1842" t="s">
        <v>1853</v>
      </c>
      <c r="G1842" t="str">
        <f>"1061"</f>
        <v>1061</v>
      </c>
      <c r="H1842" t="str">
        <f>"0001"</f>
        <v>0001</v>
      </c>
      <c r="I1842" t="s">
        <v>122</v>
      </c>
      <c r="J1842">
        <v>0</v>
      </c>
      <c r="K1842">
        <v>1</v>
      </c>
      <c r="L1842">
        <v>3</v>
      </c>
      <c r="M1842">
        <v>292</v>
      </c>
      <c r="N1842">
        <v>325</v>
      </c>
      <c r="O1842">
        <v>12</v>
      </c>
      <c r="P1842" t="s">
        <v>92</v>
      </c>
      <c r="Q1842">
        <v>2</v>
      </c>
      <c r="R1842">
        <v>40</v>
      </c>
      <c r="S1842">
        <v>1</v>
      </c>
      <c r="T1842">
        <v>4</v>
      </c>
      <c r="U1842">
        <v>2</v>
      </c>
      <c r="V1842">
        <v>90</v>
      </c>
      <c r="W1842">
        <v>0</v>
      </c>
      <c r="X1842">
        <v>119</v>
      </c>
      <c r="Y1842">
        <v>45</v>
      </c>
      <c r="Z1842">
        <v>4</v>
      </c>
      <c r="AB1842">
        <v>10</v>
      </c>
      <c r="AO1842">
        <v>0</v>
      </c>
      <c r="AU1842">
        <v>0</v>
      </c>
      <c r="AW1842">
        <v>1</v>
      </c>
      <c r="AX1842">
        <v>7</v>
      </c>
      <c r="AY1842">
        <v>325</v>
      </c>
      <c r="AZ1842">
        <v>325</v>
      </c>
      <c r="BA1842">
        <v>573</v>
      </c>
      <c r="BB1842">
        <v>44</v>
      </c>
      <c r="BD1842">
        <v>1</v>
      </c>
      <c r="BF1842" t="s">
        <v>2000</v>
      </c>
      <c r="BG1842" s="1">
        <v>44354.244444444441</v>
      </c>
      <c r="BH1842" s="1">
        <v>44354.247916666667</v>
      </c>
      <c r="BI1842" s="1">
        <v>44354.248229166667</v>
      </c>
      <c r="BJ1842" t="s">
        <v>85</v>
      </c>
      <c r="BK1842" t="s">
        <v>86</v>
      </c>
      <c r="BL1842" t="s">
        <v>87</v>
      </c>
    </row>
    <row r="1843" spans="1:64" x14ac:dyDescent="0.3">
      <c r="A1843" t="str">
        <f>"201062B0000"</f>
        <v>201062B0000</v>
      </c>
      <c r="B1843" t="str">
        <f>"201062B00003"</f>
        <v>201062B00003</v>
      </c>
      <c r="C1843" t="str">
        <f t="shared" si="110"/>
        <v>20</v>
      </c>
      <c r="D1843" t="s">
        <v>81</v>
      </c>
      <c r="E1843" t="str">
        <f t="shared" si="112"/>
        <v>182</v>
      </c>
      <c r="F1843" t="s">
        <v>1853</v>
      </c>
      <c r="G1843" t="str">
        <f>"1062"</f>
        <v>1062</v>
      </c>
      <c r="H1843" t="str">
        <f>"0000"</f>
        <v>0000</v>
      </c>
      <c r="I1843" t="s">
        <v>83</v>
      </c>
      <c r="J1843">
        <v>0</v>
      </c>
      <c r="K1843">
        <v>1</v>
      </c>
      <c r="L1843">
        <v>3</v>
      </c>
      <c r="M1843">
        <v>321</v>
      </c>
      <c r="N1843">
        <v>391</v>
      </c>
      <c r="O1843">
        <v>13</v>
      </c>
      <c r="P1843">
        <v>391</v>
      </c>
      <c r="Q1843">
        <v>3</v>
      </c>
      <c r="R1843">
        <v>45</v>
      </c>
      <c r="S1843">
        <v>1</v>
      </c>
      <c r="T1843">
        <v>1</v>
      </c>
      <c r="U1843">
        <v>25</v>
      </c>
      <c r="V1843">
        <v>72</v>
      </c>
      <c r="W1843">
        <v>5</v>
      </c>
      <c r="X1843">
        <v>137</v>
      </c>
      <c r="Y1843">
        <v>61</v>
      </c>
      <c r="Z1843">
        <v>6</v>
      </c>
      <c r="AB1843">
        <v>21</v>
      </c>
      <c r="AO1843">
        <v>2</v>
      </c>
      <c r="AU1843">
        <v>0</v>
      </c>
      <c r="AW1843">
        <v>0</v>
      </c>
      <c r="AX1843">
        <v>12</v>
      </c>
      <c r="AY1843">
        <v>391</v>
      </c>
      <c r="AZ1843">
        <v>391</v>
      </c>
      <c r="BA1843">
        <v>668</v>
      </c>
      <c r="BB1843">
        <v>44</v>
      </c>
      <c r="BD1843">
        <v>1</v>
      </c>
      <c r="BF1843" t="s">
        <v>2001</v>
      </c>
      <c r="BG1843" s="1">
        <v>44354.254861111112</v>
      </c>
      <c r="BH1843" s="1">
        <v>44354.256620370368</v>
      </c>
      <c r="BI1843" s="1">
        <v>44354.257291666669</v>
      </c>
      <c r="BJ1843" t="s">
        <v>85</v>
      </c>
      <c r="BK1843" t="s">
        <v>86</v>
      </c>
      <c r="BL1843" t="s">
        <v>87</v>
      </c>
    </row>
    <row r="1844" spans="1:64" x14ac:dyDescent="0.3">
      <c r="A1844" t="str">
        <f>"201062C0100"</f>
        <v>201062C0100</v>
      </c>
      <c r="B1844" t="str">
        <f>"201062C01003"</f>
        <v>201062C01003</v>
      </c>
      <c r="C1844" t="str">
        <f t="shared" si="110"/>
        <v>20</v>
      </c>
      <c r="D1844" t="s">
        <v>81</v>
      </c>
      <c r="E1844" t="str">
        <f t="shared" si="112"/>
        <v>182</v>
      </c>
      <c r="F1844" t="s">
        <v>1853</v>
      </c>
      <c r="G1844" t="str">
        <f>"1062"</f>
        <v>1062</v>
      </c>
      <c r="H1844" t="str">
        <f>"0001"</f>
        <v>0001</v>
      </c>
      <c r="I1844" t="s">
        <v>89</v>
      </c>
      <c r="J1844">
        <v>0</v>
      </c>
      <c r="K1844">
        <v>1</v>
      </c>
      <c r="L1844">
        <v>3</v>
      </c>
      <c r="M1844">
        <v>326</v>
      </c>
      <c r="N1844">
        <v>386</v>
      </c>
      <c r="O1844">
        <v>13</v>
      </c>
      <c r="P1844" t="s">
        <v>92</v>
      </c>
      <c r="Q1844">
        <v>4</v>
      </c>
      <c r="R1844">
        <v>57</v>
      </c>
      <c r="S1844">
        <v>3</v>
      </c>
      <c r="T1844">
        <v>5</v>
      </c>
      <c r="U1844">
        <v>17</v>
      </c>
      <c r="V1844">
        <v>34</v>
      </c>
      <c r="W1844">
        <v>5</v>
      </c>
      <c r="X1844">
        <v>189</v>
      </c>
      <c r="Y1844">
        <v>53</v>
      </c>
      <c r="Z1844">
        <v>1</v>
      </c>
      <c r="AB1844">
        <v>11</v>
      </c>
      <c r="AO1844">
        <v>0</v>
      </c>
      <c r="AU1844">
        <v>0</v>
      </c>
      <c r="AW1844">
        <v>0</v>
      </c>
      <c r="AX1844">
        <v>4</v>
      </c>
      <c r="AY1844">
        <v>386</v>
      </c>
      <c r="AZ1844">
        <v>383</v>
      </c>
      <c r="BA1844">
        <v>668</v>
      </c>
      <c r="BB1844">
        <v>44</v>
      </c>
      <c r="BD1844">
        <v>1</v>
      </c>
      <c r="BF1844" t="s">
        <v>2002</v>
      </c>
      <c r="BG1844" s="1">
        <v>44354.250694444447</v>
      </c>
      <c r="BH1844" s="1">
        <v>44354.253657407404</v>
      </c>
      <c r="BI1844" s="1">
        <v>44354.255324074074</v>
      </c>
      <c r="BJ1844" t="s">
        <v>85</v>
      </c>
      <c r="BK1844" t="s">
        <v>86</v>
      </c>
      <c r="BL1844" t="s">
        <v>1893</v>
      </c>
    </row>
    <row r="1845" spans="1:64" x14ac:dyDescent="0.3">
      <c r="A1845" t="str">
        <f>"201063B0000"</f>
        <v>201063B0000</v>
      </c>
      <c r="B1845" t="str">
        <f>"201063B00003"</f>
        <v>201063B00003</v>
      </c>
      <c r="C1845" t="str">
        <f t="shared" si="110"/>
        <v>20</v>
      </c>
      <c r="D1845" t="s">
        <v>81</v>
      </c>
      <c r="E1845" t="str">
        <f t="shared" si="112"/>
        <v>182</v>
      </c>
      <c r="F1845" t="s">
        <v>1853</v>
      </c>
      <c r="G1845" t="str">
        <f>"1063"</f>
        <v>1063</v>
      </c>
      <c r="H1845" t="str">
        <f>"0000"</f>
        <v>0000</v>
      </c>
      <c r="I1845" t="s">
        <v>83</v>
      </c>
      <c r="J1845">
        <v>0</v>
      </c>
      <c r="K1845">
        <v>1</v>
      </c>
      <c r="L1845">
        <v>3</v>
      </c>
      <c r="M1845">
        <v>260</v>
      </c>
      <c r="N1845" t="s">
        <v>131</v>
      </c>
      <c r="O1845">
        <v>5</v>
      </c>
      <c r="P1845">
        <v>472</v>
      </c>
      <c r="Q1845">
        <v>3</v>
      </c>
      <c r="R1845">
        <v>58</v>
      </c>
      <c r="S1845">
        <v>1</v>
      </c>
      <c r="T1845">
        <v>1</v>
      </c>
      <c r="U1845">
        <v>4</v>
      </c>
      <c r="V1845">
        <v>69</v>
      </c>
      <c r="W1845">
        <v>1</v>
      </c>
      <c r="X1845">
        <v>194</v>
      </c>
      <c r="Y1845">
        <v>79</v>
      </c>
      <c r="Z1845">
        <v>4</v>
      </c>
      <c r="AB1845">
        <v>48</v>
      </c>
      <c r="AO1845">
        <v>6</v>
      </c>
      <c r="AU1845" t="s">
        <v>95</v>
      </c>
      <c r="AW1845" t="s">
        <v>95</v>
      </c>
      <c r="AX1845">
        <v>10</v>
      </c>
      <c r="AY1845">
        <v>472</v>
      </c>
      <c r="AZ1845">
        <v>478</v>
      </c>
      <c r="BA1845">
        <v>693</v>
      </c>
      <c r="BB1845">
        <v>44</v>
      </c>
      <c r="BC1845" t="s">
        <v>96</v>
      </c>
      <c r="BD1845">
        <v>1</v>
      </c>
      <c r="BF1845" t="s">
        <v>2003</v>
      </c>
      <c r="BG1845" s="1">
        <v>44354.316666666666</v>
      </c>
      <c r="BH1845" s="1">
        <v>44354.320254629631</v>
      </c>
      <c r="BI1845" s="1">
        <v>44354.321180555555</v>
      </c>
      <c r="BJ1845" t="s">
        <v>85</v>
      </c>
      <c r="BK1845" t="s">
        <v>86</v>
      </c>
      <c r="BL1845" t="s">
        <v>87</v>
      </c>
    </row>
    <row r="1846" spans="1:64" x14ac:dyDescent="0.3">
      <c r="A1846" t="str">
        <f>"201064B0000"</f>
        <v>201064B0000</v>
      </c>
      <c r="B1846" t="str">
        <f>"201064B00003"</f>
        <v>201064B00003</v>
      </c>
      <c r="C1846" t="str">
        <f t="shared" si="110"/>
        <v>20</v>
      </c>
      <c r="D1846" t="s">
        <v>81</v>
      </c>
      <c r="E1846" t="str">
        <f t="shared" si="112"/>
        <v>182</v>
      </c>
      <c r="F1846" t="s">
        <v>1853</v>
      </c>
      <c r="G1846" t="str">
        <f>"1064"</f>
        <v>1064</v>
      </c>
      <c r="H1846" t="str">
        <f>"0000"</f>
        <v>0000</v>
      </c>
      <c r="I1846" t="s">
        <v>83</v>
      </c>
      <c r="J1846">
        <v>0</v>
      </c>
      <c r="K1846">
        <v>1</v>
      </c>
      <c r="L1846">
        <v>3</v>
      </c>
      <c r="M1846">
        <v>206</v>
      </c>
      <c r="N1846">
        <v>573</v>
      </c>
      <c r="O1846">
        <v>2</v>
      </c>
      <c r="P1846">
        <v>573</v>
      </c>
      <c r="Q1846">
        <v>12</v>
      </c>
      <c r="R1846">
        <v>55</v>
      </c>
      <c r="S1846">
        <v>0</v>
      </c>
      <c r="T1846">
        <v>7</v>
      </c>
      <c r="U1846">
        <v>8</v>
      </c>
      <c r="V1846">
        <v>70</v>
      </c>
      <c r="W1846">
        <v>0</v>
      </c>
      <c r="X1846">
        <v>213</v>
      </c>
      <c r="Y1846">
        <v>153</v>
      </c>
      <c r="Z1846">
        <v>12</v>
      </c>
      <c r="AB1846">
        <v>35</v>
      </c>
      <c r="AO1846" t="s">
        <v>95</v>
      </c>
      <c r="AU1846" t="s">
        <v>95</v>
      </c>
      <c r="AW1846" t="s">
        <v>95</v>
      </c>
      <c r="AX1846">
        <v>8</v>
      </c>
      <c r="AY1846">
        <v>573</v>
      </c>
      <c r="AZ1846">
        <v>573</v>
      </c>
      <c r="BA1846">
        <v>736</v>
      </c>
      <c r="BB1846">
        <v>44</v>
      </c>
      <c r="BC1846" t="s">
        <v>96</v>
      </c>
      <c r="BD1846">
        <v>1</v>
      </c>
      <c r="BF1846" t="s">
        <v>2004</v>
      </c>
      <c r="BG1846" s="1">
        <v>44354.199305555558</v>
      </c>
      <c r="BH1846" s="1">
        <v>44354.203043981484</v>
      </c>
      <c r="BI1846" s="1">
        <v>44354.203773148147</v>
      </c>
      <c r="BJ1846" t="s">
        <v>85</v>
      </c>
      <c r="BK1846" t="s">
        <v>86</v>
      </c>
      <c r="BL1846" t="s">
        <v>1390</v>
      </c>
    </row>
    <row r="1847" spans="1:64" x14ac:dyDescent="0.3">
      <c r="A1847" t="str">
        <f>"201064E0100"</f>
        <v>201064E0100</v>
      </c>
      <c r="B1847" t="str">
        <f>"201064E01003"</f>
        <v>201064E01003</v>
      </c>
      <c r="C1847" t="str">
        <f t="shared" si="110"/>
        <v>20</v>
      </c>
      <c r="D1847" t="s">
        <v>81</v>
      </c>
      <c r="E1847" t="str">
        <f t="shared" si="112"/>
        <v>182</v>
      </c>
      <c r="F1847" t="s">
        <v>1853</v>
      </c>
      <c r="G1847" t="str">
        <f>"1064"</f>
        <v>1064</v>
      </c>
      <c r="H1847" t="str">
        <f>"0001"</f>
        <v>0001</v>
      </c>
      <c r="I1847" t="s">
        <v>122</v>
      </c>
      <c r="J1847">
        <v>0</v>
      </c>
      <c r="K1847">
        <v>1</v>
      </c>
      <c r="L1847">
        <v>3</v>
      </c>
      <c r="M1847">
        <v>175</v>
      </c>
      <c r="N1847">
        <v>354</v>
      </c>
      <c r="O1847">
        <v>13</v>
      </c>
      <c r="P1847">
        <v>358</v>
      </c>
      <c r="Q1847">
        <v>12</v>
      </c>
      <c r="R1847">
        <v>74</v>
      </c>
      <c r="S1847">
        <v>1</v>
      </c>
      <c r="T1847">
        <v>1</v>
      </c>
      <c r="U1847">
        <v>1</v>
      </c>
      <c r="V1847">
        <v>66</v>
      </c>
      <c r="W1847">
        <v>3</v>
      </c>
      <c r="X1847">
        <v>110</v>
      </c>
      <c r="Y1847">
        <v>66</v>
      </c>
      <c r="Z1847">
        <v>1</v>
      </c>
      <c r="AB1847">
        <v>14</v>
      </c>
      <c r="AO1847">
        <v>2</v>
      </c>
      <c r="AU1847">
        <v>0</v>
      </c>
      <c r="AW1847">
        <v>0</v>
      </c>
      <c r="AX1847">
        <v>7</v>
      </c>
      <c r="AY1847">
        <v>358</v>
      </c>
      <c r="AZ1847">
        <v>358</v>
      </c>
      <c r="BA1847">
        <v>489</v>
      </c>
      <c r="BB1847">
        <v>44</v>
      </c>
      <c r="BD1847">
        <v>1</v>
      </c>
      <c r="BF1847" t="s">
        <v>2005</v>
      </c>
      <c r="BG1847" s="1">
        <v>44354.191666666666</v>
      </c>
      <c r="BH1847" s="1">
        <v>44354.194594907407</v>
      </c>
      <c r="BI1847" s="1">
        <v>44354.198946759258</v>
      </c>
      <c r="BJ1847" t="s">
        <v>85</v>
      </c>
      <c r="BK1847" t="s">
        <v>86</v>
      </c>
      <c r="BL1847" t="s">
        <v>87</v>
      </c>
    </row>
    <row r="1848" spans="1:64" x14ac:dyDescent="0.3">
      <c r="A1848" t="str">
        <f>"201064E0101"</f>
        <v>201064E0101</v>
      </c>
      <c r="B1848" t="str">
        <f>"201064E01013"</f>
        <v>201064E01013</v>
      </c>
      <c r="C1848" t="str">
        <f t="shared" si="110"/>
        <v>20</v>
      </c>
      <c r="D1848" t="s">
        <v>81</v>
      </c>
      <c r="E1848" t="str">
        <f t="shared" si="112"/>
        <v>182</v>
      </c>
      <c r="F1848" t="s">
        <v>1853</v>
      </c>
      <c r="G1848" t="str">
        <f>"1064"</f>
        <v>1064</v>
      </c>
      <c r="H1848" t="str">
        <f>"0001"</f>
        <v>0001</v>
      </c>
      <c r="I1848" t="s">
        <v>122</v>
      </c>
      <c r="J1848">
        <v>1</v>
      </c>
      <c r="K1848">
        <v>1</v>
      </c>
      <c r="L1848">
        <v>3</v>
      </c>
      <c r="M1848">
        <v>178</v>
      </c>
      <c r="N1848">
        <v>355</v>
      </c>
      <c r="O1848">
        <v>3</v>
      </c>
      <c r="P1848">
        <v>355</v>
      </c>
      <c r="Q1848">
        <v>4</v>
      </c>
      <c r="R1848">
        <v>85</v>
      </c>
      <c r="S1848">
        <v>2</v>
      </c>
      <c r="T1848">
        <v>4</v>
      </c>
      <c r="U1848">
        <v>0</v>
      </c>
      <c r="V1848">
        <v>46</v>
      </c>
      <c r="W1848">
        <v>1</v>
      </c>
      <c r="X1848">
        <v>113</v>
      </c>
      <c r="Y1848">
        <v>69</v>
      </c>
      <c r="Z1848">
        <v>5</v>
      </c>
      <c r="AB1848">
        <v>9</v>
      </c>
      <c r="AO1848">
        <v>4</v>
      </c>
      <c r="AU1848">
        <v>0</v>
      </c>
      <c r="AW1848">
        <v>0</v>
      </c>
      <c r="AX1848">
        <v>13</v>
      </c>
      <c r="AY1848">
        <v>355</v>
      </c>
      <c r="AZ1848">
        <v>355</v>
      </c>
      <c r="BA1848">
        <v>489</v>
      </c>
      <c r="BB1848">
        <v>44</v>
      </c>
      <c r="BD1848">
        <v>1</v>
      </c>
      <c r="BF1848" t="s">
        <v>2006</v>
      </c>
      <c r="BG1848" s="1">
        <v>44354.195138888892</v>
      </c>
      <c r="BH1848" s="1">
        <v>44354.197789351849</v>
      </c>
      <c r="BI1848" s="1">
        <v>44354.198333333334</v>
      </c>
      <c r="BJ1848" t="s">
        <v>85</v>
      </c>
      <c r="BK1848" t="s">
        <v>86</v>
      </c>
      <c r="BL1848" t="s">
        <v>87</v>
      </c>
    </row>
    <row r="1849" spans="1:64" x14ac:dyDescent="0.3">
      <c r="A1849" t="str">
        <f>"201064E0200"</f>
        <v>201064E0200</v>
      </c>
      <c r="B1849" t="str">
        <f>"201064E02003"</f>
        <v>201064E02003</v>
      </c>
      <c r="C1849" t="str">
        <f t="shared" si="110"/>
        <v>20</v>
      </c>
      <c r="D1849" t="s">
        <v>81</v>
      </c>
      <c r="E1849" t="str">
        <f t="shared" si="112"/>
        <v>182</v>
      </c>
      <c r="F1849" t="s">
        <v>1853</v>
      </c>
      <c r="G1849" t="str">
        <f>"1064"</f>
        <v>1064</v>
      </c>
      <c r="H1849" t="str">
        <f>"0002"</f>
        <v>0002</v>
      </c>
      <c r="I1849" t="s">
        <v>122</v>
      </c>
      <c r="J1849">
        <v>0</v>
      </c>
      <c r="K1849">
        <v>1</v>
      </c>
      <c r="L1849">
        <v>3</v>
      </c>
      <c r="M1849">
        <v>165</v>
      </c>
      <c r="N1849">
        <v>296</v>
      </c>
      <c r="O1849">
        <v>5</v>
      </c>
      <c r="P1849">
        <v>296</v>
      </c>
      <c r="Q1849">
        <v>4</v>
      </c>
      <c r="R1849">
        <v>40</v>
      </c>
      <c r="S1849">
        <v>3</v>
      </c>
      <c r="T1849">
        <v>5</v>
      </c>
      <c r="U1849">
        <v>16</v>
      </c>
      <c r="V1849">
        <v>47</v>
      </c>
      <c r="W1849">
        <v>2</v>
      </c>
      <c r="X1849">
        <v>123</v>
      </c>
      <c r="Y1849">
        <v>36</v>
      </c>
      <c r="Z1849">
        <v>4</v>
      </c>
      <c r="AB1849">
        <v>4</v>
      </c>
      <c r="AO1849">
        <v>2</v>
      </c>
      <c r="AU1849">
        <v>1</v>
      </c>
      <c r="AW1849">
        <v>0</v>
      </c>
      <c r="AX1849">
        <v>9</v>
      </c>
      <c r="AY1849">
        <v>296</v>
      </c>
      <c r="AZ1849">
        <v>296</v>
      </c>
      <c r="BA1849">
        <v>417</v>
      </c>
      <c r="BB1849">
        <v>44</v>
      </c>
      <c r="BD1849">
        <v>1</v>
      </c>
      <c r="BF1849" t="s">
        <v>2007</v>
      </c>
      <c r="BG1849" s="1">
        <v>44354.195833333331</v>
      </c>
      <c r="BH1849" s="1">
        <v>44354.198807870373</v>
      </c>
      <c r="BI1849" s="1">
        <v>44354.199328703704</v>
      </c>
      <c r="BJ1849" t="s">
        <v>85</v>
      </c>
      <c r="BK1849" t="s">
        <v>86</v>
      </c>
      <c r="BL1849" t="s">
        <v>87</v>
      </c>
    </row>
    <row r="1850" spans="1:64" x14ac:dyDescent="0.3">
      <c r="A1850" t="str">
        <f>"201065B0000"</f>
        <v>201065B0000</v>
      </c>
      <c r="B1850" t="str">
        <f>"201065B00003"</f>
        <v>201065B00003</v>
      </c>
      <c r="C1850" t="str">
        <f t="shared" si="110"/>
        <v>20</v>
      </c>
      <c r="D1850" t="s">
        <v>81</v>
      </c>
      <c r="E1850" t="str">
        <f t="shared" si="112"/>
        <v>182</v>
      </c>
      <c r="F1850" t="s">
        <v>1853</v>
      </c>
      <c r="G1850" t="str">
        <f>"1065"</f>
        <v>1065</v>
      </c>
      <c r="H1850" t="str">
        <f>"0000"</f>
        <v>0000</v>
      </c>
      <c r="I1850" t="s">
        <v>83</v>
      </c>
      <c r="J1850">
        <v>0</v>
      </c>
      <c r="K1850">
        <v>1</v>
      </c>
      <c r="L1850">
        <v>3</v>
      </c>
      <c r="M1850">
        <v>239</v>
      </c>
      <c r="N1850">
        <v>264</v>
      </c>
      <c r="O1850">
        <v>5</v>
      </c>
      <c r="P1850">
        <v>264</v>
      </c>
      <c r="Q1850">
        <v>2</v>
      </c>
      <c r="R1850">
        <v>27</v>
      </c>
      <c r="S1850">
        <v>0</v>
      </c>
      <c r="T1850">
        <v>0</v>
      </c>
      <c r="U1850">
        <v>5</v>
      </c>
      <c r="V1850">
        <v>34</v>
      </c>
      <c r="W1850">
        <v>4</v>
      </c>
      <c r="X1850">
        <v>106</v>
      </c>
      <c r="Y1850">
        <v>57</v>
      </c>
      <c r="Z1850">
        <v>3</v>
      </c>
      <c r="AB1850">
        <v>19</v>
      </c>
      <c r="AO1850">
        <v>1</v>
      </c>
      <c r="AU1850">
        <v>0</v>
      </c>
      <c r="AW1850">
        <v>0</v>
      </c>
      <c r="AX1850">
        <v>6</v>
      </c>
      <c r="AY1850">
        <v>264</v>
      </c>
      <c r="AZ1850">
        <v>264</v>
      </c>
      <c r="BA1850">
        <v>459</v>
      </c>
      <c r="BB1850">
        <v>44</v>
      </c>
      <c r="BD1850">
        <v>1</v>
      </c>
      <c r="BF1850" t="s">
        <v>2008</v>
      </c>
      <c r="BG1850" s="1">
        <v>44354.207638888889</v>
      </c>
      <c r="BH1850" s="1">
        <v>44354.210335648146</v>
      </c>
      <c r="BI1850" s="1">
        <v>44354.210798611108</v>
      </c>
      <c r="BJ1850" t="s">
        <v>85</v>
      </c>
      <c r="BK1850" t="s">
        <v>86</v>
      </c>
      <c r="BL1850" t="s">
        <v>87</v>
      </c>
    </row>
    <row r="1851" spans="1:64" x14ac:dyDescent="0.3">
      <c r="A1851" t="str">
        <f>"201065C0100"</f>
        <v>201065C0100</v>
      </c>
      <c r="B1851" t="str">
        <f>"201065C01003"</f>
        <v>201065C01003</v>
      </c>
      <c r="C1851" t="str">
        <f t="shared" si="110"/>
        <v>20</v>
      </c>
      <c r="D1851" t="s">
        <v>81</v>
      </c>
      <c r="E1851" t="str">
        <f t="shared" si="112"/>
        <v>182</v>
      </c>
      <c r="F1851" t="s">
        <v>1853</v>
      </c>
      <c r="G1851" t="str">
        <f>"1065"</f>
        <v>1065</v>
      </c>
      <c r="H1851" t="str">
        <f>"0001"</f>
        <v>0001</v>
      </c>
      <c r="I1851" t="s">
        <v>89</v>
      </c>
      <c r="J1851">
        <v>0</v>
      </c>
      <c r="K1851">
        <v>1</v>
      </c>
      <c r="L1851">
        <v>3</v>
      </c>
      <c r="M1851">
        <v>217</v>
      </c>
      <c r="N1851">
        <v>286</v>
      </c>
      <c r="O1851">
        <v>8</v>
      </c>
      <c r="P1851">
        <v>286</v>
      </c>
      <c r="Q1851">
        <v>3</v>
      </c>
      <c r="R1851">
        <v>23</v>
      </c>
      <c r="S1851">
        <v>0</v>
      </c>
      <c r="T1851">
        <v>2</v>
      </c>
      <c r="U1851">
        <v>5</v>
      </c>
      <c r="V1851">
        <v>47</v>
      </c>
      <c r="W1851">
        <v>2</v>
      </c>
      <c r="X1851">
        <v>106</v>
      </c>
      <c r="Y1851">
        <v>72</v>
      </c>
      <c r="Z1851">
        <v>2</v>
      </c>
      <c r="AB1851">
        <v>15</v>
      </c>
      <c r="AO1851">
        <v>1</v>
      </c>
      <c r="AU1851">
        <v>0</v>
      </c>
      <c r="AW1851">
        <v>1</v>
      </c>
      <c r="AX1851">
        <v>7</v>
      </c>
      <c r="AY1851">
        <v>286</v>
      </c>
      <c r="AZ1851">
        <v>286</v>
      </c>
      <c r="BA1851">
        <v>459</v>
      </c>
      <c r="BB1851">
        <v>44</v>
      </c>
      <c r="BD1851">
        <v>1</v>
      </c>
      <c r="BF1851" t="s">
        <v>2009</v>
      </c>
      <c r="BG1851" s="1">
        <v>44354.211111111108</v>
      </c>
      <c r="BH1851" s="1">
        <v>44354.213171296295</v>
      </c>
      <c r="BI1851" s="1">
        <v>44354.213599537034</v>
      </c>
      <c r="BJ1851" t="s">
        <v>85</v>
      </c>
      <c r="BK1851" t="s">
        <v>86</v>
      </c>
      <c r="BL1851" t="s">
        <v>87</v>
      </c>
    </row>
    <row r="1852" spans="1:64" x14ac:dyDescent="0.3">
      <c r="A1852" t="str">
        <f>"201065E0100"</f>
        <v>201065E0100</v>
      </c>
      <c r="B1852" t="str">
        <f>"201065E01003"</f>
        <v>201065E01003</v>
      </c>
      <c r="C1852" t="str">
        <f t="shared" si="110"/>
        <v>20</v>
      </c>
      <c r="D1852" t="s">
        <v>81</v>
      </c>
      <c r="E1852" t="str">
        <f t="shared" si="112"/>
        <v>182</v>
      </c>
      <c r="F1852" t="s">
        <v>1853</v>
      </c>
      <c r="G1852" t="str">
        <f>"1065"</f>
        <v>1065</v>
      </c>
      <c r="H1852" t="str">
        <f>"0001"</f>
        <v>0001</v>
      </c>
      <c r="I1852" t="s">
        <v>122</v>
      </c>
      <c r="J1852">
        <v>0</v>
      </c>
      <c r="K1852">
        <v>1</v>
      </c>
      <c r="L1852">
        <v>3</v>
      </c>
      <c r="M1852">
        <v>132</v>
      </c>
      <c r="N1852">
        <v>189</v>
      </c>
      <c r="O1852">
        <v>9</v>
      </c>
      <c r="P1852">
        <v>189</v>
      </c>
      <c r="Q1852">
        <v>2</v>
      </c>
      <c r="R1852">
        <v>10</v>
      </c>
      <c r="S1852">
        <v>0</v>
      </c>
      <c r="T1852">
        <v>1</v>
      </c>
      <c r="U1852">
        <v>2</v>
      </c>
      <c r="V1852">
        <v>62</v>
      </c>
      <c r="W1852">
        <v>5</v>
      </c>
      <c r="X1852">
        <v>80</v>
      </c>
      <c r="Y1852">
        <v>24</v>
      </c>
      <c r="Z1852">
        <v>2</v>
      </c>
      <c r="AB1852" t="s">
        <v>95</v>
      </c>
      <c r="AO1852">
        <v>1</v>
      </c>
      <c r="AU1852" t="s">
        <v>95</v>
      </c>
      <c r="AW1852" t="s">
        <v>95</v>
      </c>
      <c r="AX1852" t="s">
        <v>95</v>
      </c>
      <c r="AY1852">
        <v>189</v>
      </c>
      <c r="AZ1852">
        <v>189</v>
      </c>
      <c r="BA1852">
        <v>278</v>
      </c>
      <c r="BB1852">
        <v>44</v>
      </c>
      <c r="BC1852" t="s">
        <v>96</v>
      </c>
      <c r="BD1852">
        <v>1</v>
      </c>
      <c r="BF1852" t="s">
        <v>2010</v>
      </c>
      <c r="BG1852" s="1">
        <v>44354.253472222219</v>
      </c>
      <c r="BH1852" s="1">
        <v>44354.281909722224</v>
      </c>
      <c r="BI1852" s="1">
        <v>44354.285104166665</v>
      </c>
      <c r="BJ1852" t="s">
        <v>85</v>
      </c>
      <c r="BK1852" t="s">
        <v>86</v>
      </c>
      <c r="BL1852" t="s">
        <v>87</v>
      </c>
    </row>
    <row r="1853" spans="1:64" x14ac:dyDescent="0.3">
      <c r="A1853" t="str">
        <f>"201065E0200"</f>
        <v>201065E0200</v>
      </c>
      <c r="B1853" t="str">
        <f>"201065E02003"</f>
        <v>201065E02003</v>
      </c>
      <c r="C1853" t="str">
        <f t="shared" si="110"/>
        <v>20</v>
      </c>
      <c r="D1853" t="s">
        <v>81</v>
      </c>
      <c r="E1853" t="str">
        <f t="shared" si="112"/>
        <v>182</v>
      </c>
      <c r="F1853" t="s">
        <v>1853</v>
      </c>
      <c r="G1853" t="str">
        <f>"1065"</f>
        <v>1065</v>
      </c>
      <c r="H1853" t="str">
        <f>"0002"</f>
        <v>0002</v>
      </c>
      <c r="I1853" t="s">
        <v>122</v>
      </c>
      <c r="J1853">
        <v>0</v>
      </c>
      <c r="K1853">
        <v>1</v>
      </c>
      <c r="L1853">
        <v>3</v>
      </c>
      <c r="M1853">
        <v>273</v>
      </c>
      <c r="N1853">
        <v>340</v>
      </c>
      <c r="O1853">
        <v>2</v>
      </c>
      <c r="P1853">
        <v>340</v>
      </c>
      <c r="Q1853">
        <v>9</v>
      </c>
      <c r="R1853">
        <v>51</v>
      </c>
      <c r="S1853">
        <v>3</v>
      </c>
      <c r="T1853">
        <v>1</v>
      </c>
      <c r="U1853">
        <v>4</v>
      </c>
      <c r="V1853">
        <v>88</v>
      </c>
      <c r="W1853">
        <v>2</v>
      </c>
      <c r="X1853">
        <v>83</v>
      </c>
      <c r="Y1853">
        <v>54</v>
      </c>
      <c r="Z1853">
        <v>4</v>
      </c>
      <c r="AB1853">
        <v>22</v>
      </c>
      <c r="AO1853">
        <v>1</v>
      </c>
      <c r="AU1853" t="s">
        <v>95</v>
      </c>
      <c r="AW1853">
        <v>18</v>
      </c>
      <c r="AX1853" t="s">
        <v>95</v>
      </c>
      <c r="AY1853">
        <v>340</v>
      </c>
      <c r="AZ1853">
        <v>340</v>
      </c>
      <c r="BA1853">
        <v>569</v>
      </c>
      <c r="BB1853">
        <v>44</v>
      </c>
      <c r="BC1853" t="s">
        <v>96</v>
      </c>
      <c r="BD1853">
        <v>1</v>
      </c>
      <c r="BF1853" t="s">
        <v>2011</v>
      </c>
      <c r="BG1853" s="1">
        <v>44354.205555555556</v>
      </c>
      <c r="BH1853" s="1">
        <v>44354.207499999997</v>
      </c>
      <c r="BI1853" s="1">
        <v>44354.208124999997</v>
      </c>
      <c r="BJ1853" t="s">
        <v>85</v>
      </c>
      <c r="BK1853" t="s">
        <v>86</v>
      </c>
      <c r="BL1853" t="s">
        <v>1390</v>
      </c>
    </row>
    <row r="1854" spans="1:64" x14ac:dyDescent="0.3">
      <c r="A1854" t="str">
        <f>"201066B0000"</f>
        <v>201066B0000</v>
      </c>
      <c r="B1854" t="str">
        <f>"201066B00003"</f>
        <v>201066B00003</v>
      </c>
      <c r="C1854" t="str">
        <f t="shared" si="110"/>
        <v>20</v>
      </c>
      <c r="D1854" t="s">
        <v>81</v>
      </c>
      <c r="E1854" t="str">
        <f t="shared" si="112"/>
        <v>182</v>
      </c>
      <c r="F1854" t="s">
        <v>1853</v>
      </c>
      <c r="G1854" t="str">
        <f>"1066"</f>
        <v>1066</v>
      </c>
      <c r="H1854" t="str">
        <f>"0000"</f>
        <v>0000</v>
      </c>
      <c r="I1854" t="s">
        <v>83</v>
      </c>
      <c r="J1854">
        <v>0</v>
      </c>
      <c r="K1854">
        <v>1</v>
      </c>
      <c r="L1854">
        <v>3</v>
      </c>
      <c r="M1854" t="s">
        <v>92</v>
      </c>
      <c r="N1854" t="s">
        <v>92</v>
      </c>
      <c r="O1854" t="s">
        <v>92</v>
      </c>
      <c r="P1854" t="s">
        <v>92</v>
      </c>
      <c r="Q1854">
        <v>2</v>
      </c>
      <c r="R1854">
        <v>18</v>
      </c>
      <c r="S1854">
        <v>0</v>
      </c>
      <c r="T1854">
        <v>1</v>
      </c>
      <c r="U1854">
        <v>3</v>
      </c>
      <c r="V1854">
        <v>37</v>
      </c>
      <c r="W1854">
        <v>4</v>
      </c>
      <c r="X1854">
        <v>27</v>
      </c>
      <c r="Y1854">
        <v>43</v>
      </c>
      <c r="Z1854">
        <v>2</v>
      </c>
      <c r="AB1854">
        <v>5</v>
      </c>
      <c r="AO1854">
        <v>1</v>
      </c>
      <c r="AU1854">
        <v>0</v>
      </c>
      <c r="AW1854">
        <v>0</v>
      </c>
      <c r="AX1854">
        <v>0</v>
      </c>
      <c r="AY1854">
        <v>146</v>
      </c>
      <c r="AZ1854">
        <v>143</v>
      </c>
      <c r="BA1854">
        <v>231</v>
      </c>
      <c r="BB1854">
        <v>44</v>
      </c>
      <c r="BD1854">
        <v>1</v>
      </c>
      <c r="BF1854" t="s">
        <v>2012</v>
      </c>
      <c r="BG1854" s="1">
        <v>44354.284722222219</v>
      </c>
      <c r="BH1854" s="1">
        <v>44354.287476851852</v>
      </c>
      <c r="BI1854" s="1">
        <v>44354.287939814814</v>
      </c>
      <c r="BJ1854" t="s">
        <v>85</v>
      </c>
      <c r="BK1854" t="s">
        <v>86</v>
      </c>
      <c r="BL1854" t="s">
        <v>87</v>
      </c>
    </row>
    <row r="1855" spans="1:64" x14ac:dyDescent="0.3">
      <c r="A1855" t="str">
        <f>"201066E0100"</f>
        <v>201066E0100</v>
      </c>
      <c r="B1855" t="str">
        <f>"201066E01003"</f>
        <v>201066E01003</v>
      </c>
      <c r="C1855" t="str">
        <f t="shared" si="110"/>
        <v>20</v>
      </c>
      <c r="D1855" t="s">
        <v>81</v>
      </c>
      <c r="E1855" t="str">
        <f t="shared" si="112"/>
        <v>182</v>
      </c>
      <c r="F1855" t="s">
        <v>1853</v>
      </c>
      <c r="G1855" t="str">
        <f>"1066"</f>
        <v>1066</v>
      </c>
      <c r="H1855" t="str">
        <f>"0001"</f>
        <v>0001</v>
      </c>
      <c r="I1855" t="s">
        <v>122</v>
      </c>
      <c r="J1855">
        <v>0</v>
      </c>
      <c r="K1855">
        <v>1</v>
      </c>
      <c r="L1855">
        <v>3</v>
      </c>
      <c r="M1855">
        <v>285</v>
      </c>
      <c r="N1855">
        <v>421</v>
      </c>
      <c r="O1855">
        <v>10</v>
      </c>
      <c r="P1855">
        <v>422</v>
      </c>
      <c r="Q1855">
        <v>8</v>
      </c>
      <c r="R1855">
        <v>35</v>
      </c>
      <c r="S1855">
        <v>1</v>
      </c>
      <c r="T1855">
        <v>10</v>
      </c>
      <c r="U1855">
        <v>13</v>
      </c>
      <c r="V1855">
        <v>88</v>
      </c>
      <c r="W1855">
        <v>2</v>
      </c>
      <c r="X1855">
        <v>129</v>
      </c>
      <c r="Y1855">
        <v>104</v>
      </c>
      <c r="Z1855">
        <v>4</v>
      </c>
      <c r="AB1855">
        <v>22</v>
      </c>
      <c r="AO1855">
        <v>0</v>
      </c>
      <c r="AU1855">
        <v>0</v>
      </c>
      <c r="AW1855">
        <v>0</v>
      </c>
      <c r="AX1855">
        <v>6</v>
      </c>
      <c r="AY1855">
        <v>422</v>
      </c>
      <c r="AZ1855">
        <v>422</v>
      </c>
      <c r="BA1855">
        <v>663</v>
      </c>
      <c r="BB1855">
        <v>44</v>
      </c>
      <c r="BD1855">
        <v>1</v>
      </c>
      <c r="BF1855" t="s">
        <v>2013</v>
      </c>
      <c r="BG1855" s="1">
        <v>44354.283333333333</v>
      </c>
      <c r="BH1855" s="1">
        <v>44354.285914351851</v>
      </c>
      <c r="BI1855" s="1">
        <v>44354.286527777775</v>
      </c>
      <c r="BJ1855" t="s">
        <v>85</v>
      </c>
      <c r="BK1855" t="s">
        <v>86</v>
      </c>
      <c r="BL1855" t="s">
        <v>87</v>
      </c>
    </row>
    <row r="1856" spans="1:64" x14ac:dyDescent="0.3">
      <c r="A1856" t="str">
        <f>"201067B0000"</f>
        <v>201067B0000</v>
      </c>
      <c r="B1856" t="str">
        <f>"201067B00003"</f>
        <v>201067B00003</v>
      </c>
      <c r="C1856" t="str">
        <f t="shared" si="110"/>
        <v>20</v>
      </c>
      <c r="D1856" t="s">
        <v>81</v>
      </c>
      <c r="E1856" t="str">
        <f t="shared" si="112"/>
        <v>182</v>
      </c>
      <c r="F1856" t="s">
        <v>1853</v>
      </c>
      <c r="G1856" t="str">
        <f>"1067"</f>
        <v>1067</v>
      </c>
      <c r="H1856" t="str">
        <f>"0000"</f>
        <v>0000</v>
      </c>
      <c r="I1856" t="s">
        <v>83</v>
      </c>
      <c r="J1856">
        <v>0</v>
      </c>
      <c r="K1856">
        <v>1</v>
      </c>
      <c r="L1856">
        <v>3</v>
      </c>
      <c r="M1856">
        <v>176</v>
      </c>
      <c r="N1856">
        <v>334</v>
      </c>
      <c r="O1856">
        <v>2</v>
      </c>
      <c r="P1856">
        <v>334</v>
      </c>
      <c r="Q1856">
        <v>23</v>
      </c>
      <c r="R1856">
        <v>128</v>
      </c>
      <c r="S1856">
        <v>2</v>
      </c>
      <c r="T1856">
        <v>5</v>
      </c>
      <c r="U1856">
        <v>2</v>
      </c>
      <c r="V1856">
        <v>52</v>
      </c>
      <c r="W1856">
        <v>0</v>
      </c>
      <c r="X1856">
        <v>62</v>
      </c>
      <c r="Y1856">
        <v>37</v>
      </c>
      <c r="Z1856">
        <v>9</v>
      </c>
      <c r="AB1856">
        <v>5</v>
      </c>
      <c r="AO1856">
        <v>4</v>
      </c>
      <c r="AU1856">
        <v>0</v>
      </c>
      <c r="AW1856">
        <v>0</v>
      </c>
      <c r="AX1856">
        <v>5</v>
      </c>
      <c r="AY1856">
        <v>334</v>
      </c>
      <c r="AZ1856">
        <v>334</v>
      </c>
      <c r="BA1856">
        <v>466</v>
      </c>
      <c r="BB1856">
        <v>44</v>
      </c>
      <c r="BD1856">
        <v>1</v>
      </c>
      <c r="BF1856" t="s">
        <v>2014</v>
      </c>
      <c r="BG1856" s="1">
        <v>44354.268750000003</v>
      </c>
      <c r="BH1856" s="1">
        <v>44354.271249999998</v>
      </c>
      <c r="BI1856" s="1">
        <v>44354.271909722222</v>
      </c>
      <c r="BJ1856" t="s">
        <v>85</v>
      </c>
      <c r="BK1856" t="s">
        <v>86</v>
      </c>
      <c r="BL1856" t="s">
        <v>87</v>
      </c>
    </row>
    <row r="1857" spans="1:64" x14ac:dyDescent="0.3">
      <c r="A1857" t="str">
        <f>"201067C0100"</f>
        <v>201067C0100</v>
      </c>
      <c r="B1857" t="str">
        <f>"201067C01003"</f>
        <v>201067C01003</v>
      </c>
      <c r="C1857" t="str">
        <f t="shared" si="110"/>
        <v>20</v>
      </c>
      <c r="D1857" t="s">
        <v>81</v>
      </c>
      <c r="E1857" t="str">
        <f t="shared" si="112"/>
        <v>182</v>
      </c>
      <c r="F1857" t="s">
        <v>1853</v>
      </c>
      <c r="G1857" t="str">
        <f>"1067"</f>
        <v>1067</v>
      </c>
      <c r="H1857" t="str">
        <f>"0001"</f>
        <v>0001</v>
      </c>
      <c r="I1857" t="s">
        <v>89</v>
      </c>
      <c r="J1857">
        <v>0</v>
      </c>
      <c r="K1857">
        <v>1</v>
      </c>
      <c r="L1857">
        <v>3</v>
      </c>
      <c r="M1857">
        <v>153</v>
      </c>
      <c r="N1857">
        <v>357</v>
      </c>
      <c r="O1857">
        <v>1</v>
      </c>
      <c r="P1857">
        <v>357</v>
      </c>
      <c r="Q1857">
        <v>13</v>
      </c>
      <c r="R1857">
        <v>133</v>
      </c>
      <c r="S1857">
        <v>2</v>
      </c>
      <c r="T1857">
        <v>2</v>
      </c>
      <c r="U1857">
        <v>3</v>
      </c>
      <c r="V1857">
        <v>59</v>
      </c>
      <c r="W1857">
        <v>0</v>
      </c>
      <c r="X1857">
        <v>79</v>
      </c>
      <c r="Y1857">
        <v>42</v>
      </c>
      <c r="Z1857">
        <v>4</v>
      </c>
      <c r="AB1857">
        <v>13</v>
      </c>
      <c r="AO1857">
        <v>2</v>
      </c>
      <c r="AU1857">
        <v>0</v>
      </c>
      <c r="AW1857">
        <v>0</v>
      </c>
      <c r="AX1857">
        <v>5</v>
      </c>
      <c r="AY1857">
        <v>357</v>
      </c>
      <c r="AZ1857">
        <v>357</v>
      </c>
      <c r="BA1857">
        <v>466</v>
      </c>
      <c r="BB1857">
        <v>44</v>
      </c>
      <c r="BD1857">
        <v>1</v>
      </c>
      <c r="BF1857" t="s">
        <v>2015</v>
      </c>
      <c r="BG1857" s="1">
        <v>44354.26458333333</v>
      </c>
      <c r="BH1857" s="1">
        <v>44354.266539351855</v>
      </c>
      <c r="BI1857" s="1">
        <v>44354.267337962963</v>
      </c>
      <c r="BJ1857" t="s">
        <v>85</v>
      </c>
      <c r="BK1857" t="s">
        <v>86</v>
      </c>
      <c r="BL1857" t="s">
        <v>1390</v>
      </c>
    </row>
    <row r="1858" spans="1:64" x14ac:dyDescent="0.3">
      <c r="A1858" t="str">
        <f>"201068B0000"</f>
        <v>201068B0000</v>
      </c>
      <c r="B1858" t="str">
        <f>"201068B00003"</f>
        <v>201068B00003</v>
      </c>
      <c r="C1858" t="str">
        <f t="shared" si="110"/>
        <v>20</v>
      </c>
      <c r="D1858" t="s">
        <v>81</v>
      </c>
      <c r="E1858" t="str">
        <f t="shared" si="112"/>
        <v>182</v>
      </c>
      <c r="F1858" t="s">
        <v>1853</v>
      </c>
      <c r="G1858" t="str">
        <f>"1068"</f>
        <v>1068</v>
      </c>
      <c r="H1858" t="str">
        <f>"0000"</f>
        <v>0000</v>
      </c>
      <c r="I1858" t="s">
        <v>83</v>
      </c>
      <c r="J1858">
        <v>0</v>
      </c>
      <c r="K1858">
        <v>1</v>
      </c>
      <c r="L1858">
        <v>3</v>
      </c>
      <c r="M1858">
        <v>361</v>
      </c>
      <c r="N1858">
        <v>321</v>
      </c>
      <c r="O1858">
        <v>12</v>
      </c>
      <c r="P1858">
        <v>326</v>
      </c>
      <c r="Q1858">
        <v>10</v>
      </c>
      <c r="R1858">
        <v>49</v>
      </c>
      <c r="S1858">
        <v>2</v>
      </c>
      <c r="T1858">
        <v>5</v>
      </c>
      <c r="U1858">
        <v>5</v>
      </c>
      <c r="V1858">
        <v>40</v>
      </c>
      <c r="W1858">
        <v>6</v>
      </c>
      <c r="X1858">
        <v>138</v>
      </c>
      <c r="Y1858">
        <v>40</v>
      </c>
      <c r="Z1858">
        <v>2</v>
      </c>
      <c r="AB1858">
        <v>24</v>
      </c>
      <c r="AO1858">
        <v>0</v>
      </c>
      <c r="AU1858">
        <v>0</v>
      </c>
      <c r="AW1858">
        <v>0</v>
      </c>
      <c r="AX1858">
        <v>5</v>
      </c>
      <c r="AY1858">
        <v>326</v>
      </c>
      <c r="AZ1858">
        <v>326</v>
      </c>
      <c r="BA1858">
        <v>647</v>
      </c>
      <c r="BB1858">
        <v>44</v>
      </c>
      <c r="BD1858">
        <v>1</v>
      </c>
      <c r="BF1858" t="s">
        <v>2016</v>
      </c>
      <c r="BG1858" s="1">
        <v>44354.131944444445</v>
      </c>
      <c r="BH1858" s="1">
        <v>44354.134791666664</v>
      </c>
      <c r="BI1858" s="1">
        <v>44354.13554398148</v>
      </c>
      <c r="BJ1858" t="s">
        <v>85</v>
      </c>
      <c r="BK1858" t="s">
        <v>86</v>
      </c>
      <c r="BL1858" t="s">
        <v>87</v>
      </c>
    </row>
    <row r="1859" spans="1:64" x14ac:dyDescent="0.3">
      <c r="A1859" t="str">
        <f>"201068C0100"</f>
        <v>201068C0100</v>
      </c>
      <c r="B1859" t="str">
        <f>"201068C01003"</f>
        <v>201068C01003</v>
      </c>
      <c r="C1859" t="str">
        <f t="shared" si="110"/>
        <v>20</v>
      </c>
      <c r="D1859" t="s">
        <v>81</v>
      </c>
      <c r="E1859" t="str">
        <f t="shared" si="112"/>
        <v>182</v>
      </c>
      <c r="F1859" t="s">
        <v>1853</v>
      </c>
      <c r="G1859" t="str">
        <f>"1068"</f>
        <v>1068</v>
      </c>
      <c r="H1859" t="str">
        <f>"0001"</f>
        <v>0001</v>
      </c>
      <c r="I1859" t="s">
        <v>89</v>
      </c>
      <c r="J1859">
        <v>0</v>
      </c>
      <c r="K1859">
        <v>1</v>
      </c>
      <c r="L1859">
        <v>3</v>
      </c>
      <c r="M1859">
        <v>338</v>
      </c>
      <c r="N1859">
        <v>351</v>
      </c>
      <c r="O1859">
        <v>7</v>
      </c>
      <c r="P1859">
        <v>351</v>
      </c>
      <c r="Q1859">
        <v>3</v>
      </c>
      <c r="R1859">
        <v>70</v>
      </c>
      <c r="S1859">
        <v>1</v>
      </c>
      <c r="T1859">
        <v>1</v>
      </c>
      <c r="U1859">
        <v>4</v>
      </c>
      <c r="V1859">
        <v>55</v>
      </c>
      <c r="W1859">
        <v>3</v>
      </c>
      <c r="X1859">
        <v>134</v>
      </c>
      <c r="Y1859">
        <v>47</v>
      </c>
      <c r="Z1859">
        <v>4</v>
      </c>
      <c r="AB1859">
        <v>18</v>
      </c>
      <c r="AO1859">
        <v>4</v>
      </c>
      <c r="AU1859" t="s">
        <v>95</v>
      </c>
      <c r="AW1859" t="s">
        <v>95</v>
      </c>
      <c r="AX1859">
        <v>7</v>
      </c>
      <c r="AY1859">
        <v>351</v>
      </c>
      <c r="AZ1859">
        <v>351</v>
      </c>
      <c r="BA1859">
        <v>646</v>
      </c>
      <c r="BB1859">
        <v>44</v>
      </c>
      <c r="BC1859" t="s">
        <v>96</v>
      </c>
      <c r="BD1859">
        <v>1</v>
      </c>
      <c r="BF1859" t="s">
        <v>2017</v>
      </c>
      <c r="BG1859" s="1">
        <v>44354.12777777778</v>
      </c>
      <c r="BH1859" s="1">
        <v>44354.130335648151</v>
      </c>
      <c r="BI1859" s="1">
        <v>44354.130902777775</v>
      </c>
      <c r="BJ1859" t="s">
        <v>85</v>
      </c>
      <c r="BK1859" t="s">
        <v>86</v>
      </c>
      <c r="BL1859" t="s">
        <v>87</v>
      </c>
    </row>
    <row r="1860" spans="1:64" x14ac:dyDescent="0.3">
      <c r="A1860" t="str">
        <f>"201069B0000"</f>
        <v>201069B0000</v>
      </c>
      <c r="B1860" t="str">
        <f>"201069B00003"</f>
        <v>201069B00003</v>
      </c>
      <c r="C1860" t="str">
        <f t="shared" si="110"/>
        <v>20</v>
      </c>
      <c r="D1860" t="s">
        <v>81</v>
      </c>
      <c r="E1860" t="str">
        <f t="shared" si="112"/>
        <v>182</v>
      </c>
      <c r="F1860" t="s">
        <v>1853</v>
      </c>
      <c r="G1860" t="str">
        <f>"1069"</f>
        <v>1069</v>
      </c>
      <c r="H1860" t="str">
        <f>"0000"</f>
        <v>0000</v>
      </c>
      <c r="I1860" t="s">
        <v>83</v>
      </c>
      <c r="J1860">
        <v>0</v>
      </c>
      <c r="K1860">
        <v>1</v>
      </c>
      <c r="L1860">
        <v>3</v>
      </c>
      <c r="M1860" t="s">
        <v>92</v>
      </c>
      <c r="N1860" t="s">
        <v>92</v>
      </c>
      <c r="O1860" t="s">
        <v>92</v>
      </c>
      <c r="P1860">
        <v>342</v>
      </c>
      <c r="Q1860">
        <v>2</v>
      </c>
      <c r="R1860">
        <v>31</v>
      </c>
      <c r="S1860">
        <v>0</v>
      </c>
      <c r="T1860">
        <v>2</v>
      </c>
      <c r="U1860">
        <v>5</v>
      </c>
      <c r="V1860">
        <v>37</v>
      </c>
      <c r="W1860">
        <v>4</v>
      </c>
      <c r="X1860">
        <v>160</v>
      </c>
      <c r="Y1860">
        <v>61</v>
      </c>
      <c r="Z1860">
        <v>2</v>
      </c>
      <c r="AB1860">
        <v>32</v>
      </c>
      <c r="AO1860">
        <v>0</v>
      </c>
      <c r="AU1860">
        <v>0</v>
      </c>
      <c r="AW1860">
        <v>0</v>
      </c>
      <c r="AX1860">
        <v>6</v>
      </c>
      <c r="AY1860">
        <v>342</v>
      </c>
      <c r="AZ1860">
        <v>342</v>
      </c>
      <c r="BA1860">
        <v>632</v>
      </c>
      <c r="BB1860">
        <v>44</v>
      </c>
      <c r="BD1860">
        <v>1</v>
      </c>
      <c r="BF1860" t="s">
        <v>2018</v>
      </c>
      <c r="BG1860" s="1">
        <v>44354.044444444444</v>
      </c>
      <c r="BH1860" s="1">
        <v>44354.052905092591</v>
      </c>
      <c r="BI1860" s="1">
        <v>44354.053518518522</v>
      </c>
      <c r="BJ1860" t="s">
        <v>85</v>
      </c>
      <c r="BK1860" t="s">
        <v>86</v>
      </c>
      <c r="BL1860" t="s">
        <v>87</v>
      </c>
    </row>
    <row r="1861" spans="1:64" x14ac:dyDescent="0.3">
      <c r="A1861" t="str">
        <f>"201069C0100"</f>
        <v>201069C0100</v>
      </c>
      <c r="B1861" t="str">
        <f>"201069C01003"</f>
        <v>201069C01003</v>
      </c>
      <c r="C1861" t="str">
        <f t="shared" si="110"/>
        <v>20</v>
      </c>
      <c r="D1861" t="s">
        <v>81</v>
      </c>
      <c r="E1861" t="str">
        <f t="shared" si="112"/>
        <v>182</v>
      </c>
      <c r="F1861" t="s">
        <v>1853</v>
      </c>
      <c r="G1861" t="str">
        <f>"1069"</f>
        <v>1069</v>
      </c>
      <c r="H1861" t="str">
        <f>"0001"</f>
        <v>0001</v>
      </c>
      <c r="I1861" t="s">
        <v>89</v>
      </c>
      <c r="J1861">
        <v>0</v>
      </c>
      <c r="K1861">
        <v>1</v>
      </c>
      <c r="L1861">
        <v>3</v>
      </c>
      <c r="BA1861">
        <v>632</v>
      </c>
      <c r="BB1861">
        <v>44</v>
      </c>
      <c r="BC1861" t="s">
        <v>381</v>
      </c>
      <c r="BD1861">
        <v>0</v>
      </c>
      <c r="BF1861" t="s">
        <v>2019</v>
      </c>
      <c r="BG1861" s="1">
        <v>44354.520833333336</v>
      </c>
      <c r="BH1861" s="1">
        <v>44354.535092592596</v>
      </c>
      <c r="BI1861" s="1">
        <v>44354.535092592596</v>
      </c>
      <c r="BJ1861" t="s">
        <v>85</v>
      </c>
      <c r="BK1861" t="s">
        <v>86</v>
      </c>
      <c r="BL1861" t="s">
        <v>87</v>
      </c>
    </row>
    <row r="1862" spans="1:64" x14ac:dyDescent="0.3">
      <c r="A1862" t="str">
        <f>"201069C0200"</f>
        <v>201069C0200</v>
      </c>
      <c r="B1862" t="str">
        <f>"201069C02003"</f>
        <v>201069C02003</v>
      </c>
      <c r="C1862" t="str">
        <f t="shared" si="110"/>
        <v>20</v>
      </c>
      <c r="D1862" t="s">
        <v>81</v>
      </c>
      <c r="E1862" t="str">
        <f t="shared" si="112"/>
        <v>182</v>
      </c>
      <c r="F1862" t="s">
        <v>1853</v>
      </c>
      <c r="G1862" t="str">
        <f>"1069"</f>
        <v>1069</v>
      </c>
      <c r="H1862" t="str">
        <f>"0002"</f>
        <v>0002</v>
      </c>
      <c r="I1862" t="s">
        <v>89</v>
      </c>
      <c r="J1862">
        <v>0</v>
      </c>
      <c r="K1862">
        <v>1</v>
      </c>
      <c r="L1862">
        <v>3</v>
      </c>
      <c r="M1862">
        <v>338</v>
      </c>
      <c r="N1862">
        <v>338</v>
      </c>
      <c r="O1862">
        <v>6</v>
      </c>
      <c r="P1862" t="s">
        <v>92</v>
      </c>
      <c r="Q1862">
        <v>4</v>
      </c>
      <c r="R1862">
        <v>41</v>
      </c>
      <c r="S1862">
        <v>2</v>
      </c>
      <c r="T1862">
        <v>1</v>
      </c>
      <c r="U1862">
        <v>9</v>
      </c>
      <c r="V1862">
        <v>53</v>
      </c>
      <c r="W1862">
        <v>5</v>
      </c>
      <c r="X1862">
        <v>121</v>
      </c>
      <c r="Y1862">
        <v>66</v>
      </c>
      <c r="Z1862">
        <v>5</v>
      </c>
      <c r="AB1862">
        <v>18</v>
      </c>
      <c r="AO1862">
        <v>2</v>
      </c>
      <c r="AU1862">
        <v>0</v>
      </c>
      <c r="AW1862">
        <v>0</v>
      </c>
      <c r="AX1862">
        <v>11</v>
      </c>
      <c r="AY1862">
        <v>338</v>
      </c>
      <c r="AZ1862">
        <v>338</v>
      </c>
      <c r="BA1862">
        <v>632</v>
      </c>
      <c r="BB1862">
        <v>44</v>
      </c>
      <c r="BD1862">
        <v>1</v>
      </c>
      <c r="BF1862" t="s">
        <v>2020</v>
      </c>
      <c r="BG1862" s="1">
        <v>44354.507638888892</v>
      </c>
      <c r="BH1862" s="1">
        <v>44354.510092592594</v>
      </c>
      <c r="BI1862" s="1">
        <v>44354.510613425926</v>
      </c>
      <c r="BJ1862" t="s">
        <v>85</v>
      </c>
      <c r="BK1862" t="s">
        <v>86</v>
      </c>
      <c r="BL1862" t="s">
        <v>1390</v>
      </c>
    </row>
    <row r="1863" spans="1:64" x14ac:dyDescent="0.3">
      <c r="A1863" t="str">
        <f>"201069C0300"</f>
        <v>201069C0300</v>
      </c>
      <c r="B1863" t="str">
        <f>"201069C03003"</f>
        <v>201069C03003</v>
      </c>
      <c r="C1863" t="str">
        <f t="shared" ref="C1863:C1926" si="113">"20"</f>
        <v>20</v>
      </c>
      <c r="D1863" t="s">
        <v>81</v>
      </c>
      <c r="E1863" t="str">
        <f t="shared" si="112"/>
        <v>182</v>
      </c>
      <c r="F1863" t="s">
        <v>1853</v>
      </c>
      <c r="G1863" t="str">
        <f>"1069"</f>
        <v>1069</v>
      </c>
      <c r="H1863" t="str">
        <f>"0003"</f>
        <v>0003</v>
      </c>
      <c r="I1863" t="s">
        <v>89</v>
      </c>
      <c r="J1863">
        <v>0</v>
      </c>
      <c r="K1863">
        <v>1</v>
      </c>
      <c r="L1863">
        <v>3</v>
      </c>
      <c r="M1863">
        <v>365</v>
      </c>
      <c r="N1863">
        <v>307</v>
      </c>
      <c r="O1863">
        <v>9</v>
      </c>
      <c r="P1863" t="s">
        <v>131</v>
      </c>
      <c r="Q1863">
        <v>4</v>
      </c>
      <c r="R1863">
        <v>26</v>
      </c>
      <c r="S1863">
        <v>1</v>
      </c>
      <c r="T1863">
        <v>2</v>
      </c>
      <c r="U1863">
        <v>4</v>
      </c>
      <c r="V1863">
        <v>32</v>
      </c>
      <c r="W1863">
        <v>1</v>
      </c>
      <c r="X1863">
        <v>157</v>
      </c>
      <c r="Y1863">
        <v>52</v>
      </c>
      <c r="Z1863">
        <v>0</v>
      </c>
      <c r="AB1863">
        <v>21</v>
      </c>
      <c r="AO1863">
        <v>2</v>
      </c>
      <c r="AU1863">
        <v>0</v>
      </c>
      <c r="AW1863">
        <v>0</v>
      </c>
      <c r="AX1863">
        <v>9</v>
      </c>
      <c r="AY1863">
        <v>313</v>
      </c>
      <c r="AZ1863">
        <v>311</v>
      </c>
      <c r="BA1863">
        <v>631</v>
      </c>
      <c r="BB1863">
        <v>44</v>
      </c>
      <c r="BD1863">
        <v>1</v>
      </c>
      <c r="BF1863" t="s">
        <v>2021</v>
      </c>
      <c r="BG1863" s="1">
        <v>44354.045138888891</v>
      </c>
      <c r="BH1863" s="1">
        <v>44354.053344907406</v>
      </c>
      <c r="BI1863" s="1">
        <v>44354.053749999999</v>
      </c>
      <c r="BJ1863" t="s">
        <v>85</v>
      </c>
      <c r="BK1863" t="s">
        <v>86</v>
      </c>
      <c r="BL1863" t="s">
        <v>87</v>
      </c>
    </row>
    <row r="1864" spans="1:64" x14ac:dyDescent="0.3">
      <c r="A1864" t="str">
        <f>"201069C0400"</f>
        <v>201069C0400</v>
      </c>
      <c r="B1864" t="str">
        <f>"201069C04003"</f>
        <v>201069C04003</v>
      </c>
      <c r="C1864" t="str">
        <f t="shared" si="113"/>
        <v>20</v>
      </c>
      <c r="D1864" t="s">
        <v>81</v>
      </c>
      <c r="E1864" t="str">
        <f t="shared" si="112"/>
        <v>182</v>
      </c>
      <c r="F1864" t="s">
        <v>1853</v>
      </c>
      <c r="G1864" t="str">
        <f>"1069"</f>
        <v>1069</v>
      </c>
      <c r="H1864" t="str">
        <f>"0004"</f>
        <v>0004</v>
      </c>
      <c r="I1864" t="s">
        <v>89</v>
      </c>
      <c r="J1864">
        <v>0</v>
      </c>
      <c r="K1864">
        <v>1</v>
      </c>
      <c r="L1864">
        <v>3</v>
      </c>
      <c r="M1864">
        <v>348</v>
      </c>
      <c r="N1864">
        <v>327</v>
      </c>
      <c r="O1864">
        <v>9</v>
      </c>
      <c r="P1864">
        <v>327</v>
      </c>
      <c r="Q1864">
        <v>5</v>
      </c>
      <c r="R1864">
        <v>42</v>
      </c>
      <c r="S1864">
        <v>0</v>
      </c>
      <c r="T1864">
        <v>2</v>
      </c>
      <c r="U1864">
        <v>4</v>
      </c>
      <c r="V1864">
        <v>38</v>
      </c>
      <c r="W1864">
        <v>2</v>
      </c>
      <c r="X1864">
        <v>144</v>
      </c>
      <c r="Y1864">
        <v>48</v>
      </c>
      <c r="Z1864">
        <v>2</v>
      </c>
      <c r="AB1864">
        <v>26</v>
      </c>
      <c r="AO1864">
        <v>2</v>
      </c>
      <c r="AU1864">
        <v>0</v>
      </c>
      <c r="AW1864">
        <v>0</v>
      </c>
      <c r="AX1864">
        <v>12</v>
      </c>
      <c r="AY1864">
        <v>327</v>
      </c>
      <c r="AZ1864">
        <v>327</v>
      </c>
      <c r="BA1864">
        <v>631</v>
      </c>
      <c r="BB1864">
        <v>44</v>
      </c>
      <c r="BD1864">
        <v>1</v>
      </c>
      <c r="BF1864" t="s">
        <v>2022</v>
      </c>
      <c r="BG1864" s="1">
        <v>44354.038194444445</v>
      </c>
      <c r="BH1864" s="1">
        <v>44354.051805555559</v>
      </c>
      <c r="BI1864" s="1">
        <v>44354.05228009259</v>
      </c>
      <c r="BJ1864" t="s">
        <v>85</v>
      </c>
      <c r="BK1864" t="s">
        <v>86</v>
      </c>
      <c r="BL1864" t="s">
        <v>87</v>
      </c>
    </row>
    <row r="1865" spans="1:64" x14ac:dyDescent="0.3">
      <c r="A1865" t="str">
        <f>"201070B0000"</f>
        <v>201070B0000</v>
      </c>
      <c r="B1865" t="str">
        <f>"201070B00003"</f>
        <v>201070B00003</v>
      </c>
      <c r="C1865" t="str">
        <f t="shared" si="113"/>
        <v>20</v>
      </c>
      <c r="D1865" t="s">
        <v>81</v>
      </c>
      <c r="E1865" t="str">
        <f t="shared" si="112"/>
        <v>182</v>
      </c>
      <c r="F1865" t="s">
        <v>1853</v>
      </c>
      <c r="G1865" t="str">
        <f>"1070"</f>
        <v>1070</v>
      </c>
      <c r="H1865" t="str">
        <f>"0000"</f>
        <v>0000</v>
      </c>
      <c r="I1865" t="s">
        <v>83</v>
      </c>
      <c r="J1865">
        <v>0</v>
      </c>
      <c r="K1865">
        <v>1</v>
      </c>
      <c r="L1865">
        <v>3</v>
      </c>
      <c r="M1865">
        <v>258</v>
      </c>
      <c r="N1865">
        <v>414</v>
      </c>
      <c r="O1865">
        <v>10</v>
      </c>
      <c r="P1865">
        <v>414</v>
      </c>
      <c r="Q1865">
        <v>6</v>
      </c>
      <c r="R1865">
        <v>33</v>
      </c>
      <c r="S1865">
        <v>3</v>
      </c>
      <c r="T1865">
        <v>4</v>
      </c>
      <c r="U1865">
        <v>2</v>
      </c>
      <c r="V1865">
        <v>103</v>
      </c>
      <c r="W1865">
        <v>16</v>
      </c>
      <c r="X1865">
        <v>91</v>
      </c>
      <c r="Y1865">
        <v>119</v>
      </c>
      <c r="Z1865">
        <v>2</v>
      </c>
      <c r="AB1865">
        <v>28</v>
      </c>
      <c r="AO1865">
        <v>0</v>
      </c>
      <c r="AU1865">
        <v>0</v>
      </c>
      <c r="AW1865">
        <v>0</v>
      </c>
      <c r="AX1865">
        <v>7</v>
      </c>
      <c r="AY1865">
        <v>414</v>
      </c>
      <c r="AZ1865">
        <v>414</v>
      </c>
      <c r="BA1865">
        <v>628</v>
      </c>
      <c r="BB1865">
        <v>44</v>
      </c>
      <c r="BD1865">
        <v>1</v>
      </c>
      <c r="BF1865" t="s">
        <v>2023</v>
      </c>
      <c r="BG1865" s="1">
        <v>44354.158333333333</v>
      </c>
      <c r="BH1865" s="1">
        <v>44354.16070601852</v>
      </c>
      <c r="BI1865" s="1">
        <v>44354.161203703705</v>
      </c>
      <c r="BJ1865" t="s">
        <v>85</v>
      </c>
      <c r="BK1865" t="s">
        <v>86</v>
      </c>
      <c r="BL1865" t="s">
        <v>87</v>
      </c>
    </row>
    <row r="1866" spans="1:64" x14ac:dyDescent="0.3">
      <c r="A1866" t="str">
        <f>"201070E0100"</f>
        <v>201070E0100</v>
      </c>
      <c r="B1866" t="str">
        <f>"201070E01003"</f>
        <v>201070E01003</v>
      </c>
      <c r="C1866" t="str">
        <f t="shared" si="113"/>
        <v>20</v>
      </c>
      <c r="D1866" t="s">
        <v>81</v>
      </c>
      <c r="E1866" t="str">
        <f t="shared" si="112"/>
        <v>182</v>
      </c>
      <c r="F1866" t="s">
        <v>1853</v>
      </c>
      <c r="G1866" t="str">
        <f>"1070"</f>
        <v>1070</v>
      </c>
      <c r="H1866" t="str">
        <f>"0001"</f>
        <v>0001</v>
      </c>
      <c r="I1866" t="s">
        <v>122</v>
      </c>
      <c r="J1866">
        <v>0</v>
      </c>
      <c r="K1866">
        <v>1</v>
      </c>
      <c r="L1866">
        <v>3</v>
      </c>
      <c r="M1866">
        <v>193</v>
      </c>
      <c r="N1866">
        <v>227</v>
      </c>
      <c r="O1866">
        <v>0</v>
      </c>
      <c r="P1866">
        <v>227</v>
      </c>
      <c r="Q1866">
        <v>3</v>
      </c>
      <c r="R1866">
        <v>64</v>
      </c>
      <c r="S1866">
        <v>0</v>
      </c>
      <c r="T1866">
        <v>2</v>
      </c>
      <c r="U1866">
        <v>18</v>
      </c>
      <c r="V1866">
        <v>27</v>
      </c>
      <c r="W1866">
        <v>2</v>
      </c>
      <c r="X1866">
        <v>72</v>
      </c>
      <c r="Y1866">
        <v>32</v>
      </c>
      <c r="Z1866">
        <v>0</v>
      </c>
      <c r="AB1866">
        <v>3</v>
      </c>
      <c r="AO1866">
        <v>0</v>
      </c>
      <c r="AU1866">
        <v>0</v>
      </c>
      <c r="AW1866" t="s">
        <v>95</v>
      </c>
      <c r="AX1866">
        <v>4</v>
      </c>
      <c r="AY1866">
        <v>227</v>
      </c>
      <c r="AZ1866">
        <v>227</v>
      </c>
      <c r="BA1866">
        <v>376</v>
      </c>
      <c r="BB1866">
        <v>44</v>
      </c>
      <c r="BC1866" t="s">
        <v>96</v>
      </c>
      <c r="BD1866">
        <v>1</v>
      </c>
      <c r="BF1866" t="s">
        <v>2024</v>
      </c>
      <c r="BG1866" s="1">
        <v>44354.330555555556</v>
      </c>
      <c r="BH1866" s="1">
        <v>44354.333043981482</v>
      </c>
      <c r="BI1866" s="1">
        <v>44354.33357638889</v>
      </c>
      <c r="BJ1866" t="s">
        <v>85</v>
      </c>
      <c r="BK1866" t="s">
        <v>86</v>
      </c>
      <c r="BL1866" t="s">
        <v>87</v>
      </c>
    </row>
    <row r="1867" spans="1:64" x14ac:dyDescent="0.3">
      <c r="A1867" t="str">
        <f>"201070E0101"</f>
        <v>201070E0101</v>
      </c>
      <c r="B1867" t="str">
        <f>"201070E01013"</f>
        <v>201070E01013</v>
      </c>
      <c r="C1867" t="str">
        <f t="shared" si="113"/>
        <v>20</v>
      </c>
      <c r="D1867" t="s">
        <v>81</v>
      </c>
      <c r="E1867" t="str">
        <f t="shared" si="112"/>
        <v>182</v>
      </c>
      <c r="F1867" t="s">
        <v>1853</v>
      </c>
      <c r="G1867" t="str">
        <f>"1070"</f>
        <v>1070</v>
      </c>
      <c r="H1867" t="str">
        <f>"0001"</f>
        <v>0001</v>
      </c>
      <c r="I1867" t="s">
        <v>122</v>
      </c>
      <c r="J1867">
        <v>1</v>
      </c>
      <c r="K1867">
        <v>1</v>
      </c>
      <c r="L1867">
        <v>3</v>
      </c>
      <c r="M1867">
        <v>190</v>
      </c>
      <c r="N1867">
        <v>229</v>
      </c>
      <c r="O1867">
        <v>3</v>
      </c>
      <c r="P1867" t="s">
        <v>92</v>
      </c>
      <c r="Q1867">
        <v>4</v>
      </c>
      <c r="R1867">
        <v>63</v>
      </c>
      <c r="S1867">
        <v>0</v>
      </c>
      <c r="T1867">
        <v>2</v>
      </c>
      <c r="U1867">
        <v>12</v>
      </c>
      <c r="V1867">
        <v>18</v>
      </c>
      <c r="W1867">
        <v>1</v>
      </c>
      <c r="X1867">
        <v>61</v>
      </c>
      <c r="Y1867">
        <v>54</v>
      </c>
      <c r="Z1867">
        <v>4</v>
      </c>
      <c r="AB1867">
        <v>3</v>
      </c>
      <c r="AO1867" t="s">
        <v>95</v>
      </c>
      <c r="AU1867" t="s">
        <v>95</v>
      </c>
      <c r="AW1867" t="s">
        <v>95</v>
      </c>
      <c r="AX1867">
        <v>1</v>
      </c>
      <c r="AY1867" t="s">
        <v>95</v>
      </c>
      <c r="AZ1867">
        <v>223</v>
      </c>
      <c r="BA1867">
        <v>375</v>
      </c>
      <c r="BB1867">
        <v>44</v>
      </c>
      <c r="BC1867" t="s">
        <v>96</v>
      </c>
      <c r="BD1867">
        <v>1</v>
      </c>
      <c r="BF1867" t="s">
        <v>2025</v>
      </c>
      <c r="BG1867" s="1">
        <v>44354.331944444442</v>
      </c>
      <c r="BH1867" s="1">
        <v>44354.334340277775</v>
      </c>
      <c r="BI1867" s="1">
        <v>44354.334849537037</v>
      </c>
      <c r="BJ1867" t="s">
        <v>85</v>
      </c>
      <c r="BK1867" t="s">
        <v>86</v>
      </c>
      <c r="BL1867" t="s">
        <v>87</v>
      </c>
    </row>
    <row r="1868" spans="1:64" x14ac:dyDescent="0.3">
      <c r="A1868" t="str">
        <f>"201071B0000"</f>
        <v>201071B0000</v>
      </c>
      <c r="B1868" t="str">
        <f>"201071B00003"</f>
        <v>201071B00003</v>
      </c>
      <c r="C1868" t="str">
        <f t="shared" si="113"/>
        <v>20</v>
      </c>
      <c r="D1868" t="s">
        <v>81</v>
      </c>
      <c r="E1868" t="str">
        <f t="shared" si="112"/>
        <v>182</v>
      </c>
      <c r="F1868" t="s">
        <v>1853</v>
      </c>
      <c r="G1868" t="str">
        <f>"1071"</f>
        <v>1071</v>
      </c>
      <c r="H1868" t="str">
        <f>"0000"</f>
        <v>0000</v>
      </c>
      <c r="I1868" t="s">
        <v>83</v>
      </c>
      <c r="J1868">
        <v>0</v>
      </c>
      <c r="K1868">
        <v>1</v>
      </c>
      <c r="L1868">
        <v>3</v>
      </c>
      <c r="M1868">
        <v>140</v>
      </c>
      <c r="N1868">
        <v>162</v>
      </c>
      <c r="O1868">
        <v>6</v>
      </c>
      <c r="P1868">
        <v>162</v>
      </c>
      <c r="Q1868">
        <v>0</v>
      </c>
      <c r="R1868">
        <v>30</v>
      </c>
      <c r="S1868">
        <v>0</v>
      </c>
      <c r="T1868">
        <v>4</v>
      </c>
      <c r="U1868">
        <v>3</v>
      </c>
      <c r="V1868">
        <v>37</v>
      </c>
      <c r="W1868">
        <v>1</v>
      </c>
      <c r="X1868">
        <v>39</v>
      </c>
      <c r="Y1868">
        <v>30</v>
      </c>
      <c r="Z1868">
        <v>2</v>
      </c>
      <c r="AB1868">
        <v>10</v>
      </c>
      <c r="AO1868">
        <v>0</v>
      </c>
      <c r="AU1868">
        <v>0</v>
      </c>
      <c r="AW1868">
        <v>0</v>
      </c>
      <c r="AX1868">
        <v>6</v>
      </c>
      <c r="AY1868">
        <v>172</v>
      </c>
      <c r="AZ1868">
        <v>162</v>
      </c>
      <c r="BA1868">
        <v>258</v>
      </c>
      <c r="BB1868">
        <v>44</v>
      </c>
      <c r="BD1868">
        <v>1</v>
      </c>
      <c r="BF1868" t="s">
        <v>2026</v>
      </c>
      <c r="BG1868" s="1">
        <v>44354.15625</v>
      </c>
      <c r="BH1868" s="1">
        <v>44354.160740740743</v>
      </c>
      <c r="BI1868" s="1">
        <v>44354.161296296297</v>
      </c>
      <c r="BJ1868" t="s">
        <v>85</v>
      </c>
      <c r="BK1868" t="s">
        <v>86</v>
      </c>
      <c r="BL1868" t="s">
        <v>1390</v>
      </c>
    </row>
    <row r="1869" spans="1:64" x14ac:dyDescent="0.3">
      <c r="A1869" t="str">
        <f>"201071E0100"</f>
        <v>201071E0100</v>
      </c>
      <c r="B1869" t="str">
        <f>"201071E01003"</f>
        <v>201071E01003</v>
      </c>
      <c r="C1869" t="str">
        <f t="shared" si="113"/>
        <v>20</v>
      </c>
      <c r="D1869" t="s">
        <v>81</v>
      </c>
      <c r="E1869" t="str">
        <f t="shared" si="112"/>
        <v>182</v>
      </c>
      <c r="F1869" t="s">
        <v>1853</v>
      </c>
      <c r="G1869" t="str">
        <f>"1071"</f>
        <v>1071</v>
      </c>
      <c r="H1869" t="str">
        <f>"0001"</f>
        <v>0001</v>
      </c>
      <c r="I1869" t="s">
        <v>122</v>
      </c>
      <c r="J1869">
        <v>0</v>
      </c>
      <c r="K1869">
        <v>1</v>
      </c>
      <c r="L1869">
        <v>3</v>
      </c>
      <c r="M1869">
        <v>128</v>
      </c>
      <c r="N1869">
        <v>223</v>
      </c>
      <c r="O1869">
        <v>14</v>
      </c>
      <c r="P1869">
        <v>223</v>
      </c>
      <c r="Q1869">
        <v>8</v>
      </c>
      <c r="R1869">
        <v>27</v>
      </c>
      <c r="S1869">
        <v>0</v>
      </c>
      <c r="T1869">
        <v>1</v>
      </c>
      <c r="U1869">
        <v>4</v>
      </c>
      <c r="V1869">
        <v>36</v>
      </c>
      <c r="W1869">
        <v>1</v>
      </c>
      <c r="X1869">
        <v>87</v>
      </c>
      <c r="Y1869">
        <v>51</v>
      </c>
      <c r="Z1869">
        <v>0</v>
      </c>
      <c r="AB1869">
        <v>2</v>
      </c>
      <c r="AO1869">
        <v>0</v>
      </c>
      <c r="AU1869">
        <v>0</v>
      </c>
      <c r="AW1869">
        <v>0</v>
      </c>
      <c r="AX1869">
        <v>6</v>
      </c>
      <c r="AY1869">
        <v>223</v>
      </c>
      <c r="AZ1869">
        <v>223</v>
      </c>
      <c r="BA1869">
        <v>308</v>
      </c>
      <c r="BB1869">
        <v>44</v>
      </c>
      <c r="BD1869">
        <v>1</v>
      </c>
      <c r="BF1869" t="s">
        <v>2027</v>
      </c>
      <c r="BG1869" s="1">
        <v>44354.15902777778</v>
      </c>
      <c r="BH1869" s="1">
        <v>44354.161365740743</v>
      </c>
      <c r="BI1869" s="1">
        <v>44354.16201388889</v>
      </c>
      <c r="BJ1869" t="s">
        <v>85</v>
      </c>
      <c r="BK1869" t="s">
        <v>86</v>
      </c>
      <c r="BL1869" t="s">
        <v>87</v>
      </c>
    </row>
    <row r="1870" spans="1:64" x14ac:dyDescent="0.3">
      <c r="A1870" t="str">
        <f>"201072B0000"</f>
        <v>201072B0000</v>
      </c>
      <c r="B1870" t="str">
        <f>"201072B00003"</f>
        <v>201072B00003</v>
      </c>
      <c r="C1870" t="str">
        <f t="shared" si="113"/>
        <v>20</v>
      </c>
      <c r="D1870" t="s">
        <v>81</v>
      </c>
      <c r="E1870" t="str">
        <f t="shared" si="112"/>
        <v>182</v>
      </c>
      <c r="F1870" t="s">
        <v>1853</v>
      </c>
      <c r="G1870" t="str">
        <f>"1072"</f>
        <v>1072</v>
      </c>
      <c r="H1870" t="str">
        <f>"0000"</f>
        <v>0000</v>
      </c>
      <c r="I1870" t="s">
        <v>83</v>
      </c>
      <c r="J1870">
        <v>0</v>
      </c>
      <c r="K1870">
        <v>1</v>
      </c>
      <c r="L1870">
        <v>3</v>
      </c>
      <c r="BA1870">
        <v>645</v>
      </c>
      <c r="BB1870">
        <v>44</v>
      </c>
      <c r="BC1870" t="s">
        <v>381</v>
      </c>
      <c r="BD1870">
        <v>0</v>
      </c>
      <c r="BF1870" t="s">
        <v>2028</v>
      </c>
      <c r="BG1870" s="1">
        <v>44354.520138888889</v>
      </c>
      <c r="BH1870" s="1">
        <v>44354.534849537034</v>
      </c>
      <c r="BI1870" s="1">
        <v>44354.534849537034</v>
      </c>
      <c r="BJ1870" t="s">
        <v>85</v>
      </c>
      <c r="BK1870" t="s">
        <v>86</v>
      </c>
      <c r="BL1870" t="s">
        <v>87</v>
      </c>
    </row>
    <row r="1871" spans="1:64" x14ac:dyDescent="0.3">
      <c r="A1871" t="str">
        <f>"201072C0100"</f>
        <v>201072C0100</v>
      </c>
      <c r="B1871" t="str">
        <f>"201072C01003"</f>
        <v>201072C01003</v>
      </c>
      <c r="C1871" t="str">
        <f t="shared" si="113"/>
        <v>20</v>
      </c>
      <c r="D1871" t="s">
        <v>81</v>
      </c>
      <c r="E1871" t="str">
        <f t="shared" si="112"/>
        <v>182</v>
      </c>
      <c r="F1871" t="s">
        <v>1853</v>
      </c>
      <c r="G1871" t="str">
        <f>"1072"</f>
        <v>1072</v>
      </c>
      <c r="H1871" t="str">
        <f>"0001"</f>
        <v>0001</v>
      </c>
      <c r="I1871" t="s">
        <v>89</v>
      </c>
      <c r="J1871">
        <v>0</v>
      </c>
      <c r="K1871">
        <v>1</v>
      </c>
      <c r="L1871">
        <v>3</v>
      </c>
      <c r="M1871">
        <v>340</v>
      </c>
      <c r="N1871" t="s">
        <v>131</v>
      </c>
      <c r="O1871">
        <v>7</v>
      </c>
      <c r="P1871" t="s">
        <v>131</v>
      </c>
      <c r="Q1871">
        <v>1</v>
      </c>
      <c r="R1871">
        <v>46</v>
      </c>
      <c r="S1871">
        <v>0</v>
      </c>
      <c r="T1871">
        <v>3</v>
      </c>
      <c r="U1871">
        <v>6</v>
      </c>
      <c r="V1871">
        <v>26</v>
      </c>
      <c r="W1871">
        <v>4</v>
      </c>
      <c r="X1871">
        <v>150</v>
      </c>
      <c r="Y1871">
        <v>74</v>
      </c>
      <c r="Z1871">
        <v>6</v>
      </c>
      <c r="AB1871">
        <v>23</v>
      </c>
      <c r="AO1871">
        <v>0</v>
      </c>
      <c r="AU1871">
        <v>0</v>
      </c>
      <c r="AW1871">
        <v>0</v>
      </c>
      <c r="AX1871">
        <v>8</v>
      </c>
      <c r="AY1871">
        <v>348</v>
      </c>
      <c r="AZ1871">
        <v>347</v>
      </c>
      <c r="BA1871">
        <v>644</v>
      </c>
      <c r="BB1871">
        <v>44</v>
      </c>
      <c r="BD1871">
        <v>1</v>
      </c>
      <c r="BF1871" t="s">
        <v>2029</v>
      </c>
      <c r="BG1871" s="1">
        <v>44354.294444444444</v>
      </c>
      <c r="BH1871" s="1">
        <v>44354.321064814816</v>
      </c>
      <c r="BI1871" s="1">
        <v>44354.336736111109</v>
      </c>
      <c r="BJ1871" t="s">
        <v>85</v>
      </c>
      <c r="BK1871" t="s">
        <v>86</v>
      </c>
      <c r="BL1871" t="s">
        <v>1893</v>
      </c>
    </row>
    <row r="1872" spans="1:64" x14ac:dyDescent="0.3">
      <c r="A1872" t="str">
        <f>"201072E0100"</f>
        <v>201072E0100</v>
      </c>
      <c r="B1872" t="str">
        <f>"201072E01003"</f>
        <v>201072E01003</v>
      </c>
      <c r="C1872" t="str">
        <f t="shared" si="113"/>
        <v>20</v>
      </c>
      <c r="D1872" t="s">
        <v>81</v>
      </c>
      <c r="E1872" t="str">
        <f t="shared" si="112"/>
        <v>182</v>
      </c>
      <c r="F1872" t="s">
        <v>1853</v>
      </c>
      <c r="G1872" t="str">
        <f>"1072"</f>
        <v>1072</v>
      </c>
      <c r="H1872" t="str">
        <f>"0001"</f>
        <v>0001</v>
      </c>
      <c r="I1872" t="s">
        <v>122</v>
      </c>
      <c r="J1872">
        <v>0</v>
      </c>
      <c r="K1872">
        <v>1</v>
      </c>
      <c r="L1872">
        <v>3</v>
      </c>
      <c r="M1872">
        <v>275</v>
      </c>
      <c r="N1872">
        <v>279</v>
      </c>
      <c r="O1872">
        <v>8</v>
      </c>
      <c r="P1872">
        <v>278</v>
      </c>
      <c r="Q1872">
        <v>5</v>
      </c>
      <c r="R1872">
        <v>37</v>
      </c>
      <c r="S1872">
        <v>1</v>
      </c>
      <c r="T1872">
        <v>0</v>
      </c>
      <c r="U1872">
        <v>2</v>
      </c>
      <c r="V1872">
        <v>25</v>
      </c>
      <c r="W1872">
        <v>2</v>
      </c>
      <c r="X1872">
        <v>137</v>
      </c>
      <c r="Y1872">
        <v>51</v>
      </c>
      <c r="Z1872">
        <v>0</v>
      </c>
      <c r="AB1872">
        <v>10</v>
      </c>
      <c r="AO1872">
        <v>5</v>
      </c>
      <c r="AU1872">
        <v>0</v>
      </c>
      <c r="AW1872">
        <v>0</v>
      </c>
      <c r="AX1872">
        <v>3</v>
      </c>
      <c r="AY1872">
        <v>278</v>
      </c>
      <c r="AZ1872">
        <v>278</v>
      </c>
      <c r="BA1872">
        <v>510</v>
      </c>
      <c r="BB1872">
        <v>44</v>
      </c>
      <c r="BD1872">
        <v>1</v>
      </c>
      <c r="BF1872" t="s">
        <v>2030</v>
      </c>
      <c r="BG1872" s="1">
        <v>44354.300694444442</v>
      </c>
      <c r="BH1872" s="1">
        <v>44354.304560185185</v>
      </c>
      <c r="BI1872" s="1">
        <v>44354.305185185185</v>
      </c>
      <c r="BJ1872" t="s">
        <v>85</v>
      </c>
      <c r="BK1872" t="s">
        <v>86</v>
      </c>
      <c r="BL1872" t="s">
        <v>87</v>
      </c>
    </row>
    <row r="1873" spans="1:64" x14ac:dyDescent="0.3">
      <c r="A1873" t="str">
        <f>"201073B0000"</f>
        <v>201073B0000</v>
      </c>
      <c r="B1873" t="str">
        <f>"201073B00003"</f>
        <v>201073B00003</v>
      </c>
      <c r="C1873" t="str">
        <f t="shared" si="113"/>
        <v>20</v>
      </c>
      <c r="D1873" t="s">
        <v>81</v>
      </c>
      <c r="E1873" t="str">
        <f t="shared" si="112"/>
        <v>182</v>
      </c>
      <c r="F1873" t="s">
        <v>1853</v>
      </c>
      <c r="G1873" t="str">
        <f>"1073"</f>
        <v>1073</v>
      </c>
      <c r="H1873" t="str">
        <f>"0000"</f>
        <v>0000</v>
      </c>
      <c r="I1873" t="s">
        <v>83</v>
      </c>
      <c r="J1873">
        <v>0</v>
      </c>
      <c r="K1873">
        <v>1</v>
      </c>
      <c r="L1873">
        <v>3</v>
      </c>
      <c r="M1873">
        <v>254</v>
      </c>
      <c r="N1873">
        <v>464</v>
      </c>
      <c r="O1873">
        <v>0</v>
      </c>
      <c r="P1873">
        <v>464</v>
      </c>
      <c r="Q1873">
        <v>1</v>
      </c>
      <c r="R1873">
        <v>57</v>
      </c>
      <c r="S1873">
        <v>1</v>
      </c>
      <c r="T1873">
        <v>2</v>
      </c>
      <c r="U1873">
        <v>9</v>
      </c>
      <c r="V1873">
        <v>42</v>
      </c>
      <c r="W1873">
        <v>2</v>
      </c>
      <c r="X1873">
        <v>265</v>
      </c>
      <c r="Y1873">
        <v>50</v>
      </c>
      <c r="Z1873">
        <v>6</v>
      </c>
      <c r="AB1873">
        <v>24</v>
      </c>
      <c r="AO1873" t="s">
        <v>95</v>
      </c>
      <c r="AU1873" t="s">
        <v>95</v>
      </c>
      <c r="AW1873" t="s">
        <v>95</v>
      </c>
      <c r="AX1873" t="s">
        <v>95</v>
      </c>
      <c r="AY1873" t="s">
        <v>95</v>
      </c>
      <c r="AZ1873">
        <v>459</v>
      </c>
      <c r="BA1873">
        <v>674</v>
      </c>
      <c r="BB1873">
        <v>44</v>
      </c>
      <c r="BC1873" t="s">
        <v>96</v>
      </c>
      <c r="BD1873">
        <v>1</v>
      </c>
      <c r="BF1873" t="s">
        <v>2031</v>
      </c>
      <c r="BG1873" s="1">
        <v>44354.304166666669</v>
      </c>
      <c r="BH1873" s="1">
        <v>44354.306435185186</v>
      </c>
      <c r="BI1873" s="1">
        <v>44354.307129629633</v>
      </c>
      <c r="BJ1873" t="s">
        <v>85</v>
      </c>
      <c r="BK1873" t="s">
        <v>86</v>
      </c>
      <c r="BL1873" t="s">
        <v>87</v>
      </c>
    </row>
    <row r="1874" spans="1:64" x14ac:dyDescent="0.3">
      <c r="A1874" t="str">
        <f>"201073E0100"</f>
        <v>201073E0100</v>
      </c>
      <c r="B1874" t="str">
        <f>"201073E01003"</f>
        <v>201073E01003</v>
      </c>
      <c r="C1874" t="str">
        <f t="shared" si="113"/>
        <v>20</v>
      </c>
      <c r="D1874" t="s">
        <v>81</v>
      </c>
      <c r="E1874" t="str">
        <f t="shared" si="112"/>
        <v>182</v>
      </c>
      <c r="F1874" t="s">
        <v>1853</v>
      </c>
      <c r="G1874" t="str">
        <f>"1073"</f>
        <v>1073</v>
      </c>
      <c r="H1874" t="str">
        <f>"0001"</f>
        <v>0001</v>
      </c>
      <c r="I1874" t="s">
        <v>122</v>
      </c>
      <c r="J1874">
        <v>0</v>
      </c>
      <c r="K1874">
        <v>1</v>
      </c>
      <c r="L1874">
        <v>3</v>
      </c>
      <c r="M1874">
        <v>109</v>
      </c>
      <c r="N1874">
        <v>242</v>
      </c>
      <c r="O1874">
        <v>5</v>
      </c>
      <c r="P1874" t="s">
        <v>92</v>
      </c>
      <c r="Q1874">
        <v>24</v>
      </c>
      <c r="R1874">
        <v>24</v>
      </c>
      <c r="S1874" t="s">
        <v>95</v>
      </c>
      <c r="T1874" t="s">
        <v>95</v>
      </c>
      <c r="U1874">
        <v>3</v>
      </c>
      <c r="V1874">
        <v>72</v>
      </c>
      <c r="W1874" t="s">
        <v>95</v>
      </c>
      <c r="X1874">
        <v>116</v>
      </c>
      <c r="Y1874">
        <v>14</v>
      </c>
      <c r="Z1874" t="s">
        <v>95</v>
      </c>
      <c r="AB1874">
        <v>8</v>
      </c>
      <c r="AO1874">
        <v>1</v>
      </c>
      <c r="AU1874">
        <v>1</v>
      </c>
      <c r="AW1874" t="s">
        <v>95</v>
      </c>
      <c r="AX1874">
        <v>4</v>
      </c>
      <c r="AY1874">
        <v>242</v>
      </c>
      <c r="AZ1874">
        <v>267</v>
      </c>
      <c r="BA1874">
        <v>307</v>
      </c>
      <c r="BB1874">
        <v>44</v>
      </c>
      <c r="BC1874" t="s">
        <v>96</v>
      </c>
      <c r="BD1874">
        <v>1</v>
      </c>
      <c r="BF1874" t="s">
        <v>2032</v>
      </c>
      <c r="BG1874" s="1">
        <v>44354.3</v>
      </c>
      <c r="BH1874" s="1">
        <v>44354.30265046296</v>
      </c>
      <c r="BI1874" s="1">
        <v>44354.303263888891</v>
      </c>
      <c r="BJ1874" t="s">
        <v>85</v>
      </c>
      <c r="BK1874" t="s">
        <v>86</v>
      </c>
      <c r="BL1874" t="s">
        <v>87</v>
      </c>
    </row>
    <row r="1875" spans="1:64" x14ac:dyDescent="0.3">
      <c r="A1875" t="str">
        <f>"201074B0000"</f>
        <v>201074B0000</v>
      </c>
      <c r="B1875" t="str">
        <f>"201074B00003"</f>
        <v>201074B00003</v>
      </c>
      <c r="C1875" t="str">
        <f t="shared" si="113"/>
        <v>20</v>
      </c>
      <c r="D1875" t="s">
        <v>81</v>
      </c>
      <c r="E1875" t="str">
        <f t="shared" si="112"/>
        <v>182</v>
      </c>
      <c r="F1875" t="s">
        <v>1853</v>
      </c>
      <c r="G1875" t="str">
        <f>"1074"</f>
        <v>1074</v>
      </c>
      <c r="H1875" t="str">
        <f>"0000"</f>
        <v>0000</v>
      </c>
      <c r="I1875" t="s">
        <v>83</v>
      </c>
      <c r="J1875">
        <v>0</v>
      </c>
      <c r="K1875">
        <v>1</v>
      </c>
      <c r="L1875">
        <v>3</v>
      </c>
      <c r="M1875">
        <v>248</v>
      </c>
      <c r="N1875">
        <v>570</v>
      </c>
      <c r="O1875">
        <v>2</v>
      </c>
      <c r="P1875">
        <v>322</v>
      </c>
      <c r="Q1875">
        <v>6</v>
      </c>
      <c r="R1875">
        <v>48</v>
      </c>
      <c r="S1875">
        <v>0</v>
      </c>
      <c r="T1875">
        <v>2</v>
      </c>
      <c r="U1875">
        <v>6</v>
      </c>
      <c r="V1875">
        <v>18</v>
      </c>
      <c r="W1875">
        <v>3</v>
      </c>
      <c r="X1875">
        <v>144</v>
      </c>
      <c r="Y1875">
        <v>73</v>
      </c>
      <c r="Z1875">
        <v>4</v>
      </c>
      <c r="AB1875">
        <v>15</v>
      </c>
      <c r="AO1875">
        <v>0</v>
      </c>
      <c r="AU1875">
        <v>0</v>
      </c>
      <c r="AW1875">
        <v>0</v>
      </c>
      <c r="AX1875">
        <v>3</v>
      </c>
      <c r="AY1875">
        <v>322</v>
      </c>
      <c r="AZ1875">
        <v>322</v>
      </c>
      <c r="BA1875">
        <v>526</v>
      </c>
      <c r="BB1875">
        <v>44</v>
      </c>
      <c r="BD1875">
        <v>1</v>
      </c>
      <c r="BF1875" t="s">
        <v>2033</v>
      </c>
      <c r="BG1875" s="1">
        <v>44354.290277777778</v>
      </c>
      <c r="BH1875" s="1">
        <v>44354.29241898148</v>
      </c>
      <c r="BI1875" s="1">
        <v>44354.292719907404</v>
      </c>
      <c r="BJ1875" t="s">
        <v>85</v>
      </c>
      <c r="BK1875" t="s">
        <v>86</v>
      </c>
      <c r="BL1875" t="s">
        <v>87</v>
      </c>
    </row>
    <row r="1876" spans="1:64" x14ac:dyDescent="0.3">
      <c r="A1876" t="str">
        <f>"201074C0100"</f>
        <v>201074C0100</v>
      </c>
      <c r="B1876" t="str">
        <f>"201074C01003"</f>
        <v>201074C01003</v>
      </c>
      <c r="C1876" t="str">
        <f t="shared" si="113"/>
        <v>20</v>
      </c>
      <c r="D1876" t="s">
        <v>81</v>
      </c>
      <c r="E1876" t="str">
        <f t="shared" si="112"/>
        <v>182</v>
      </c>
      <c r="F1876" t="s">
        <v>1853</v>
      </c>
      <c r="G1876" t="str">
        <f>"1074"</f>
        <v>1074</v>
      </c>
      <c r="H1876" t="str">
        <f>"0001"</f>
        <v>0001</v>
      </c>
      <c r="I1876" t="s">
        <v>89</v>
      </c>
      <c r="J1876">
        <v>0</v>
      </c>
      <c r="K1876">
        <v>1</v>
      </c>
      <c r="L1876">
        <v>3</v>
      </c>
      <c r="M1876">
        <v>265</v>
      </c>
      <c r="N1876">
        <v>301</v>
      </c>
      <c r="O1876">
        <v>2</v>
      </c>
      <c r="P1876">
        <v>304</v>
      </c>
      <c r="Q1876">
        <v>6</v>
      </c>
      <c r="R1876">
        <v>56</v>
      </c>
      <c r="S1876">
        <v>1</v>
      </c>
      <c r="T1876">
        <v>3</v>
      </c>
      <c r="U1876">
        <v>8</v>
      </c>
      <c r="V1876">
        <v>28</v>
      </c>
      <c r="W1876">
        <v>2</v>
      </c>
      <c r="X1876">
        <v>114</v>
      </c>
      <c r="Y1876">
        <v>70</v>
      </c>
      <c r="Z1876">
        <v>2</v>
      </c>
      <c r="AB1876">
        <v>6</v>
      </c>
      <c r="AO1876">
        <v>1</v>
      </c>
      <c r="AU1876" t="s">
        <v>95</v>
      </c>
      <c r="AW1876" t="s">
        <v>95</v>
      </c>
      <c r="AX1876">
        <v>6</v>
      </c>
      <c r="AY1876">
        <v>304</v>
      </c>
      <c r="AZ1876">
        <v>303</v>
      </c>
      <c r="BA1876">
        <v>525</v>
      </c>
      <c r="BB1876">
        <v>44</v>
      </c>
      <c r="BC1876" t="s">
        <v>96</v>
      </c>
      <c r="BD1876">
        <v>1</v>
      </c>
      <c r="BF1876" t="s">
        <v>2034</v>
      </c>
      <c r="BG1876" s="1">
        <v>44354.288888888892</v>
      </c>
      <c r="BH1876" s="1">
        <v>44354.351076388892</v>
      </c>
      <c r="BI1876" s="1">
        <v>44354.366967592592</v>
      </c>
      <c r="BJ1876" t="s">
        <v>85</v>
      </c>
      <c r="BK1876" t="s">
        <v>86</v>
      </c>
      <c r="BL1876" t="s">
        <v>87</v>
      </c>
    </row>
    <row r="1877" spans="1:64" x14ac:dyDescent="0.3">
      <c r="A1877" t="str">
        <f>"201075B0000"</f>
        <v>201075B0000</v>
      </c>
      <c r="B1877" t="str">
        <f>"201075B00003"</f>
        <v>201075B00003</v>
      </c>
      <c r="C1877" t="str">
        <f t="shared" si="113"/>
        <v>20</v>
      </c>
      <c r="D1877" t="s">
        <v>81</v>
      </c>
      <c r="E1877" t="str">
        <f t="shared" si="112"/>
        <v>182</v>
      </c>
      <c r="F1877" t="s">
        <v>1853</v>
      </c>
      <c r="G1877" t="str">
        <f>"1075"</f>
        <v>1075</v>
      </c>
      <c r="H1877" t="str">
        <f>"0000"</f>
        <v>0000</v>
      </c>
      <c r="I1877" t="s">
        <v>83</v>
      </c>
      <c r="J1877">
        <v>0</v>
      </c>
      <c r="K1877">
        <v>1</v>
      </c>
      <c r="L1877">
        <v>3</v>
      </c>
      <c r="M1877">
        <v>227</v>
      </c>
      <c r="N1877">
        <v>373</v>
      </c>
      <c r="O1877">
        <v>373</v>
      </c>
      <c r="P1877">
        <v>373</v>
      </c>
      <c r="Q1877">
        <v>9</v>
      </c>
      <c r="R1877">
        <v>52</v>
      </c>
      <c r="S1877">
        <v>1</v>
      </c>
      <c r="T1877">
        <v>1</v>
      </c>
      <c r="U1877">
        <v>22</v>
      </c>
      <c r="V1877">
        <v>3</v>
      </c>
      <c r="W1877">
        <v>3</v>
      </c>
      <c r="X1877">
        <v>152</v>
      </c>
      <c r="Y1877">
        <v>91</v>
      </c>
      <c r="Z1877">
        <v>8</v>
      </c>
      <c r="AB1877">
        <v>23</v>
      </c>
      <c r="AO1877">
        <v>3</v>
      </c>
      <c r="AU1877">
        <v>0</v>
      </c>
      <c r="AW1877">
        <v>0</v>
      </c>
      <c r="AX1877">
        <v>6</v>
      </c>
      <c r="AY1877">
        <v>373</v>
      </c>
      <c r="AZ1877">
        <v>374</v>
      </c>
      <c r="BA1877">
        <v>556</v>
      </c>
      <c r="BB1877">
        <v>44</v>
      </c>
      <c r="BD1877">
        <v>1</v>
      </c>
      <c r="BF1877" t="s">
        <v>2035</v>
      </c>
      <c r="BG1877" s="1">
        <v>44354.151388888888</v>
      </c>
      <c r="BH1877" s="1">
        <v>44354.156446759262</v>
      </c>
      <c r="BI1877" s="1">
        <v>44354.156770833331</v>
      </c>
      <c r="BJ1877" t="s">
        <v>85</v>
      </c>
      <c r="BK1877" t="s">
        <v>86</v>
      </c>
      <c r="BL1877" t="s">
        <v>87</v>
      </c>
    </row>
    <row r="1878" spans="1:64" x14ac:dyDescent="0.3">
      <c r="A1878" t="str">
        <f>"201075C0100"</f>
        <v>201075C0100</v>
      </c>
      <c r="B1878" t="str">
        <f>"201075C01003"</f>
        <v>201075C01003</v>
      </c>
      <c r="C1878" t="str">
        <f t="shared" si="113"/>
        <v>20</v>
      </c>
      <c r="D1878" t="s">
        <v>81</v>
      </c>
      <c r="E1878" t="str">
        <f t="shared" si="112"/>
        <v>182</v>
      </c>
      <c r="F1878" t="s">
        <v>1853</v>
      </c>
      <c r="G1878" t="str">
        <f>"1075"</f>
        <v>1075</v>
      </c>
      <c r="H1878" t="str">
        <f>"0001"</f>
        <v>0001</v>
      </c>
      <c r="I1878" t="s">
        <v>89</v>
      </c>
      <c r="J1878">
        <v>0</v>
      </c>
      <c r="K1878">
        <v>1</v>
      </c>
      <c r="L1878">
        <v>3</v>
      </c>
      <c r="M1878">
        <v>226</v>
      </c>
      <c r="N1878">
        <v>374</v>
      </c>
      <c r="O1878">
        <v>374</v>
      </c>
      <c r="P1878">
        <v>374</v>
      </c>
      <c r="Q1878">
        <v>8</v>
      </c>
      <c r="R1878">
        <v>51</v>
      </c>
      <c r="S1878">
        <v>2</v>
      </c>
      <c r="T1878">
        <v>5</v>
      </c>
      <c r="U1878">
        <v>2</v>
      </c>
      <c r="V1878">
        <v>18</v>
      </c>
      <c r="W1878">
        <v>4</v>
      </c>
      <c r="X1878">
        <v>167</v>
      </c>
      <c r="Y1878">
        <v>89</v>
      </c>
      <c r="Z1878">
        <v>3</v>
      </c>
      <c r="AB1878">
        <v>1</v>
      </c>
      <c r="AO1878">
        <v>1</v>
      </c>
      <c r="AU1878">
        <v>0</v>
      </c>
      <c r="AW1878">
        <v>0</v>
      </c>
      <c r="AX1878">
        <v>6</v>
      </c>
      <c r="AY1878">
        <v>374</v>
      </c>
      <c r="AZ1878">
        <v>357</v>
      </c>
      <c r="BA1878">
        <v>556</v>
      </c>
      <c r="BB1878">
        <v>44</v>
      </c>
      <c r="BD1878">
        <v>1</v>
      </c>
      <c r="BF1878" t="s">
        <v>2036</v>
      </c>
      <c r="BG1878" s="1">
        <v>44354.15347222222</v>
      </c>
      <c r="BH1878" s="1">
        <v>44354.15824074074</v>
      </c>
      <c r="BI1878" s="1">
        <v>44354.159062500003</v>
      </c>
      <c r="BJ1878" t="s">
        <v>85</v>
      </c>
      <c r="BK1878" t="s">
        <v>86</v>
      </c>
      <c r="BL1878" t="s">
        <v>87</v>
      </c>
    </row>
    <row r="1879" spans="1:64" x14ac:dyDescent="0.3">
      <c r="A1879" t="str">
        <f>"201076B0000"</f>
        <v>201076B0000</v>
      </c>
      <c r="B1879" t="str">
        <f>"201076B00003"</f>
        <v>201076B00003</v>
      </c>
      <c r="C1879" t="str">
        <f t="shared" si="113"/>
        <v>20</v>
      </c>
      <c r="D1879" t="s">
        <v>81</v>
      </c>
      <c r="E1879" t="str">
        <f t="shared" si="112"/>
        <v>182</v>
      </c>
      <c r="F1879" t="s">
        <v>1853</v>
      </c>
      <c r="G1879" t="str">
        <f>"1076"</f>
        <v>1076</v>
      </c>
      <c r="H1879" t="str">
        <f>"0000"</f>
        <v>0000</v>
      </c>
      <c r="I1879" t="s">
        <v>83</v>
      </c>
      <c r="J1879">
        <v>0</v>
      </c>
      <c r="K1879">
        <v>1</v>
      </c>
      <c r="L1879">
        <v>3</v>
      </c>
      <c r="M1879">
        <v>143</v>
      </c>
      <c r="N1879">
        <v>271</v>
      </c>
      <c r="O1879">
        <v>0</v>
      </c>
      <c r="P1879">
        <v>271</v>
      </c>
      <c r="Q1879">
        <v>9</v>
      </c>
      <c r="R1879">
        <v>38</v>
      </c>
      <c r="S1879">
        <v>0</v>
      </c>
      <c r="T1879">
        <v>9</v>
      </c>
      <c r="U1879">
        <v>17</v>
      </c>
      <c r="V1879">
        <v>44</v>
      </c>
      <c r="W1879">
        <v>0</v>
      </c>
      <c r="X1879">
        <v>40</v>
      </c>
      <c r="Y1879">
        <v>101</v>
      </c>
      <c r="Z1879">
        <v>1</v>
      </c>
      <c r="AB1879">
        <v>5</v>
      </c>
      <c r="AO1879">
        <v>0</v>
      </c>
      <c r="AU1879">
        <v>0</v>
      </c>
      <c r="AW1879" t="s">
        <v>95</v>
      </c>
      <c r="AX1879">
        <v>7</v>
      </c>
      <c r="AY1879" t="s">
        <v>95</v>
      </c>
      <c r="AZ1879">
        <v>271</v>
      </c>
      <c r="BA1879">
        <v>370</v>
      </c>
      <c r="BB1879">
        <v>44</v>
      </c>
      <c r="BC1879" t="s">
        <v>96</v>
      </c>
      <c r="BD1879">
        <v>1</v>
      </c>
      <c r="BF1879" t="s">
        <v>2037</v>
      </c>
      <c r="BG1879" s="1">
        <v>44354.334027777775</v>
      </c>
      <c r="BH1879" s="1">
        <v>44354.336770833332</v>
      </c>
      <c r="BI1879" s="1">
        <v>44354.337638888886</v>
      </c>
      <c r="BJ1879" t="s">
        <v>85</v>
      </c>
      <c r="BK1879" t="s">
        <v>86</v>
      </c>
      <c r="BL1879" t="s">
        <v>87</v>
      </c>
    </row>
    <row r="1880" spans="1:64" x14ac:dyDescent="0.3">
      <c r="A1880" t="str">
        <f>"201076E0100"</f>
        <v>201076E0100</v>
      </c>
      <c r="B1880" t="str">
        <f>"201076E01003"</f>
        <v>201076E01003</v>
      </c>
      <c r="C1880" t="str">
        <f t="shared" si="113"/>
        <v>20</v>
      </c>
      <c r="D1880" t="s">
        <v>81</v>
      </c>
      <c r="E1880" t="str">
        <f t="shared" si="112"/>
        <v>182</v>
      </c>
      <c r="F1880" t="s">
        <v>1853</v>
      </c>
      <c r="G1880" t="str">
        <f>"1076"</f>
        <v>1076</v>
      </c>
      <c r="H1880" t="str">
        <f>"0001"</f>
        <v>0001</v>
      </c>
      <c r="I1880" t="s">
        <v>122</v>
      </c>
      <c r="J1880">
        <v>0</v>
      </c>
      <c r="K1880">
        <v>1</v>
      </c>
      <c r="L1880">
        <v>3</v>
      </c>
      <c r="M1880">
        <v>286</v>
      </c>
      <c r="N1880">
        <v>390</v>
      </c>
      <c r="O1880">
        <v>0</v>
      </c>
      <c r="P1880">
        <v>390</v>
      </c>
      <c r="Q1880">
        <v>6</v>
      </c>
      <c r="R1880">
        <v>47</v>
      </c>
      <c r="S1880">
        <v>3</v>
      </c>
      <c r="T1880">
        <v>0</v>
      </c>
      <c r="U1880">
        <v>10</v>
      </c>
      <c r="V1880">
        <v>39</v>
      </c>
      <c r="W1880">
        <v>5</v>
      </c>
      <c r="X1880">
        <v>112</v>
      </c>
      <c r="Y1880">
        <v>144</v>
      </c>
      <c r="Z1880">
        <v>6</v>
      </c>
      <c r="AB1880">
        <v>6</v>
      </c>
      <c r="AO1880">
        <v>2</v>
      </c>
      <c r="AU1880">
        <v>0</v>
      </c>
      <c r="AW1880">
        <v>0</v>
      </c>
      <c r="AX1880">
        <v>10</v>
      </c>
      <c r="AY1880">
        <v>390</v>
      </c>
      <c r="AZ1880">
        <v>390</v>
      </c>
      <c r="BA1880">
        <v>632</v>
      </c>
      <c r="BB1880">
        <v>44</v>
      </c>
      <c r="BD1880">
        <v>1</v>
      </c>
      <c r="BF1880" t="s">
        <v>2038</v>
      </c>
      <c r="BG1880" s="1">
        <v>44354.332638888889</v>
      </c>
      <c r="BH1880" s="1">
        <v>44354.335324074076</v>
      </c>
      <c r="BI1880" s="1">
        <v>44354.335613425923</v>
      </c>
      <c r="BJ1880" t="s">
        <v>85</v>
      </c>
      <c r="BK1880" t="s">
        <v>86</v>
      </c>
      <c r="BL1880" t="s">
        <v>87</v>
      </c>
    </row>
    <row r="1881" spans="1:64" x14ac:dyDescent="0.3">
      <c r="A1881" t="str">
        <f>"201077B0000"</f>
        <v>201077B0000</v>
      </c>
      <c r="B1881" t="str">
        <f>"201077B00003"</f>
        <v>201077B00003</v>
      </c>
      <c r="C1881" t="str">
        <f t="shared" si="113"/>
        <v>20</v>
      </c>
      <c r="D1881" t="s">
        <v>81</v>
      </c>
      <c r="E1881" t="str">
        <f t="shared" si="112"/>
        <v>182</v>
      </c>
      <c r="F1881" t="s">
        <v>1853</v>
      </c>
      <c r="G1881" t="str">
        <f>"1077"</f>
        <v>1077</v>
      </c>
      <c r="H1881" t="str">
        <f>"0000"</f>
        <v>0000</v>
      </c>
      <c r="I1881" t="s">
        <v>83</v>
      </c>
      <c r="J1881">
        <v>0</v>
      </c>
      <c r="K1881">
        <v>1</v>
      </c>
      <c r="L1881">
        <v>3</v>
      </c>
      <c r="M1881">
        <v>234</v>
      </c>
      <c r="N1881">
        <v>475</v>
      </c>
      <c r="O1881">
        <v>0</v>
      </c>
      <c r="P1881" t="s">
        <v>92</v>
      </c>
      <c r="Q1881">
        <v>6</v>
      </c>
      <c r="R1881">
        <v>33</v>
      </c>
      <c r="S1881">
        <v>3</v>
      </c>
      <c r="T1881">
        <v>7</v>
      </c>
      <c r="U1881">
        <v>2</v>
      </c>
      <c r="V1881">
        <v>86</v>
      </c>
      <c r="W1881">
        <v>2</v>
      </c>
      <c r="X1881">
        <v>169</v>
      </c>
      <c r="Y1881">
        <v>147</v>
      </c>
      <c r="Z1881">
        <v>6</v>
      </c>
      <c r="AB1881">
        <v>4</v>
      </c>
      <c r="AO1881">
        <v>0</v>
      </c>
      <c r="AU1881">
        <v>0</v>
      </c>
      <c r="AW1881">
        <v>0</v>
      </c>
      <c r="AX1881">
        <v>10</v>
      </c>
      <c r="AY1881">
        <v>475</v>
      </c>
      <c r="AZ1881">
        <v>475</v>
      </c>
      <c r="BA1881">
        <v>665</v>
      </c>
      <c r="BB1881">
        <v>44</v>
      </c>
      <c r="BD1881">
        <v>1</v>
      </c>
      <c r="BF1881" t="s">
        <v>2039</v>
      </c>
      <c r="BG1881" s="1">
        <v>44354.279861111114</v>
      </c>
      <c r="BH1881" s="1">
        <v>44354.283356481479</v>
      </c>
      <c r="BI1881" s="1">
        <v>44354.284282407411</v>
      </c>
      <c r="BJ1881" t="s">
        <v>85</v>
      </c>
      <c r="BK1881" t="s">
        <v>86</v>
      </c>
      <c r="BL1881" t="s">
        <v>1390</v>
      </c>
    </row>
    <row r="1882" spans="1:64" x14ac:dyDescent="0.3">
      <c r="A1882" t="str">
        <f>"201078B0000"</f>
        <v>201078B0000</v>
      </c>
      <c r="B1882" t="str">
        <f>"201078B00003"</f>
        <v>201078B00003</v>
      </c>
      <c r="C1882" t="str">
        <f t="shared" si="113"/>
        <v>20</v>
      </c>
      <c r="D1882" t="s">
        <v>81</v>
      </c>
      <c r="E1882" t="str">
        <f t="shared" si="112"/>
        <v>182</v>
      </c>
      <c r="F1882" t="s">
        <v>1853</v>
      </c>
      <c r="G1882" t="str">
        <f>"1078"</f>
        <v>1078</v>
      </c>
      <c r="H1882" t="str">
        <f>"0000"</f>
        <v>0000</v>
      </c>
      <c r="I1882" t="s">
        <v>83</v>
      </c>
      <c r="J1882">
        <v>0</v>
      </c>
      <c r="K1882">
        <v>1</v>
      </c>
      <c r="L1882">
        <v>3</v>
      </c>
      <c r="M1882">
        <v>270</v>
      </c>
      <c r="N1882">
        <v>490</v>
      </c>
      <c r="O1882">
        <v>3</v>
      </c>
      <c r="P1882">
        <v>490</v>
      </c>
      <c r="Q1882">
        <v>14</v>
      </c>
      <c r="R1882">
        <v>115</v>
      </c>
      <c r="S1882">
        <v>1</v>
      </c>
      <c r="T1882">
        <v>6</v>
      </c>
      <c r="U1882">
        <v>13</v>
      </c>
      <c r="V1882">
        <v>70</v>
      </c>
      <c r="W1882">
        <v>2</v>
      </c>
      <c r="X1882">
        <v>131</v>
      </c>
      <c r="Y1882">
        <v>80</v>
      </c>
      <c r="Z1882">
        <v>12</v>
      </c>
      <c r="AB1882">
        <v>30</v>
      </c>
      <c r="AO1882">
        <v>0</v>
      </c>
      <c r="AU1882">
        <v>0</v>
      </c>
      <c r="AW1882">
        <v>0</v>
      </c>
      <c r="AX1882">
        <v>16</v>
      </c>
      <c r="AY1882">
        <v>490</v>
      </c>
      <c r="AZ1882">
        <v>490</v>
      </c>
      <c r="BA1882">
        <v>716</v>
      </c>
      <c r="BB1882">
        <v>44</v>
      </c>
      <c r="BD1882">
        <v>1</v>
      </c>
      <c r="BF1882" t="s">
        <v>2040</v>
      </c>
      <c r="BG1882" s="1">
        <v>44354.100694444445</v>
      </c>
      <c r="BH1882" s="1">
        <v>44354.103101851855</v>
      </c>
      <c r="BI1882" s="1">
        <v>44354.103634259256</v>
      </c>
      <c r="BJ1882" t="s">
        <v>85</v>
      </c>
      <c r="BK1882" t="s">
        <v>86</v>
      </c>
      <c r="BL1882" t="s">
        <v>87</v>
      </c>
    </row>
    <row r="1883" spans="1:64" x14ac:dyDescent="0.3">
      <c r="A1883" t="str">
        <f>"201078E0100"</f>
        <v>201078E0100</v>
      </c>
      <c r="B1883" t="str">
        <f>"201078E01003"</f>
        <v>201078E01003</v>
      </c>
      <c r="C1883" t="str">
        <f t="shared" si="113"/>
        <v>20</v>
      </c>
      <c r="D1883" t="s">
        <v>81</v>
      </c>
      <c r="E1883" t="str">
        <f t="shared" si="112"/>
        <v>182</v>
      </c>
      <c r="F1883" t="s">
        <v>1853</v>
      </c>
      <c r="G1883" t="str">
        <f>"1078"</f>
        <v>1078</v>
      </c>
      <c r="H1883" t="str">
        <f>"0001"</f>
        <v>0001</v>
      </c>
      <c r="I1883" t="s">
        <v>122</v>
      </c>
      <c r="J1883">
        <v>0</v>
      </c>
      <c r="K1883">
        <v>1</v>
      </c>
      <c r="L1883">
        <v>3</v>
      </c>
      <c r="M1883">
        <v>275</v>
      </c>
      <c r="N1883">
        <v>456</v>
      </c>
      <c r="O1883">
        <v>2</v>
      </c>
      <c r="P1883">
        <v>456</v>
      </c>
      <c r="Q1883">
        <v>5</v>
      </c>
      <c r="R1883">
        <v>25</v>
      </c>
      <c r="S1883">
        <v>3</v>
      </c>
      <c r="T1883">
        <v>7</v>
      </c>
      <c r="U1883">
        <v>6</v>
      </c>
      <c r="V1883">
        <v>68</v>
      </c>
      <c r="W1883">
        <v>1</v>
      </c>
      <c r="X1883">
        <v>229</v>
      </c>
      <c r="Y1883">
        <v>67</v>
      </c>
      <c r="Z1883">
        <v>4</v>
      </c>
      <c r="AB1883">
        <v>22</v>
      </c>
      <c r="AO1883">
        <v>1</v>
      </c>
      <c r="AU1883">
        <v>0</v>
      </c>
      <c r="AW1883">
        <v>0</v>
      </c>
      <c r="AX1883">
        <v>18</v>
      </c>
      <c r="AY1883">
        <v>456</v>
      </c>
      <c r="AZ1883">
        <v>456</v>
      </c>
      <c r="BA1883">
        <v>687</v>
      </c>
      <c r="BB1883">
        <v>44</v>
      </c>
      <c r="BD1883">
        <v>1</v>
      </c>
      <c r="BF1883" t="s">
        <v>2041</v>
      </c>
      <c r="BG1883" s="1">
        <v>44354.101388888892</v>
      </c>
      <c r="BH1883" s="1">
        <v>44354.103831018518</v>
      </c>
      <c r="BI1883" s="1">
        <v>44354.104687500003</v>
      </c>
      <c r="BJ1883" t="s">
        <v>85</v>
      </c>
      <c r="BK1883" t="s">
        <v>86</v>
      </c>
      <c r="BL1883" t="s">
        <v>87</v>
      </c>
    </row>
    <row r="1884" spans="1:64" x14ac:dyDescent="0.3">
      <c r="A1884" t="str">
        <f>"201079B0000"</f>
        <v>201079B0000</v>
      </c>
      <c r="B1884" t="str">
        <f>"201079B00003"</f>
        <v>201079B00003</v>
      </c>
      <c r="C1884" t="str">
        <f t="shared" si="113"/>
        <v>20</v>
      </c>
      <c r="D1884" t="s">
        <v>81</v>
      </c>
      <c r="E1884" t="str">
        <f t="shared" si="112"/>
        <v>182</v>
      </c>
      <c r="F1884" t="s">
        <v>1853</v>
      </c>
      <c r="G1884" t="str">
        <f>"1079"</f>
        <v>1079</v>
      </c>
      <c r="H1884" t="str">
        <f>"0000"</f>
        <v>0000</v>
      </c>
      <c r="I1884" t="s">
        <v>83</v>
      </c>
      <c r="J1884">
        <v>0</v>
      </c>
      <c r="K1884">
        <v>1</v>
      </c>
      <c r="L1884">
        <v>3</v>
      </c>
      <c r="M1884">
        <v>333</v>
      </c>
      <c r="N1884">
        <v>274</v>
      </c>
      <c r="O1884">
        <v>0</v>
      </c>
      <c r="P1884" t="s">
        <v>92</v>
      </c>
      <c r="Q1884">
        <v>4</v>
      </c>
      <c r="R1884">
        <v>50</v>
      </c>
      <c r="S1884">
        <v>1</v>
      </c>
      <c r="T1884">
        <v>2</v>
      </c>
      <c r="U1884">
        <v>2</v>
      </c>
      <c r="V1884">
        <v>66</v>
      </c>
      <c r="W1884">
        <v>10</v>
      </c>
      <c r="X1884">
        <v>73</v>
      </c>
      <c r="Y1884">
        <v>45</v>
      </c>
      <c r="Z1884">
        <v>5</v>
      </c>
      <c r="AB1884">
        <v>2</v>
      </c>
      <c r="AO1884">
        <v>2</v>
      </c>
      <c r="AU1884" t="s">
        <v>95</v>
      </c>
      <c r="AW1884" t="s">
        <v>95</v>
      </c>
      <c r="AX1884">
        <v>12</v>
      </c>
      <c r="AY1884">
        <v>274</v>
      </c>
      <c r="AZ1884">
        <v>274</v>
      </c>
      <c r="BA1884">
        <v>563</v>
      </c>
      <c r="BB1884">
        <v>44</v>
      </c>
      <c r="BC1884" t="s">
        <v>96</v>
      </c>
      <c r="BD1884">
        <v>1</v>
      </c>
      <c r="BF1884" t="s">
        <v>2042</v>
      </c>
      <c r="BG1884" s="1">
        <v>44354.277083333334</v>
      </c>
      <c r="BH1884" s="1">
        <v>44354.281030092592</v>
      </c>
      <c r="BI1884" s="1">
        <v>44354.2815625</v>
      </c>
      <c r="BJ1884" t="s">
        <v>85</v>
      </c>
      <c r="BK1884" t="s">
        <v>86</v>
      </c>
      <c r="BL1884" t="s">
        <v>87</v>
      </c>
    </row>
    <row r="1885" spans="1:64" x14ac:dyDescent="0.3">
      <c r="A1885" t="str">
        <f>"201079C0100"</f>
        <v>201079C0100</v>
      </c>
      <c r="B1885" t="str">
        <f>"201079C01003"</f>
        <v>201079C01003</v>
      </c>
      <c r="C1885" t="str">
        <f t="shared" si="113"/>
        <v>20</v>
      </c>
      <c r="D1885" t="s">
        <v>81</v>
      </c>
      <c r="E1885" t="str">
        <f t="shared" si="112"/>
        <v>182</v>
      </c>
      <c r="F1885" t="s">
        <v>1853</v>
      </c>
      <c r="G1885" t="str">
        <f>"1079"</f>
        <v>1079</v>
      </c>
      <c r="H1885" t="str">
        <f>"0001"</f>
        <v>0001</v>
      </c>
      <c r="I1885" t="s">
        <v>89</v>
      </c>
      <c r="J1885">
        <v>0</v>
      </c>
      <c r="K1885">
        <v>1</v>
      </c>
      <c r="L1885">
        <v>3</v>
      </c>
      <c r="M1885">
        <v>287</v>
      </c>
      <c r="N1885">
        <v>318</v>
      </c>
      <c r="O1885">
        <v>1</v>
      </c>
      <c r="P1885">
        <v>317</v>
      </c>
      <c r="Q1885">
        <v>1</v>
      </c>
      <c r="R1885">
        <v>50</v>
      </c>
      <c r="S1885">
        <v>3</v>
      </c>
      <c r="T1885">
        <v>2</v>
      </c>
      <c r="U1885">
        <v>1</v>
      </c>
      <c r="V1885">
        <v>71</v>
      </c>
      <c r="W1885">
        <v>11</v>
      </c>
      <c r="X1885">
        <v>109</v>
      </c>
      <c r="Y1885">
        <v>44</v>
      </c>
      <c r="Z1885">
        <v>2</v>
      </c>
      <c r="AB1885">
        <v>4</v>
      </c>
      <c r="AO1885">
        <v>2</v>
      </c>
      <c r="AU1885">
        <v>0</v>
      </c>
      <c r="AW1885">
        <v>0</v>
      </c>
      <c r="AX1885">
        <v>17</v>
      </c>
      <c r="AY1885">
        <v>317</v>
      </c>
      <c r="AZ1885">
        <v>317</v>
      </c>
      <c r="BA1885">
        <v>562</v>
      </c>
      <c r="BB1885">
        <v>44</v>
      </c>
      <c r="BD1885">
        <v>1</v>
      </c>
      <c r="BF1885" t="s">
        <v>2043</v>
      </c>
      <c r="BG1885" s="1">
        <v>44354.280555555553</v>
      </c>
      <c r="BH1885" s="1">
        <v>44354.284918981481</v>
      </c>
      <c r="BI1885" s="1">
        <v>44354.285555555558</v>
      </c>
      <c r="BJ1885" t="s">
        <v>85</v>
      </c>
      <c r="BK1885" t="s">
        <v>86</v>
      </c>
      <c r="BL1885" t="s">
        <v>87</v>
      </c>
    </row>
    <row r="1886" spans="1:64" x14ac:dyDescent="0.3">
      <c r="A1886" t="str">
        <f>"201079C0200"</f>
        <v>201079C0200</v>
      </c>
      <c r="B1886" t="str">
        <f>"201079C02003"</f>
        <v>201079C02003</v>
      </c>
      <c r="C1886" t="str">
        <f t="shared" si="113"/>
        <v>20</v>
      </c>
      <c r="D1886" t="s">
        <v>81</v>
      </c>
      <c r="E1886" t="str">
        <f t="shared" si="112"/>
        <v>182</v>
      </c>
      <c r="F1886" t="s">
        <v>1853</v>
      </c>
      <c r="G1886" t="str">
        <f>"1079"</f>
        <v>1079</v>
      </c>
      <c r="H1886" t="str">
        <f>"0002"</f>
        <v>0002</v>
      </c>
      <c r="I1886" t="s">
        <v>89</v>
      </c>
      <c r="J1886">
        <v>0</v>
      </c>
      <c r="K1886">
        <v>1</v>
      </c>
      <c r="L1886">
        <v>3</v>
      </c>
      <c r="M1886">
        <v>290</v>
      </c>
      <c r="N1886">
        <v>315</v>
      </c>
      <c r="O1886">
        <v>0</v>
      </c>
      <c r="P1886">
        <v>317</v>
      </c>
      <c r="Q1886">
        <v>2</v>
      </c>
      <c r="R1886">
        <v>39</v>
      </c>
      <c r="S1886">
        <v>3</v>
      </c>
      <c r="T1886">
        <v>0</v>
      </c>
      <c r="U1886">
        <v>3</v>
      </c>
      <c r="V1886">
        <v>62</v>
      </c>
      <c r="W1886">
        <v>14</v>
      </c>
      <c r="X1886">
        <v>99</v>
      </c>
      <c r="Y1886">
        <v>55</v>
      </c>
      <c r="Z1886">
        <v>11</v>
      </c>
      <c r="AB1886">
        <v>11</v>
      </c>
      <c r="AO1886">
        <v>1</v>
      </c>
      <c r="AU1886">
        <v>0</v>
      </c>
      <c r="AW1886">
        <v>0</v>
      </c>
      <c r="AX1886">
        <v>17</v>
      </c>
      <c r="AY1886">
        <v>317</v>
      </c>
      <c r="AZ1886">
        <v>317</v>
      </c>
      <c r="BA1886">
        <v>562</v>
      </c>
      <c r="BB1886">
        <v>44</v>
      </c>
      <c r="BD1886">
        <v>1</v>
      </c>
      <c r="BF1886" t="s">
        <v>2044</v>
      </c>
      <c r="BG1886" s="1">
        <v>44354.27847222222</v>
      </c>
      <c r="BH1886" s="1">
        <v>44354.2815625</v>
      </c>
      <c r="BI1886" s="1">
        <v>44354.282037037039</v>
      </c>
      <c r="BJ1886" t="s">
        <v>85</v>
      </c>
      <c r="BK1886" t="s">
        <v>86</v>
      </c>
      <c r="BL1886" t="s">
        <v>87</v>
      </c>
    </row>
    <row r="1887" spans="1:64" x14ac:dyDescent="0.3">
      <c r="A1887" t="str">
        <f>"201080B0000"</f>
        <v>201080B0000</v>
      </c>
      <c r="B1887" t="str">
        <f>"201080B00003"</f>
        <v>201080B00003</v>
      </c>
      <c r="C1887" t="str">
        <f t="shared" si="113"/>
        <v>20</v>
      </c>
      <c r="D1887" t="s">
        <v>81</v>
      </c>
      <c r="E1887" t="str">
        <f t="shared" si="112"/>
        <v>182</v>
      </c>
      <c r="F1887" t="s">
        <v>1853</v>
      </c>
      <c r="G1887" t="str">
        <f>"1080"</f>
        <v>1080</v>
      </c>
      <c r="H1887" t="str">
        <f>"0000"</f>
        <v>0000</v>
      </c>
      <c r="I1887" t="s">
        <v>83</v>
      </c>
      <c r="J1887">
        <v>0</v>
      </c>
      <c r="K1887">
        <v>1</v>
      </c>
      <c r="L1887">
        <v>3</v>
      </c>
      <c r="M1887">
        <v>265</v>
      </c>
      <c r="N1887">
        <v>281</v>
      </c>
      <c r="O1887">
        <v>0</v>
      </c>
      <c r="P1887">
        <v>281</v>
      </c>
      <c r="Q1887">
        <v>4</v>
      </c>
      <c r="R1887">
        <v>79</v>
      </c>
      <c r="S1887">
        <v>2</v>
      </c>
      <c r="T1887">
        <v>2</v>
      </c>
      <c r="U1887">
        <v>1</v>
      </c>
      <c r="V1887">
        <v>30</v>
      </c>
      <c r="W1887">
        <v>1</v>
      </c>
      <c r="X1887">
        <v>69</v>
      </c>
      <c r="Y1887">
        <v>71</v>
      </c>
      <c r="Z1887">
        <v>2</v>
      </c>
      <c r="AB1887">
        <v>9</v>
      </c>
      <c r="AO1887">
        <v>2</v>
      </c>
      <c r="AU1887">
        <v>1</v>
      </c>
      <c r="AW1887">
        <v>0</v>
      </c>
      <c r="AX1887">
        <v>5</v>
      </c>
      <c r="AY1887">
        <v>281</v>
      </c>
      <c r="AZ1887">
        <v>278</v>
      </c>
      <c r="BA1887">
        <v>502</v>
      </c>
      <c r="BB1887">
        <v>44</v>
      </c>
      <c r="BD1887">
        <v>1</v>
      </c>
      <c r="BF1887" t="s">
        <v>2045</v>
      </c>
      <c r="BG1887" s="1">
        <v>44354.327777777777</v>
      </c>
      <c r="BH1887" s="1">
        <v>44354.332037037035</v>
      </c>
      <c r="BI1887" s="1">
        <v>44354.33284722222</v>
      </c>
      <c r="BJ1887" t="s">
        <v>85</v>
      </c>
      <c r="BK1887" t="s">
        <v>86</v>
      </c>
      <c r="BL1887" t="s">
        <v>87</v>
      </c>
    </row>
    <row r="1888" spans="1:64" x14ac:dyDescent="0.3">
      <c r="A1888" t="str">
        <f>"201080C0100"</f>
        <v>201080C0100</v>
      </c>
      <c r="B1888" t="str">
        <f>"201080C01003"</f>
        <v>201080C01003</v>
      </c>
      <c r="C1888" t="str">
        <f t="shared" si="113"/>
        <v>20</v>
      </c>
      <c r="D1888" t="s">
        <v>81</v>
      </c>
      <c r="E1888" t="str">
        <f t="shared" si="112"/>
        <v>182</v>
      </c>
      <c r="F1888" t="s">
        <v>1853</v>
      </c>
      <c r="G1888" t="str">
        <f>"1080"</f>
        <v>1080</v>
      </c>
      <c r="H1888" t="str">
        <f>"0001"</f>
        <v>0001</v>
      </c>
      <c r="I1888" t="s">
        <v>89</v>
      </c>
      <c r="J1888">
        <v>0</v>
      </c>
      <c r="K1888">
        <v>1</v>
      </c>
      <c r="L1888">
        <v>3</v>
      </c>
      <c r="M1888">
        <v>251</v>
      </c>
      <c r="N1888">
        <v>294</v>
      </c>
      <c r="O1888">
        <v>0</v>
      </c>
      <c r="P1888">
        <v>293</v>
      </c>
      <c r="Q1888">
        <v>5</v>
      </c>
      <c r="R1888">
        <v>79</v>
      </c>
      <c r="S1888">
        <v>2</v>
      </c>
      <c r="T1888">
        <v>1</v>
      </c>
      <c r="U1888">
        <v>2</v>
      </c>
      <c r="V1888">
        <v>27</v>
      </c>
      <c r="W1888">
        <v>3</v>
      </c>
      <c r="X1888">
        <v>82</v>
      </c>
      <c r="Y1888">
        <v>69</v>
      </c>
      <c r="Z1888">
        <v>3</v>
      </c>
      <c r="AB1888">
        <v>14</v>
      </c>
      <c r="AO1888">
        <v>1</v>
      </c>
      <c r="AU1888">
        <v>0</v>
      </c>
      <c r="AW1888">
        <v>0</v>
      </c>
      <c r="AX1888">
        <v>5</v>
      </c>
      <c r="AY1888">
        <v>293</v>
      </c>
      <c r="AZ1888">
        <v>293</v>
      </c>
      <c r="BA1888">
        <v>501</v>
      </c>
      <c r="BB1888">
        <v>44</v>
      </c>
      <c r="BD1888">
        <v>1</v>
      </c>
      <c r="BF1888" t="s">
        <v>2046</v>
      </c>
      <c r="BG1888" s="1">
        <v>44354.32708333333</v>
      </c>
      <c r="BH1888" s="1">
        <v>44354.330092592594</v>
      </c>
      <c r="BI1888" s="1">
        <v>44354.330555555556</v>
      </c>
      <c r="BJ1888" t="s">
        <v>85</v>
      </c>
      <c r="BK1888" t="s">
        <v>86</v>
      </c>
      <c r="BL1888" t="s">
        <v>87</v>
      </c>
    </row>
    <row r="1889" spans="1:64" x14ac:dyDescent="0.3">
      <c r="A1889" t="str">
        <f>"201081B0000"</f>
        <v>201081B0000</v>
      </c>
      <c r="B1889" t="str">
        <f>"201081B00003"</f>
        <v>201081B00003</v>
      </c>
      <c r="C1889" t="str">
        <f t="shared" si="113"/>
        <v>20</v>
      </c>
      <c r="D1889" t="s">
        <v>81</v>
      </c>
      <c r="E1889" t="str">
        <f t="shared" ref="E1889:E1901" si="114">"182"</f>
        <v>182</v>
      </c>
      <c r="F1889" t="s">
        <v>1853</v>
      </c>
      <c r="G1889" t="str">
        <f>"1081"</f>
        <v>1081</v>
      </c>
      <c r="H1889" t="str">
        <f>"0000"</f>
        <v>0000</v>
      </c>
      <c r="I1889" t="s">
        <v>83</v>
      </c>
      <c r="J1889">
        <v>0</v>
      </c>
      <c r="K1889">
        <v>1</v>
      </c>
      <c r="L1889">
        <v>3</v>
      </c>
      <c r="M1889">
        <v>205</v>
      </c>
      <c r="N1889">
        <v>260</v>
      </c>
      <c r="O1889">
        <v>0</v>
      </c>
      <c r="P1889" t="s">
        <v>92</v>
      </c>
      <c r="Q1889">
        <v>4</v>
      </c>
      <c r="R1889">
        <v>55</v>
      </c>
      <c r="S1889">
        <v>2</v>
      </c>
      <c r="T1889">
        <v>5</v>
      </c>
      <c r="U1889">
        <v>5</v>
      </c>
      <c r="V1889">
        <v>14</v>
      </c>
      <c r="W1889">
        <v>2</v>
      </c>
      <c r="X1889">
        <v>103</v>
      </c>
      <c r="Y1889">
        <v>47</v>
      </c>
      <c r="Z1889">
        <v>3</v>
      </c>
      <c r="AB1889">
        <v>15</v>
      </c>
      <c r="AO1889" t="s">
        <v>95</v>
      </c>
      <c r="AU1889" t="s">
        <v>95</v>
      </c>
      <c r="AW1889" t="s">
        <v>95</v>
      </c>
      <c r="AX1889" t="s">
        <v>95</v>
      </c>
      <c r="AY1889" t="s">
        <v>95</v>
      </c>
      <c r="AZ1889">
        <v>255</v>
      </c>
      <c r="BA1889">
        <v>421</v>
      </c>
      <c r="BB1889">
        <v>44</v>
      </c>
      <c r="BC1889" t="s">
        <v>96</v>
      </c>
      <c r="BD1889">
        <v>1</v>
      </c>
      <c r="BF1889" t="s">
        <v>2047</v>
      </c>
      <c r="BG1889" s="1">
        <v>44354.319444444445</v>
      </c>
      <c r="BH1889" s="1">
        <v>44354.321412037039</v>
      </c>
      <c r="BI1889" s="1">
        <v>44354.321956018517</v>
      </c>
      <c r="BJ1889" t="s">
        <v>85</v>
      </c>
      <c r="BK1889" t="s">
        <v>86</v>
      </c>
      <c r="BL1889" t="s">
        <v>87</v>
      </c>
    </row>
    <row r="1890" spans="1:64" x14ac:dyDescent="0.3">
      <c r="A1890" t="str">
        <f>"201081C0100"</f>
        <v>201081C0100</v>
      </c>
      <c r="B1890" t="str">
        <f>"201081C01003"</f>
        <v>201081C01003</v>
      </c>
      <c r="C1890" t="str">
        <f t="shared" si="113"/>
        <v>20</v>
      </c>
      <c r="D1890" t="s">
        <v>81</v>
      </c>
      <c r="E1890" t="str">
        <f t="shared" si="114"/>
        <v>182</v>
      </c>
      <c r="F1890" t="s">
        <v>1853</v>
      </c>
      <c r="G1890" t="str">
        <f>"1081"</f>
        <v>1081</v>
      </c>
      <c r="H1890" t="str">
        <f>"0001"</f>
        <v>0001</v>
      </c>
      <c r="I1890" t="s">
        <v>89</v>
      </c>
      <c r="J1890">
        <v>0</v>
      </c>
      <c r="K1890">
        <v>1</v>
      </c>
      <c r="L1890">
        <v>3</v>
      </c>
      <c r="M1890" t="s">
        <v>92</v>
      </c>
      <c r="N1890" t="s">
        <v>92</v>
      </c>
      <c r="O1890" t="s">
        <v>92</v>
      </c>
      <c r="P1890">
        <v>257</v>
      </c>
      <c r="Q1890">
        <v>6</v>
      </c>
      <c r="R1890">
        <v>38</v>
      </c>
      <c r="S1890">
        <v>0</v>
      </c>
      <c r="T1890">
        <v>3</v>
      </c>
      <c r="U1890">
        <v>1</v>
      </c>
      <c r="V1890">
        <v>18</v>
      </c>
      <c r="W1890">
        <v>0</v>
      </c>
      <c r="X1890">
        <v>68</v>
      </c>
      <c r="Y1890">
        <v>108</v>
      </c>
      <c r="Z1890">
        <v>1</v>
      </c>
      <c r="AB1890">
        <v>9</v>
      </c>
      <c r="AO1890">
        <v>0</v>
      </c>
      <c r="AU1890">
        <v>0</v>
      </c>
      <c r="AW1890">
        <v>0</v>
      </c>
      <c r="AX1890">
        <v>5</v>
      </c>
      <c r="AY1890">
        <v>257</v>
      </c>
      <c r="AZ1890">
        <v>257</v>
      </c>
      <c r="BA1890">
        <v>420</v>
      </c>
      <c r="BB1890">
        <v>44</v>
      </c>
      <c r="BD1890">
        <v>1</v>
      </c>
      <c r="BF1890" t="s">
        <v>2048</v>
      </c>
      <c r="BG1890" s="1">
        <v>44354.322916666664</v>
      </c>
      <c r="BH1890" s="1">
        <v>44354.324895833335</v>
      </c>
      <c r="BI1890" s="1">
        <v>44354.325358796297</v>
      </c>
      <c r="BJ1890" t="s">
        <v>85</v>
      </c>
      <c r="BK1890" t="s">
        <v>86</v>
      </c>
      <c r="BL1890" t="s">
        <v>87</v>
      </c>
    </row>
    <row r="1891" spans="1:64" x14ac:dyDescent="0.3">
      <c r="A1891" t="str">
        <f>"201081E0100"</f>
        <v>201081E0100</v>
      </c>
      <c r="B1891" t="str">
        <f>"201081E01003"</f>
        <v>201081E01003</v>
      </c>
      <c r="C1891" t="str">
        <f t="shared" si="113"/>
        <v>20</v>
      </c>
      <c r="D1891" t="s">
        <v>81</v>
      </c>
      <c r="E1891" t="str">
        <f t="shared" si="114"/>
        <v>182</v>
      </c>
      <c r="F1891" t="s">
        <v>1853</v>
      </c>
      <c r="G1891" t="str">
        <f>"1081"</f>
        <v>1081</v>
      </c>
      <c r="H1891" t="str">
        <f>"0001"</f>
        <v>0001</v>
      </c>
      <c r="I1891" t="s">
        <v>122</v>
      </c>
      <c r="J1891">
        <v>0</v>
      </c>
      <c r="K1891">
        <v>1</v>
      </c>
      <c r="L1891">
        <v>3</v>
      </c>
      <c r="M1891">
        <v>153</v>
      </c>
      <c r="N1891">
        <v>182</v>
      </c>
      <c r="O1891">
        <v>2</v>
      </c>
      <c r="P1891">
        <v>182</v>
      </c>
      <c r="Q1891">
        <v>4</v>
      </c>
      <c r="R1891">
        <v>34</v>
      </c>
      <c r="S1891">
        <v>0</v>
      </c>
      <c r="T1891">
        <v>2</v>
      </c>
      <c r="U1891">
        <v>6</v>
      </c>
      <c r="V1891">
        <v>22</v>
      </c>
      <c r="W1891">
        <v>1</v>
      </c>
      <c r="X1891">
        <v>45</v>
      </c>
      <c r="Y1891">
        <v>50</v>
      </c>
      <c r="Z1891">
        <v>5</v>
      </c>
      <c r="AB1891">
        <v>9</v>
      </c>
      <c r="AO1891">
        <v>1</v>
      </c>
      <c r="AU1891">
        <v>0</v>
      </c>
      <c r="AW1891">
        <v>0</v>
      </c>
      <c r="AX1891">
        <v>3</v>
      </c>
      <c r="AY1891">
        <v>182</v>
      </c>
      <c r="AZ1891">
        <v>182</v>
      </c>
      <c r="BA1891">
        <v>291</v>
      </c>
      <c r="BB1891">
        <v>44</v>
      </c>
      <c r="BD1891">
        <v>1</v>
      </c>
      <c r="BF1891" t="s">
        <v>2049</v>
      </c>
      <c r="BG1891" s="1">
        <v>44354.328472222223</v>
      </c>
      <c r="BH1891" s="1">
        <v>44354.330613425926</v>
      </c>
      <c r="BI1891" s="1">
        <v>44354.330949074072</v>
      </c>
      <c r="BJ1891" t="s">
        <v>85</v>
      </c>
      <c r="BK1891" t="s">
        <v>86</v>
      </c>
      <c r="BL1891" t="s">
        <v>87</v>
      </c>
    </row>
    <row r="1892" spans="1:64" x14ac:dyDescent="0.3">
      <c r="A1892" t="str">
        <f>"201081E0200"</f>
        <v>201081E0200</v>
      </c>
      <c r="B1892" t="str">
        <f>"201081E02003"</f>
        <v>201081E02003</v>
      </c>
      <c r="C1892" t="str">
        <f t="shared" si="113"/>
        <v>20</v>
      </c>
      <c r="D1892" t="s">
        <v>81</v>
      </c>
      <c r="E1892" t="str">
        <f t="shared" si="114"/>
        <v>182</v>
      </c>
      <c r="F1892" t="s">
        <v>1853</v>
      </c>
      <c r="G1892" t="str">
        <f>"1081"</f>
        <v>1081</v>
      </c>
      <c r="H1892" t="str">
        <f>"0002"</f>
        <v>0002</v>
      </c>
      <c r="I1892" t="s">
        <v>122</v>
      </c>
      <c r="J1892">
        <v>0</v>
      </c>
      <c r="K1892">
        <v>1</v>
      </c>
      <c r="L1892">
        <v>3</v>
      </c>
      <c r="M1892">
        <v>207</v>
      </c>
      <c r="N1892">
        <v>232</v>
      </c>
      <c r="O1892">
        <v>2</v>
      </c>
      <c r="P1892">
        <v>232</v>
      </c>
      <c r="Q1892">
        <v>7</v>
      </c>
      <c r="R1892">
        <v>16</v>
      </c>
      <c r="S1892">
        <v>0</v>
      </c>
      <c r="T1892">
        <v>6</v>
      </c>
      <c r="U1892">
        <v>6</v>
      </c>
      <c r="V1892">
        <v>49</v>
      </c>
      <c r="W1892">
        <v>1</v>
      </c>
      <c r="X1892">
        <v>64</v>
      </c>
      <c r="Y1892">
        <v>74</v>
      </c>
      <c r="Z1892">
        <v>0</v>
      </c>
      <c r="AB1892">
        <v>3</v>
      </c>
      <c r="AO1892">
        <v>1</v>
      </c>
      <c r="AU1892">
        <v>0</v>
      </c>
      <c r="AW1892">
        <v>0</v>
      </c>
      <c r="AX1892">
        <v>5</v>
      </c>
      <c r="AY1892">
        <v>232</v>
      </c>
      <c r="AZ1892">
        <v>232</v>
      </c>
      <c r="BA1892">
        <v>395</v>
      </c>
      <c r="BB1892">
        <v>44</v>
      </c>
      <c r="BD1892">
        <v>1</v>
      </c>
      <c r="BF1892" t="s">
        <v>2050</v>
      </c>
      <c r="BG1892" s="1">
        <v>44354.330555555556</v>
      </c>
      <c r="BH1892" s="1">
        <v>44354.332430555558</v>
      </c>
      <c r="BI1892" s="1">
        <v>44354.332962962966</v>
      </c>
      <c r="BJ1892" t="s">
        <v>85</v>
      </c>
      <c r="BK1892" t="s">
        <v>86</v>
      </c>
      <c r="BL1892" t="s">
        <v>1390</v>
      </c>
    </row>
    <row r="1893" spans="1:64" x14ac:dyDescent="0.3">
      <c r="A1893" t="str">
        <f>"201082B0000"</f>
        <v>201082B0000</v>
      </c>
      <c r="B1893" t="str">
        <f>"201082B00003"</f>
        <v>201082B00003</v>
      </c>
      <c r="C1893" t="str">
        <f t="shared" si="113"/>
        <v>20</v>
      </c>
      <c r="D1893" t="s">
        <v>81</v>
      </c>
      <c r="E1893" t="str">
        <f t="shared" si="114"/>
        <v>182</v>
      </c>
      <c r="F1893" t="s">
        <v>1853</v>
      </c>
      <c r="G1893" t="str">
        <f>"1082"</f>
        <v>1082</v>
      </c>
      <c r="H1893" t="str">
        <f>"0000"</f>
        <v>0000</v>
      </c>
      <c r="I1893" t="s">
        <v>83</v>
      </c>
      <c r="J1893">
        <v>0</v>
      </c>
      <c r="K1893">
        <v>1</v>
      </c>
      <c r="L1893">
        <v>3</v>
      </c>
      <c r="M1893">
        <v>241</v>
      </c>
      <c r="N1893">
        <v>390</v>
      </c>
      <c r="O1893">
        <v>0</v>
      </c>
      <c r="P1893">
        <v>390</v>
      </c>
      <c r="Q1893">
        <v>4</v>
      </c>
      <c r="R1893">
        <v>55</v>
      </c>
      <c r="S1893">
        <v>2</v>
      </c>
      <c r="T1893">
        <v>5</v>
      </c>
      <c r="U1893">
        <v>3</v>
      </c>
      <c r="V1893">
        <v>86</v>
      </c>
      <c r="W1893">
        <v>0</v>
      </c>
      <c r="X1893">
        <v>139</v>
      </c>
      <c r="Y1893">
        <v>75</v>
      </c>
      <c r="Z1893">
        <v>4</v>
      </c>
      <c r="AB1893">
        <v>9</v>
      </c>
      <c r="AO1893">
        <v>0</v>
      </c>
      <c r="AU1893">
        <v>0</v>
      </c>
      <c r="AW1893">
        <v>0</v>
      </c>
      <c r="AX1893">
        <v>8</v>
      </c>
      <c r="AY1893">
        <v>390</v>
      </c>
      <c r="AZ1893">
        <v>390</v>
      </c>
      <c r="BA1893">
        <v>587</v>
      </c>
      <c r="BB1893">
        <v>44</v>
      </c>
      <c r="BD1893">
        <v>1</v>
      </c>
      <c r="BF1893" t="s">
        <v>2051</v>
      </c>
      <c r="BG1893" s="1">
        <v>44354.323611111111</v>
      </c>
      <c r="BH1893" s="1">
        <v>44354.326249999998</v>
      </c>
      <c r="BI1893" s="1">
        <v>44354.326655092591</v>
      </c>
      <c r="BJ1893" t="s">
        <v>85</v>
      </c>
      <c r="BK1893" t="s">
        <v>86</v>
      </c>
      <c r="BL1893" t="s">
        <v>87</v>
      </c>
    </row>
    <row r="1894" spans="1:64" x14ac:dyDescent="0.3">
      <c r="A1894" t="str">
        <f>"201083B0000"</f>
        <v>201083B0000</v>
      </c>
      <c r="B1894" t="str">
        <f>"201083B00003"</f>
        <v>201083B00003</v>
      </c>
      <c r="C1894" t="str">
        <f t="shared" si="113"/>
        <v>20</v>
      </c>
      <c r="D1894" t="s">
        <v>81</v>
      </c>
      <c r="E1894" t="str">
        <f t="shared" si="114"/>
        <v>182</v>
      </c>
      <c r="F1894" t="s">
        <v>1853</v>
      </c>
      <c r="G1894" t="str">
        <f>"1083"</f>
        <v>1083</v>
      </c>
      <c r="H1894" t="str">
        <f>"0000"</f>
        <v>0000</v>
      </c>
      <c r="I1894" t="s">
        <v>83</v>
      </c>
      <c r="J1894">
        <v>0</v>
      </c>
      <c r="K1894">
        <v>1</v>
      </c>
      <c r="L1894">
        <v>3</v>
      </c>
      <c r="M1894">
        <v>305</v>
      </c>
      <c r="N1894">
        <v>673</v>
      </c>
      <c r="O1894">
        <v>8</v>
      </c>
      <c r="P1894">
        <v>368</v>
      </c>
      <c r="Q1894">
        <v>2</v>
      </c>
      <c r="R1894">
        <v>36</v>
      </c>
      <c r="S1894">
        <v>0</v>
      </c>
      <c r="T1894">
        <v>2</v>
      </c>
      <c r="U1894">
        <v>6</v>
      </c>
      <c r="V1894">
        <v>51</v>
      </c>
      <c r="W1894">
        <v>3</v>
      </c>
      <c r="X1894">
        <v>136</v>
      </c>
      <c r="Y1894">
        <v>80</v>
      </c>
      <c r="Z1894">
        <v>6</v>
      </c>
      <c r="AB1894">
        <v>37</v>
      </c>
      <c r="AO1894">
        <v>0</v>
      </c>
      <c r="AU1894">
        <v>0</v>
      </c>
      <c r="AW1894">
        <v>0</v>
      </c>
      <c r="AX1894">
        <v>9</v>
      </c>
      <c r="AY1894">
        <v>368</v>
      </c>
      <c r="AZ1894">
        <v>368</v>
      </c>
      <c r="BA1894">
        <v>629</v>
      </c>
      <c r="BB1894">
        <v>44</v>
      </c>
      <c r="BD1894">
        <v>1</v>
      </c>
      <c r="BF1894" t="s">
        <v>2052</v>
      </c>
      <c r="BG1894" s="1">
        <v>44354.050694444442</v>
      </c>
      <c r="BH1894" s="1">
        <v>44354.057951388888</v>
      </c>
      <c r="BI1894" s="1">
        <v>44354.058483796296</v>
      </c>
      <c r="BJ1894" t="s">
        <v>85</v>
      </c>
      <c r="BK1894" t="s">
        <v>86</v>
      </c>
      <c r="BL1894" t="s">
        <v>87</v>
      </c>
    </row>
    <row r="1895" spans="1:64" x14ac:dyDescent="0.3">
      <c r="A1895" t="str">
        <f>"201083C0100"</f>
        <v>201083C0100</v>
      </c>
      <c r="B1895" t="str">
        <f>"201083C01003"</f>
        <v>201083C01003</v>
      </c>
      <c r="C1895" t="str">
        <f t="shared" si="113"/>
        <v>20</v>
      </c>
      <c r="D1895" t="s">
        <v>81</v>
      </c>
      <c r="E1895" t="str">
        <f t="shared" si="114"/>
        <v>182</v>
      </c>
      <c r="F1895" t="s">
        <v>1853</v>
      </c>
      <c r="G1895" t="str">
        <f>"1083"</f>
        <v>1083</v>
      </c>
      <c r="H1895" t="str">
        <f>"0001"</f>
        <v>0001</v>
      </c>
      <c r="I1895" t="s">
        <v>89</v>
      </c>
      <c r="J1895">
        <v>0</v>
      </c>
      <c r="K1895">
        <v>1</v>
      </c>
      <c r="L1895">
        <v>3</v>
      </c>
      <c r="M1895">
        <v>300</v>
      </c>
      <c r="N1895">
        <v>372</v>
      </c>
      <c r="O1895">
        <v>4</v>
      </c>
      <c r="P1895" t="s">
        <v>92</v>
      </c>
      <c r="Q1895">
        <v>4</v>
      </c>
      <c r="R1895">
        <v>34</v>
      </c>
      <c r="S1895">
        <v>1</v>
      </c>
      <c r="T1895">
        <v>4</v>
      </c>
      <c r="U1895">
        <v>1</v>
      </c>
      <c r="V1895">
        <v>55</v>
      </c>
      <c r="W1895">
        <v>1</v>
      </c>
      <c r="X1895">
        <v>129</v>
      </c>
      <c r="Y1895">
        <v>88</v>
      </c>
      <c r="Z1895">
        <v>4</v>
      </c>
      <c r="AB1895">
        <v>35</v>
      </c>
      <c r="AO1895">
        <v>1</v>
      </c>
      <c r="AU1895">
        <v>0</v>
      </c>
      <c r="AW1895">
        <v>0</v>
      </c>
      <c r="AX1895">
        <v>15</v>
      </c>
      <c r="AY1895">
        <v>372</v>
      </c>
      <c r="AZ1895">
        <v>372</v>
      </c>
      <c r="BA1895">
        <v>628</v>
      </c>
      <c r="BB1895">
        <v>44</v>
      </c>
      <c r="BD1895">
        <v>1</v>
      </c>
      <c r="BF1895" t="s">
        <v>2053</v>
      </c>
      <c r="BG1895" s="1">
        <v>44354.05</v>
      </c>
      <c r="BH1895" s="1">
        <v>44354.056979166664</v>
      </c>
      <c r="BI1895" s="1">
        <v>44354.057581018518</v>
      </c>
      <c r="BJ1895" t="s">
        <v>85</v>
      </c>
      <c r="BK1895" t="s">
        <v>86</v>
      </c>
      <c r="BL1895" t="s">
        <v>87</v>
      </c>
    </row>
    <row r="1896" spans="1:64" x14ac:dyDescent="0.3">
      <c r="A1896" t="str">
        <f>"202457B0000"</f>
        <v>202457B0000</v>
      </c>
      <c r="B1896" t="str">
        <f>"202457B00003"</f>
        <v>202457B00003</v>
      </c>
      <c r="C1896" t="str">
        <f t="shared" si="113"/>
        <v>20</v>
      </c>
      <c r="D1896" t="s">
        <v>81</v>
      </c>
      <c r="E1896" t="str">
        <f t="shared" si="114"/>
        <v>182</v>
      </c>
      <c r="F1896" t="s">
        <v>1853</v>
      </c>
      <c r="G1896" t="str">
        <f>"2457"</f>
        <v>2457</v>
      </c>
      <c r="H1896" t="str">
        <f>"0000"</f>
        <v>0000</v>
      </c>
      <c r="I1896" t="s">
        <v>83</v>
      </c>
      <c r="J1896">
        <v>0</v>
      </c>
      <c r="K1896">
        <v>1</v>
      </c>
      <c r="L1896">
        <v>3</v>
      </c>
      <c r="M1896">
        <v>341</v>
      </c>
      <c r="N1896">
        <v>376</v>
      </c>
      <c r="O1896">
        <v>2</v>
      </c>
      <c r="P1896">
        <v>375</v>
      </c>
      <c r="Q1896">
        <v>9</v>
      </c>
      <c r="R1896">
        <v>47</v>
      </c>
      <c r="S1896">
        <v>0</v>
      </c>
      <c r="T1896">
        <v>0</v>
      </c>
      <c r="U1896">
        <v>3</v>
      </c>
      <c r="V1896">
        <v>46</v>
      </c>
      <c r="W1896">
        <v>2</v>
      </c>
      <c r="X1896">
        <v>157</v>
      </c>
      <c r="Y1896">
        <v>61</v>
      </c>
      <c r="Z1896">
        <v>2</v>
      </c>
      <c r="AB1896">
        <v>35</v>
      </c>
      <c r="AO1896">
        <v>3</v>
      </c>
      <c r="AU1896">
        <v>0</v>
      </c>
      <c r="AW1896">
        <v>0</v>
      </c>
      <c r="AX1896">
        <v>10</v>
      </c>
      <c r="AY1896">
        <v>375</v>
      </c>
      <c r="AZ1896">
        <v>375</v>
      </c>
      <c r="BA1896">
        <v>673</v>
      </c>
      <c r="BB1896">
        <v>44</v>
      </c>
      <c r="BD1896">
        <v>1</v>
      </c>
      <c r="BF1896" t="s">
        <v>2054</v>
      </c>
      <c r="BG1896" s="1">
        <v>44354.160416666666</v>
      </c>
      <c r="BH1896" s="1">
        <v>44354.16238425926</v>
      </c>
      <c r="BI1896" s="1">
        <v>44354.162881944445</v>
      </c>
      <c r="BJ1896" t="s">
        <v>85</v>
      </c>
      <c r="BK1896" t="s">
        <v>86</v>
      </c>
      <c r="BL1896" t="s">
        <v>87</v>
      </c>
    </row>
    <row r="1897" spans="1:64" x14ac:dyDescent="0.3">
      <c r="A1897" t="str">
        <f>"202457C0100"</f>
        <v>202457C0100</v>
      </c>
      <c r="B1897" t="str">
        <f>"202457C01003"</f>
        <v>202457C01003</v>
      </c>
      <c r="C1897" t="str">
        <f t="shared" si="113"/>
        <v>20</v>
      </c>
      <c r="D1897" t="s">
        <v>81</v>
      </c>
      <c r="E1897" t="str">
        <f t="shared" si="114"/>
        <v>182</v>
      </c>
      <c r="F1897" t="s">
        <v>1853</v>
      </c>
      <c r="G1897" t="str">
        <f>"2457"</f>
        <v>2457</v>
      </c>
      <c r="H1897" t="str">
        <f>"0001"</f>
        <v>0001</v>
      </c>
      <c r="I1897" t="s">
        <v>89</v>
      </c>
      <c r="J1897">
        <v>0</v>
      </c>
      <c r="K1897">
        <v>1</v>
      </c>
      <c r="L1897">
        <v>3</v>
      </c>
      <c r="M1897">
        <v>323</v>
      </c>
      <c r="N1897">
        <v>394</v>
      </c>
      <c r="O1897">
        <v>4</v>
      </c>
      <c r="P1897" t="s">
        <v>92</v>
      </c>
      <c r="Q1897">
        <v>5</v>
      </c>
      <c r="R1897">
        <v>48</v>
      </c>
      <c r="S1897" t="s">
        <v>95</v>
      </c>
      <c r="T1897">
        <v>2</v>
      </c>
      <c r="U1897">
        <v>1</v>
      </c>
      <c r="V1897">
        <v>44</v>
      </c>
      <c r="W1897">
        <v>6</v>
      </c>
      <c r="X1897">
        <v>166</v>
      </c>
      <c r="Y1897">
        <v>65</v>
      </c>
      <c r="Z1897">
        <v>5</v>
      </c>
      <c r="AB1897">
        <v>47</v>
      </c>
      <c r="AO1897">
        <v>1</v>
      </c>
      <c r="AU1897" t="s">
        <v>95</v>
      </c>
      <c r="AW1897" t="s">
        <v>95</v>
      </c>
      <c r="AX1897">
        <v>4</v>
      </c>
      <c r="AY1897">
        <v>394</v>
      </c>
      <c r="AZ1897">
        <v>394</v>
      </c>
      <c r="BA1897">
        <v>673</v>
      </c>
      <c r="BB1897">
        <v>44</v>
      </c>
      <c r="BC1897" t="s">
        <v>96</v>
      </c>
      <c r="BD1897">
        <v>1</v>
      </c>
      <c r="BF1897" t="s">
        <v>2055</v>
      </c>
      <c r="BG1897" s="1">
        <v>44354.164583333331</v>
      </c>
      <c r="BH1897" s="1">
        <v>44354.168356481481</v>
      </c>
      <c r="BI1897" s="1">
        <v>44354.169004629628</v>
      </c>
      <c r="BJ1897" t="s">
        <v>85</v>
      </c>
      <c r="BK1897" t="s">
        <v>86</v>
      </c>
      <c r="BL1897" t="s">
        <v>87</v>
      </c>
    </row>
    <row r="1898" spans="1:64" x14ac:dyDescent="0.3">
      <c r="A1898" t="str">
        <f>"202457C0200"</f>
        <v>202457C0200</v>
      </c>
      <c r="B1898" t="str">
        <f>"202457C02003"</f>
        <v>202457C02003</v>
      </c>
      <c r="C1898" t="str">
        <f t="shared" si="113"/>
        <v>20</v>
      </c>
      <c r="D1898" t="s">
        <v>81</v>
      </c>
      <c r="E1898" t="str">
        <f t="shared" si="114"/>
        <v>182</v>
      </c>
      <c r="F1898" t="s">
        <v>1853</v>
      </c>
      <c r="G1898" t="str">
        <f>"2457"</f>
        <v>2457</v>
      </c>
      <c r="H1898" t="str">
        <f>"0002"</f>
        <v>0002</v>
      </c>
      <c r="I1898" t="s">
        <v>89</v>
      </c>
      <c r="J1898">
        <v>0</v>
      </c>
      <c r="K1898">
        <v>1</v>
      </c>
      <c r="L1898">
        <v>3</v>
      </c>
      <c r="M1898">
        <v>357</v>
      </c>
      <c r="N1898">
        <v>358</v>
      </c>
      <c r="O1898">
        <v>5</v>
      </c>
      <c r="P1898">
        <v>358</v>
      </c>
      <c r="Q1898">
        <v>8</v>
      </c>
      <c r="R1898">
        <v>49</v>
      </c>
      <c r="S1898">
        <v>1</v>
      </c>
      <c r="T1898">
        <v>1</v>
      </c>
      <c r="U1898">
        <v>0</v>
      </c>
      <c r="V1898">
        <v>49</v>
      </c>
      <c r="W1898">
        <v>5</v>
      </c>
      <c r="X1898">
        <v>144</v>
      </c>
      <c r="Y1898">
        <v>72</v>
      </c>
      <c r="Z1898">
        <v>6</v>
      </c>
      <c r="AB1898">
        <v>23</v>
      </c>
      <c r="AO1898">
        <v>2</v>
      </c>
      <c r="AU1898">
        <v>0</v>
      </c>
      <c r="AW1898">
        <v>0</v>
      </c>
      <c r="AX1898">
        <v>8</v>
      </c>
      <c r="AY1898">
        <v>358</v>
      </c>
      <c r="AZ1898">
        <v>368</v>
      </c>
      <c r="BA1898">
        <v>672</v>
      </c>
      <c r="BB1898">
        <v>44</v>
      </c>
      <c r="BD1898">
        <v>1</v>
      </c>
      <c r="BF1898" t="s">
        <v>2056</v>
      </c>
      <c r="BG1898" s="1">
        <v>44354.162499999999</v>
      </c>
      <c r="BH1898" s="1">
        <v>44354.167997685188</v>
      </c>
      <c r="BI1898" s="1">
        <v>44354.16851851852</v>
      </c>
      <c r="BJ1898" t="s">
        <v>85</v>
      </c>
      <c r="BK1898" t="s">
        <v>86</v>
      </c>
      <c r="BL1898" t="s">
        <v>87</v>
      </c>
    </row>
    <row r="1899" spans="1:64" x14ac:dyDescent="0.3">
      <c r="A1899" t="str">
        <f>"202457C0300"</f>
        <v>202457C0300</v>
      </c>
      <c r="B1899" t="str">
        <f>"202457C03003"</f>
        <v>202457C03003</v>
      </c>
      <c r="C1899" t="str">
        <f t="shared" si="113"/>
        <v>20</v>
      </c>
      <c r="D1899" t="s">
        <v>81</v>
      </c>
      <c r="E1899" t="str">
        <f t="shared" si="114"/>
        <v>182</v>
      </c>
      <c r="F1899" t="s">
        <v>1853</v>
      </c>
      <c r="G1899" t="str">
        <f>"2457"</f>
        <v>2457</v>
      </c>
      <c r="H1899" t="str">
        <f>"0003"</f>
        <v>0003</v>
      </c>
      <c r="I1899" t="s">
        <v>89</v>
      </c>
      <c r="J1899">
        <v>0</v>
      </c>
      <c r="K1899">
        <v>1</v>
      </c>
      <c r="L1899">
        <v>3</v>
      </c>
      <c r="M1899">
        <v>356</v>
      </c>
      <c r="N1899">
        <v>360</v>
      </c>
      <c r="O1899">
        <v>6</v>
      </c>
      <c r="P1899">
        <v>360</v>
      </c>
      <c r="Q1899">
        <v>10</v>
      </c>
      <c r="R1899">
        <v>38</v>
      </c>
      <c r="S1899">
        <v>0</v>
      </c>
      <c r="T1899">
        <v>2</v>
      </c>
      <c r="U1899">
        <v>3</v>
      </c>
      <c r="V1899">
        <v>35</v>
      </c>
      <c r="W1899">
        <v>4</v>
      </c>
      <c r="X1899">
        <v>161</v>
      </c>
      <c r="Y1899">
        <v>63</v>
      </c>
      <c r="Z1899">
        <v>2</v>
      </c>
      <c r="AB1899">
        <v>38</v>
      </c>
      <c r="AO1899">
        <v>0</v>
      </c>
      <c r="AU1899">
        <v>0</v>
      </c>
      <c r="AW1899">
        <v>0</v>
      </c>
      <c r="AX1899">
        <v>4</v>
      </c>
      <c r="AY1899">
        <v>360</v>
      </c>
      <c r="AZ1899">
        <v>360</v>
      </c>
      <c r="BA1899">
        <v>672</v>
      </c>
      <c r="BB1899">
        <v>44</v>
      </c>
      <c r="BD1899">
        <v>1</v>
      </c>
      <c r="BF1899" t="s">
        <v>2057</v>
      </c>
      <c r="BG1899" s="1">
        <v>44354.161111111112</v>
      </c>
      <c r="BH1899" s="1">
        <v>44354.163703703707</v>
      </c>
      <c r="BI1899" s="1">
        <v>44354.164189814815</v>
      </c>
      <c r="BJ1899" t="s">
        <v>85</v>
      </c>
      <c r="BK1899" t="s">
        <v>86</v>
      </c>
      <c r="BL1899" t="s">
        <v>87</v>
      </c>
    </row>
    <row r="1900" spans="1:64" x14ac:dyDescent="0.3">
      <c r="A1900" t="str">
        <f>"202458B0000"</f>
        <v>202458B0000</v>
      </c>
      <c r="B1900" t="str">
        <f>"202458B00003"</f>
        <v>202458B00003</v>
      </c>
      <c r="C1900" t="str">
        <f t="shared" si="113"/>
        <v>20</v>
      </c>
      <c r="D1900" t="s">
        <v>81</v>
      </c>
      <c r="E1900" t="str">
        <f t="shared" si="114"/>
        <v>182</v>
      </c>
      <c r="F1900" t="s">
        <v>1853</v>
      </c>
      <c r="G1900" t="str">
        <f>"2458"</f>
        <v>2458</v>
      </c>
      <c r="H1900" t="str">
        <f>"0000"</f>
        <v>0000</v>
      </c>
      <c r="I1900" t="s">
        <v>83</v>
      </c>
      <c r="J1900">
        <v>0</v>
      </c>
      <c r="K1900">
        <v>1</v>
      </c>
      <c r="L1900">
        <v>3</v>
      </c>
      <c r="BA1900">
        <v>457</v>
      </c>
      <c r="BB1900">
        <v>44</v>
      </c>
      <c r="BC1900" t="s">
        <v>381</v>
      </c>
      <c r="BD1900">
        <v>0</v>
      </c>
      <c r="BF1900" t="s">
        <v>2058</v>
      </c>
      <c r="BG1900" s="1">
        <v>44354.520138888889</v>
      </c>
      <c r="BH1900" s="1">
        <v>44354.534166666665</v>
      </c>
      <c r="BI1900" s="1">
        <v>44354.534166666665</v>
      </c>
      <c r="BJ1900" t="s">
        <v>85</v>
      </c>
      <c r="BK1900" t="s">
        <v>86</v>
      </c>
      <c r="BL1900" t="s">
        <v>87</v>
      </c>
    </row>
    <row r="1901" spans="1:64" x14ac:dyDescent="0.3">
      <c r="A1901" t="str">
        <f>"202458C0100"</f>
        <v>202458C0100</v>
      </c>
      <c r="B1901" t="str">
        <f>"202458C01003"</f>
        <v>202458C01003</v>
      </c>
      <c r="C1901" t="str">
        <f t="shared" si="113"/>
        <v>20</v>
      </c>
      <c r="D1901" t="s">
        <v>81</v>
      </c>
      <c r="E1901" t="str">
        <f t="shared" si="114"/>
        <v>182</v>
      </c>
      <c r="F1901" t="s">
        <v>1853</v>
      </c>
      <c r="G1901" t="str">
        <f>"2458"</f>
        <v>2458</v>
      </c>
      <c r="H1901" t="str">
        <f>"0001"</f>
        <v>0001</v>
      </c>
      <c r="I1901" t="s">
        <v>89</v>
      </c>
      <c r="J1901">
        <v>0</v>
      </c>
      <c r="K1901">
        <v>1</v>
      </c>
      <c r="L1901">
        <v>3</v>
      </c>
      <c r="M1901">
        <v>231</v>
      </c>
      <c r="N1901">
        <v>269</v>
      </c>
      <c r="O1901">
        <v>2</v>
      </c>
      <c r="P1901">
        <v>269</v>
      </c>
      <c r="Q1901">
        <v>1</v>
      </c>
      <c r="R1901">
        <v>37</v>
      </c>
      <c r="S1901">
        <v>1</v>
      </c>
      <c r="T1901">
        <v>1</v>
      </c>
      <c r="U1901">
        <v>3</v>
      </c>
      <c r="V1901">
        <v>20</v>
      </c>
      <c r="W1901">
        <v>0</v>
      </c>
      <c r="X1901">
        <v>120</v>
      </c>
      <c r="Y1901">
        <v>59</v>
      </c>
      <c r="Z1901">
        <v>2</v>
      </c>
      <c r="AB1901">
        <v>17</v>
      </c>
      <c r="AO1901">
        <v>1</v>
      </c>
      <c r="AU1901">
        <v>0</v>
      </c>
      <c r="AW1901" t="s">
        <v>95</v>
      </c>
      <c r="AX1901">
        <v>7</v>
      </c>
      <c r="AY1901">
        <v>269</v>
      </c>
      <c r="AZ1901">
        <v>269</v>
      </c>
      <c r="BA1901">
        <v>456</v>
      </c>
      <c r="BB1901">
        <v>44</v>
      </c>
      <c r="BC1901" t="s">
        <v>96</v>
      </c>
      <c r="BD1901">
        <v>1</v>
      </c>
      <c r="BF1901" t="s">
        <v>2059</v>
      </c>
      <c r="BG1901" s="1">
        <v>44354.508333333331</v>
      </c>
      <c r="BH1901" s="1">
        <v>44354.51185185185</v>
      </c>
      <c r="BI1901" s="1">
        <v>44354.512708333335</v>
      </c>
      <c r="BJ1901" t="s">
        <v>85</v>
      </c>
      <c r="BK1901" t="s">
        <v>86</v>
      </c>
      <c r="BL1901" t="s">
        <v>1893</v>
      </c>
    </row>
    <row r="1902" spans="1:64" x14ac:dyDescent="0.3">
      <c r="A1902" t="str">
        <f>"201084B0000"</f>
        <v>201084B0000</v>
      </c>
      <c r="B1902" t="str">
        <f>"201084B00003"</f>
        <v>201084B00003</v>
      </c>
      <c r="C1902" t="str">
        <f t="shared" si="113"/>
        <v>20</v>
      </c>
      <c r="D1902" t="s">
        <v>81</v>
      </c>
      <c r="E1902" t="str">
        <f t="shared" ref="E1902:E1936" si="115">"183"</f>
        <v>183</v>
      </c>
      <c r="F1902" t="s">
        <v>2060</v>
      </c>
      <c r="G1902" t="str">
        <f>"1084"</f>
        <v>1084</v>
      </c>
      <c r="H1902" t="str">
        <f>"0000"</f>
        <v>0000</v>
      </c>
      <c r="I1902" t="s">
        <v>83</v>
      </c>
      <c r="J1902">
        <v>0</v>
      </c>
      <c r="K1902">
        <v>1</v>
      </c>
      <c r="L1902">
        <v>3</v>
      </c>
      <c r="M1902">
        <v>230</v>
      </c>
      <c r="N1902">
        <v>399</v>
      </c>
      <c r="O1902">
        <v>13</v>
      </c>
      <c r="P1902">
        <v>399</v>
      </c>
      <c r="Q1902">
        <v>10</v>
      </c>
      <c r="R1902">
        <v>14</v>
      </c>
      <c r="S1902">
        <v>7</v>
      </c>
      <c r="T1902">
        <v>87</v>
      </c>
      <c r="U1902">
        <v>43</v>
      </c>
      <c r="V1902">
        <v>22</v>
      </c>
      <c r="W1902">
        <v>32</v>
      </c>
      <c r="X1902">
        <v>76</v>
      </c>
      <c r="Y1902">
        <v>62</v>
      </c>
      <c r="Z1902">
        <v>27</v>
      </c>
      <c r="AB1902">
        <v>15</v>
      </c>
      <c r="AW1902">
        <v>0</v>
      </c>
      <c r="AX1902">
        <v>4</v>
      </c>
      <c r="AY1902">
        <v>399</v>
      </c>
      <c r="AZ1902">
        <v>399</v>
      </c>
      <c r="BA1902">
        <v>585</v>
      </c>
      <c r="BB1902">
        <v>44</v>
      </c>
      <c r="BD1902">
        <v>1</v>
      </c>
      <c r="BF1902" t="s">
        <v>2061</v>
      </c>
      <c r="BG1902" s="1">
        <v>44354.279861111114</v>
      </c>
      <c r="BH1902" s="1">
        <v>44354.283414351848</v>
      </c>
      <c r="BI1902" s="1">
        <v>44354.284351851849</v>
      </c>
      <c r="BJ1902" t="s">
        <v>85</v>
      </c>
      <c r="BK1902" t="s">
        <v>86</v>
      </c>
      <c r="BL1902" t="s">
        <v>87</v>
      </c>
    </row>
    <row r="1903" spans="1:64" x14ac:dyDescent="0.3">
      <c r="A1903" t="str">
        <f>"201084C0100"</f>
        <v>201084C0100</v>
      </c>
      <c r="B1903" t="str">
        <f>"201084C01003"</f>
        <v>201084C01003</v>
      </c>
      <c r="C1903" t="str">
        <f t="shared" si="113"/>
        <v>20</v>
      </c>
      <c r="D1903" t="s">
        <v>81</v>
      </c>
      <c r="E1903" t="str">
        <f t="shared" si="115"/>
        <v>183</v>
      </c>
      <c r="F1903" t="s">
        <v>2060</v>
      </c>
      <c r="G1903" t="str">
        <f>"1084"</f>
        <v>1084</v>
      </c>
      <c r="H1903" t="str">
        <f>"0001"</f>
        <v>0001</v>
      </c>
      <c r="I1903" t="s">
        <v>89</v>
      </c>
      <c r="J1903">
        <v>0</v>
      </c>
      <c r="K1903">
        <v>1</v>
      </c>
      <c r="L1903">
        <v>3</v>
      </c>
      <c r="M1903">
        <v>201</v>
      </c>
      <c r="N1903">
        <v>427</v>
      </c>
      <c r="O1903">
        <v>6</v>
      </c>
      <c r="P1903">
        <v>428</v>
      </c>
      <c r="Q1903">
        <v>3</v>
      </c>
      <c r="R1903">
        <v>14</v>
      </c>
      <c r="S1903">
        <v>7</v>
      </c>
      <c r="T1903">
        <v>86</v>
      </c>
      <c r="U1903">
        <v>50</v>
      </c>
      <c r="V1903">
        <v>12</v>
      </c>
      <c r="W1903">
        <v>40</v>
      </c>
      <c r="X1903">
        <v>76</v>
      </c>
      <c r="Y1903">
        <v>75</v>
      </c>
      <c r="Z1903">
        <v>27</v>
      </c>
      <c r="AB1903">
        <v>34</v>
      </c>
      <c r="AW1903">
        <v>0</v>
      </c>
      <c r="AX1903">
        <v>4</v>
      </c>
      <c r="AY1903">
        <v>428</v>
      </c>
      <c r="AZ1903">
        <v>428</v>
      </c>
      <c r="BA1903">
        <v>585</v>
      </c>
      <c r="BB1903">
        <v>44</v>
      </c>
      <c r="BD1903">
        <v>1</v>
      </c>
      <c r="BF1903" t="s">
        <v>2062</v>
      </c>
      <c r="BG1903" s="1">
        <v>44354.28125</v>
      </c>
      <c r="BH1903" s="1">
        <v>44354.284398148149</v>
      </c>
      <c r="BI1903" s="1">
        <v>44354.284953703704</v>
      </c>
      <c r="BJ1903" t="s">
        <v>85</v>
      </c>
      <c r="BK1903" t="s">
        <v>86</v>
      </c>
      <c r="BL1903" t="s">
        <v>87</v>
      </c>
    </row>
    <row r="1904" spans="1:64" x14ac:dyDescent="0.3">
      <c r="A1904" t="str">
        <f>"201084C0200"</f>
        <v>201084C0200</v>
      </c>
      <c r="B1904" t="str">
        <f>"201084C02003"</f>
        <v>201084C02003</v>
      </c>
      <c r="C1904" t="str">
        <f t="shared" si="113"/>
        <v>20</v>
      </c>
      <c r="D1904" t="s">
        <v>81</v>
      </c>
      <c r="E1904" t="str">
        <f t="shared" si="115"/>
        <v>183</v>
      </c>
      <c r="F1904" t="s">
        <v>2060</v>
      </c>
      <c r="G1904" t="str">
        <f>"1084"</f>
        <v>1084</v>
      </c>
      <c r="H1904" t="str">
        <f>"0002"</f>
        <v>0002</v>
      </c>
      <c r="I1904" t="s">
        <v>89</v>
      </c>
      <c r="J1904">
        <v>0</v>
      </c>
      <c r="K1904">
        <v>1</v>
      </c>
      <c r="L1904">
        <v>3</v>
      </c>
      <c r="M1904">
        <v>230</v>
      </c>
      <c r="N1904">
        <v>399</v>
      </c>
      <c r="O1904">
        <v>7</v>
      </c>
      <c r="P1904">
        <v>399</v>
      </c>
      <c r="Q1904">
        <v>7</v>
      </c>
      <c r="R1904">
        <v>19</v>
      </c>
      <c r="S1904">
        <v>9</v>
      </c>
      <c r="T1904">
        <v>85</v>
      </c>
      <c r="U1904">
        <v>35</v>
      </c>
      <c r="V1904">
        <v>10</v>
      </c>
      <c r="W1904">
        <v>27</v>
      </c>
      <c r="X1904">
        <v>70</v>
      </c>
      <c r="Y1904">
        <v>89</v>
      </c>
      <c r="Z1904">
        <v>24</v>
      </c>
      <c r="AB1904">
        <v>16</v>
      </c>
      <c r="AW1904">
        <v>0</v>
      </c>
      <c r="AX1904">
        <v>8</v>
      </c>
      <c r="AY1904">
        <v>399</v>
      </c>
      <c r="AZ1904">
        <v>399</v>
      </c>
      <c r="BA1904">
        <v>585</v>
      </c>
      <c r="BB1904">
        <v>44</v>
      </c>
      <c r="BD1904">
        <v>1</v>
      </c>
      <c r="BF1904" t="s">
        <v>2063</v>
      </c>
      <c r="BG1904" s="1">
        <v>44354.27847222222</v>
      </c>
      <c r="BH1904" s="1">
        <v>44354.281759259262</v>
      </c>
      <c r="BI1904" s="1">
        <v>44354.282384259262</v>
      </c>
      <c r="BJ1904" t="s">
        <v>85</v>
      </c>
      <c r="BK1904" t="s">
        <v>86</v>
      </c>
      <c r="BL1904" t="s">
        <v>87</v>
      </c>
    </row>
    <row r="1905" spans="1:64" x14ac:dyDescent="0.3">
      <c r="A1905" t="str">
        <f>"201085B0000"</f>
        <v>201085B0000</v>
      </c>
      <c r="B1905" t="str">
        <f>"201085B00003"</f>
        <v>201085B00003</v>
      </c>
      <c r="C1905" t="str">
        <f t="shared" si="113"/>
        <v>20</v>
      </c>
      <c r="D1905" t="s">
        <v>81</v>
      </c>
      <c r="E1905" t="str">
        <f t="shared" si="115"/>
        <v>183</v>
      </c>
      <c r="F1905" t="s">
        <v>2060</v>
      </c>
      <c r="G1905" t="str">
        <f>"1085"</f>
        <v>1085</v>
      </c>
      <c r="H1905" t="str">
        <f>"0000"</f>
        <v>0000</v>
      </c>
      <c r="I1905" t="s">
        <v>83</v>
      </c>
      <c r="J1905">
        <v>0</v>
      </c>
      <c r="K1905">
        <v>1</v>
      </c>
      <c r="L1905">
        <v>3</v>
      </c>
      <c r="M1905">
        <v>301</v>
      </c>
      <c r="N1905">
        <v>489</v>
      </c>
      <c r="O1905">
        <v>3</v>
      </c>
      <c r="P1905">
        <v>489</v>
      </c>
      <c r="Q1905">
        <v>8</v>
      </c>
      <c r="R1905">
        <v>22</v>
      </c>
      <c r="S1905">
        <v>12</v>
      </c>
      <c r="T1905">
        <v>111</v>
      </c>
      <c r="U1905">
        <v>28</v>
      </c>
      <c r="V1905">
        <v>21</v>
      </c>
      <c r="W1905">
        <v>50</v>
      </c>
      <c r="X1905">
        <v>82</v>
      </c>
      <c r="Y1905">
        <v>91</v>
      </c>
      <c r="Z1905">
        <v>28</v>
      </c>
      <c r="AB1905">
        <v>17</v>
      </c>
      <c r="AW1905" t="s">
        <v>95</v>
      </c>
      <c r="AX1905">
        <v>19</v>
      </c>
      <c r="AY1905">
        <v>489</v>
      </c>
      <c r="AZ1905">
        <v>489</v>
      </c>
      <c r="BA1905">
        <v>746</v>
      </c>
      <c r="BB1905">
        <v>44</v>
      </c>
      <c r="BC1905" t="s">
        <v>96</v>
      </c>
      <c r="BD1905">
        <v>1</v>
      </c>
      <c r="BF1905" t="s">
        <v>2064</v>
      </c>
      <c r="BG1905" s="1">
        <v>44354.056250000001</v>
      </c>
      <c r="BH1905" s="1">
        <v>44354.062337962961</v>
      </c>
      <c r="BI1905" s="1">
        <v>44354.063090277778</v>
      </c>
      <c r="BJ1905" t="s">
        <v>85</v>
      </c>
      <c r="BK1905" t="s">
        <v>86</v>
      </c>
      <c r="BL1905" t="s">
        <v>87</v>
      </c>
    </row>
    <row r="1906" spans="1:64" x14ac:dyDescent="0.3">
      <c r="A1906" t="str">
        <f>"201085C0100"</f>
        <v>201085C0100</v>
      </c>
      <c r="B1906" t="str">
        <f>"201085C01003"</f>
        <v>201085C01003</v>
      </c>
      <c r="C1906" t="str">
        <f t="shared" si="113"/>
        <v>20</v>
      </c>
      <c r="D1906" t="s">
        <v>81</v>
      </c>
      <c r="E1906" t="str">
        <f t="shared" si="115"/>
        <v>183</v>
      </c>
      <c r="F1906" t="s">
        <v>2060</v>
      </c>
      <c r="G1906" t="str">
        <f>"1085"</f>
        <v>1085</v>
      </c>
      <c r="H1906" t="str">
        <f>"0001"</f>
        <v>0001</v>
      </c>
      <c r="I1906" t="s">
        <v>89</v>
      </c>
      <c r="J1906">
        <v>0</v>
      </c>
      <c r="K1906">
        <v>1</v>
      </c>
      <c r="L1906">
        <v>3</v>
      </c>
      <c r="M1906">
        <v>266</v>
      </c>
      <c r="N1906">
        <v>524</v>
      </c>
      <c r="O1906">
        <v>3</v>
      </c>
      <c r="P1906">
        <v>524</v>
      </c>
      <c r="Q1906">
        <v>11</v>
      </c>
      <c r="R1906">
        <v>21</v>
      </c>
      <c r="S1906">
        <v>13</v>
      </c>
      <c r="T1906">
        <v>127</v>
      </c>
      <c r="U1906">
        <v>23</v>
      </c>
      <c r="V1906">
        <v>28</v>
      </c>
      <c r="W1906">
        <v>46</v>
      </c>
      <c r="X1906">
        <v>93</v>
      </c>
      <c r="Y1906">
        <v>101</v>
      </c>
      <c r="Z1906">
        <v>36</v>
      </c>
      <c r="AB1906">
        <v>18</v>
      </c>
      <c r="AW1906">
        <v>0</v>
      </c>
      <c r="AX1906">
        <v>7</v>
      </c>
      <c r="AY1906">
        <v>524</v>
      </c>
      <c r="AZ1906">
        <v>524</v>
      </c>
      <c r="BA1906">
        <v>746</v>
      </c>
      <c r="BB1906">
        <v>44</v>
      </c>
      <c r="BD1906">
        <v>1</v>
      </c>
      <c r="BF1906" t="s">
        <v>2065</v>
      </c>
      <c r="BG1906" s="1">
        <v>44354.057638888888</v>
      </c>
      <c r="BH1906" s="1">
        <v>44354.064456018517</v>
      </c>
      <c r="BI1906" s="1">
        <v>44354.064837962964</v>
      </c>
      <c r="BJ1906" t="s">
        <v>85</v>
      </c>
      <c r="BK1906" t="s">
        <v>86</v>
      </c>
      <c r="BL1906" t="s">
        <v>87</v>
      </c>
    </row>
    <row r="1907" spans="1:64" x14ac:dyDescent="0.3">
      <c r="A1907" t="str">
        <f>"201086B0000"</f>
        <v>201086B0000</v>
      </c>
      <c r="B1907" t="str">
        <f>"201086B00003"</f>
        <v>201086B00003</v>
      </c>
      <c r="C1907" t="str">
        <f t="shared" si="113"/>
        <v>20</v>
      </c>
      <c r="D1907" t="s">
        <v>81</v>
      </c>
      <c r="E1907" t="str">
        <f t="shared" si="115"/>
        <v>183</v>
      </c>
      <c r="F1907" t="s">
        <v>2060</v>
      </c>
      <c r="G1907" t="str">
        <f>"1086"</f>
        <v>1086</v>
      </c>
      <c r="H1907" t="str">
        <f>"0000"</f>
        <v>0000</v>
      </c>
      <c r="I1907" t="s">
        <v>83</v>
      </c>
      <c r="J1907">
        <v>0</v>
      </c>
      <c r="K1907">
        <v>1</v>
      </c>
      <c r="L1907">
        <v>3</v>
      </c>
      <c r="M1907">
        <v>236</v>
      </c>
      <c r="N1907">
        <v>415</v>
      </c>
      <c r="O1907">
        <v>13</v>
      </c>
      <c r="P1907">
        <v>415</v>
      </c>
      <c r="Q1907">
        <v>11</v>
      </c>
      <c r="R1907">
        <v>16</v>
      </c>
      <c r="S1907">
        <v>6</v>
      </c>
      <c r="T1907">
        <v>116</v>
      </c>
      <c r="U1907">
        <v>19</v>
      </c>
      <c r="V1907">
        <v>9</v>
      </c>
      <c r="W1907">
        <v>41</v>
      </c>
      <c r="X1907">
        <v>46</v>
      </c>
      <c r="Y1907">
        <v>110</v>
      </c>
      <c r="Z1907">
        <v>23</v>
      </c>
      <c r="AB1907">
        <v>10</v>
      </c>
      <c r="AW1907">
        <v>0</v>
      </c>
      <c r="AX1907">
        <v>8</v>
      </c>
      <c r="AY1907">
        <v>415</v>
      </c>
      <c r="AZ1907">
        <v>415</v>
      </c>
      <c r="BA1907">
        <v>607</v>
      </c>
      <c r="BB1907">
        <v>44</v>
      </c>
      <c r="BD1907">
        <v>1</v>
      </c>
      <c r="BF1907" t="s">
        <v>2066</v>
      </c>
      <c r="BG1907" s="1">
        <v>44353.97152777778</v>
      </c>
      <c r="BH1907" s="1">
        <v>44353.976180555554</v>
      </c>
      <c r="BI1907" s="1">
        <v>44353.976689814815</v>
      </c>
      <c r="BJ1907" t="s">
        <v>85</v>
      </c>
      <c r="BK1907" t="s">
        <v>86</v>
      </c>
      <c r="BL1907" t="s">
        <v>87</v>
      </c>
    </row>
    <row r="1908" spans="1:64" x14ac:dyDescent="0.3">
      <c r="A1908" t="str">
        <f>"201086C0100"</f>
        <v>201086C0100</v>
      </c>
      <c r="B1908" t="str">
        <f>"201086C01003"</f>
        <v>201086C01003</v>
      </c>
      <c r="C1908" t="str">
        <f t="shared" si="113"/>
        <v>20</v>
      </c>
      <c r="D1908" t="s">
        <v>81</v>
      </c>
      <c r="E1908" t="str">
        <f t="shared" si="115"/>
        <v>183</v>
      </c>
      <c r="F1908" t="s">
        <v>2060</v>
      </c>
      <c r="G1908" t="str">
        <f>"1086"</f>
        <v>1086</v>
      </c>
      <c r="H1908" t="str">
        <f>"0001"</f>
        <v>0001</v>
      </c>
      <c r="I1908" t="s">
        <v>89</v>
      </c>
      <c r="J1908">
        <v>0</v>
      </c>
      <c r="K1908">
        <v>1</v>
      </c>
      <c r="L1908">
        <v>3</v>
      </c>
      <c r="M1908">
        <v>231</v>
      </c>
      <c r="N1908">
        <v>418</v>
      </c>
      <c r="O1908">
        <v>8</v>
      </c>
      <c r="P1908">
        <v>418</v>
      </c>
      <c r="Q1908">
        <v>7</v>
      </c>
      <c r="R1908">
        <v>12</v>
      </c>
      <c r="S1908">
        <v>1</v>
      </c>
      <c r="T1908">
        <v>129</v>
      </c>
      <c r="U1908">
        <v>20</v>
      </c>
      <c r="V1908">
        <v>18</v>
      </c>
      <c r="W1908">
        <v>45</v>
      </c>
      <c r="X1908">
        <v>40</v>
      </c>
      <c r="Y1908">
        <v>95</v>
      </c>
      <c r="Z1908">
        <v>31</v>
      </c>
      <c r="AB1908">
        <v>6</v>
      </c>
      <c r="AW1908">
        <v>0</v>
      </c>
      <c r="AX1908">
        <v>14</v>
      </c>
      <c r="AY1908">
        <v>418</v>
      </c>
      <c r="AZ1908">
        <v>418</v>
      </c>
      <c r="BA1908">
        <v>606</v>
      </c>
      <c r="BB1908">
        <v>44</v>
      </c>
      <c r="BD1908">
        <v>1</v>
      </c>
      <c r="BF1908" t="s">
        <v>2067</v>
      </c>
      <c r="BG1908" s="1">
        <v>44353.959722222222</v>
      </c>
      <c r="BH1908" s="1">
        <v>44353.971770833334</v>
      </c>
      <c r="BI1908" s="1">
        <v>44353.972638888888</v>
      </c>
      <c r="BJ1908" t="s">
        <v>85</v>
      </c>
      <c r="BK1908" t="s">
        <v>86</v>
      </c>
      <c r="BL1908" t="s">
        <v>87</v>
      </c>
    </row>
    <row r="1909" spans="1:64" x14ac:dyDescent="0.3">
      <c r="A1909" t="str">
        <f>"201086E0100"</f>
        <v>201086E0100</v>
      </c>
      <c r="B1909" t="str">
        <f>"201086E01003"</f>
        <v>201086E01003</v>
      </c>
      <c r="C1909" t="str">
        <f t="shared" si="113"/>
        <v>20</v>
      </c>
      <c r="D1909" t="s">
        <v>81</v>
      </c>
      <c r="E1909" t="str">
        <f t="shared" si="115"/>
        <v>183</v>
      </c>
      <c r="F1909" t="s">
        <v>2060</v>
      </c>
      <c r="G1909" t="str">
        <f>"1086"</f>
        <v>1086</v>
      </c>
      <c r="H1909" t="str">
        <f>"0001"</f>
        <v>0001</v>
      </c>
      <c r="I1909" t="s">
        <v>122</v>
      </c>
      <c r="J1909">
        <v>0</v>
      </c>
      <c r="K1909">
        <v>1</v>
      </c>
      <c r="L1909">
        <v>3</v>
      </c>
      <c r="M1909">
        <v>107</v>
      </c>
      <c r="N1909">
        <v>181</v>
      </c>
      <c r="O1909">
        <v>4</v>
      </c>
      <c r="P1909">
        <v>181</v>
      </c>
      <c r="Q1909">
        <v>1</v>
      </c>
      <c r="R1909">
        <v>23</v>
      </c>
      <c r="S1909">
        <v>12</v>
      </c>
      <c r="T1909">
        <v>33</v>
      </c>
      <c r="U1909">
        <v>10</v>
      </c>
      <c r="V1909">
        <v>15</v>
      </c>
      <c r="W1909">
        <v>12</v>
      </c>
      <c r="X1909">
        <v>9</v>
      </c>
      <c r="Y1909">
        <v>50</v>
      </c>
      <c r="Z1909">
        <v>8</v>
      </c>
      <c r="AB1909">
        <v>0</v>
      </c>
      <c r="AW1909">
        <v>0</v>
      </c>
      <c r="AX1909">
        <v>8</v>
      </c>
      <c r="AY1909">
        <v>181</v>
      </c>
      <c r="AZ1909">
        <v>181</v>
      </c>
      <c r="BA1909">
        <v>244</v>
      </c>
      <c r="BB1909">
        <v>44</v>
      </c>
      <c r="BD1909">
        <v>1</v>
      </c>
      <c r="BF1909" t="s">
        <v>2068</v>
      </c>
      <c r="BG1909" s="1">
        <v>44353.925694444442</v>
      </c>
      <c r="BH1909" s="1">
        <v>44353.930219907408</v>
      </c>
      <c r="BI1909" s="1">
        <v>44353.93072916667</v>
      </c>
      <c r="BJ1909" t="s">
        <v>85</v>
      </c>
      <c r="BK1909" t="s">
        <v>86</v>
      </c>
      <c r="BL1909" t="s">
        <v>87</v>
      </c>
    </row>
    <row r="1910" spans="1:64" x14ac:dyDescent="0.3">
      <c r="A1910" t="str">
        <f>"201087B0000"</f>
        <v>201087B0000</v>
      </c>
      <c r="B1910" t="str">
        <f>"201087B00003"</f>
        <v>201087B00003</v>
      </c>
      <c r="C1910" t="str">
        <f t="shared" si="113"/>
        <v>20</v>
      </c>
      <c r="D1910" t="s">
        <v>81</v>
      </c>
      <c r="E1910" t="str">
        <f t="shared" si="115"/>
        <v>183</v>
      </c>
      <c r="F1910" t="s">
        <v>2060</v>
      </c>
      <c r="G1910" t="str">
        <f>"1087"</f>
        <v>1087</v>
      </c>
      <c r="H1910" t="str">
        <f>"0000"</f>
        <v>0000</v>
      </c>
      <c r="I1910" t="s">
        <v>83</v>
      </c>
      <c r="J1910">
        <v>0</v>
      </c>
      <c r="K1910">
        <v>1</v>
      </c>
      <c r="L1910">
        <v>3</v>
      </c>
      <c r="M1910">
        <v>195</v>
      </c>
      <c r="N1910">
        <v>403</v>
      </c>
      <c r="O1910">
        <v>7</v>
      </c>
      <c r="P1910" t="s">
        <v>92</v>
      </c>
      <c r="Q1910">
        <v>5</v>
      </c>
      <c r="R1910">
        <v>26</v>
      </c>
      <c r="S1910">
        <v>4</v>
      </c>
      <c r="T1910">
        <v>121</v>
      </c>
      <c r="U1910">
        <v>16</v>
      </c>
      <c r="V1910">
        <v>12</v>
      </c>
      <c r="W1910">
        <v>51</v>
      </c>
      <c r="X1910">
        <v>38</v>
      </c>
      <c r="Y1910">
        <v>103</v>
      </c>
      <c r="Z1910">
        <v>14</v>
      </c>
      <c r="AB1910">
        <v>4</v>
      </c>
      <c r="AW1910">
        <v>0</v>
      </c>
      <c r="AX1910">
        <v>9</v>
      </c>
      <c r="AY1910">
        <v>403</v>
      </c>
      <c r="AZ1910">
        <v>403</v>
      </c>
      <c r="BA1910">
        <v>554</v>
      </c>
      <c r="BB1910">
        <v>44</v>
      </c>
      <c r="BD1910">
        <v>1</v>
      </c>
      <c r="BF1910" t="s">
        <v>2069</v>
      </c>
      <c r="BG1910" s="1">
        <v>44354.034722222219</v>
      </c>
      <c r="BH1910" s="1">
        <v>44354.041921296295</v>
      </c>
      <c r="BI1910" s="1">
        <v>44354.04241898148</v>
      </c>
      <c r="BJ1910" t="s">
        <v>85</v>
      </c>
      <c r="BK1910" t="s">
        <v>86</v>
      </c>
      <c r="BL1910" t="s">
        <v>87</v>
      </c>
    </row>
    <row r="1911" spans="1:64" x14ac:dyDescent="0.3">
      <c r="A1911" t="str">
        <f>"201087C0100"</f>
        <v>201087C0100</v>
      </c>
      <c r="B1911" t="str">
        <f>"201087C01003"</f>
        <v>201087C01003</v>
      </c>
      <c r="C1911" t="str">
        <f t="shared" si="113"/>
        <v>20</v>
      </c>
      <c r="D1911" t="s">
        <v>81</v>
      </c>
      <c r="E1911" t="str">
        <f t="shared" si="115"/>
        <v>183</v>
      </c>
      <c r="F1911" t="s">
        <v>2060</v>
      </c>
      <c r="G1911" t="str">
        <f>"1087"</f>
        <v>1087</v>
      </c>
      <c r="H1911" t="str">
        <f>"0001"</f>
        <v>0001</v>
      </c>
      <c r="I1911" t="s">
        <v>89</v>
      </c>
      <c r="J1911">
        <v>0</v>
      </c>
      <c r="K1911">
        <v>1</v>
      </c>
      <c r="L1911">
        <v>3</v>
      </c>
      <c r="M1911">
        <v>209</v>
      </c>
      <c r="N1911">
        <v>389</v>
      </c>
      <c r="O1911">
        <v>6</v>
      </c>
      <c r="P1911">
        <v>389</v>
      </c>
      <c r="Q1911">
        <v>2</v>
      </c>
      <c r="R1911">
        <v>8</v>
      </c>
      <c r="S1911">
        <v>4</v>
      </c>
      <c r="T1911">
        <v>137</v>
      </c>
      <c r="U1911">
        <v>13</v>
      </c>
      <c r="V1911">
        <v>19</v>
      </c>
      <c r="W1911">
        <v>40</v>
      </c>
      <c r="X1911">
        <v>44</v>
      </c>
      <c r="Y1911">
        <v>91</v>
      </c>
      <c r="Z1911">
        <v>10</v>
      </c>
      <c r="AB1911">
        <v>9</v>
      </c>
      <c r="AW1911">
        <v>0</v>
      </c>
      <c r="AX1911">
        <v>12</v>
      </c>
      <c r="AY1911">
        <v>389</v>
      </c>
      <c r="AZ1911">
        <v>389</v>
      </c>
      <c r="BA1911">
        <v>554</v>
      </c>
      <c r="BB1911">
        <v>44</v>
      </c>
      <c r="BD1911">
        <v>1</v>
      </c>
      <c r="BF1911" t="s">
        <v>2070</v>
      </c>
      <c r="BG1911" s="1">
        <v>44354.041666666664</v>
      </c>
      <c r="BH1911" s="1">
        <v>44354.051226851851</v>
      </c>
      <c r="BI1911" s="1">
        <v>44354.051550925928</v>
      </c>
      <c r="BJ1911" t="s">
        <v>85</v>
      </c>
      <c r="BK1911" t="s">
        <v>86</v>
      </c>
      <c r="BL1911" t="s">
        <v>87</v>
      </c>
    </row>
    <row r="1912" spans="1:64" x14ac:dyDescent="0.3">
      <c r="A1912" t="str">
        <f>"201087C0200"</f>
        <v>201087C0200</v>
      </c>
      <c r="B1912" t="str">
        <f>"201087C02003"</f>
        <v>201087C02003</v>
      </c>
      <c r="C1912" t="str">
        <f t="shared" si="113"/>
        <v>20</v>
      </c>
      <c r="D1912" t="s">
        <v>81</v>
      </c>
      <c r="E1912" t="str">
        <f t="shared" si="115"/>
        <v>183</v>
      </c>
      <c r="F1912" t="s">
        <v>2060</v>
      </c>
      <c r="G1912" t="str">
        <f>"1087"</f>
        <v>1087</v>
      </c>
      <c r="H1912" t="str">
        <f>"0002"</f>
        <v>0002</v>
      </c>
      <c r="I1912" t="s">
        <v>89</v>
      </c>
      <c r="J1912">
        <v>0</v>
      </c>
      <c r="K1912">
        <v>1</v>
      </c>
      <c r="L1912">
        <v>3</v>
      </c>
      <c r="M1912">
        <v>201</v>
      </c>
      <c r="N1912">
        <v>397</v>
      </c>
      <c r="O1912">
        <v>6</v>
      </c>
      <c r="P1912" t="s">
        <v>92</v>
      </c>
      <c r="Q1912">
        <v>2</v>
      </c>
      <c r="R1912">
        <v>25</v>
      </c>
      <c r="S1912">
        <v>4</v>
      </c>
      <c r="T1912">
        <v>141</v>
      </c>
      <c r="U1912">
        <v>11</v>
      </c>
      <c r="V1912">
        <v>16</v>
      </c>
      <c r="W1912">
        <v>32</v>
      </c>
      <c r="X1912">
        <v>35</v>
      </c>
      <c r="Y1912">
        <v>99</v>
      </c>
      <c r="Z1912">
        <v>16</v>
      </c>
      <c r="AB1912">
        <v>5</v>
      </c>
      <c r="AW1912">
        <v>0</v>
      </c>
      <c r="AX1912">
        <v>11</v>
      </c>
      <c r="AY1912">
        <v>397</v>
      </c>
      <c r="AZ1912">
        <v>397</v>
      </c>
      <c r="BA1912">
        <v>554</v>
      </c>
      <c r="BB1912">
        <v>44</v>
      </c>
      <c r="BD1912">
        <v>1</v>
      </c>
      <c r="BF1912" t="s">
        <v>2071</v>
      </c>
      <c r="BG1912" s="1">
        <v>44354.010416666664</v>
      </c>
      <c r="BH1912" s="1">
        <v>44354.05164351852</v>
      </c>
      <c r="BI1912" s="1">
        <v>44354.052523148152</v>
      </c>
      <c r="BJ1912" t="s">
        <v>85</v>
      </c>
      <c r="BK1912" t="s">
        <v>86</v>
      </c>
      <c r="BL1912" t="s">
        <v>87</v>
      </c>
    </row>
    <row r="1913" spans="1:64" x14ac:dyDescent="0.3">
      <c r="A1913" t="str">
        <f>"201088B0000"</f>
        <v>201088B0000</v>
      </c>
      <c r="B1913" t="str">
        <f>"201088B00003"</f>
        <v>201088B00003</v>
      </c>
      <c r="C1913" t="str">
        <f t="shared" si="113"/>
        <v>20</v>
      </c>
      <c r="D1913" t="s">
        <v>81</v>
      </c>
      <c r="E1913" t="str">
        <f t="shared" si="115"/>
        <v>183</v>
      </c>
      <c r="F1913" t="s">
        <v>2060</v>
      </c>
      <c r="G1913" t="str">
        <f>"1088"</f>
        <v>1088</v>
      </c>
      <c r="H1913" t="str">
        <f>"0000"</f>
        <v>0000</v>
      </c>
      <c r="I1913" t="s">
        <v>83</v>
      </c>
      <c r="J1913">
        <v>0</v>
      </c>
      <c r="K1913">
        <v>1</v>
      </c>
      <c r="L1913">
        <v>3</v>
      </c>
      <c r="M1913">
        <v>261</v>
      </c>
      <c r="N1913">
        <v>383</v>
      </c>
      <c r="O1913">
        <v>2</v>
      </c>
      <c r="P1913">
        <v>383</v>
      </c>
      <c r="Q1913">
        <v>3</v>
      </c>
      <c r="R1913">
        <v>28</v>
      </c>
      <c r="S1913">
        <v>5</v>
      </c>
      <c r="T1913">
        <v>34</v>
      </c>
      <c r="U1913">
        <v>12</v>
      </c>
      <c r="V1913">
        <v>25</v>
      </c>
      <c r="W1913">
        <v>53</v>
      </c>
      <c r="X1913">
        <v>30</v>
      </c>
      <c r="Y1913">
        <v>151</v>
      </c>
      <c r="Z1913">
        <v>23</v>
      </c>
      <c r="AB1913">
        <v>9</v>
      </c>
      <c r="AW1913" t="s">
        <v>95</v>
      </c>
      <c r="AX1913">
        <v>10</v>
      </c>
      <c r="AY1913">
        <v>383</v>
      </c>
      <c r="AZ1913">
        <v>383</v>
      </c>
      <c r="BA1913">
        <v>600</v>
      </c>
      <c r="BB1913">
        <v>44</v>
      </c>
      <c r="BC1913" t="s">
        <v>96</v>
      </c>
      <c r="BD1913">
        <v>1</v>
      </c>
      <c r="BF1913" t="s">
        <v>2072</v>
      </c>
      <c r="BG1913" s="1">
        <v>44354.313888888886</v>
      </c>
      <c r="BH1913" s="1">
        <v>44354.318472222221</v>
      </c>
      <c r="BI1913" s="1">
        <v>44354.319016203706</v>
      </c>
      <c r="BJ1913" t="s">
        <v>85</v>
      </c>
      <c r="BK1913" t="s">
        <v>86</v>
      </c>
      <c r="BL1913" t="s">
        <v>87</v>
      </c>
    </row>
    <row r="1914" spans="1:64" x14ac:dyDescent="0.3">
      <c r="A1914" t="str">
        <f>"201088C0100"</f>
        <v>201088C0100</v>
      </c>
      <c r="B1914" t="str">
        <f>"201088C01003"</f>
        <v>201088C01003</v>
      </c>
      <c r="C1914" t="str">
        <f t="shared" si="113"/>
        <v>20</v>
      </c>
      <c r="D1914" t="s">
        <v>81</v>
      </c>
      <c r="E1914" t="str">
        <f t="shared" si="115"/>
        <v>183</v>
      </c>
      <c r="F1914" t="s">
        <v>2060</v>
      </c>
      <c r="G1914" t="str">
        <f>"1088"</f>
        <v>1088</v>
      </c>
      <c r="H1914" t="str">
        <f>"0001"</f>
        <v>0001</v>
      </c>
      <c r="I1914" t="s">
        <v>89</v>
      </c>
      <c r="J1914">
        <v>0</v>
      </c>
      <c r="K1914">
        <v>1</v>
      </c>
      <c r="L1914">
        <v>3</v>
      </c>
      <c r="M1914">
        <v>266</v>
      </c>
      <c r="N1914">
        <v>377</v>
      </c>
      <c r="O1914">
        <v>0</v>
      </c>
      <c r="P1914">
        <v>377</v>
      </c>
      <c r="Q1914">
        <v>0</v>
      </c>
      <c r="R1914">
        <v>14</v>
      </c>
      <c r="S1914">
        <v>1</v>
      </c>
      <c r="T1914">
        <v>30</v>
      </c>
      <c r="U1914">
        <v>22</v>
      </c>
      <c r="V1914">
        <v>13</v>
      </c>
      <c r="W1914">
        <v>35</v>
      </c>
      <c r="X1914">
        <v>21</v>
      </c>
      <c r="Y1914">
        <v>199</v>
      </c>
      <c r="Z1914">
        <v>27</v>
      </c>
      <c r="AB1914">
        <v>6</v>
      </c>
      <c r="AW1914">
        <v>0</v>
      </c>
      <c r="AX1914">
        <v>9</v>
      </c>
      <c r="AY1914">
        <v>377</v>
      </c>
      <c r="AZ1914">
        <v>377</v>
      </c>
      <c r="BA1914">
        <v>599</v>
      </c>
      <c r="BB1914">
        <v>44</v>
      </c>
      <c r="BD1914">
        <v>1</v>
      </c>
      <c r="BF1914" s="2" t="s">
        <v>2073</v>
      </c>
      <c r="BG1914" s="1">
        <v>44354.311805555553</v>
      </c>
      <c r="BH1914" s="1">
        <v>44354.314895833333</v>
      </c>
      <c r="BI1914" s="1">
        <v>44354.315381944441</v>
      </c>
      <c r="BJ1914" t="s">
        <v>85</v>
      </c>
      <c r="BK1914" t="s">
        <v>86</v>
      </c>
      <c r="BL1914" t="s">
        <v>87</v>
      </c>
    </row>
    <row r="1915" spans="1:64" x14ac:dyDescent="0.3">
      <c r="A1915" t="str">
        <f>"201088E0100"</f>
        <v>201088E0100</v>
      </c>
      <c r="B1915" t="str">
        <f>"201088E01003"</f>
        <v>201088E01003</v>
      </c>
      <c r="C1915" t="str">
        <f t="shared" si="113"/>
        <v>20</v>
      </c>
      <c r="D1915" t="s">
        <v>81</v>
      </c>
      <c r="E1915" t="str">
        <f t="shared" si="115"/>
        <v>183</v>
      </c>
      <c r="F1915" t="s">
        <v>2060</v>
      </c>
      <c r="G1915" t="str">
        <f>"1088"</f>
        <v>1088</v>
      </c>
      <c r="H1915" t="str">
        <f>"0001"</f>
        <v>0001</v>
      </c>
      <c r="I1915" t="s">
        <v>122</v>
      </c>
      <c r="J1915">
        <v>0</v>
      </c>
      <c r="K1915">
        <v>1</v>
      </c>
      <c r="L1915">
        <v>3</v>
      </c>
      <c r="M1915">
        <v>92</v>
      </c>
      <c r="N1915">
        <v>120</v>
      </c>
      <c r="O1915">
        <v>3</v>
      </c>
      <c r="P1915">
        <v>120</v>
      </c>
      <c r="Q1915">
        <v>2</v>
      </c>
      <c r="R1915">
        <v>11</v>
      </c>
      <c r="S1915">
        <v>3</v>
      </c>
      <c r="T1915">
        <v>6</v>
      </c>
      <c r="U1915">
        <v>3</v>
      </c>
      <c r="V1915">
        <v>3</v>
      </c>
      <c r="W1915">
        <v>4</v>
      </c>
      <c r="X1915">
        <v>9</v>
      </c>
      <c r="Y1915">
        <v>23</v>
      </c>
      <c r="Z1915">
        <v>51</v>
      </c>
      <c r="AB1915">
        <v>4</v>
      </c>
      <c r="AW1915">
        <v>0</v>
      </c>
      <c r="AX1915">
        <v>1</v>
      </c>
      <c r="AY1915">
        <v>120</v>
      </c>
      <c r="AZ1915">
        <v>120</v>
      </c>
      <c r="BA1915">
        <v>168</v>
      </c>
      <c r="BB1915">
        <v>44</v>
      </c>
      <c r="BD1915">
        <v>1</v>
      </c>
      <c r="BF1915" t="s">
        <v>2074</v>
      </c>
      <c r="BG1915" s="1">
        <v>44353.998611111114</v>
      </c>
      <c r="BH1915" s="1">
        <v>44354.004953703705</v>
      </c>
      <c r="BI1915" s="1">
        <v>44354.005243055559</v>
      </c>
      <c r="BJ1915" t="s">
        <v>85</v>
      </c>
      <c r="BK1915" t="s">
        <v>86</v>
      </c>
      <c r="BL1915" t="s">
        <v>87</v>
      </c>
    </row>
    <row r="1916" spans="1:64" x14ac:dyDescent="0.3">
      <c r="A1916" t="str">
        <f>"201089B0000"</f>
        <v>201089B0000</v>
      </c>
      <c r="B1916" t="str">
        <f>"201089B00003"</f>
        <v>201089B00003</v>
      </c>
      <c r="C1916" t="str">
        <f t="shared" si="113"/>
        <v>20</v>
      </c>
      <c r="D1916" t="s">
        <v>81</v>
      </c>
      <c r="E1916" t="str">
        <f t="shared" si="115"/>
        <v>183</v>
      </c>
      <c r="F1916" t="s">
        <v>2060</v>
      </c>
      <c r="G1916" t="str">
        <f>"1089"</f>
        <v>1089</v>
      </c>
      <c r="H1916" t="str">
        <f>"0000"</f>
        <v>0000</v>
      </c>
      <c r="I1916" t="s">
        <v>83</v>
      </c>
      <c r="J1916">
        <v>0</v>
      </c>
      <c r="K1916">
        <v>1</v>
      </c>
      <c r="L1916">
        <v>3</v>
      </c>
      <c r="M1916">
        <v>278</v>
      </c>
      <c r="N1916">
        <v>439</v>
      </c>
      <c r="O1916">
        <v>3</v>
      </c>
      <c r="P1916">
        <v>439</v>
      </c>
      <c r="Q1916">
        <v>6</v>
      </c>
      <c r="R1916">
        <v>10</v>
      </c>
      <c r="S1916">
        <v>6</v>
      </c>
      <c r="T1916">
        <v>68</v>
      </c>
      <c r="U1916">
        <v>39</v>
      </c>
      <c r="V1916">
        <v>29</v>
      </c>
      <c r="W1916">
        <v>40</v>
      </c>
      <c r="X1916">
        <v>33</v>
      </c>
      <c r="Y1916">
        <v>124</v>
      </c>
      <c r="Z1916">
        <v>61</v>
      </c>
      <c r="AB1916">
        <v>3</v>
      </c>
      <c r="AW1916">
        <v>0</v>
      </c>
      <c r="AX1916">
        <v>20</v>
      </c>
      <c r="AY1916">
        <v>439</v>
      </c>
      <c r="AZ1916">
        <v>439</v>
      </c>
      <c r="BA1916">
        <v>673</v>
      </c>
      <c r="BB1916">
        <v>44</v>
      </c>
      <c r="BD1916">
        <v>1</v>
      </c>
      <c r="BF1916" t="s">
        <v>2075</v>
      </c>
      <c r="BG1916" s="1">
        <v>44354.30972222222</v>
      </c>
      <c r="BH1916" s="1">
        <v>44354.312650462962</v>
      </c>
      <c r="BI1916" s="1">
        <v>44354.313564814816</v>
      </c>
      <c r="BJ1916" t="s">
        <v>85</v>
      </c>
      <c r="BK1916" t="s">
        <v>86</v>
      </c>
      <c r="BL1916" t="s">
        <v>87</v>
      </c>
    </row>
    <row r="1917" spans="1:64" x14ac:dyDescent="0.3">
      <c r="A1917" t="str">
        <f>"201089C0100"</f>
        <v>201089C0100</v>
      </c>
      <c r="B1917" t="str">
        <f>"201089C01003"</f>
        <v>201089C01003</v>
      </c>
      <c r="C1917" t="str">
        <f t="shared" si="113"/>
        <v>20</v>
      </c>
      <c r="D1917" t="s">
        <v>81</v>
      </c>
      <c r="E1917" t="str">
        <f t="shared" si="115"/>
        <v>183</v>
      </c>
      <c r="F1917" t="s">
        <v>2060</v>
      </c>
      <c r="G1917" t="str">
        <f>"1089"</f>
        <v>1089</v>
      </c>
      <c r="H1917" t="str">
        <f>"0001"</f>
        <v>0001</v>
      </c>
      <c r="I1917" t="s">
        <v>89</v>
      </c>
      <c r="J1917">
        <v>0</v>
      </c>
      <c r="K1917">
        <v>1</v>
      </c>
      <c r="L1917">
        <v>3</v>
      </c>
      <c r="M1917">
        <v>255</v>
      </c>
      <c r="N1917">
        <v>461</v>
      </c>
      <c r="O1917">
        <v>12</v>
      </c>
      <c r="P1917">
        <v>461</v>
      </c>
      <c r="Q1917">
        <v>9</v>
      </c>
      <c r="R1917">
        <v>17</v>
      </c>
      <c r="S1917">
        <v>6</v>
      </c>
      <c r="T1917">
        <v>58</v>
      </c>
      <c r="U1917">
        <v>54</v>
      </c>
      <c r="V1917">
        <v>14</v>
      </c>
      <c r="W1917">
        <v>49</v>
      </c>
      <c r="X1917">
        <v>34</v>
      </c>
      <c r="Y1917">
        <v>128</v>
      </c>
      <c r="Z1917">
        <v>76</v>
      </c>
      <c r="AB1917">
        <v>2</v>
      </c>
      <c r="AW1917">
        <v>0</v>
      </c>
      <c r="AX1917">
        <v>14</v>
      </c>
      <c r="AY1917">
        <v>461</v>
      </c>
      <c r="AZ1917">
        <v>461</v>
      </c>
      <c r="BA1917">
        <v>672</v>
      </c>
      <c r="BB1917">
        <v>44</v>
      </c>
      <c r="BD1917">
        <v>1</v>
      </c>
      <c r="BF1917" t="s">
        <v>2076</v>
      </c>
      <c r="BG1917" s="1">
        <v>44354.315972222219</v>
      </c>
      <c r="BH1917" s="1">
        <v>44354.319548611114</v>
      </c>
      <c r="BI1917" s="1">
        <v>44354.320115740738</v>
      </c>
      <c r="BJ1917" t="s">
        <v>85</v>
      </c>
      <c r="BK1917" t="s">
        <v>86</v>
      </c>
      <c r="BL1917" t="s">
        <v>87</v>
      </c>
    </row>
    <row r="1918" spans="1:64" x14ac:dyDescent="0.3">
      <c r="A1918" t="str">
        <f>"201090B0000"</f>
        <v>201090B0000</v>
      </c>
      <c r="B1918" t="str">
        <f>"201090B00003"</f>
        <v>201090B00003</v>
      </c>
      <c r="C1918" t="str">
        <f t="shared" si="113"/>
        <v>20</v>
      </c>
      <c r="D1918" t="s">
        <v>81</v>
      </c>
      <c r="E1918" t="str">
        <f t="shared" si="115"/>
        <v>183</v>
      </c>
      <c r="F1918" t="s">
        <v>2060</v>
      </c>
      <c r="G1918" t="str">
        <f>"1090"</f>
        <v>1090</v>
      </c>
      <c r="H1918" t="str">
        <f>"0000"</f>
        <v>0000</v>
      </c>
      <c r="I1918" t="s">
        <v>83</v>
      </c>
      <c r="J1918">
        <v>0</v>
      </c>
      <c r="K1918">
        <v>1</v>
      </c>
      <c r="L1918">
        <v>3</v>
      </c>
      <c r="M1918">
        <v>190</v>
      </c>
      <c r="N1918">
        <v>262</v>
      </c>
      <c r="O1918">
        <v>1</v>
      </c>
      <c r="P1918">
        <v>263</v>
      </c>
      <c r="Q1918">
        <v>5</v>
      </c>
      <c r="R1918">
        <v>11</v>
      </c>
      <c r="S1918">
        <v>14</v>
      </c>
      <c r="T1918">
        <v>81</v>
      </c>
      <c r="U1918">
        <v>12</v>
      </c>
      <c r="V1918">
        <v>6</v>
      </c>
      <c r="W1918">
        <v>15</v>
      </c>
      <c r="X1918">
        <v>37</v>
      </c>
      <c r="Y1918">
        <v>55</v>
      </c>
      <c r="Z1918">
        <v>13</v>
      </c>
      <c r="AB1918">
        <v>5</v>
      </c>
      <c r="AW1918">
        <v>0</v>
      </c>
      <c r="AX1918">
        <v>9</v>
      </c>
      <c r="AY1918">
        <v>263</v>
      </c>
      <c r="AZ1918">
        <v>263</v>
      </c>
      <c r="BA1918">
        <v>409</v>
      </c>
      <c r="BB1918">
        <v>44</v>
      </c>
      <c r="BD1918">
        <v>1</v>
      </c>
      <c r="BF1918" t="s">
        <v>2077</v>
      </c>
      <c r="BG1918" s="1">
        <v>44354.354166666664</v>
      </c>
      <c r="BH1918" s="1">
        <v>44354.357465277775</v>
      </c>
      <c r="BI1918" s="1">
        <v>44354.357997685183</v>
      </c>
      <c r="BJ1918" t="s">
        <v>85</v>
      </c>
      <c r="BK1918" t="s">
        <v>86</v>
      </c>
      <c r="BL1918" t="s">
        <v>87</v>
      </c>
    </row>
    <row r="1919" spans="1:64" x14ac:dyDescent="0.3">
      <c r="A1919" t="str">
        <f>"201090C0100"</f>
        <v>201090C0100</v>
      </c>
      <c r="B1919" t="str">
        <f>"201090C01003"</f>
        <v>201090C01003</v>
      </c>
      <c r="C1919" t="str">
        <f t="shared" si="113"/>
        <v>20</v>
      </c>
      <c r="D1919" t="s">
        <v>81</v>
      </c>
      <c r="E1919" t="str">
        <f t="shared" si="115"/>
        <v>183</v>
      </c>
      <c r="F1919" t="s">
        <v>2060</v>
      </c>
      <c r="G1919" t="str">
        <f>"1090"</f>
        <v>1090</v>
      </c>
      <c r="H1919" t="str">
        <f>"0001"</f>
        <v>0001</v>
      </c>
      <c r="I1919" t="s">
        <v>89</v>
      </c>
      <c r="J1919">
        <v>0</v>
      </c>
      <c r="K1919">
        <v>1</v>
      </c>
      <c r="L1919">
        <v>3</v>
      </c>
      <c r="M1919">
        <v>188</v>
      </c>
      <c r="N1919">
        <v>265</v>
      </c>
      <c r="O1919">
        <v>2</v>
      </c>
      <c r="P1919">
        <v>265</v>
      </c>
      <c r="Q1919">
        <v>7</v>
      </c>
      <c r="R1919">
        <v>12</v>
      </c>
      <c r="S1919">
        <v>4</v>
      </c>
      <c r="T1919">
        <v>108</v>
      </c>
      <c r="U1919">
        <v>17</v>
      </c>
      <c r="V1919">
        <v>9</v>
      </c>
      <c r="W1919">
        <v>15</v>
      </c>
      <c r="X1919">
        <v>18</v>
      </c>
      <c r="Y1919">
        <v>52</v>
      </c>
      <c r="Z1919">
        <v>6</v>
      </c>
      <c r="AB1919">
        <v>1</v>
      </c>
      <c r="AW1919" t="s">
        <v>95</v>
      </c>
      <c r="AX1919">
        <v>16</v>
      </c>
      <c r="AY1919">
        <v>265</v>
      </c>
      <c r="AZ1919">
        <v>265</v>
      </c>
      <c r="BA1919">
        <v>409</v>
      </c>
      <c r="BB1919">
        <v>44</v>
      </c>
      <c r="BC1919" t="s">
        <v>96</v>
      </c>
      <c r="BD1919">
        <v>1</v>
      </c>
      <c r="BF1919" t="s">
        <v>2078</v>
      </c>
      <c r="BG1919" s="1">
        <v>44354.353472222225</v>
      </c>
      <c r="BH1919" s="1">
        <v>44354.355868055558</v>
      </c>
      <c r="BI1919" s="1">
        <v>44354.356354166666</v>
      </c>
      <c r="BJ1919" t="s">
        <v>85</v>
      </c>
      <c r="BK1919" t="s">
        <v>86</v>
      </c>
      <c r="BL1919" t="s">
        <v>87</v>
      </c>
    </row>
    <row r="1920" spans="1:64" x14ac:dyDescent="0.3">
      <c r="A1920" t="str">
        <f>"201090E0100"</f>
        <v>201090E0100</v>
      </c>
      <c r="B1920" t="str">
        <f>"201090E01003"</f>
        <v>201090E01003</v>
      </c>
      <c r="C1920" t="str">
        <f t="shared" si="113"/>
        <v>20</v>
      </c>
      <c r="D1920" t="s">
        <v>81</v>
      </c>
      <c r="E1920" t="str">
        <f t="shared" si="115"/>
        <v>183</v>
      </c>
      <c r="F1920" t="s">
        <v>2060</v>
      </c>
      <c r="G1920" t="str">
        <f>"1090"</f>
        <v>1090</v>
      </c>
      <c r="H1920" t="str">
        <f>"0001"</f>
        <v>0001</v>
      </c>
      <c r="I1920" t="s">
        <v>122</v>
      </c>
      <c r="J1920">
        <v>0</v>
      </c>
      <c r="K1920">
        <v>1</v>
      </c>
      <c r="L1920">
        <v>3</v>
      </c>
      <c r="M1920">
        <v>235</v>
      </c>
      <c r="N1920">
        <v>368</v>
      </c>
      <c r="O1920">
        <v>2</v>
      </c>
      <c r="P1920">
        <v>368</v>
      </c>
      <c r="Q1920">
        <v>1</v>
      </c>
      <c r="R1920">
        <v>49</v>
      </c>
      <c r="S1920">
        <v>6</v>
      </c>
      <c r="T1920">
        <v>117</v>
      </c>
      <c r="U1920">
        <v>44</v>
      </c>
      <c r="V1920">
        <v>2</v>
      </c>
      <c r="W1920">
        <v>16</v>
      </c>
      <c r="X1920">
        <v>42</v>
      </c>
      <c r="Y1920">
        <v>45</v>
      </c>
      <c r="Z1920">
        <v>13</v>
      </c>
      <c r="AB1920">
        <v>22</v>
      </c>
      <c r="AW1920">
        <v>0</v>
      </c>
      <c r="AX1920">
        <v>11</v>
      </c>
      <c r="AY1920">
        <v>368</v>
      </c>
      <c r="AZ1920">
        <v>368</v>
      </c>
      <c r="BA1920">
        <v>559</v>
      </c>
      <c r="BB1920">
        <v>44</v>
      </c>
      <c r="BD1920">
        <v>1</v>
      </c>
      <c r="BF1920" t="s">
        <v>2079</v>
      </c>
      <c r="BG1920" s="1">
        <v>44354.356249999997</v>
      </c>
      <c r="BH1920" s="1">
        <v>44354.359537037039</v>
      </c>
      <c r="BI1920" s="1">
        <v>44354.360300925924</v>
      </c>
      <c r="BJ1920" t="s">
        <v>85</v>
      </c>
      <c r="BK1920" t="s">
        <v>86</v>
      </c>
      <c r="BL1920" t="s">
        <v>87</v>
      </c>
    </row>
    <row r="1921" spans="1:64" x14ac:dyDescent="0.3">
      <c r="A1921" t="str">
        <f>"201091B0000"</f>
        <v>201091B0000</v>
      </c>
      <c r="B1921" t="str">
        <f>"201091B00003"</f>
        <v>201091B00003</v>
      </c>
      <c r="C1921" t="str">
        <f t="shared" si="113"/>
        <v>20</v>
      </c>
      <c r="D1921" t="s">
        <v>81</v>
      </c>
      <c r="E1921" t="str">
        <f t="shared" si="115"/>
        <v>183</v>
      </c>
      <c r="F1921" t="s">
        <v>2060</v>
      </c>
      <c r="G1921" t="str">
        <f>"1091"</f>
        <v>1091</v>
      </c>
      <c r="H1921" t="str">
        <f>"0000"</f>
        <v>0000</v>
      </c>
      <c r="I1921" t="s">
        <v>83</v>
      </c>
      <c r="J1921">
        <v>0</v>
      </c>
      <c r="K1921">
        <v>1</v>
      </c>
      <c r="L1921">
        <v>3</v>
      </c>
      <c r="M1921">
        <v>217</v>
      </c>
      <c r="N1921">
        <v>364</v>
      </c>
      <c r="O1921">
        <v>4</v>
      </c>
      <c r="P1921">
        <v>360</v>
      </c>
      <c r="Q1921">
        <v>1</v>
      </c>
      <c r="R1921">
        <v>20</v>
      </c>
      <c r="S1921">
        <v>9</v>
      </c>
      <c r="T1921">
        <v>59</v>
      </c>
      <c r="U1921">
        <v>36</v>
      </c>
      <c r="V1921">
        <v>38</v>
      </c>
      <c r="W1921">
        <v>12</v>
      </c>
      <c r="X1921">
        <v>67</v>
      </c>
      <c r="Y1921">
        <v>79</v>
      </c>
      <c r="Z1921">
        <v>24</v>
      </c>
      <c r="AB1921">
        <v>9</v>
      </c>
      <c r="AW1921">
        <v>0</v>
      </c>
      <c r="AX1921">
        <v>10</v>
      </c>
      <c r="AY1921">
        <v>364</v>
      </c>
      <c r="AZ1921">
        <v>364</v>
      </c>
      <c r="BA1921">
        <v>537</v>
      </c>
      <c r="BB1921">
        <v>44</v>
      </c>
      <c r="BD1921">
        <v>1</v>
      </c>
      <c r="BF1921" t="s">
        <v>2080</v>
      </c>
      <c r="BG1921" s="1">
        <v>44354.285416666666</v>
      </c>
      <c r="BH1921" s="1">
        <v>44354.287418981483</v>
      </c>
      <c r="BI1921" s="1">
        <v>44354.287800925929</v>
      </c>
      <c r="BJ1921" t="s">
        <v>85</v>
      </c>
      <c r="BK1921" t="s">
        <v>86</v>
      </c>
      <c r="BL1921" t="s">
        <v>87</v>
      </c>
    </row>
    <row r="1922" spans="1:64" x14ac:dyDescent="0.3">
      <c r="A1922" t="str">
        <f>"201091C0100"</f>
        <v>201091C0100</v>
      </c>
      <c r="B1922" t="str">
        <f>"201091C01003"</f>
        <v>201091C01003</v>
      </c>
      <c r="C1922" t="str">
        <f t="shared" si="113"/>
        <v>20</v>
      </c>
      <c r="D1922" t="s">
        <v>81</v>
      </c>
      <c r="E1922" t="str">
        <f t="shared" si="115"/>
        <v>183</v>
      </c>
      <c r="F1922" t="s">
        <v>2060</v>
      </c>
      <c r="G1922" t="str">
        <f>"1091"</f>
        <v>1091</v>
      </c>
      <c r="H1922" t="str">
        <f>"0001"</f>
        <v>0001</v>
      </c>
      <c r="I1922" t="s">
        <v>89</v>
      </c>
      <c r="J1922">
        <v>0</v>
      </c>
      <c r="K1922">
        <v>1</v>
      </c>
      <c r="L1922">
        <v>3</v>
      </c>
      <c r="M1922">
        <v>194</v>
      </c>
      <c r="N1922">
        <v>386</v>
      </c>
      <c r="O1922">
        <v>3</v>
      </c>
      <c r="P1922">
        <v>386</v>
      </c>
      <c r="Q1922">
        <v>2</v>
      </c>
      <c r="R1922">
        <v>19</v>
      </c>
      <c r="S1922">
        <v>3</v>
      </c>
      <c r="T1922">
        <v>76</v>
      </c>
      <c r="U1922">
        <v>59</v>
      </c>
      <c r="V1922">
        <v>39</v>
      </c>
      <c r="W1922">
        <v>20</v>
      </c>
      <c r="X1922">
        <v>73</v>
      </c>
      <c r="Y1922">
        <v>60</v>
      </c>
      <c r="Z1922">
        <v>12</v>
      </c>
      <c r="AB1922">
        <v>13</v>
      </c>
      <c r="AW1922">
        <v>0</v>
      </c>
      <c r="AX1922">
        <v>10</v>
      </c>
      <c r="AY1922">
        <v>386</v>
      </c>
      <c r="AZ1922">
        <v>386</v>
      </c>
      <c r="BA1922">
        <v>536</v>
      </c>
      <c r="BB1922">
        <v>44</v>
      </c>
      <c r="BD1922">
        <v>1</v>
      </c>
      <c r="BF1922" t="s">
        <v>2081</v>
      </c>
      <c r="BG1922" s="1">
        <v>44354.287499999999</v>
      </c>
      <c r="BH1922" s="1">
        <v>44354.291064814817</v>
      </c>
      <c r="BI1922" s="1">
        <v>44354.291909722226</v>
      </c>
      <c r="BJ1922" t="s">
        <v>85</v>
      </c>
      <c r="BK1922" t="s">
        <v>86</v>
      </c>
      <c r="BL1922" t="s">
        <v>87</v>
      </c>
    </row>
    <row r="1923" spans="1:64" x14ac:dyDescent="0.3">
      <c r="A1923" t="str">
        <f>"201091E0100"</f>
        <v>201091E0100</v>
      </c>
      <c r="B1923" t="str">
        <f>"201091E01003"</f>
        <v>201091E01003</v>
      </c>
      <c r="C1923" t="str">
        <f t="shared" si="113"/>
        <v>20</v>
      </c>
      <c r="D1923" t="s">
        <v>81</v>
      </c>
      <c r="E1923" t="str">
        <f t="shared" si="115"/>
        <v>183</v>
      </c>
      <c r="F1923" t="s">
        <v>2060</v>
      </c>
      <c r="G1923" t="str">
        <f>"1091"</f>
        <v>1091</v>
      </c>
      <c r="H1923" t="str">
        <f>"0001"</f>
        <v>0001</v>
      </c>
      <c r="I1923" t="s">
        <v>122</v>
      </c>
      <c r="J1923">
        <v>0</v>
      </c>
      <c r="K1923">
        <v>1</v>
      </c>
      <c r="L1923">
        <v>3</v>
      </c>
      <c r="M1923">
        <v>168</v>
      </c>
      <c r="N1923">
        <v>271</v>
      </c>
      <c r="O1923">
        <v>3</v>
      </c>
      <c r="P1923">
        <v>0</v>
      </c>
      <c r="Q1923">
        <v>3</v>
      </c>
      <c r="R1923">
        <v>17</v>
      </c>
      <c r="S1923">
        <v>3</v>
      </c>
      <c r="T1923">
        <v>40</v>
      </c>
      <c r="U1923">
        <v>11</v>
      </c>
      <c r="V1923">
        <v>8</v>
      </c>
      <c r="W1923">
        <v>18</v>
      </c>
      <c r="X1923">
        <v>75</v>
      </c>
      <c r="Y1923">
        <v>58</v>
      </c>
      <c r="Z1923">
        <v>8</v>
      </c>
      <c r="AB1923">
        <v>15</v>
      </c>
      <c r="AW1923">
        <v>0</v>
      </c>
      <c r="AX1923">
        <v>15</v>
      </c>
      <c r="AY1923">
        <v>271</v>
      </c>
      <c r="AZ1923">
        <v>271</v>
      </c>
      <c r="BA1923">
        <v>395</v>
      </c>
      <c r="BB1923">
        <v>44</v>
      </c>
      <c r="BD1923">
        <v>1</v>
      </c>
      <c r="BF1923" s="2" t="s">
        <v>2082</v>
      </c>
      <c r="BG1923" s="1">
        <v>44354.325694444444</v>
      </c>
      <c r="BH1923" s="1">
        <v>44354.33021990741</v>
      </c>
      <c r="BI1923" s="1">
        <v>44354.330613425926</v>
      </c>
      <c r="BJ1923" t="s">
        <v>85</v>
      </c>
      <c r="BK1923" t="s">
        <v>86</v>
      </c>
      <c r="BL1923" t="s">
        <v>87</v>
      </c>
    </row>
    <row r="1924" spans="1:64" x14ac:dyDescent="0.3">
      <c r="A1924" t="str">
        <f>"201092B0000"</f>
        <v>201092B0000</v>
      </c>
      <c r="B1924" t="str">
        <f>"201092B00003"</f>
        <v>201092B00003</v>
      </c>
      <c r="C1924" t="str">
        <f t="shared" si="113"/>
        <v>20</v>
      </c>
      <c r="D1924" t="s">
        <v>81</v>
      </c>
      <c r="E1924" t="str">
        <f t="shared" si="115"/>
        <v>183</v>
      </c>
      <c r="F1924" t="s">
        <v>2060</v>
      </c>
      <c r="G1924" t="str">
        <f>"1092"</f>
        <v>1092</v>
      </c>
      <c r="H1924" t="str">
        <f>"0000"</f>
        <v>0000</v>
      </c>
      <c r="I1924" t="s">
        <v>83</v>
      </c>
      <c r="J1924">
        <v>0</v>
      </c>
      <c r="K1924">
        <v>1</v>
      </c>
      <c r="L1924">
        <v>3</v>
      </c>
      <c r="M1924">
        <v>141</v>
      </c>
      <c r="N1924">
        <v>198</v>
      </c>
      <c r="O1924">
        <v>0</v>
      </c>
      <c r="P1924" t="s">
        <v>92</v>
      </c>
      <c r="Q1924">
        <v>1</v>
      </c>
      <c r="R1924">
        <v>12</v>
      </c>
      <c r="S1924">
        <v>2</v>
      </c>
      <c r="T1924">
        <v>48</v>
      </c>
      <c r="U1924">
        <v>60</v>
      </c>
      <c r="V1924">
        <v>10</v>
      </c>
      <c r="W1924">
        <v>3</v>
      </c>
      <c r="X1924">
        <v>24</v>
      </c>
      <c r="Y1924">
        <v>33</v>
      </c>
      <c r="Z1924">
        <v>3</v>
      </c>
      <c r="AB1924">
        <v>1</v>
      </c>
      <c r="AW1924">
        <v>0</v>
      </c>
      <c r="AX1924">
        <v>5</v>
      </c>
      <c r="AY1924">
        <v>202</v>
      </c>
      <c r="AZ1924">
        <v>202</v>
      </c>
      <c r="BA1924">
        <v>299</v>
      </c>
      <c r="BB1924">
        <v>44</v>
      </c>
      <c r="BD1924">
        <v>1</v>
      </c>
      <c r="BF1924" t="s">
        <v>2083</v>
      </c>
      <c r="BG1924" s="1">
        <v>44354.275694444441</v>
      </c>
      <c r="BH1924" s="1">
        <v>44354.278425925928</v>
      </c>
      <c r="BI1924" s="1">
        <v>44354.278946759259</v>
      </c>
      <c r="BJ1924" t="s">
        <v>85</v>
      </c>
      <c r="BK1924" t="s">
        <v>86</v>
      </c>
      <c r="BL1924" t="s">
        <v>87</v>
      </c>
    </row>
    <row r="1925" spans="1:64" x14ac:dyDescent="0.3">
      <c r="A1925" t="str">
        <f>"201092E0100"</f>
        <v>201092E0100</v>
      </c>
      <c r="B1925" t="str">
        <f>"201092E01003"</f>
        <v>201092E01003</v>
      </c>
      <c r="C1925" t="str">
        <f t="shared" si="113"/>
        <v>20</v>
      </c>
      <c r="D1925" t="s">
        <v>81</v>
      </c>
      <c r="E1925" t="str">
        <f t="shared" si="115"/>
        <v>183</v>
      </c>
      <c r="F1925" t="s">
        <v>2060</v>
      </c>
      <c r="G1925" t="str">
        <f>"1092"</f>
        <v>1092</v>
      </c>
      <c r="H1925" t="str">
        <f>"0001"</f>
        <v>0001</v>
      </c>
      <c r="I1925" t="s">
        <v>122</v>
      </c>
      <c r="J1925">
        <v>0</v>
      </c>
      <c r="K1925">
        <v>1</v>
      </c>
      <c r="L1925">
        <v>3</v>
      </c>
      <c r="BA1925">
        <v>386</v>
      </c>
      <c r="BB1925">
        <v>44</v>
      </c>
      <c r="BC1925" t="s">
        <v>381</v>
      </c>
      <c r="BD1925">
        <v>0</v>
      </c>
      <c r="BF1925" t="s">
        <v>2084</v>
      </c>
      <c r="BG1925" s="1">
        <v>44354.375694444447</v>
      </c>
      <c r="BH1925" s="1">
        <v>44354.377199074072</v>
      </c>
      <c r="BI1925" s="1">
        <v>44354.377199074072</v>
      </c>
      <c r="BJ1925" t="s">
        <v>85</v>
      </c>
      <c r="BK1925" t="s">
        <v>86</v>
      </c>
      <c r="BL1925" t="s">
        <v>87</v>
      </c>
    </row>
    <row r="1926" spans="1:64" x14ac:dyDescent="0.3">
      <c r="A1926" t="str">
        <f>"201092E0200"</f>
        <v>201092E0200</v>
      </c>
      <c r="B1926" t="str">
        <f>"201092E02003"</f>
        <v>201092E02003</v>
      </c>
      <c r="C1926" t="str">
        <f t="shared" si="113"/>
        <v>20</v>
      </c>
      <c r="D1926" t="s">
        <v>81</v>
      </c>
      <c r="E1926" t="str">
        <f t="shared" si="115"/>
        <v>183</v>
      </c>
      <c r="F1926" t="s">
        <v>2060</v>
      </c>
      <c r="G1926" t="str">
        <f>"1092"</f>
        <v>1092</v>
      </c>
      <c r="H1926" t="str">
        <f>"0002"</f>
        <v>0002</v>
      </c>
      <c r="I1926" t="s">
        <v>122</v>
      </c>
      <c r="J1926">
        <v>0</v>
      </c>
      <c r="K1926">
        <v>1</v>
      </c>
      <c r="L1926">
        <v>3</v>
      </c>
      <c r="M1926">
        <v>106</v>
      </c>
      <c r="N1926">
        <v>151</v>
      </c>
      <c r="O1926">
        <v>6</v>
      </c>
      <c r="P1926">
        <v>151</v>
      </c>
      <c r="Q1926">
        <v>1</v>
      </c>
      <c r="R1926">
        <v>18</v>
      </c>
      <c r="S1926">
        <v>6</v>
      </c>
      <c r="T1926">
        <v>14</v>
      </c>
      <c r="U1926">
        <v>10</v>
      </c>
      <c r="V1926">
        <v>5</v>
      </c>
      <c r="W1926">
        <v>14</v>
      </c>
      <c r="X1926">
        <v>17</v>
      </c>
      <c r="Y1926">
        <v>34</v>
      </c>
      <c r="Z1926">
        <v>17</v>
      </c>
      <c r="AB1926">
        <v>1</v>
      </c>
      <c r="AW1926">
        <v>0</v>
      </c>
      <c r="AX1926">
        <v>14</v>
      </c>
      <c r="AY1926">
        <v>151</v>
      </c>
      <c r="AZ1926">
        <v>151</v>
      </c>
      <c r="BA1926">
        <v>213</v>
      </c>
      <c r="BB1926">
        <v>44</v>
      </c>
      <c r="BD1926">
        <v>1</v>
      </c>
      <c r="BF1926" t="s">
        <v>2085</v>
      </c>
      <c r="BG1926" s="1">
        <v>44354.277083333334</v>
      </c>
      <c r="BH1926" s="1">
        <v>44354.280902777777</v>
      </c>
      <c r="BI1926" s="1">
        <v>44354.281215277777</v>
      </c>
      <c r="BJ1926" t="s">
        <v>85</v>
      </c>
      <c r="BK1926" t="s">
        <v>86</v>
      </c>
      <c r="BL1926" t="s">
        <v>87</v>
      </c>
    </row>
    <row r="1927" spans="1:64" x14ac:dyDescent="0.3">
      <c r="A1927" t="str">
        <f>"201093B0000"</f>
        <v>201093B0000</v>
      </c>
      <c r="B1927" t="str">
        <f>"201093B00003"</f>
        <v>201093B00003</v>
      </c>
      <c r="C1927" t="str">
        <f t="shared" ref="C1927:C1990" si="116">"20"</f>
        <v>20</v>
      </c>
      <c r="D1927" t="s">
        <v>81</v>
      </c>
      <c r="E1927" t="str">
        <f t="shared" si="115"/>
        <v>183</v>
      </c>
      <c r="F1927" t="s">
        <v>2060</v>
      </c>
      <c r="G1927" t="str">
        <f>"1093"</f>
        <v>1093</v>
      </c>
      <c r="H1927" t="str">
        <f>"0000"</f>
        <v>0000</v>
      </c>
      <c r="I1927" t="s">
        <v>83</v>
      </c>
      <c r="J1927">
        <v>0</v>
      </c>
      <c r="K1927">
        <v>1</v>
      </c>
      <c r="L1927">
        <v>3</v>
      </c>
      <c r="M1927" t="s">
        <v>92</v>
      </c>
      <c r="N1927" t="s">
        <v>92</v>
      </c>
      <c r="O1927" t="s">
        <v>92</v>
      </c>
      <c r="P1927" t="s">
        <v>92</v>
      </c>
      <c r="Q1927">
        <v>6</v>
      </c>
      <c r="R1927">
        <v>129</v>
      </c>
      <c r="S1927">
        <v>3</v>
      </c>
      <c r="T1927">
        <v>29</v>
      </c>
      <c r="U1927">
        <v>22</v>
      </c>
      <c r="V1927">
        <v>26</v>
      </c>
      <c r="W1927">
        <v>18</v>
      </c>
      <c r="X1927">
        <v>35</v>
      </c>
      <c r="Y1927">
        <v>37</v>
      </c>
      <c r="Z1927">
        <v>7</v>
      </c>
      <c r="AB1927">
        <v>5</v>
      </c>
      <c r="AW1927">
        <v>0</v>
      </c>
      <c r="AX1927">
        <v>22</v>
      </c>
      <c r="AY1927" t="s">
        <v>95</v>
      </c>
      <c r="AZ1927">
        <v>339</v>
      </c>
      <c r="BA1927">
        <v>630</v>
      </c>
      <c r="BB1927">
        <v>44</v>
      </c>
      <c r="BD1927">
        <v>1</v>
      </c>
      <c r="BF1927" t="s">
        <v>2086</v>
      </c>
      <c r="BG1927" s="1">
        <v>44354.3125</v>
      </c>
      <c r="BH1927" s="1">
        <v>44354.315706018519</v>
      </c>
      <c r="BI1927" s="1">
        <v>44354.316307870373</v>
      </c>
      <c r="BJ1927" t="s">
        <v>85</v>
      </c>
      <c r="BK1927" t="s">
        <v>86</v>
      </c>
      <c r="BL1927" t="s">
        <v>87</v>
      </c>
    </row>
    <row r="1928" spans="1:64" x14ac:dyDescent="0.3">
      <c r="A1928" t="str">
        <f>"201093E0100"</f>
        <v>201093E0100</v>
      </c>
      <c r="B1928" t="str">
        <f>"201093E01003"</f>
        <v>201093E01003</v>
      </c>
      <c r="C1928" t="str">
        <f t="shared" si="116"/>
        <v>20</v>
      </c>
      <c r="D1928" t="s">
        <v>81</v>
      </c>
      <c r="E1928" t="str">
        <f t="shared" si="115"/>
        <v>183</v>
      </c>
      <c r="F1928" t="s">
        <v>2060</v>
      </c>
      <c r="G1928" t="str">
        <f>"1093"</f>
        <v>1093</v>
      </c>
      <c r="H1928" t="str">
        <f>"0001"</f>
        <v>0001</v>
      </c>
      <c r="I1928" t="s">
        <v>122</v>
      </c>
      <c r="J1928">
        <v>0</v>
      </c>
      <c r="K1928">
        <v>1</v>
      </c>
      <c r="L1928">
        <v>3</v>
      </c>
      <c r="BA1928">
        <v>167</v>
      </c>
      <c r="BB1928">
        <v>44</v>
      </c>
      <c r="BC1928" t="s">
        <v>381</v>
      </c>
      <c r="BD1928">
        <v>0</v>
      </c>
      <c r="BF1928" t="s">
        <v>2087</v>
      </c>
      <c r="BG1928" s="1">
        <v>44354.375</v>
      </c>
      <c r="BH1928" s="1">
        <v>44354.376956018517</v>
      </c>
      <c r="BI1928" s="1">
        <v>44354.376956018517</v>
      </c>
      <c r="BJ1928" t="s">
        <v>85</v>
      </c>
      <c r="BK1928" t="s">
        <v>86</v>
      </c>
      <c r="BL1928" t="s">
        <v>87</v>
      </c>
    </row>
    <row r="1929" spans="1:64" x14ac:dyDescent="0.3">
      <c r="A1929" t="str">
        <f>"201094B0000"</f>
        <v>201094B0000</v>
      </c>
      <c r="B1929" t="str">
        <f>"201094B00003"</f>
        <v>201094B00003</v>
      </c>
      <c r="C1929" t="str">
        <f t="shared" si="116"/>
        <v>20</v>
      </c>
      <c r="D1929" t="s">
        <v>81</v>
      </c>
      <c r="E1929" t="str">
        <f t="shared" si="115"/>
        <v>183</v>
      </c>
      <c r="F1929" t="s">
        <v>2060</v>
      </c>
      <c r="G1929" t="str">
        <f>"1094"</f>
        <v>1094</v>
      </c>
      <c r="H1929" t="str">
        <f>"0000"</f>
        <v>0000</v>
      </c>
      <c r="I1929" t="s">
        <v>83</v>
      </c>
      <c r="J1929">
        <v>0</v>
      </c>
      <c r="K1929">
        <v>1</v>
      </c>
      <c r="L1929">
        <v>3</v>
      </c>
      <c r="M1929">
        <v>161</v>
      </c>
      <c r="N1929">
        <v>411</v>
      </c>
      <c r="O1929">
        <v>0</v>
      </c>
      <c r="P1929">
        <v>411</v>
      </c>
      <c r="Q1929">
        <v>4</v>
      </c>
      <c r="R1929">
        <v>21</v>
      </c>
      <c r="S1929">
        <v>5</v>
      </c>
      <c r="T1929">
        <v>93</v>
      </c>
      <c r="U1929">
        <v>34</v>
      </c>
      <c r="V1929">
        <v>3</v>
      </c>
      <c r="W1929">
        <v>20</v>
      </c>
      <c r="X1929">
        <v>100</v>
      </c>
      <c r="Y1929">
        <v>90</v>
      </c>
      <c r="Z1929">
        <v>28</v>
      </c>
      <c r="AB1929">
        <v>5</v>
      </c>
      <c r="AW1929">
        <v>0</v>
      </c>
      <c r="AX1929">
        <v>8</v>
      </c>
      <c r="AY1929">
        <v>411</v>
      </c>
      <c r="AZ1929">
        <v>411</v>
      </c>
      <c r="BA1929">
        <v>528</v>
      </c>
      <c r="BB1929">
        <v>44</v>
      </c>
      <c r="BD1929">
        <v>1</v>
      </c>
      <c r="BF1929" s="2" t="s">
        <v>2088</v>
      </c>
      <c r="BG1929" s="1">
        <v>44354.013888888891</v>
      </c>
      <c r="BH1929" s="1">
        <v>44354.027731481481</v>
      </c>
      <c r="BI1929" s="1">
        <v>44354.028310185182</v>
      </c>
      <c r="BJ1929" t="s">
        <v>85</v>
      </c>
      <c r="BK1929" t="s">
        <v>86</v>
      </c>
      <c r="BL1929" t="s">
        <v>87</v>
      </c>
    </row>
    <row r="1930" spans="1:64" x14ac:dyDescent="0.3">
      <c r="A1930" t="str">
        <f>"201094C0100"</f>
        <v>201094C0100</v>
      </c>
      <c r="B1930" t="str">
        <f>"201094C01003"</f>
        <v>201094C01003</v>
      </c>
      <c r="C1930" t="str">
        <f t="shared" si="116"/>
        <v>20</v>
      </c>
      <c r="D1930" t="s">
        <v>81</v>
      </c>
      <c r="E1930" t="str">
        <f t="shared" si="115"/>
        <v>183</v>
      </c>
      <c r="F1930" t="s">
        <v>2060</v>
      </c>
      <c r="G1930" t="str">
        <f>"1094"</f>
        <v>1094</v>
      </c>
      <c r="H1930" t="str">
        <f>"0001"</f>
        <v>0001</v>
      </c>
      <c r="I1930" t="s">
        <v>89</v>
      </c>
      <c r="J1930">
        <v>0</v>
      </c>
      <c r="K1930">
        <v>1</v>
      </c>
      <c r="L1930">
        <v>3</v>
      </c>
      <c r="M1930">
        <v>183</v>
      </c>
      <c r="N1930">
        <v>389</v>
      </c>
      <c r="O1930">
        <v>3</v>
      </c>
      <c r="P1930">
        <v>389</v>
      </c>
      <c r="Q1930">
        <v>3</v>
      </c>
      <c r="R1930">
        <v>21</v>
      </c>
      <c r="S1930">
        <v>3</v>
      </c>
      <c r="T1930">
        <v>92</v>
      </c>
      <c r="U1930">
        <v>24</v>
      </c>
      <c r="V1930">
        <v>5</v>
      </c>
      <c r="W1930">
        <v>19</v>
      </c>
      <c r="X1930">
        <v>97</v>
      </c>
      <c r="Y1930">
        <v>82</v>
      </c>
      <c r="Z1930">
        <v>26</v>
      </c>
      <c r="AB1930">
        <v>5</v>
      </c>
      <c r="AW1930">
        <v>0</v>
      </c>
      <c r="AX1930">
        <v>12</v>
      </c>
      <c r="AY1930">
        <v>389</v>
      </c>
      <c r="AZ1930">
        <v>389</v>
      </c>
      <c r="BA1930">
        <v>528</v>
      </c>
      <c r="BB1930">
        <v>44</v>
      </c>
      <c r="BD1930">
        <v>1</v>
      </c>
      <c r="BF1930" s="2" t="s">
        <v>2089</v>
      </c>
      <c r="BG1930" s="1">
        <v>44354.011111111111</v>
      </c>
      <c r="BH1930" s="1">
        <v>44354.01902777778</v>
      </c>
      <c r="BI1930" s="1">
        <v>44354.01971064815</v>
      </c>
      <c r="BJ1930" t="s">
        <v>85</v>
      </c>
      <c r="BK1930" t="s">
        <v>86</v>
      </c>
      <c r="BL1930" t="s">
        <v>87</v>
      </c>
    </row>
    <row r="1931" spans="1:64" x14ac:dyDescent="0.3">
      <c r="A1931" t="str">
        <f>"201095B0000"</f>
        <v>201095B0000</v>
      </c>
      <c r="B1931" t="str">
        <f>"201095B00003"</f>
        <v>201095B00003</v>
      </c>
      <c r="C1931" t="str">
        <f t="shared" si="116"/>
        <v>20</v>
      </c>
      <c r="D1931" t="s">
        <v>81</v>
      </c>
      <c r="E1931" t="str">
        <f t="shared" si="115"/>
        <v>183</v>
      </c>
      <c r="F1931" t="s">
        <v>2060</v>
      </c>
      <c r="G1931" t="str">
        <f>"1095"</f>
        <v>1095</v>
      </c>
      <c r="H1931" t="str">
        <f>"0000"</f>
        <v>0000</v>
      </c>
      <c r="I1931" t="s">
        <v>83</v>
      </c>
      <c r="J1931">
        <v>0</v>
      </c>
      <c r="K1931">
        <v>1</v>
      </c>
      <c r="L1931">
        <v>3</v>
      </c>
      <c r="M1931">
        <v>240</v>
      </c>
      <c r="N1931">
        <v>414</v>
      </c>
      <c r="O1931">
        <v>0</v>
      </c>
      <c r="P1931">
        <v>414</v>
      </c>
      <c r="Q1931">
        <v>10</v>
      </c>
      <c r="R1931">
        <v>26</v>
      </c>
      <c r="S1931">
        <v>10</v>
      </c>
      <c r="T1931">
        <v>80</v>
      </c>
      <c r="U1931">
        <v>73</v>
      </c>
      <c r="V1931">
        <v>6</v>
      </c>
      <c r="W1931">
        <v>34</v>
      </c>
      <c r="X1931">
        <v>67</v>
      </c>
      <c r="Y1931">
        <v>52</v>
      </c>
      <c r="Z1931">
        <v>17</v>
      </c>
      <c r="AB1931">
        <v>19</v>
      </c>
      <c r="AW1931">
        <v>0</v>
      </c>
      <c r="AX1931">
        <v>20</v>
      </c>
      <c r="AY1931">
        <v>414</v>
      </c>
      <c r="AZ1931">
        <v>414</v>
      </c>
      <c r="BA1931">
        <v>610</v>
      </c>
      <c r="BB1931">
        <v>44</v>
      </c>
      <c r="BD1931">
        <v>1</v>
      </c>
      <c r="BF1931" t="s">
        <v>2090</v>
      </c>
      <c r="BG1931" s="1">
        <v>44354.293749999997</v>
      </c>
      <c r="BH1931" s="1">
        <v>44354.295972222222</v>
      </c>
      <c r="BI1931" s="1">
        <v>44354.297210648147</v>
      </c>
      <c r="BJ1931" t="s">
        <v>85</v>
      </c>
      <c r="BK1931" t="s">
        <v>86</v>
      </c>
      <c r="BL1931" t="s">
        <v>87</v>
      </c>
    </row>
    <row r="1932" spans="1:64" x14ac:dyDescent="0.3">
      <c r="A1932" t="str">
        <f>"201095E0100"</f>
        <v>201095E0100</v>
      </c>
      <c r="B1932" t="str">
        <f>"201095E01003"</f>
        <v>201095E01003</v>
      </c>
      <c r="C1932" t="str">
        <f t="shared" si="116"/>
        <v>20</v>
      </c>
      <c r="D1932" t="s">
        <v>81</v>
      </c>
      <c r="E1932" t="str">
        <f t="shared" si="115"/>
        <v>183</v>
      </c>
      <c r="F1932" t="s">
        <v>2060</v>
      </c>
      <c r="G1932" t="str">
        <f>"1095"</f>
        <v>1095</v>
      </c>
      <c r="H1932" t="str">
        <f>"0001"</f>
        <v>0001</v>
      </c>
      <c r="I1932" t="s">
        <v>122</v>
      </c>
      <c r="J1932">
        <v>0</v>
      </c>
      <c r="K1932">
        <v>1</v>
      </c>
      <c r="L1932">
        <v>3</v>
      </c>
      <c r="M1932">
        <v>198</v>
      </c>
      <c r="N1932">
        <v>205</v>
      </c>
      <c r="O1932">
        <v>2</v>
      </c>
      <c r="P1932">
        <v>205</v>
      </c>
      <c r="Q1932">
        <v>1</v>
      </c>
      <c r="R1932">
        <v>16</v>
      </c>
      <c r="S1932">
        <v>3</v>
      </c>
      <c r="T1932">
        <v>73</v>
      </c>
      <c r="U1932">
        <v>33</v>
      </c>
      <c r="V1932">
        <v>7</v>
      </c>
      <c r="W1932">
        <v>32</v>
      </c>
      <c r="X1932">
        <v>17</v>
      </c>
      <c r="Y1932">
        <v>12</v>
      </c>
      <c r="Z1932">
        <v>2</v>
      </c>
      <c r="AB1932">
        <v>3</v>
      </c>
      <c r="AW1932">
        <v>0</v>
      </c>
      <c r="AX1932">
        <v>6</v>
      </c>
      <c r="AY1932">
        <v>205</v>
      </c>
      <c r="AZ1932">
        <v>205</v>
      </c>
      <c r="BA1932">
        <v>359</v>
      </c>
      <c r="BB1932">
        <v>44</v>
      </c>
      <c r="BD1932">
        <v>1</v>
      </c>
      <c r="BF1932" t="s">
        <v>2091</v>
      </c>
      <c r="BG1932" s="1">
        <v>44354.290277777778</v>
      </c>
      <c r="BH1932" s="1">
        <v>44354.292951388888</v>
      </c>
      <c r="BI1932" s="1">
        <v>44354.293391203704</v>
      </c>
      <c r="BJ1932" t="s">
        <v>85</v>
      </c>
      <c r="BK1932" t="s">
        <v>86</v>
      </c>
      <c r="BL1932" t="s">
        <v>87</v>
      </c>
    </row>
    <row r="1933" spans="1:64" x14ac:dyDescent="0.3">
      <c r="A1933" t="str">
        <f>"201095E0200"</f>
        <v>201095E0200</v>
      </c>
      <c r="B1933" t="str">
        <f>"201095E02003"</f>
        <v>201095E02003</v>
      </c>
      <c r="C1933" t="str">
        <f t="shared" si="116"/>
        <v>20</v>
      </c>
      <c r="D1933" t="s">
        <v>81</v>
      </c>
      <c r="E1933" t="str">
        <f t="shared" si="115"/>
        <v>183</v>
      </c>
      <c r="F1933" t="s">
        <v>2060</v>
      </c>
      <c r="G1933" t="str">
        <f>"1095"</f>
        <v>1095</v>
      </c>
      <c r="H1933" t="str">
        <f>"0002"</f>
        <v>0002</v>
      </c>
      <c r="I1933" t="s">
        <v>122</v>
      </c>
      <c r="J1933">
        <v>0</v>
      </c>
      <c r="K1933">
        <v>1</v>
      </c>
      <c r="L1933">
        <v>3</v>
      </c>
      <c r="M1933">
        <v>143</v>
      </c>
      <c r="N1933">
        <v>200</v>
      </c>
      <c r="O1933">
        <v>3</v>
      </c>
      <c r="P1933">
        <v>200</v>
      </c>
      <c r="Q1933">
        <v>4</v>
      </c>
      <c r="R1933">
        <v>1</v>
      </c>
      <c r="S1933">
        <v>0</v>
      </c>
      <c r="T1933">
        <v>18</v>
      </c>
      <c r="U1933">
        <v>5</v>
      </c>
      <c r="V1933">
        <v>6</v>
      </c>
      <c r="W1933">
        <v>12</v>
      </c>
      <c r="X1933">
        <v>95</v>
      </c>
      <c r="Y1933">
        <v>46</v>
      </c>
      <c r="Z1933">
        <v>5</v>
      </c>
      <c r="AB1933">
        <v>2</v>
      </c>
      <c r="AW1933">
        <v>0</v>
      </c>
      <c r="AX1933">
        <v>6</v>
      </c>
      <c r="AY1933">
        <v>200</v>
      </c>
      <c r="AZ1933">
        <v>200</v>
      </c>
      <c r="BA1933">
        <v>299</v>
      </c>
      <c r="BB1933">
        <v>44</v>
      </c>
      <c r="BD1933">
        <v>1</v>
      </c>
      <c r="BF1933" t="s">
        <v>2092</v>
      </c>
      <c r="BG1933" s="1">
        <v>44354.292361111111</v>
      </c>
      <c r="BH1933" s="1">
        <v>44354.295335648145</v>
      </c>
      <c r="BI1933" s="1">
        <v>44354.295856481483</v>
      </c>
      <c r="BJ1933" t="s">
        <v>85</v>
      </c>
      <c r="BK1933" t="s">
        <v>86</v>
      </c>
      <c r="BL1933" t="s">
        <v>87</v>
      </c>
    </row>
    <row r="1934" spans="1:64" x14ac:dyDescent="0.3">
      <c r="A1934" t="str">
        <f>"201096B0000"</f>
        <v>201096B0000</v>
      </c>
      <c r="B1934" t="str">
        <f>"201096B00003"</f>
        <v>201096B00003</v>
      </c>
      <c r="C1934" t="str">
        <f t="shared" si="116"/>
        <v>20</v>
      </c>
      <c r="D1934" t="s">
        <v>81</v>
      </c>
      <c r="E1934" t="str">
        <f t="shared" si="115"/>
        <v>183</v>
      </c>
      <c r="F1934" t="s">
        <v>2060</v>
      </c>
      <c r="G1934" t="str">
        <f>"1096"</f>
        <v>1096</v>
      </c>
      <c r="H1934" t="str">
        <f>"0000"</f>
        <v>0000</v>
      </c>
      <c r="I1934" t="s">
        <v>83</v>
      </c>
      <c r="J1934">
        <v>0</v>
      </c>
      <c r="K1934">
        <v>1</v>
      </c>
      <c r="L1934">
        <v>3</v>
      </c>
      <c r="M1934">
        <v>199</v>
      </c>
      <c r="N1934">
        <v>462</v>
      </c>
      <c r="O1934">
        <v>11</v>
      </c>
      <c r="P1934">
        <v>462</v>
      </c>
      <c r="Q1934">
        <v>3</v>
      </c>
      <c r="R1934">
        <v>40</v>
      </c>
      <c r="S1934">
        <v>0</v>
      </c>
      <c r="T1934">
        <v>217</v>
      </c>
      <c r="U1934">
        <v>7</v>
      </c>
      <c r="V1934">
        <v>15</v>
      </c>
      <c r="W1934">
        <v>26</v>
      </c>
      <c r="X1934">
        <v>59</v>
      </c>
      <c r="Y1934">
        <v>72</v>
      </c>
      <c r="Z1934">
        <v>6</v>
      </c>
      <c r="AB1934">
        <v>4</v>
      </c>
      <c r="AW1934">
        <v>0</v>
      </c>
      <c r="AX1934">
        <v>13</v>
      </c>
      <c r="AY1934">
        <v>462</v>
      </c>
      <c r="AZ1934">
        <v>462</v>
      </c>
      <c r="BA1934">
        <v>618</v>
      </c>
      <c r="BB1934">
        <v>44</v>
      </c>
      <c r="BD1934">
        <v>1</v>
      </c>
      <c r="BF1934" t="s">
        <v>2093</v>
      </c>
      <c r="BG1934" s="1">
        <v>44354.35833333333</v>
      </c>
      <c r="BH1934" s="1">
        <v>44354.360578703701</v>
      </c>
      <c r="BI1934" s="1">
        <v>44354.361342592594</v>
      </c>
      <c r="BJ1934" t="s">
        <v>85</v>
      </c>
      <c r="BK1934" t="s">
        <v>86</v>
      </c>
      <c r="BL1934" t="s">
        <v>87</v>
      </c>
    </row>
    <row r="1935" spans="1:64" x14ac:dyDescent="0.3">
      <c r="A1935" t="str">
        <f>"201097B0000"</f>
        <v>201097B0000</v>
      </c>
      <c r="B1935" t="str">
        <f>"201097B00003"</f>
        <v>201097B00003</v>
      </c>
      <c r="C1935" t="str">
        <f t="shared" si="116"/>
        <v>20</v>
      </c>
      <c r="D1935" t="s">
        <v>81</v>
      </c>
      <c r="E1935" t="str">
        <f t="shared" si="115"/>
        <v>183</v>
      </c>
      <c r="F1935" t="s">
        <v>2060</v>
      </c>
      <c r="G1935" t="str">
        <f>"1097"</f>
        <v>1097</v>
      </c>
      <c r="H1935" t="str">
        <f>"0000"</f>
        <v>0000</v>
      </c>
      <c r="I1935" t="s">
        <v>83</v>
      </c>
      <c r="J1935">
        <v>0</v>
      </c>
      <c r="K1935">
        <v>1</v>
      </c>
      <c r="L1935">
        <v>3</v>
      </c>
      <c r="M1935">
        <v>184</v>
      </c>
      <c r="N1935">
        <v>394</v>
      </c>
      <c r="O1935">
        <v>10</v>
      </c>
      <c r="P1935">
        <v>394</v>
      </c>
      <c r="Q1935">
        <v>0</v>
      </c>
      <c r="R1935">
        <v>30</v>
      </c>
      <c r="S1935">
        <v>21</v>
      </c>
      <c r="T1935">
        <v>30</v>
      </c>
      <c r="U1935">
        <v>28</v>
      </c>
      <c r="V1935">
        <v>40</v>
      </c>
      <c r="W1935">
        <v>57</v>
      </c>
      <c r="X1935">
        <v>34</v>
      </c>
      <c r="Y1935">
        <v>51</v>
      </c>
      <c r="Z1935">
        <v>78</v>
      </c>
      <c r="AB1935">
        <v>9</v>
      </c>
      <c r="AW1935">
        <v>0</v>
      </c>
      <c r="AX1935">
        <v>16</v>
      </c>
      <c r="AY1935">
        <v>394</v>
      </c>
      <c r="AZ1935">
        <v>394</v>
      </c>
      <c r="BA1935">
        <v>534</v>
      </c>
      <c r="BB1935">
        <v>44</v>
      </c>
      <c r="BD1935">
        <v>1</v>
      </c>
      <c r="BF1935" t="s">
        <v>2094</v>
      </c>
      <c r="BG1935" s="1">
        <v>44354.361111111109</v>
      </c>
      <c r="BH1935" s="1">
        <v>44354.36414351852</v>
      </c>
      <c r="BI1935" s="1">
        <v>44354.364710648151</v>
      </c>
      <c r="BJ1935" t="s">
        <v>85</v>
      </c>
      <c r="BK1935" t="s">
        <v>86</v>
      </c>
      <c r="BL1935" t="s">
        <v>87</v>
      </c>
    </row>
    <row r="1936" spans="1:64" x14ac:dyDescent="0.3">
      <c r="A1936" t="str">
        <f>"201098B0000"</f>
        <v>201098B0000</v>
      </c>
      <c r="B1936" t="str">
        <f>"201098B00003"</f>
        <v>201098B00003</v>
      </c>
      <c r="C1936" t="str">
        <f t="shared" si="116"/>
        <v>20</v>
      </c>
      <c r="D1936" t="s">
        <v>81</v>
      </c>
      <c r="E1936" t="str">
        <f t="shared" si="115"/>
        <v>183</v>
      </c>
      <c r="F1936" t="s">
        <v>2060</v>
      </c>
      <c r="G1936" t="str">
        <f>"1098"</f>
        <v>1098</v>
      </c>
      <c r="H1936" t="str">
        <f>"0000"</f>
        <v>0000</v>
      </c>
      <c r="I1936" t="s">
        <v>83</v>
      </c>
      <c r="J1936">
        <v>0</v>
      </c>
      <c r="K1936">
        <v>1</v>
      </c>
      <c r="L1936">
        <v>3</v>
      </c>
      <c r="M1936">
        <v>227</v>
      </c>
      <c r="N1936">
        <v>433</v>
      </c>
      <c r="O1936">
        <v>10</v>
      </c>
      <c r="P1936">
        <v>433</v>
      </c>
      <c r="Q1936">
        <v>1</v>
      </c>
      <c r="R1936">
        <v>29</v>
      </c>
      <c r="S1936">
        <v>0</v>
      </c>
      <c r="T1936">
        <v>91</v>
      </c>
      <c r="U1936">
        <v>30</v>
      </c>
      <c r="V1936">
        <v>11</v>
      </c>
      <c r="W1936">
        <v>118</v>
      </c>
      <c r="X1936">
        <v>88</v>
      </c>
      <c r="Y1936">
        <v>33</v>
      </c>
      <c r="Z1936">
        <v>8</v>
      </c>
      <c r="AB1936">
        <v>1</v>
      </c>
      <c r="AW1936">
        <v>0</v>
      </c>
      <c r="AX1936">
        <v>23</v>
      </c>
      <c r="AY1936">
        <v>433</v>
      </c>
      <c r="AZ1936">
        <v>433</v>
      </c>
      <c r="BA1936">
        <v>616</v>
      </c>
      <c r="BB1936">
        <v>44</v>
      </c>
      <c r="BD1936">
        <v>1</v>
      </c>
      <c r="BF1936" t="s">
        <v>2095</v>
      </c>
      <c r="BG1936" s="1">
        <v>44354.36041666667</v>
      </c>
      <c r="BH1936" s="1">
        <v>44354.362986111111</v>
      </c>
      <c r="BI1936" s="1">
        <v>44354.363425925927</v>
      </c>
      <c r="BJ1936" t="s">
        <v>85</v>
      </c>
      <c r="BK1936" t="s">
        <v>86</v>
      </c>
      <c r="BL1936" t="s">
        <v>87</v>
      </c>
    </row>
    <row r="1937" spans="1:64" x14ac:dyDescent="0.3">
      <c r="A1937" t="str">
        <f>"201099B0000"</f>
        <v>201099B0000</v>
      </c>
      <c r="B1937" t="str">
        <f>"201099B00003"</f>
        <v>201099B00003</v>
      </c>
      <c r="C1937" t="str">
        <f t="shared" si="116"/>
        <v>20</v>
      </c>
      <c r="D1937" t="s">
        <v>81</v>
      </c>
      <c r="E1937" t="str">
        <f t="shared" ref="E1937:E1948" si="117">"184"</f>
        <v>184</v>
      </c>
      <c r="F1937" t="s">
        <v>2096</v>
      </c>
      <c r="G1937" t="str">
        <f>"1099"</f>
        <v>1099</v>
      </c>
      <c r="H1937" t="str">
        <f>"0000"</f>
        <v>0000</v>
      </c>
      <c r="I1937" t="s">
        <v>83</v>
      </c>
      <c r="J1937">
        <v>0</v>
      </c>
      <c r="K1937">
        <v>1</v>
      </c>
      <c r="L1937">
        <v>3</v>
      </c>
      <c r="M1937">
        <v>234</v>
      </c>
      <c r="N1937">
        <v>536</v>
      </c>
      <c r="O1937">
        <v>10</v>
      </c>
      <c r="P1937">
        <v>536</v>
      </c>
      <c r="Q1937">
        <v>7</v>
      </c>
      <c r="R1937">
        <v>116</v>
      </c>
      <c r="S1937">
        <v>17</v>
      </c>
      <c r="T1937">
        <v>0</v>
      </c>
      <c r="U1937">
        <v>3</v>
      </c>
      <c r="V1937">
        <v>8</v>
      </c>
      <c r="W1937">
        <v>2</v>
      </c>
      <c r="X1937">
        <v>156</v>
      </c>
      <c r="Z1937">
        <v>0</v>
      </c>
      <c r="AC1937">
        <v>201</v>
      </c>
      <c r="AF1937">
        <v>17</v>
      </c>
      <c r="AG1937">
        <v>2</v>
      </c>
      <c r="AH1937">
        <v>0</v>
      </c>
      <c r="AI1937">
        <v>1</v>
      </c>
      <c r="AU1937">
        <v>0</v>
      </c>
      <c r="AW1937">
        <v>0</v>
      </c>
      <c r="AX1937">
        <v>6</v>
      </c>
      <c r="AY1937">
        <v>536</v>
      </c>
      <c r="AZ1937">
        <v>536</v>
      </c>
      <c r="BA1937">
        <v>722</v>
      </c>
      <c r="BB1937">
        <v>48</v>
      </c>
      <c r="BD1937">
        <v>1</v>
      </c>
      <c r="BF1937" t="s">
        <v>2097</v>
      </c>
      <c r="BG1937" s="1">
        <v>44353.966666666667</v>
      </c>
      <c r="BH1937" s="1">
        <v>44354.159363425926</v>
      </c>
      <c r="BI1937" s="1">
        <v>44354.160243055558</v>
      </c>
      <c r="BJ1937" t="s">
        <v>85</v>
      </c>
      <c r="BK1937" t="s">
        <v>86</v>
      </c>
      <c r="BL1937" t="s">
        <v>87</v>
      </c>
    </row>
    <row r="1938" spans="1:64" x14ac:dyDescent="0.3">
      <c r="A1938" t="str">
        <f>"201099C0100"</f>
        <v>201099C0100</v>
      </c>
      <c r="B1938" t="str">
        <f>"201099C01003"</f>
        <v>201099C01003</v>
      </c>
      <c r="C1938" t="str">
        <f t="shared" si="116"/>
        <v>20</v>
      </c>
      <c r="D1938" t="s">
        <v>81</v>
      </c>
      <c r="E1938" t="str">
        <f t="shared" si="117"/>
        <v>184</v>
      </c>
      <c r="F1938" t="s">
        <v>2096</v>
      </c>
      <c r="G1938" t="str">
        <f>"1099"</f>
        <v>1099</v>
      </c>
      <c r="H1938" t="str">
        <f>"0001"</f>
        <v>0001</v>
      </c>
      <c r="I1938" t="s">
        <v>89</v>
      </c>
      <c r="J1938">
        <v>0</v>
      </c>
      <c r="K1938">
        <v>1</v>
      </c>
      <c r="L1938">
        <v>3</v>
      </c>
      <c r="M1938">
        <v>265</v>
      </c>
      <c r="N1938">
        <v>504</v>
      </c>
      <c r="O1938">
        <v>10</v>
      </c>
      <c r="P1938">
        <v>504</v>
      </c>
      <c r="Q1938">
        <v>7</v>
      </c>
      <c r="R1938">
        <v>124</v>
      </c>
      <c r="S1938">
        <v>13</v>
      </c>
      <c r="T1938">
        <v>0</v>
      </c>
      <c r="U1938">
        <v>9</v>
      </c>
      <c r="V1938">
        <v>4</v>
      </c>
      <c r="W1938">
        <v>2</v>
      </c>
      <c r="X1938">
        <v>155</v>
      </c>
      <c r="Z1938">
        <v>2</v>
      </c>
      <c r="AC1938">
        <v>167</v>
      </c>
      <c r="AF1938">
        <v>13</v>
      </c>
      <c r="AG1938">
        <v>1</v>
      </c>
      <c r="AH1938">
        <v>0</v>
      </c>
      <c r="AI1938">
        <v>0</v>
      </c>
      <c r="AU1938">
        <v>0</v>
      </c>
      <c r="AW1938">
        <v>0</v>
      </c>
      <c r="AX1938">
        <v>7</v>
      </c>
      <c r="AY1938">
        <v>504</v>
      </c>
      <c r="AZ1938">
        <v>504</v>
      </c>
      <c r="BA1938">
        <v>721</v>
      </c>
      <c r="BB1938">
        <v>48</v>
      </c>
      <c r="BD1938">
        <v>1</v>
      </c>
      <c r="BF1938" t="s">
        <v>2098</v>
      </c>
      <c r="BG1938" s="1">
        <v>44354.136805555558</v>
      </c>
      <c r="BH1938" s="1">
        <v>44354.157337962963</v>
      </c>
      <c r="BI1938" s="1">
        <v>44354.157847222225</v>
      </c>
      <c r="BJ1938" t="s">
        <v>85</v>
      </c>
      <c r="BK1938" t="s">
        <v>86</v>
      </c>
      <c r="BL1938" t="s">
        <v>87</v>
      </c>
    </row>
    <row r="1939" spans="1:64" x14ac:dyDescent="0.3">
      <c r="A1939" t="str">
        <f>"201100B0000"</f>
        <v>201100B0000</v>
      </c>
      <c r="B1939" t="str">
        <f>"201100B00003"</f>
        <v>201100B00003</v>
      </c>
      <c r="C1939" t="str">
        <f t="shared" si="116"/>
        <v>20</v>
      </c>
      <c r="D1939" t="s">
        <v>81</v>
      </c>
      <c r="E1939" t="str">
        <f t="shared" si="117"/>
        <v>184</v>
      </c>
      <c r="F1939" t="s">
        <v>2096</v>
      </c>
      <c r="G1939" t="str">
        <f>"1100"</f>
        <v>1100</v>
      </c>
      <c r="H1939" t="str">
        <f>"0000"</f>
        <v>0000</v>
      </c>
      <c r="I1939" t="s">
        <v>83</v>
      </c>
      <c r="J1939">
        <v>0</v>
      </c>
      <c r="K1939">
        <v>1</v>
      </c>
      <c r="L1939">
        <v>3</v>
      </c>
      <c r="M1939">
        <v>212</v>
      </c>
      <c r="N1939">
        <v>452</v>
      </c>
      <c r="O1939">
        <v>1</v>
      </c>
      <c r="P1939">
        <v>452</v>
      </c>
      <c r="Q1939">
        <v>7</v>
      </c>
      <c r="R1939">
        <v>99</v>
      </c>
      <c r="S1939">
        <v>16</v>
      </c>
      <c r="T1939">
        <v>0</v>
      </c>
      <c r="U1939">
        <v>9</v>
      </c>
      <c r="V1939">
        <v>8</v>
      </c>
      <c r="W1939">
        <v>0</v>
      </c>
      <c r="X1939">
        <v>120</v>
      </c>
      <c r="Z1939">
        <v>0</v>
      </c>
      <c r="AC1939">
        <v>171</v>
      </c>
      <c r="AF1939">
        <v>12</v>
      </c>
      <c r="AG1939">
        <v>1</v>
      </c>
      <c r="AH1939">
        <v>0</v>
      </c>
      <c r="AI1939">
        <v>0</v>
      </c>
      <c r="AU1939">
        <v>0</v>
      </c>
      <c r="AW1939">
        <v>0</v>
      </c>
      <c r="AX1939">
        <v>9</v>
      </c>
      <c r="AY1939">
        <v>452</v>
      </c>
      <c r="AZ1939">
        <v>452</v>
      </c>
      <c r="BA1939">
        <v>616</v>
      </c>
      <c r="BB1939">
        <v>48</v>
      </c>
      <c r="BD1939">
        <v>1</v>
      </c>
      <c r="BF1939" t="s">
        <v>2099</v>
      </c>
      <c r="BG1939" s="1">
        <v>44354.097916666666</v>
      </c>
      <c r="BH1939" s="1">
        <v>44354.100821759261</v>
      </c>
      <c r="BI1939" s="1">
        <v>44354.101666666669</v>
      </c>
      <c r="BJ1939" t="s">
        <v>85</v>
      </c>
      <c r="BK1939" t="s">
        <v>86</v>
      </c>
      <c r="BL1939" t="s">
        <v>1390</v>
      </c>
    </row>
    <row r="1940" spans="1:64" x14ac:dyDescent="0.3">
      <c r="A1940" t="str">
        <f>"201100C0100"</f>
        <v>201100C0100</v>
      </c>
      <c r="B1940" t="str">
        <f>"201100C01003"</f>
        <v>201100C01003</v>
      </c>
      <c r="C1940" t="str">
        <f t="shared" si="116"/>
        <v>20</v>
      </c>
      <c r="D1940" t="s">
        <v>81</v>
      </c>
      <c r="E1940" t="str">
        <f t="shared" si="117"/>
        <v>184</v>
      </c>
      <c r="F1940" t="s">
        <v>2096</v>
      </c>
      <c r="G1940" t="str">
        <f>"1100"</f>
        <v>1100</v>
      </c>
      <c r="H1940" t="str">
        <f>"0001"</f>
        <v>0001</v>
      </c>
      <c r="I1940" t="s">
        <v>89</v>
      </c>
      <c r="J1940">
        <v>0</v>
      </c>
      <c r="K1940">
        <v>1</v>
      </c>
      <c r="L1940">
        <v>3</v>
      </c>
      <c r="M1940">
        <v>204</v>
      </c>
      <c r="N1940">
        <v>460</v>
      </c>
      <c r="O1940">
        <v>2</v>
      </c>
      <c r="P1940">
        <v>460</v>
      </c>
      <c r="Q1940">
        <v>3</v>
      </c>
      <c r="R1940">
        <v>102</v>
      </c>
      <c r="S1940">
        <v>26</v>
      </c>
      <c r="T1940">
        <v>0</v>
      </c>
      <c r="U1940">
        <v>17</v>
      </c>
      <c r="V1940">
        <v>1</v>
      </c>
      <c r="W1940">
        <v>1</v>
      </c>
      <c r="X1940">
        <v>141</v>
      </c>
      <c r="Z1940">
        <v>1</v>
      </c>
      <c r="AC1940">
        <v>148</v>
      </c>
      <c r="AF1940">
        <v>12</v>
      </c>
      <c r="AG1940">
        <v>1</v>
      </c>
      <c r="AH1940">
        <v>0</v>
      </c>
      <c r="AI1940">
        <v>3</v>
      </c>
      <c r="AU1940" t="s">
        <v>95</v>
      </c>
      <c r="AW1940" t="s">
        <v>95</v>
      </c>
      <c r="AX1940">
        <v>4</v>
      </c>
      <c r="AY1940">
        <v>460</v>
      </c>
      <c r="AZ1940">
        <v>460</v>
      </c>
      <c r="BA1940">
        <v>616</v>
      </c>
      <c r="BB1940">
        <v>48</v>
      </c>
      <c r="BC1940" t="s">
        <v>96</v>
      </c>
      <c r="BD1940">
        <v>1</v>
      </c>
      <c r="BF1940" t="s">
        <v>2100</v>
      </c>
      <c r="BG1940" s="1">
        <v>44354.09097222222</v>
      </c>
      <c r="BH1940" s="1">
        <v>44354.097303240742</v>
      </c>
      <c r="BI1940" s="1">
        <v>44354.097939814812</v>
      </c>
      <c r="BJ1940" t="s">
        <v>85</v>
      </c>
      <c r="BK1940" t="s">
        <v>86</v>
      </c>
      <c r="BL1940" t="s">
        <v>87</v>
      </c>
    </row>
    <row r="1941" spans="1:64" x14ac:dyDescent="0.3">
      <c r="A1941" t="str">
        <f>"201100C0200"</f>
        <v>201100C0200</v>
      </c>
      <c r="B1941" t="str">
        <f>"201100C02003"</f>
        <v>201100C02003</v>
      </c>
      <c r="C1941" t="str">
        <f t="shared" si="116"/>
        <v>20</v>
      </c>
      <c r="D1941" t="s">
        <v>81</v>
      </c>
      <c r="E1941" t="str">
        <f t="shared" si="117"/>
        <v>184</v>
      </c>
      <c r="F1941" t="s">
        <v>2096</v>
      </c>
      <c r="G1941" t="str">
        <f>"1100"</f>
        <v>1100</v>
      </c>
      <c r="H1941" t="str">
        <f>"0002"</f>
        <v>0002</v>
      </c>
      <c r="I1941" t="s">
        <v>89</v>
      </c>
      <c r="J1941">
        <v>0</v>
      </c>
      <c r="K1941">
        <v>1</v>
      </c>
      <c r="L1941">
        <v>3</v>
      </c>
      <c r="M1941">
        <v>191</v>
      </c>
      <c r="N1941">
        <v>469</v>
      </c>
      <c r="O1941">
        <v>1</v>
      </c>
      <c r="P1941">
        <v>469</v>
      </c>
      <c r="Q1941">
        <v>9</v>
      </c>
      <c r="R1941">
        <v>98</v>
      </c>
      <c r="S1941">
        <v>19</v>
      </c>
      <c r="T1941">
        <v>0</v>
      </c>
      <c r="U1941">
        <v>18</v>
      </c>
      <c r="V1941">
        <v>3</v>
      </c>
      <c r="W1941">
        <v>2</v>
      </c>
      <c r="X1941">
        <v>143</v>
      </c>
      <c r="Z1941">
        <v>2</v>
      </c>
      <c r="AC1941">
        <v>150</v>
      </c>
      <c r="AF1941">
        <v>19</v>
      </c>
      <c r="AG1941">
        <v>3</v>
      </c>
      <c r="AH1941">
        <v>0</v>
      </c>
      <c r="AI1941">
        <v>0</v>
      </c>
      <c r="AU1941">
        <v>0</v>
      </c>
      <c r="AW1941">
        <v>0</v>
      </c>
      <c r="AX1941">
        <v>3</v>
      </c>
      <c r="AY1941">
        <v>469</v>
      </c>
      <c r="AZ1941">
        <v>469</v>
      </c>
      <c r="BA1941">
        <v>616</v>
      </c>
      <c r="BB1941">
        <v>48</v>
      </c>
      <c r="BD1941">
        <v>1</v>
      </c>
      <c r="BF1941" t="s">
        <v>2101</v>
      </c>
      <c r="BG1941" s="1">
        <v>44353.979166666664</v>
      </c>
      <c r="BH1941" s="1">
        <v>44354.11109953704</v>
      </c>
      <c r="BI1941" s="1">
        <v>44354.111724537041</v>
      </c>
      <c r="BJ1941" t="s">
        <v>85</v>
      </c>
      <c r="BK1941" t="s">
        <v>86</v>
      </c>
      <c r="BL1941" t="s">
        <v>87</v>
      </c>
    </row>
    <row r="1942" spans="1:64" x14ac:dyDescent="0.3">
      <c r="A1942" t="str">
        <f>"201101B0000"</f>
        <v>201101B0000</v>
      </c>
      <c r="B1942" t="str">
        <f>"201101B00003"</f>
        <v>201101B00003</v>
      </c>
      <c r="C1942" t="str">
        <f t="shared" si="116"/>
        <v>20</v>
      </c>
      <c r="D1942" t="s">
        <v>81</v>
      </c>
      <c r="E1942" t="str">
        <f t="shared" si="117"/>
        <v>184</v>
      </c>
      <c r="F1942" t="s">
        <v>2096</v>
      </c>
      <c r="G1942" t="str">
        <f>"1101"</f>
        <v>1101</v>
      </c>
      <c r="H1942" t="str">
        <f>"0000"</f>
        <v>0000</v>
      </c>
      <c r="I1942" t="s">
        <v>83</v>
      </c>
      <c r="J1942">
        <v>0</v>
      </c>
      <c r="K1942">
        <v>1</v>
      </c>
      <c r="L1942">
        <v>3</v>
      </c>
      <c r="M1942">
        <v>159</v>
      </c>
      <c r="N1942">
        <v>320</v>
      </c>
      <c r="O1942">
        <v>0</v>
      </c>
      <c r="P1942">
        <v>320</v>
      </c>
      <c r="Q1942">
        <v>2</v>
      </c>
      <c r="R1942">
        <v>121</v>
      </c>
      <c r="S1942">
        <v>5</v>
      </c>
      <c r="T1942">
        <v>0</v>
      </c>
      <c r="U1942">
        <v>2</v>
      </c>
      <c r="V1942">
        <v>4</v>
      </c>
      <c r="W1942">
        <v>0</v>
      </c>
      <c r="X1942">
        <v>122</v>
      </c>
      <c r="Z1942">
        <v>0</v>
      </c>
      <c r="AC1942">
        <v>54</v>
      </c>
      <c r="AF1942">
        <v>6</v>
      </c>
      <c r="AG1942">
        <v>0</v>
      </c>
      <c r="AH1942">
        <v>0</v>
      </c>
      <c r="AI1942">
        <v>0</v>
      </c>
      <c r="AU1942">
        <v>0</v>
      </c>
      <c r="AW1942">
        <v>0</v>
      </c>
      <c r="AX1942">
        <v>4</v>
      </c>
      <c r="AY1942">
        <v>320</v>
      </c>
      <c r="AZ1942">
        <v>320</v>
      </c>
      <c r="BA1942">
        <v>431</v>
      </c>
      <c r="BB1942">
        <v>48</v>
      </c>
      <c r="BD1942">
        <v>1</v>
      </c>
      <c r="BF1942" t="s">
        <v>2102</v>
      </c>
      <c r="BG1942" s="1">
        <v>44354.224305555559</v>
      </c>
      <c r="BH1942" s="1">
        <v>44354.228703703702</v>
      </c>
      <c r="BI1942" s="1">
        <v>44354.229212962964</v>
      </c>
      <c r="BJ1942" t="s">
        <v>85</v>
      </c>
      <c r="BK1942" t="s">
        <v>86</v>
      </c>
      <c r="BL1942" t="s">
        <v>87</v>
      </c>
    </row>
    <row r="1943" spans="1:64" x14ac:dyDescent="0.3">
      <c r="A1943" t="str">
        <f>"201101C0100"</f>
        <v>201101C0100</v>
      </c>
      <c r="B1943" t="str">
        <f>"201101C01003"</f>
        <v>201101C01003</v>
      </c>
      <c r="C1943" t="str">
        <f t="shared" si="116"/>
        <v>20</v>
      </c>
      <c r="D1943" t="s">
        <v>81</v>
      </c>
      <c r="E1943" t="str">
        <f t="shared" si="117"/>
        <v>184</v>
      </c>
      <c r="F1943" t="s">
        <v>2096</v>
      </c>
      <c r="G1943" t="str">
        <f>"1101"</f>
        <v>1101</v>
      </c>
      <c r="H1943" t="str">
        <f>"0001"</f>
        <v>0001</v>
      </c>
      <c r="I1943" t="s">
        <v>89</v>
      </c>
      <c r="J1943">
        <v>0</v>
      </c>
      <c r="K1943">
        <v>1</v>
      </c>
      <c r="L1943">
        <v>3</v>
      </c>
      <c r="M1943">
        <v>147</v>
      </c>
      <c r="N1943">
        <v>332</v>
      </c>
      <c r="O1943">
        <v>7</v>
      </c>
      <c r="P1943">
        <v>332</v>
      </c>
      <c r="Q1943">
        <v>2</v>
      </c>
      <c r="R1943">
        <v>115</v>
      </c>
      <c r="S1943">
        <v>2</v>
      </c>
      <c r="T1943" t="s">
        <v>95</v>
      </c>
      <c r="U1943">
        <v>3</v>
      </c>
      <c r="V1943">
        <v>6</v>
      </c>
      <c r="W1943">
        <v>4</v>
      </c>
      <c r="X1943">
        <v>131</v>
      </c>
      <c r="Z1943">
        <v>3</v>
      </c>
      <c r="AC1943">
        <v>53</v>
      </c>
      <c r="AF1943">
        <v>7</v>
      </c>
      <c r="AG1943" t="s">
        <v>95</v>
      </c>
      <c r="AH1943" t="s">
        <v>95</v>
      </c>
      <c r="AI1943" t="s">
        <v>95</v>
      </c>
      <c r="AU1943" t="s">
        <v>95</v>
      </c>
      <c r="AW1943" t="s">
        <v>95</v>
      </c>
      <c r="AX1943">
        <v>6</v>
      </c>
      <c r="AY1943">
        <v>332</v>
      </c>
      <c r="AZ1943">
        <v>332</v>
      </c>
      <c r="BA1943">
        <v>431</v>
      </c>
      <c r="BB1943">
        <v>48</v>
      </c>
      <c r="BC1943" t="s">
        <v>96</v>
      </c>
      <c r="BD1943">
        <v>1</v>
      </c>
      <c r="BF1943" t="s">
        <v>2103</v>
      </c>
      <c r="BG1943" s="1">
        <v>44354.216666666667</v>
      </c>
      <c r="BH1943" s="1">
        <v>44354.224803240744</v>
      </c>
      <c r="BI1943" s="1">
        <v>44354.225289351853</v>
      </c>
      <c r="BJ1943" t="s">
        <v>85</v>
      </c>
      <c r="BK1943" t="s">
        <v>86</v>
      </c>
      <c r="BL1943" t="s">
        <v>87</v>
      </c>
    </row>
    <row r="1944" spans="1:64" x14ac:dyDescent="0.3">
      <c r="A1944" t="str">
        <f>"201102B0000"</f>
        <v>201102B0000</v>
      </c>
      <c r="B1944" t="str">
        <f>"201102B00003"</f>
        <v>201102B00003</v>
      </c>
      <c r="C1944" t="str">
        <f t="shared" si="116"/>
        <v>20</v>
      </c>
      <c r="D1944" t="s">
        <v>81</v>
      </c>
      <c r="E1944" t="str">
        <f t="shared" si="117"/>
        <v>184</v>
      </c>
      <c r="F1944" t="s">
        <v>2096</v>
      </c>
      <c r="G1944" t="str">
        <f>"1102"</f>
        <v>1102</v>
      </c>
      <c r="H1944" t="str">
        <f>"0000"</f>
        <v>0000</v>
      </c>
      <c r="I1944" t="s">
        <v>83</v>
      </c>
      <c r="J1944">
        <v>0</v>
      </c>
      <c r="K1944">
        <v>1</v>
      </c>
      <c r="L1944">
        <v>3</v>
      </c>
      <c r="M1944">
        <v>218</v>
      </c>
      <c r="N1944">
        <v>388</v>
      </c>
      <c r="O1944">
        <v>3</v>
      </c>
      <c r="P1944">
        <v>388</v>
      </c>
      <c r="Q1944">
        <v>8</v>
      </c>
      <c r="R1944">
        <v>130</v>
      </c>
      <c r="S1944">
        <v>8</v>
      </c>
      <c r="T1944">
        <v>2</v>
      </c>
      <c r="U1944">
        <v>5</v>
      </c>
      <c r="V1944">
        <v>4</v>
      </c>
      <c r="W1944">
        <v>0</v>
      </c>
      <c r="X1944">
        <v>120</v>
      </c>
      <c r="Z1944">
        <v>3</v>
      </c>
      <c r="AC1944">
        <v>85</v>
      </c>
      <c r="AF1944">
        <v>11</v>
      </c>
      <c r="AG1944">
        <v>1</v>
      </c>
      <c r="AH1944">
        <v>0</v>
      </c>
      <c r="AI1944">
        <v>0</v>
      </c>
      <c r="AU1944">
        <v>0</v>
      </c>
      <c r="AW1944" t="s">
        <v>95</v>
      </c>
      <c r="AX1944">
        <v>11</v>
      </c>
      <c r="AY1944">
        <v>388</v>
      </c>
      <c r="AZ1944">
        <v>388</v>
      </c>
      <c r="BA1944">
        <v>558</v>
      </c>
      <c r="BB1944">
        <v>48</v>
      </c>
      <c r="BC1944" t="s">
        <v>96</v>
      </c>
      <c r="BD1944">
        <v>1</v>
      </c>
      <c r="BF1944" t="s">
        <v>2104</v>
      </c>
      <c r="BG1944" s="1">
        <v>44354.158333333333</v>
      </c>
      <c r="BH1944" s="1">
        <v>44354.163865740738</v>
      </c>
      <c r="BI1944" s="1">
        <v>44354.164560185185</v>
      </c>
      <c r="BJ1944" t="s">
        <v>85</v>
      </c>
      <c r="BK1944" t="s">
        <v>86</v>
      </c>
      <c r="BL1944" t="s">
        <v>87</v>
      </c>
    </row>
    <row r="1945" spans="1:64" x14ac:dyDescent="0.3">
      <c r="A1945" t="str">
        <f>"201102C0100"</f>
        <v>201102C0100</v>
      </c>
      <c r="B1945" t="str">
        <f>"201102C01003"</f>
        <v>201102C01003</v>
      </c>
      <c r="C1945" t="str">
        <f t="shared" si="116"/>
        <v>20</v>
      </c>
      <c r="D1945" t="s">
        <v>81</v>
      </c>
      <c r="E1945" t="str">
        <f t="shared" si="117"/>
        <v>184</v>
      </c>
      <c r="F1945" t="s">
        <v>2096</v>
      </c>
      <c r="G1945" t="str">
        <f>"1102"</f>
        <v>1102</v>
      </c>
      <c r="H1945" t="str">
        <f>"0001"</f>
        <v>0001</v>
      </c>
      <c r="I1945" t="s">
        <v>89</v>
      </c>
      <c r="J1945">
        <v>0</v>
      </c>
      <c r="K1945">
        <v>1</v>
      </c>
      <c r="L1945">
        <v>3</v>
      </c>
      <c r="M1945">
        <v>239</v>
      </c>
      <c r="N1945">
        <v>365</v>
      </c>
      <c r="O1945" t="s">
        <v>92</v>
      </c>
      <c r="P1945">
        <v>365</v>
      </c>
      <c r="Q1945">
        <v>4</v>
      </c>
      <c r="R1945">
        <v>111</v>
      </c>
      <c r="S1945">
        <v>10</v>
      </c>
      <c r="T1945">
        <v>2</v>
      </c>
      <c r="U1945">
        <v>5</v>
      </c>
      <c r="V1945">
        <v>12</v>
      </c>
      <c r="W1945">
        <v>1</v>
      </c>
      <c r="X1945">
        <v>104</v>
      </c>
      <c r="Z1945">
        <v>2</v>
      </c>
      <c r="AC1945">
        <v>88</v>
      </c>
      <c r="AF1945">
        <v>17</v>
      </c>
      <c r="AG1945" t="s">
        <v>95</v>
      </c>
      <c r="AH1945" t="s">
        <v>95</v>
      </c>
      <c r="AI1945">
        <v>2</v>
      </c>
      <c r="AU1945" t="s">
        <v>95</v>
      </c>
      <c r="AW1945" t="s">
        <v>95</v>
      </c>
      <c r="AX1945">
        <v>8</v>
      </c>
      <c r="AY1945" t="s">
        <v>95</v>
      </c>
      <c r="AZ1945">
        <v>366</v>
      </c>
      <c r="BA1945">
        <v>557</v>
      </c>
      <c r="BB1945">
        <v>48</v>
      </c>
      <c r="BC1945" t="s">
        <v>96</v>
      </c>
      <c r="BD1945">
        <v>1</v>
      </c>
      <c r="BF1945" t="s">
        <v>2105</v>
      </c>
      <c r="BG1945" s="1">
        <v>44354.163888888892</v>
      </c>
      <c r="BH1945" s="1">
        <v>44354.173703703702</v>
      </c>
      <c r="BI1945" s="1">
        <v>44354.174224537041</v>
      </c>
      <c r="BJ1945" t="s">
        <v>85</v>
      </c>
      <c r="BK1945" t="s">
        <v>86</v>
      </c>
      <c r="BL1945" t="s">
        <v>87</v>
      </c>
    </row>
    <row r="1946" spans="1:64" x14ac:dyDescent="0.3">
      <c r="A1946" t="str">
        <f>"201103B0000"</f>
        <v>201103B0000</v>
      </c>
      <c r="B1946" t="str">
        <f>"201103B00003"</f>
        <v>201103B00003</v>
      </c>
      <c r="C1946" t="str">
        <f t="shared" si="116"/>
        <v>20</v>
      </c>
      <c r="D1946" t="s">
        <v>81</v>
      </c>
      <c r="E1946" t="str">
        <f t="shared" si="117"/>
        <v>184</v>
      </c>
      <c r="F1946" t="s">
        <v>2096</v>
      </c>
      <c r="G1946" t="str">
        <f>"1103"</f>
        <v>1103</v>
      </c>
      <c r="H1946" t="str">
        <f>"0000"</f>
        <v>0000</v>
      </c>
      <c r="I1946" t="s">
        <v>83</v>
      </c>
      <c r="J1946">
        <v>0</v>
      </c>
      <c r="K1946">
        <v>1</v>
      </c>
      <c r="L1946">
        <v>3</v>
      </c>
      <c r="M1946">
        <v>222</v>
      </c>
      <c r="N1946">
        <v>378</v>
      </c>
      <c r="O1946">
        <v>0</v>
      </c>
      <c r="P1946">
        <v>378</v>
      </c>
      <c r="Q1946">
        <v>5</v>
      </c>
      <c r="R1946">
        <v>94</v>
      </c>
      <c r="S1946">
        <v>10</v>
      </c>
      <c r="T1946">
        <v>1</v>
      </c>
      <c r="U1946">
        <v>19</v>
      </c>
      <c r="V1946">
        <v>12</v>
      </c>
      <c r="W1946">
        <v>3</v>
      </c>
      <c r="X1946">
        <v>124</v>
      </c>
      <c r="Z1946">
        <v>0</v>
      </c>
      <c r="AC1946">
        <v>87</v>
      </c>
      <c r="AF1946">
        <v>8</v>
      </c>
      <c r="AG1946">
        <v>0</v>
      </c>
      <c r="AH1946">
        <v>0</v>
      </c>
      <c r="AI1946">
        <v>0</v>
      </c>
      <c r="AU1946">
        <v>1</v>
      </c>
      <c r="AW1946">
        <v>0</v>
      </c>
      <c r="AX1946">
        <v>14</v>
      </c>
      <c r="AY1946">
        <v>378</v>
      </c>
      <c r="AZ1946">
        <v>378</v>
      </c>
      <c r="BA1946">
        <v>544</v>
      </c>
      <c r="BB1946">
        <v>48</v>
      </c>
      <c r="BD1946">
        <v>1</v>
      </c>
      <c r="BF1946" t="s">
        <v>2106</v>
      </c>
      <c r="BG1946" s="1">
        <v>44354.225694444445</v>
      </c>
      <c r="BH1946" s="1">
        <v>44354.231817129628</v>
      </c>
      <c r="BI1946" s="1">
        <v>44354.232511574075</v>
      </c>
      <c r="BJ1946" t="s">
        <v>85</v>
      </c>
      <c r="BK1946" t="s">
        <v>86</v>
      </c>
      <c r="BL1946" t="s">
        <v>87</v>
      </c>
    </row>
    <row r="1947" spans="1:64" x14ac:dyDescent="0.3">
      <c r="A1947" t="str">
        <f>"201104B0000"</f>
        <v>201104B0000</v>
      </c>
      <c r="B1947" t="str">
        <f>"201104B00003"</f>
        <v>201104B00003</v>
      </c>
      <c r="C1947" t="str">
        <f t="shared" si="116"/>
        <v>20</v>
      </c>
      <c r="D1947" t="s">
        <v>81</v>
      </c>
      <c r="E1947" t="str">
        <f t="shared" si="117"/>
        <v>184</v>
      </c>
      <c r="F1947" t="s">
        <v>2096</v>
      </c>
      <c r="G1947" t="str">
        <f>"1104"</f>
        <v>1104</v>
      </c>
      <c r="H1947" t="str">
        <f>"0000"</f>
        <v>0000</v>
      </c>
      <c r="I1947" t="s">
        <v>83</v>
      </c>
      <c r="J1947">
        <v>0</v>
      </c>
      <c r="K1947">
        <v>1</v>
      </c>
      <c r="L1947">
        <v>3</v>
      </c>
      <c r="M1947">
        <v>201</v>
      </c>
      <c r="N1947">
        <v>324</v>
      </c>
      <c r="O1947">
        <v>0</v>
      </c>
      <c r="P1947">
        <v>324</v>
      </c>
      <c r="Q1947">
        <v>1</v>
      </c>
      <c r="R1947">
        <v>89</v>
      </c>
      <c r="S1947">
        <v>1</v>
      </c>
      <c r="T1947">
        <v>2</v>
      </c>
      <c r="U1947">
        <v>3</v>
      </c>
      <c r="V1947">
        <v>5</v>
      </c>
      <c r="W1947">
        <v>0</v>
      </c>
      <c r="X1947">
        <v>105</v>
      </c>
      <c r="Z1947">
        <v>2</v>
      </c>
      <c r="AC1947">
        <v>98</v>
      </c>
      <c r="AF1947">
        <v>9</v>
      </c>
      <c r="AG1947">
        <v>2</v>
      </c>
      <c r="AH1947" t="s">
        <v>95</v>
      </c>
      <c r="AI1947" t="s">
        <v>95</v>
      </c>
      <c r="AU1947" t="s">
        <v>95</v>
      </c>
      <c r="AW1947" t="s">
        <v>95</v>
      </c>
      <c r="AX1947">
        <v>8</v>
      </c>
      <c r="AY1947">
        <v>324</v>
      </c>
      <c r="AZ1947">
        <v>325</v>
      </c>
      <c r="BA1947">
        <v>477</v>
      </c>
      <c r="BB1947">
        <v>48</v>
      </c>
      <c r="BC1947" t="s">
        <v>96</v>
      </c>
      <c r="BD1947">
        <v>1</v>
      </c>
      <c r="BF1947" t="s">
        <v>2107</v>
      </c>
      <c r="BG1947" s="1">
        <v>44354.214583333334</v>
      </c>
      <c r="BH1947" s="1">
        <v>44354.219710648147</v>
      </c>
      <c r="BI1947" s="1">
        <v>44354.220462962963</v>
      </c>
      <c r="BJ1947" t="s">
        <v>85</v>
      </c>
      <c r="BK1947" t="s">
        <v>86</v>
      </c>
      <c r="BL1947" t="s">
        <v>87</v>
      </c>
    </row>
    <row r="1948" spans="1:64" x14ac:dyDescent="0.3">
      <c r="A1948" t="str">
        <f>"201105B0000"</f>
        <v>201105B0000</v>
      </c>
      <c r="B1948" t="str">
        <f>"201105B00003"</f>
        <v>201105B00003</v>
      </c>
      <c r="C1948" t="str">
        <f t="shared" si="116"/>
        <v>20</v>
      </c>
      <c r="D1948" t="s">
        <v>81</v>
      </c>
      <c r="E1948" t="str">
        <f t="shared" si="117"/>
        <v>184</v>
      </c>
      <c r="F1948" t="s">
        <v>2096</v>
      </c>
      <c r="G1948" t="str">
        <f>"1105"</f>
        <v>1105</v>
      </c>
      <c r="H1948" t="str">
        <f>"0000"</f>
        <v>0000</v>
      </c>
      <c r="I1948" t="s">
        <v>83</v>
      </c>
      <c r="J1948">
        <v>0</v>
      </c>
      <c r="K1948">
        <v>1</v>
      </c>
      <c r="L1948">
        <v>3</v>
      </c>
      <c r="M1948">
        <v>153</v>
      </c>
      <c r="N1948">
        <v>302</v>
      </c>
      <c r="O1948">
        <v>0</v>
      </c>
      <c r="P1948">
        <v>302</v>
      </c>
      <c r="Q1948">
        <v>4</v>
      </c>
      <c r="R1948">
        <v>91</v>
      </c>
      <c r="S1948">
        <v>4</v>
      </c>
      <c r="T1948" t="s">
        <v>95</v>
      </c>
      <c r="U1948" t="s">
        <v>95</v>
      </c>
      <c r="V1948">
        <v>1</v>
      </c>
      <c r="W1948" t="s">
        <v>95</v>
      </c>
      <c r="X1948">
        <v>60</v>
      </c>
      <c r="Z1948" t="s">
        <v>95</v>
      </c>
      <c r="AC1948">
        <v>121</v>
      </c>
      <c r="AF1948">
        <v>15</v>
      </c>
      <c r="AG1948" t="s">
        <v>95</v>
      </c>
      <c r="AH1948" t="s">
        <v>95</v>
      </c>
      <c r="AI1948" t="s">
        <v>95</v>
      </c>
      <c r="AU1948" t="s">
        <v>95</v>
      </c>
      <c r="AW1948" t="s">
        <v>95</v>
      </c>
      <c r="AX1948">
        <v>6</v>
      </c>
      <c r="AY1948">
        <v>302</v>
      </c>
      <c r="AZ1948">
        <v>302</v>
      </c>
      <c r="BA1948">
        <v>407</v>
      </c>
      <c r="BB1948">
        <v>48</v>
      </c>
      <c r="BC1948" t="s">
        <v>96</v>
      </c>
      <c r="BD1948">
        <v>1</v>
      </c>
      <c r="BF1948" t="s">
        <v>2108</v>
      </c>
      <c r="BG1948" s="1">
        <v>44354.082638888889</v>
      </c>
      <c r="BH1948" s="1">
        <v>44354.091828703706</v>
      </c>
      <c r="BI1948" s="1">
        <v>44354.092488425929</v>
      </c>
      <c r="BJ1948" t="s">
        <v>85</v>
      </c>
      <c r="BK1948" t="s">
        <v>86</v>
      </c>
      <c r="BL1948" t="s">
        <v>87</v>
      </c>
    </row>
    <row r="1949" spans="1:64" x14ac:dyDescent="0.3">
      <c r="A1949" t="str">
        <f>"201111B0000"</f>
        <v>201111B0000</v>
      </c>
      <c r="B1949" t="str">
        <f>"201111B00003"</f>
        <v>201111B00003</v>
      </c>
      <c r="C1949" t="str">
        <f t="shared" si="116"/>
        <v>20</v>
      </c>
      <c r="D1949" t="s">
        <v>81</v>
      </c>
      <c r="E1949" t="str">
        <f>"189"</f>
        <v>189</v>
      </c>
      <c r="F1949" t="s">
        <v>2109</v>
      </c>
      <c r="G1949" t="str">
        <f>"1111"</f>
        <v>1111</v>
      </c>
      <c r="H1949" t="str">
        <f>"0000"</f>
        <v>0000</v>
      </c>
      <c r="I1949" t="s">
        <v>83</v>
      </c>
      <c r="J1949">
        <v>0</v>
      </c>
      <c r="K1949">
        <v>1</v>
      </c>
      <c r="L1949">
        <v>3</v>
      </c>
      <c r="M1949">
        <v>147</v>
      </c>
      <c r="N1949">
        <v>421</v>
      </c>
      <c r="O1949">
        <v>0</v>
      </c>
      <c r="P1949" t="s">
        <v>92</v>
      </c>
      <c r="Q1949">
        <v>9</v>
      </c>
      <c r="R1949">
        <v>106</v>
      </c>
      <c r="S1949">
        <v>12</v>
      </c>
      <c r="T1949">
        <v>74</v>
      </c>
      <c r="U1949">
        <v>83</v>
      </c>
      <c r="V1949">
        <v>1</v>
      </c>
      <c r="X1949">
        <v>0</v>
      </c>
      <c r="Z1949">
        <v>2</v>
      </c>
      <c r="AA1949">
        <v>0</v>
      </c>
      <c r="AB1949">
        <v>112</v>
      </c>
      <c r="AF1949">
        <v>8</v>
      </c>
      <c r="AG1949">
        <v>0</v>
      </c>
      <c r="AH1949">
        <v>0</v>
      </c>
      <c r="AI1949">
        <v>1</v>
      </c>
      <c r="AW1949">
        <v>0</v>
      </c>
      <c r="AX1949">
        <v>12</v>
      </c>
      <c r="AY1949">
        <v>421</v>
      </c>
      <c r="AZ1949">
        <v>420</v>
      </c>
      <c r="BA1949">
        <v>524</v>
      </c>
      <c r="BB1949">
        <v>44</v>
      </c>
      <c r="BD1949">
        <v>1</v>
      </c>
      <c r="BF1949" t="s">
        <v>2110</v>
      </c>
      <c r="BG1949" s="1">
        <v>44354.139074074075</v>
      </c>
      <c r="BH1949" s="1">
        <v>44354.299421296295</v>
      </c>
      <c r="BI1949" s="1">
        <v>44354.300092592595</v>
      </c>
      <c r="BJ1949" t="s">
        <v>197</v>
      </c>
      <c r="BK1949" t="s">
        <v>198</v>
      </c>
      <c r="BL1949" t="s">
        <v>87</v>
      </c>
    </row>
    <row r="1950" spans="1:64" x14ac:dyDescent="0.3">
      <c r="A1950" t="str">
        <f>"201111C0100"</f>
        <v>201111C0100</v>
      </c>
      <c r="B1950" t="str">
        <f>"201111C01003"</f>
        <v>201111C01003</v>
      </c>
      <c r="C1950" t="str">
        <f t="shared" si="116"/>
        <v>20</v>
      </c>
      <c r="D1950" t="s">
        <v>81</v>
      </c>
      <c r="E1950" t="str">
        <f>"189"</f>
        <v>189</v>
      </c>
      <c r="F1950" t="s">
        <v>2109</v>
      </c>
      <c r="G1950" t="str">
        <f>"1111"</f>
        <v>1111</v>
      </c>
      <c r="H1950" t="str">
        <f>"0001"</f>
        <v>0001</v>
      </c>
      <c r="I1950" t="s">
        <v>89</v>
      </c>
      <c r="J1950">
        <v>0</v>
      </c>
      <c r="K1950">
        <v>1</v>
      </c>
      <c r="L1950">
        <v>3</v>
      </c>
      <c r="M1950">
        <v>137</v>
      </c>
      <c r="N1950">
        <v>431</v>
      </c>
      <c r="O1950">
        <v>2</v>
      </c>
      <c r="P1950">
        <v>431</v>
      </c>
      <c r="Q1950">
        <v>7</v>
      </c>
      <c r="R1950">
        <v>101</v>
      </c>
      <c r="S1950">
        <v>13</v>
      </c>
      <c r="T1950">
        <v>73</v>
      </c>
      <c r="U1950">
        <v>88</v>
      </c>
      <c r="V1950">
        <v>1</v>
      </c>
      <c r="X1950">
        <v>3</v>
      </c>
      <c r="Z1950">
        <v>0</v>
      </c>
      <c r="AA1950">
        <v>0</v>
      </c>
      <c r="AB1950">
        <v>121</v>
      </c>
      <c r="AF1950">
        <v>9</v>
      </c>
      <c r="AG1950">
        <v>0</v>
      </c>
      <c r="AH1950">
        <v>0</v>
      </c>
      <c r="AI1950">
        <v>0</v>
      </c>
      <c r="AW1950">
        <v>0</v>
      </c>
      <c r="AX1950">
        <v>15</v>
      </c>
      <c r="AY1950">
        <v>431</v>
      </c>
      <c r="AZ1950">
        <v>431</v>
      </c>
      <c r="BA1950">
        <v>524</v>
      </c>
      <c r="BB1950">
        <v>44</v>
      </c>
      <c r="BD1950">
        <v>1</v>
      </c>
      <c r="BF1950" t="s">
        <v>2111</v>
      </c>
      <c r="BG1950" s="1">
        <v>44354.147939814815</v>
      </c>
      <c r="BH1950" s="1">
        <v>44354.297129629631</v>
      </c>
      <c r="BI1950" s="1">
        <v>44354.297569444447</v>
      </c>
      <c r="BJ1950" t="s">
        <v>197</v>
      </c>
      <c r="BK1950" t="s">
        <v>198</v>
      </c>
      <c r="BL1950" t="s">
        <v>87</v>
      </c>
    </row>
    <row r="1951" spans="1:64" x14ac:dyDescent="0.3">
      <c r="A1951" t="str">
        <f>"201111C0200"</f>
        <v>201111C0200</v>
      </c>
      <c r="B1951" t="str">
        <f>"201111C02003"</f>
        <v>201111C02003</v>
      </c>
      <c r="C1951" t="str">
        <f t="shared" si="116"/>
        <v>20</v>
      </c>
      <c r="D1951" t="s">
        <v>81</v>
      </c>
      <c r="E1951" t="str">
        <f>"189"</f>
        <v>189</v>
      </c>
      <c r="F1951" t="s">
        <v>2109</v>
      </c>
      <c r="G1951" t="str">
        <f>"1111"</f>
        <v>1111</v>
      </c>
      <c r="H1951" t="str">
        <f>"0002"</f>
        <v>0002</v>
      </c>
      <c r="I1951" t="s">
        <v>89</v>
      </c>
      <c r="J1951">
        <v>0</v>
      </c>
      <c r="K1951">
        <v>1</v>
      </c>
      <c r="L1951">
        <v>3</v>
      </c>
      <c r="M1951">
        <v>125</v>
      </c>
      <c r="N1951">
        <v>442</v>
      </c>
      <c r="O1951">
        <v>0</v>
      </c>
      <c r="P1951">
        <v>442</v>
      </c>
      <c r="Q1951">
        <v>8</v>
      </c>
      <c r="R1951">
        <v>79</v>
      </c>
      <c r="S1951">
        <v>10</v>
      </c>
      <c r="T1951">
        <v>71</v>
      </c>
      <c r="U1951">
        <v>148</v>
      </c>
      <c r="V1951">
        <v>0</v>
      </c>
      <c r="X1951">
        <v>1</v>
      </c>
      <c r="Z1951">
        <v>0</v>
      </c>
      <c r="AA1951">
        <v>1</v>
      </c>
      <c r="AB1951">
        <v>104</v>
      </c>
      <c r="AF1951">
        <v>9</v>
      </c>
      <c r="AG1951">
        <v>1</v>
      </c>
      <c r="AH1951">
        <v>0</v>
      </c>
      <c r="AI1951">
        <v>0</v>
      </c>
      <c r="AW1951">
        <v>0</v>
      </c>
      <c r="AX1951">
        <v>10</v>
      </c>
      <c r="AY1951">
        <v>442</v>
      </c>
      <c r="AZ1951">
        <v>442</v>
      </c>
      <c r="BA1951">
        <v>523</v>
      </c>
      <c r="BB1951">
        <v>44</v>
      </c>
      <c r="BD1951">
        <v>1</v>
      </c>
      <c r="BF1951" t="s">
        <v>2112</v>
      </c>
      <c r="BG1951" s="1">
        <v>44354.031412037039</v>
      </c>
      <c r="BH1951" s="1">
        <v>44354.087326388886</v>
      </c>
      <c r="BI1951" s="1">
        <v>44354.087893518517</v>
      </c>
      <c r="BJ1951" t="s">
        <v>197</v>
      </c>
      <c r="BK1951" t="s">
        <v>198</v>
      </c>
      <c r="BL1951" t="s">
        <v>87</v>
      </c>
    </row>
    <row r="1952" spans="1:64" x14ac:dyDescent="0.3">
      <c r="A1952" t="str">
        <f>"201112B0000"</f>
        <v>201112B0000</v>
      </c>
      <c r="B1952" t="str">
        <f>"201112B00003"</f>
        <v>201112B00003</v>
      </c>
      <c r="C1952" t="str">
        <f t="shared" si="116"/>
        <v>20</v>
      </c>
      <c r="D1952" t="s">
        <v>81</v>
      </c>
      <c r="E1952" t="str">
        <f t="shared" ref="E1952:E1964" si="118">"190"</f>
        <v>190</v>
      </c>
      <c r="F1952" t="s">
        <v>2113</v>
      </c>
      <c r="G1952" t="str">
        <f>"1112"</f>
        <v>1112</v>
      </c>
      <c r="H1952" t="str">
        <f>"0000"</f>
        <v>0000</v>
      </c>
      <c r="I1952" t="s">
        <v>83</v>
      </c>
      <c r="J1952">
        <v>0</v>
      </c>
      <c r="K1952">
        <v>1</v>
      </c>
      <c r="L1952">
        <v>3</v>
      </c>
      <c r="M1952">
        <v>183</v>
      </c>
      <c r="N1952">
        <v>572</v>
      </c>
      <c r="O1952">
        <v>10</v>
      </c>
      <c r="P1952">
        <v>574</v>
      </c>
      <c r="Q1952">
        <v>146</v>
      </c>
      <c r="R1952">
        <v>69</v>
      </c>
      <c r="S1952">
        <v>148</v>
      </c>
      <c r="T1952">
        <v>6</v>
      </c>
      <c r="U1952">
        <v>1</v>
      </c>
      <c r="X1952">
        <v>19</v>
      </c>
      <c r="Y1952">
        <v>166</v>
      </c>
      <c r="Z1952">
        <v>1</v>
      </c>
      <c r="AA1952">
        <v>4</v>
      </c>
      <c r="AB1952">
        <v>1</v>
      </c>
      <c r="AW1952">
        <v>1</v>
      </c>
      <c r="AX1952">
        <v>12</v>
      </c>
      <c r="AY1952">
        <v>574</v>
      </c>
      <c r="AZ1952">
        <v>574</v>
      </c>
      <c r="BA1952">
        <v>713</v>
      </c>
      <c r="BB1952">
        <v>44</v>
      </c>
      <c r="BD1952">
        <v>1</v>
      </c>
      <c r="BF1952" t="s">
        <v>2114</v>
      </c>
      <c r="BG1952" s="1">
        <v>44354.155555555553</v>
      </c>
      <c r="BH1952" s="1">
        <v>44354.158622685187</v>
      </c>
      <c r="BI1952" s="1">
        <v>44354.159039351849</v>
      </c>
      <c r="BJ1952" t="s">
        <v>85</v>
      </c>
      <c r="BK1952" t="s">
        <v>86</v>
      </c>
      <c r="BL1952" t="s">
        <v>87</v>
      </c>
    </row>
    <row r="1953" spans="1:64" x14ac:dyDescent="0.3">
      <c r="A1953" t="str">
        <f>"201112C0100"</f>
        <v>201112C0100</v>
      </c>
      <c r="B1953" t="str">
        <f>"201112C01003"</f>
        <v>201112C01003</v>
      </c>
      <c r="C1953" t="str">
        <f t="shared" si="116"/>
        <v>20</v>
      </c>
      <c r="D1953" t="s">
        <v>81</v>
      </c>
      <c r="E1953" t="str">
        <f t="shared" si="118"/>
        <v>190</v>
      </c>
      <c r="F1953" t="s">
        <v>2113</v>
      </c>
      <c r="G1953" t="str">
        <f>"1112"</f>
        <v>1112</v>
      </c>
      <c r="H1953" t="str">
        <f>"0001"</f>
        <v>0001</v>
      </c>
      <c r="I1953" t="s">
        <v>89</v>
      </c>
      <c r="J1953">
        <v>0</v>
      </c>
      <c r="K1953">
        <v>1</v>
      </c>
      <c r="L1953">
        <v>3</v>
      </c>
      <c r="M1953">
        <v>167</v>
      </c>
      <c r="N1953">
        <v>589</v>
      </c>
      <c r="O1953">
        <v>6</v>
      </c>
      <c r="P1953">
        <v>589</v>
      </c>
      <c r="Q1953">
        <v>176</v>
      </c>
      <c r="R1953">
        <v>68</v>
      </c>
      <c r="S1953">
        <v>117</v>
      </c>
      <c r="T1953">
        <v>8</v>
      </c>
      <c r="U1953">
        <v>1</v>
      </c>
      <c r="X1953">
        <v>26</v>
      </c>
      <c r="Y1953">
        <v>180</v>
      </c>
      <c r="Z1953">
        <v>1</v>
      </c>
      <c r="AA1953">
        <v>2</v>
      </c>
      <c r="AB1953">
        <v>0</v>
      </c>
      <c r="AW1953">
        <v>0</v>
      </c>
      <c r="AX1953">
        <v>10</v>
      </c>
      <c r="AY1953">
        <v>589</v>
      </c>
      <c r="AZ1953">
        <v>589</v>
      </c>
      <c r="BA1953">
        <v>712</v>
      </c>
      <c r="BB1953">
        <v>44</v>
      </c>
      <c r="BD1953">
        <v>1</v>
      </c>
      <c r="BF1953" t="s">
        <v>2115</v>
      </c>
      <c r="BG1953" s="1">
        <v>44354.082638888889</v>
      </c>
      <c r="BH1953" s="1">
        <v>44354.089537037034</v>
      </c>
      <c r="BI1953" s="1">
        <v>44354.089884259258</v>
      </c>
      <c r="BJ1953" t="s">
        <v>85</v>
      </c>
      <c r="BK1953" t="s">
        <v>86</v>
      </c>
      <c r="BL1953" t="s">
        <v>87</v>
      </c>
    </row>
    <row r="1954" spans="1:64" x14ac:dyDescent="0.3">
      <c r="A1954" t="str">
        <f>"201112E0100"</f>
        <v>201112E0100</v>
      </c>
      <c r="B1954" t="str">
        <f>"201112E01003"</f>
        <v>201112E01003</v>
      </c>
      <c r="C1954" t="str">
        <f t="shared" si="116"/>
        <v>20</v>
      </c>
      <c r="D1954" t="s">
        <v>81</v>
      </c>
      <c r="E1954" t="str">
        <f t="shared" si="118"/>
        <v>190</v>
      </c>
      <c r="F1954" t="s">
        <v>2113</v>
      </c>
      <c r="G1954" t="str">
        <f>"1112"</f>
        <v>1112</v>
      </c>
      <c r="H1954" t="str">
        <f>"0001"</f>
        <v>0001</v>
      </c>
      <c r="I1954" t="s">
        <v>122</v>
      </c>
      <c r="J1954">
        <v>0</v>
      </c>
      <c r="K1954">
        <v>1</v>
      </c>
      <c r="L1954">
        <v>3</v>
      </c>
      <c r="M1954">
        <v>142</v>
      </c>
      <c r="N1954">
        <v>371</v>
      </c>
      <c r="O1954">
        <v>13</v>
      </c>
      <c r="P1954">
        <v>371</v>
      </c>
      <c r="Q1954">
        <v>102</v>
      </c>
      <c r="R1954">
        <v>20</v>
      </c>
      <c r="S1954">
        <v>142</v>
      </c>
      <c r="T1954">
        <v>0</v>
      </c>
      <c r="U1954">
        <v>1</v>
      </c>
      <c r="X1954">
        <v>7</v>
      </c>
      <c r="Y1954">
        <v>86</v>
      </c>
      <c r="Z1954">
        <v>0</v>
      </c>
      <c r="AA1954">
        <v>0</v>
      </c>
      <c r="AB1954">
        <v>2</v>
      </c>
      <c r="AW1954">
        <v>0</v>
      </c>
      <c r="AX1954">
        <v>11</v>
      </c>
      <c r="AY1954">
        <v>371</v>
      </c>
      <c r="AZ1954">
        <v>371</v>
      </c>
      <c r="BA1954">
        <v>469</v>
      </c>
      <c r="BB1954">
        <v>44</v>
      </c>
      <c r="BD1954">
        <v>1</v>
      </c>
      <c r="BF1954" t="s">
        <v>2116</v>
      </c>
      <c r="BG1954" s="1">
        <v>44353.995138888888</v>
      </c>
      <c r="BH1954" s="1">
        <v>44353.998495370368</v>
      </c>
      <c r="BI1954" s="1">
        <v>44353.998969907407</v>
      </c>
      <c r="BJ1954" t="s">
        <v>85</v>
      </c>
      <c r="BK1954" t="s">
        <v>86</v>
      </c>
      <c r="BL1954" t="s">
        <v>87</v>
      </c>
    </row>
    <row r="1955" spans="1:64" x14ac:dyDescent="0.3">
      <c r="A1955" t="str">
        <f>"201113B0000"</f>
        <v>201113B0000</v>
      </c>
      <c r="B1955" t="str">
        <f>"201113B00003"</f>
        <v>201113B00003</v>
      </c>
      <c r="C1955" t="str">
        <f t="shared" si="116"/>
        <v>20</v>
      </c>
      <c r="D1955" t="s">
        <v>81</v>
      </c>
      <c r="E1955" t="str">
        <f t="shared" si="118"/>
        <v>190</v>
      </c>
      <c r="F1955" t="s">
        <v>2113</v>
      </c>
      <c r="G1955" t="str">
        <f>"1113"</f>
        <v>1113</v>
      </c>
      <c r="H1955" t="str">
        <f>"0000"</f>
        <v>0000</v>
      </c>
      <c r="I1955" t="s">
        <v>83</v>
      </c>
      <c r="J1955">
        <v>0</v>
      </c>
      <c r="K1955">
        <v>1</v>
      </c>
      <c r="L1955">
        <v>3</v>
      </c>
      <c r="M1955">
        <v>162</v>
      </c>
      <c r="N1955">
        <v>506</v>
      </c>
      <c r="O1955">
        <v>0</v>
      </c>
      <c r="P1955">
        <v>506</v>
      </c>
      <c r="Q1955">
        <v>139</v>
      </c>
      <c r="R1955">
        <v>59</v>
      </c>
      <c r="S1955">
        <v>109</v>
      </c>
      <c r="T1955">
        <v>3</v>
      </c>
      <c r="U1955">
        <v>1</v>
      </c>
      <c r="X1955">
        <v>34</v>
      </c>
      <c r="Y1955">
        <v>140</v>
      </c>
      <c r="Z1955">
        <v>0</v>
      </c>
      <c r="AA1955">
        <v>3</v>
      </c>
      <c r="AB1955">
        <v>0</v>
      </c>
      <c r="AW1955">
        <v>0</v>
      </c>
      <c r="AX1955">
        <v>18</v>
      </c>
      <c r="AY1955">
        <v>506</v>
      </c>
      <c r="AZ1955">
        <v>506</v>
      </c>
      <c r="BA1955">
        <v>624</v>
      </c>
      <c r="BB1955">
        <v>44</v>
      </c>
      <c r="BD1955">
        <v>1</v>
      </c>
      <c r="BF1955" t="s">
        <v>2117</v>
      </c>
      <c r="BG1955" s="1">
        <v>44354.145833333336</v>
      </c>
      <c r="BH1955" s="1">
        <v>44354.147418981483</v>
      </c>
      <c r="BI1955" s="1">
        <v>44354.14806712963</v>
      </c>
      <c r="BJ1955" t="s">
        <v>85</v>
      </c>
      <c r="BK1955" t="s">
        <v>86</v>
      </c>
      <c r="BL1955" t="s">
        <v>87</v>
      </c>
    </row>
    <row r="1956" spans="1:64" x14ac:dyDescent="0.3">
      <c r="A1956" t="str">
        <f>"201113C0100"</f>
        <v>201113C0100</v>
      </c>
      <c r="B1956" t="str">
        <f>"201113C01003"</f>
        <v>201113C01003</v>
      </c>
      <c r="C1956" t="str">
        <f t="shared" si="116"/>
        <v>20</v>
      </c>
      <c r="D1956" t="s">
        <v>81</v>
      </c>
      <c r="E1956" t="str">
        <f t="shared" si="118"/>
        <v>190</v>
      </c>
      <c r="F1956" t="s">
        <v>2113</v>
      </c>
      <c r="G1956" t="str">
        <f>"1113"</f>
        <v>1113</v>
      </c>
      <c r="H1956" t="str">
        <f>"0001"</f>
        <v>0001</v>
      </c>
      <c r="I1956" t="s">
        <v>89</v>
      </c>
      <c r="J1956">
        <v>0</v>
      </c>
      <c r="K1956">
        <v>1</v>
      </c>
      <c r="L1956">
        <v>3</v>
      </c>
      <c r="M1956">
        <v>162</v>
      </c>
      <c r="N1956">
        <v>506</v>
      </c>
      <c r="O1956">
        <v>1</v>
      </c>
      <c r="P1956">
        <v>506</v>
      </c>
      <c r="Q1956">
        <v>170</v>
      </c>
      <c r="R1956">
        <v>65</v>
      </c>
      <c r="S1956">
        <v>92</v>
      </c>
      <c r="T1956">
        <v>4</v>
      </c>
      <c r="U1956">
        <v>0</v>
      </c>
      <c r="X1956">
        <v>19</v>
      </c>
      <c r="Y1956">
        <v>134</v>
      </c>
      <c r="Z1956">
        <v>2</v>
      </c>
      <c r="AA1956">
        <v>5</v>
      </c>
      <c r="AB1956">
        <v>1</v>
      </c>
      <c r="AW1956" t="s">
        <v>95</v>
      </c>
      <c r="AX1956">
        <v>14</v>
      </c>
      <c r="AY1956">
        <v>506</v>
      </c>
      <c r="AZ1956">
        <v>506</v>
      </c>
      <c r="BA1956">
        <v>624</v>
      </c>
      <c r="BB1956">
        <v>44</v>
      </c>
      <c r="BC1956" t="s">
        <v>96</v>
      </c>
      <c r="BD1956">
        <v>1</v>
      </c>
      <c r="BF1956" t="s">
        <v>2118</v>
      </c>
      <c r="BG1956" s="1">
        <v>44354.147222222222</v>
      </c>
      <c r="BH1956" s="1">
        <v>44354.150497685187</v>
      </c>
      <c r="BI1956" s="1">
        <v>44354.151736111111</v>
      </c>
      <c r="BJ1956" t="s">
        <v>85</v>
      </c>
      <c r="BK1956" t="s">
        <v>86</v>
      </c>
      <c r="BL1956" t="s">
        <v>87</v>
      </c>
    </row>
    <row r="1957" spans="1:64" x14ac:dyDescent="0.3">
      <c r="A1957" t="str">
        <f>"201114B0000"</f>
        <v>201114B0000</v>
      </c>
      <c r="B1957" t="str">
        <f>"201114B00003"</f>
        <v>201114B00003</v>
      </c>
      <c r="C1957" t="str">
        <f t="shared" si="116"/>
        <v>20</v>
      </c>
      <c r="D1957" t="s">
        <v>81</v>
      </c>
      <c r="E1957" t="str">
        <f t="shared" si="118"/>
        <v>190</v>
      </c>
      <c r="F1957" t="s">
        <v>2113</v>
      </c>
      <c r="G1957" t="str">
        <f>"1114"</f>
        <v>1114</v>
      </c>
      <c r="H1957" t="str">
        <f>"0000"</f>
        <v>0000</v>
      </c>
      <c r="I1957" t="s">
        <v>83</v>
      </c>
      <c r="J1957">
        <v>0</v>
      </c>
      <c r="K1957">
        <v>1</v>
      </c>
      <c r="L1957">
        <v>3</v>
      </c>
      <c r="M1957">
        <v>167</v>
      </c>
      <c r="N1957">
        <v>530</v>
      </c>
      <c r="O1957">
        <v>9</v>
      </c>
      <c r="P1957">
        <v>530</v>
      </c>
      <c r="Q1957">
        <v>168</v>
      </c>
      <c r="R1957">
        <v>77</v>
      </c>
      <c r="S1957">
        <v>81</v>
      </c>
      <c r="T1957">
        <v>3</v>
      </c>
      <c r="U1957">
        <v>0</v>
      </c>
      <c r="X1957">
        <v>17</v>
      </c>
      <c r="Y1957">
        <v>166</v>
      </c>
      <c r="Z1957">
        <v>1</v>
      </c>
      <c r="AA1957">
        <v>3</v>
      </c>
      <c r="AB1957">
        <v>1</v>
      </c>
      <c r="AW1957">
        <v>0</v>
      </c>
      <c r="AX1957">
        <v>12</v>
      </c>
      <c r="AY1957">
        <v>530</v>
      </c>
      <c r="AZ1957">
        <v>529</v>
      </c>
      <c r="BA1957">
        <v>653</v>
      </c>
      <c r="BB1957">
        <v>44</v>
      </c>
      <c r="BD1957">
        <v>1</v>
      </c>
      <c r="BF1957" t="s">
        <v>2119</v>
      </c>
      <c r="BG1957" s="1">
        <v>44354.154166666667</v>
      </c>
      <c r="BH1957" s="1">
        <v>44354.156550925924</v>
      </c>
      <c r="BI1957" s="1">
        <v>44354.157060185185</v>
      </c>
      <c r="BJ1957" t="s">
        <v>85</v>
      </c>
      <c r="BK1957" t="s">
        <v>86</v>
      </c>
      <c r="BL1957" t="s">
        <v>87</v>
      </c>
    </row>
    <row r="1958" spans="1:64" x14ac:dyDescent="0.3">
      <c r="A1958" t="str">
        <f>"201114C0100"</f>
        <v>201114C0100</v>
      </c>
      <c r="B1958" t="str">
        <f>"201114C01003"</f>
        <v>201114C01003</v>
      </c>
      <c r="C1958" t="str">
        <f t="shared" si="116"/>
        <v>20</v>
      </c>
      <c r="D1958" t="s">
        <v>81</v>
      </c>
      <c r="E1958" t="str">
        <f t="shared" si="118"/>
        <v>190</v>
      </c>
      <c r="F1958" t="s">
        <v>2113</v>
      </c>
      <c r="G1958" t="str">
        <f>"1114"</f>
        <v>1114</v>
      </c>
      <c r="H1958" t="str">
        <f>"0001"</f>
        <v>0001</v>
      </c>
      <c r="I1958" t="s">
        <v>89</v>
      </c>
      <c r="J1958">
        <v>0</v>
      </c>
      <c r="K1958">
        <v>1</v>
      </c>
      <c r="L1958">
        <v>3</v>
      </c>
      <c r="M1958">
        <v>149</v>
      </c>
      <c r="N1958">
        <v>547</v>
      </c>
      <c r="O1958">
        <v>2</v>
      </c>
      <c r="P1958">
        <v>548</v>
      </c>
      <c r="Q1958">
        <v>202</v>
      </c>
      <c r="R1958">
        <v>82</v>
      </c>
      <c r="S1958">
        <v>69</v>
      </c>
      <c r="T1958">
        <v>6</v>
      </c>
      <c r="U1958">
        <v>0</v>
      </c>
      <c r="X1958">
        <v>10</v>
      </c>
      <c r="Y1958">
        <v>158</v>
      </c>
      <c r="Z1958">
        <v>0</v>
      </c>
      <c r="AA1958">
        <v>7</v>
      </c>
      <c r="AB1958">
        <v>1</v>
      </c>
      <c r="AW1958">
        <v>0</v>
      </c>
      <c r="AX1958">
        <v>13</v>
      </c>
      <c r="AY1958">
        <v>548</v>
      </c>
      <c r="AZ1958">
        <v>548</v>
      </c>
      <c r="BA1958">
        <v>653</v>
      </c>
      <c r="BB1958">
        <v>44</v>
      </c>
      <c r="BD1958">
        <v>1</v>
      </c>
      <c r="BF1958" t="s">
        <v>2120</v>
      </c>
      <c r="BG1958" s="1">
        <v>44354.159722222219</v>
      </c>
      <c r="BH1958" s="1">
        <v>44354.16201388889</v>
      </c>
      <c r="BI1958" s="1">
        <v>44354.16238425926</v>
      </c>
      <c r="BJ1958" t="s">
        <v>85</v>
      </c>
      <c r="BK1958" t="s">
        <v>86</v>
      </c>
      <c r="BL1958" t="s">
        <v>87</v>
      </c>
    </row>
    <row r="1959" spans="1:64" x14ac:dyDescent="0.3">
      <c r="A1959" t="str">
        <f>"201115B0000"</f>
        <v>201115B0000</v>
      </c>
      <c r="B1959" t="str">
        <f>"201115B00003"</f>
        <v>201115B00003</v>
      </c>
      <c r="C1959" t="str">
        <f t="shared" si="116"/>
        <v>20</v>
      </c>
      <c r="D1959" t="s">
        <v>81</v>
      </c>
      <c r="E1959" t="str">
        <f t="shared" si="118"/>
        <v>190</v>
      </c>
      <c r="F1959" t="s">
        <v>2113</v>
      </c>
      <c r="G1959" t="str">
        <f>"1115"</f>
        <v>1115</v>
      </c>
      <c r="H1959" t="str">
        <f>"0000"</f>
        <v>0000</v>
      </c>
      <c r="I1959" t="s">
        <v>83</v>
      </c>
      <c r="J1959">
        <v>0</v>
      </c>
      <c r="K1959">
        <v>1</v>
      </c>
      <c r="L1959">
        <v>3</v>
      </c>
      <c r="M1959">
        <v>145</v>
      </c>
      <c r="N1959">
        <v>2</v>
      </c>
      <c r="O1959">
        <v>2</v>
      </c>
      <c r="P1959">
        <v>300</v>
      </c>
      <c r="Q1959">
        <v>69</v>
      </c>
      <c r="R1959">
        <v>33</v>
      </c>
      <c r="S1959">
        <v>52</v>
      </c>
      <c r="T1959" t="s">
        <v>95</v>
      </c>
      <c r="U1959" t="s">
        <v>95</v>
      </c>
      <c r="X1959">
        <v>23</v>
      </c>
      <c r="Y1959">
        <v>108</v>
      </c>
      <c r="Z1959" t="s">
        <v>95</v>
      </c>
      <c r="AA1959">
        <v>5</v>
      </c>
      <c r="AB1959" t="s">
        <v>95</v>
      </c>
      <c r="AW1959" t="s">
        <v>95</v>
      </c>
      <c r="AX1959">
        <v>10</v>
      </c>
      <c r="AY1959">
        <v>300</v>
      </c>
      <c r="AZ1959">
        <v>300</v>
      </c>
      <c r="BA1959">
        <v>401</v>
      </c>
      <c r="BB1959">
        <v>44</v>
      </c>
      <c r="BC1959" t="s">
        <v>96</v>
      </c>
      <c r="BD1959">
        <v>1</v>
      </c>
      <c r="BF1959" t="s">
        <v>2121</v>
      </c>
      <c r="BG1959" s="1">
        <v>44354.178472222222</v>
      </c>
      <c r="BH1959" s="1">
        <v>44354.180243055554</v>
      </c>
      <c r="BI1959" s="1">
        <v>44354.180879629632</v>
      </c>
      <c r="BJ1959" t="s">
        <v>85</v>
      </c>
      <c r="BK1959" t="s">
        <v>86</v>
      </c>
      <c r="BL1959" t="s">
        <v>87</v>
      </c>
    </row>
    <row r="1960" spans="1:64" x14ac:dyDescent="0.3">
      <c r="A1960" t="str">
        <f>"201115C0100"</f>
        <v>201115C0100</v>
      </c>
      <c r="B1960" t="str">
        <f>"201115C01003"</f>
        <v>201115C01003</v>
      </c>
      <c r="C1960" t="str">
        <f t="shared" si="116"/>
        <v>20</v>
      </c>
      <c r="D1960" t="s">
        <v>81</v>
      </c>
      <c r="E1960" t="str">
        <f t="shared" si="118"/>
        <v>190</v>
      </c>
      <c r="F1960" t="s">
        <v>2113</v>
      </c>
      <c r="G1960" t="str">
        <f>"1115"</f>
        <v>1115</v>
      </c>
      <c r="H1960" t="str">
        <f>"0001"</f>
        <v>0001</v>
      </c>
      <c r="I1960" t="s">
        <v>89</v>
      </c>
      <c r="J1960">
        <v>0</v>
      </c>
      <c r="K1960">
        <v>1</v>
      </c>
      <c r="L1960">
        <v>3</v>
      </c>
      <c r="M1960">
        <v>137</v>
      </c>
      <c r="N1960">
        <v>307</v>
      </c>
      <c r="O1960">
        <v>0</v>
      </c>
      <c r="P1960">
        <v>307</v>
      </c>
      <c r="Q1960">
        <v>38</v>
      </c>
      <c r="R1960">
        <v>31</v>
      </c>
      <c r="S1960">
        <v>77</v>
      </c>
      <c r="T1960">
        <v>4</v>
      </c>
      <c r="U1960">
        <v>0</v>
      </c>
      <c r="X1960">
        <v>21</v>
      </c>
      <c r="Y1960">
        <v>127</v>
      </c>
      <c r="Z1960">
        <v>4</v>
      </c>
      <c r="AA1960">
        <v>3</v>
      </c>
      <c r="AB1960">
        <v>2</v>
      </c>
      <c r="AW1960">
        <v>0</v>
      </c>
      <c r="AX1960">
        <v>7</v>
      </c>
      <c r="AY1960">
        <v>307</v>
      </c>
      <c r="AZ1960">
        <v>314</v>
      </c>
      <c r="BA1960">
        <v>400</v>
      </c>
      <c r="BB1960">
        <v>44</v>
      </c>
      <c r="BD1960">
        <v>1</v>
      </c>
      <c r="BF1960" t="s">
        <v>2122</v>
      </c>
      <c r="BG1960" s="1">
        <v>44354.171527777777</v>
      </c>
      <c r="BH1960" s="1">
        <v>44354.17391203704</v>
      </c>
      <c r="BI1960" s="1">
        <v>44354.176319444443</v>
      </c>
      <c r="BJ1960" t="s">
        <v>85</v>
      </c>
      <c r="BK1960" t="s">
        <v>86</v>
      </c>
      <c r="BL1960" t="s">
        <v>87</v>
      </c>
    </row>
    <row r="1961" spans="1:64" x14ac:dyDescent="0.3">
      <c r="A1961" t="str">
        <f>"201115E0100"</f>
        <v>201115E0100</v>
      </c>
      <c r="B1961" t="str">
        <f>"201115E01003"</f>
        <v>201115E01003</v>
      </c>
      <c r="C1961" t="str">
        <f t="shared" si="116"/>
        <v>20</v>
      </c>
      <c r="D1961" t="s">
        <v>81</v>
      </c>
      <c r="E1961" t="str">
        <f t="shared" si="118"/>
        <v>190</v>
      </c>
      <c r="F1961" t="s">
        <v>2113</v>
      </c>
      <c r="G1961" t="str">
        <f>"1115"</f>
        <v>1115</v>
      </c>
      <c r="H1961" t="str">
        <f>"0001"</f>
        <v>0001</v>
      </c>
      <c r="I1961" t="s">
        <v>122</v>
      </c>
      <c r="J1961">
        <v>0</v>
      </c>
      <c r="K1961">
        <v>1</v>
      </c>
      <c r="L1961">
        <v>3</v>
      </c>
      <c r="M1961">
        <v>258</v>
      </c>
      <c r="N1961">
        <v>386</v>
      </c>
      <c r="O1961">
        <v>5</v>
      </c>
      <c r="P1961">
        <v>0</v>
      </c>
      <c r="Q1961">
        <v>124</v>
      </c>
      <c r="R1961">
        <v>19</v>
      </c>
      <c r="S1961">
        <v>65</v>
      </c>
      <c r="T1961">
        <v>2</v>
      </c>
      <c r="U1961">
        <v>1</v>
      </c>
      <c r="X1961">
        <v>55</v>
      </c>
      <c r="Y1961">
        <v>103</v>
      </c>
      <c r="Z1961">
        <v>1</v>
      </c>
      <c r="AA1961">
        <v>12</v>
      </c>
      <c r="AB1961">
        <v>0</v>
      </c>
      <c r="AW1961">
        <v>0</v>
      </c>
      <c r="AX1961">
        <v>4</v>
      </c>
      <c r="AY1961">
        <v>386</v>
      </c>
      <c r="AZ1961">
        <v>386</v>
      </c>
      <c r="BA1961">
        <v>600</v>
      </c>
      <c r="BB1961">
        <v>44</v>
      </c>
      <c r="BD1961">
        <v>1</v>
      </c>
      <c r="BF1961" t="s">
        <v>2123</v>
      </c>
      <c r="BG1961" s="1">
        <v>44354.164583333331</v>
      </c>
      <c r="BH1961" s="1">
        <v>44354.166620370372</v>
      </c>
      <c r="BI1961" s="1">
        <v>44354.167384259257</v>
      </c>
      <c r="BJ1961" t="s">
        <v>85</v>
      </c>
      <c r="BK1961" t="s">
        <v>86</v>
      </c>
      <c r="BL1961" t="s">
        <v>87</v>
      </c>
    </row>
    <row r="1962" spans="1:64" x14ac:dyDescent="0.3">
      <c r="A1962" t="str">
        <f>"201115E0200"</f>
        <v>201115E0200</v>
      </c>
      <c r="B1962" t="str">
        <f>"201115E02003"</f>
        <v>201115E02003</v>
      </c>
      <c r="C1962" t="str">
        <f t="shared" si="116"/>
        <v>20</v>
      </c>
      <c r="D1962" t="s">
        <v>81</v>
      </c>
      <c r="E1962" t="str">
        <f t="shared" si="118"/>
        <v>190</v>
      </c>
      <c r="F1962" t="s">
        <v>2113</v>
      </c>
      <c r="G1962" t="str">
        <f>"1115"</f>
        <v>1115</v>
      </c>
      <c r="H1962" t="str">
        <f>"0002"</f>
        <v>0002</v>
      </c>
      <c r="I1962" t="s">
        <v>122</v>
      </c>
      <c r="J1962">
        <v>0</v>
      </c>
      <c r="K1962">
        <v>1</v>
      </c>
      <c r="L1962">
        <v>3</v>
      </c>
      <c r="M1962">
        <v>140</v>
      </c>
      <c r="N1962" t="s">
        <v>92</v>
      </c>
      <c r="O1962" t="s">
        <v>92</v>
      </c>
      <c r="P1962">
        <v>191</v>
      </c>
      <c r="Q1962">
        <v>23</v>
      </c>
      <c r="R1962">
        <v>20</v>
      </c>
      <c r="S1962">
        <v>41</v>
      </c>
      <c r="T1962">
        <v>0</v>
      </c>
      <c r="U1962">
        <v>1</v>
      </c>
      <c r="X1962">
        <v>17</v>
      </c>
      <c r="Y1962">
        <v>79</v>
      </c>
      <c r="Z1962">
        <v>0</v>
      </c>
      <c r="AA1962">
        <v>1</v>
      </c>
      <c r="AB1962">
        <v>1</v>
      </c>
      <c r="AW1962">
        <v>0</v>
      </c>
      <c r="AX1962">
        <v>8</v>
      </c>
      <c r="AY1962">
        <v>191</v>
      </c>
      <c r="AZ1962">
        <v>191</v>
      </c>
      <c r="BA1962">
        <v>286</v>
      </c>
      <c r="BB1962">
        <v>44</v>
      </c>
      <c r="BD1962">
        <v>1</v>
      </c>
      <c r="BF1962" t="s">
        <v>2124</v>
      </c>
      <c r="BG1962" s="1">
        <v>44354.168055555558</v>
      </c>
      <c r="BH1962" s="1">
        <v>44354.169293981482</v>
      </c>
      <c r="BI1962" s="1">
        <v>44354.169953703706</v>
      </c>
      <c r="BJ1962" t="s">
        <v>85</v>
      </c>
      <c r="BK1962" t="s">
        <v>86</v>
      </c>
      <c r="BL1962" t="s">
        <v>87</v>
      </c>
    </row>
    <row r="1963" spans="1:64" x14ac:dyDescent="0.3">
      <c r="A1963" t="str">
        <f>"201116B0000"</f>
        <v>201116B0000</v>
      </c>
      <c r="B1963" t="str">
        <f>"201116B00003"</f>
        <v>201116B00003</v>
      </c>
      <c r="C1963" t="str">
        <f t="shared" si="116"/>
        <v>20</v>
      </c>
      <c r="D1963" t="s">
        <v>81</v>
      </c>
      <c r="E1963" t="str">
        <f t="shared" si="118"/>
        <v>190</v>
      </c>
      <c r="F1963" t="s">
        <v>2113</v>
      </c>
      <c r="G1963" t="str">
        <f>"1116"</f>
        <v>1116</v>
      </c>
      <c r="H1963" t="str">
        <f>"0000"</f>
        <v>0000</v>
      </c>
      <c r="I1963" t="s">
        <v>83</v>
      </c>
      <c r="J1963">
        <v>0</v>
      </c>
      <c r="K1963">
        <v>1</v>
      </c>
      <c r="L1963">
        <v>3</v>
      </c>
      <c r="M1963">
        <v>122</v>
      </c>
      <c r="N1963">
        <v>257</v>
      </c>
      <c r="O1963">
        <v>4</v>
      </c>
      <c r="P1963">
        <v>257</v>
      </c>
      <c r="Q1963">
        <v>65</v>
      </c>
      <c r="R1963">
        <v>17</v>
      </c>
      <c r="S1963">
        <v>19</v>
      </c>
      <c r="T1963">
        <v>4</v>
      </c>
      <c r="U1963">
        <v>2</v>
      </c>
      <c r="X1963">
        <v>12</v>
      </c>
      <c r="Y1963">
        <v>125</v>
      </c>
      <c r="Z1963">
        <v>1</v>
      </c>
      <c r="AA1963">
        <v>3</v>
      </c>
      <c r="AB1963">
        <v>0</v>
      </c>
      <c r="AW1963">
        <v>0</v>
      </c>
      <c r="AX1963">
        <v>9</v>
      </c>
      <c r="AY1963">
        <v>257</v>
      </c>
      <c r="AZ1963">
        <v>257</v>
      </c>
      <c r="BA1963">
        <v>335</v>
      </c>
      <c r="BB1963">
        <v>44</v>
      </c>
      <c r="BD1963">
        <v>1</v>
      </c>
      <c r="BF1963" t="s">
        <v>2125</v>
      </c>
      <c r="BG1963" s="1">
        <v>44354.169444444444</v>
      </c>
      <c r="BH1963" s="1">
        <v>44354.171018518522</v>
      </c>
      <c r="BI1963" s="1">
        <v>44354.171550925923</v>
      </c>
      <c r="BJ1963" t="s">
        <v>85</v>
      </c>
      <c r="BK1963" t="s">
        <v>86</v>
      </c>
      <c r="BL1963" t="s">
        <v>87</v>
      </c>
    </row>
    <row r="1964" spans="1:64" x14ac:dyDescent="0.3">
      <c r="A1964" t="str">
        <f>"201116E0100"</f>
        <v>201116E0100</v>
      </c>
      <c r="B1964" t="str">
        <f>"201116E01003"</f>
        <v>201116E01003</v>
      </c>
      <c r="C1964" t="str">
        <f t="shared" si="116"/>
        <v>20</v>
      </c>
      <c r="D1964" t="s">
        <v>81</v>
      </c>
      <c r="E1964" t="str">
        <f t="shared" si="118"/>
        <v>190</v>
      </c>
      <c r="F1964" t="s">
        <v>2113</v>
      </c>
      <c r="G1964" t="str">
        <f>"1116"</f>
        <v>1116</v>
      </c>
      <c r="H1964" t="str">
        <f>"0001"</f>
        <v>0001</v>
      </c>
      <c r="I1964" t="s">
        <v>122</v>
      </c>
      <c r="J1964">
        <v>0</v>
      </c>
      <c r="K1964">
        <v>1</v>
      </c>
      <c r="L1964">
        <v>3</v>
      </c>
      <c r="M1964">
        <v>57</v>
      </c>
      <c r="N1964">
        <v>244</v>
      </c>
      <c r="O1964">
        <v>1</v>
      </c>
      <c r="P1964">
        <v>244</v>
      </c>
      <c r="Q1964">
        <v>31</v>
      </c>
      <c r="R1964">
        <v>27</v>
      </c>
      <c r="S1964">
        <v>87</v>
      </c>
      <c r="T1964">
        <v>3</v>
      </c>
      <c r="U1964">
        <v>0</v>
      </c>
      <c r="X1964">
        <v>12</v>
      </c>
      <c r="Y1964">
        <v>81</v>
      </c>
      <c r="Z1964">
        <v>1</v>
      </c>
      <c r="AA1964">
        <v>1</v>
      </c>
      <c r="AB1964">
        <v>0</v>
      </c>
      <c r="AW1964">
        <v>0</v>
      </c>
      <c r="AX1964">
        <v>1</v>
      </c>
      <c r="AY1964">
        <v>244</v>
      </c>
      <c r="AZ1964">
        <v>244</v>
      </c>
      <c r="BA1964">
        <v>257</v>
      </c>
      <c r="BB1964">
        <v>44</v>
      </c>
      <c r="BD1964">
        <v>1</v>
      </c>
      <c r="BF1964" t="s">
        <v>2126</v>
      </c>
      <c r="BG1964" s="1">
        <v>44353.974999999999</v>
      </c>
      <c r="BH1964" s="1">
        <v>44353.976886574077</v>
      </c>
      <c r="BI1964" s="1">
        <v>44353.977407407408</v>
      </c>
      <c r="BJ1964" t="s">
        <v>85</v>
      </c>
      <c r="BK1964" t="s">
        <v>86</v>
      </c>
      <c r="BL1964" t="s">
        <v>87</v>
      </c>
    </row>
    <row r="1965" spans="1:64" x14ac:dyDescent="0.3">
      <c r="A1965" t="str">
        <f>"201139B0000"</f>
        <v>201139B0000</v>
      </c>
      <c r="B1965" t="str">
        <f>"201139B00003"</f>
        <v>201139B00003</v>
      </c>
      <c r="C1965" t="str">
        <f t="shared" si="116"/>
        <v>20</v>
      </c>
      <c r="D1965" t="s">
        <v>81</v>
      </c>
      <c r="E1965" t="str">
        <f t="shared" ref="E1965:E1996" si="119">"199"</f>
        <v>199</v>
      </c>
      <c r="F1965" t="s">
        <v>2127</v>
      </c>
      <c r="G1965" t="str">
        <f>"1139"</f>
        <v>1139</v>
      </c>
      <c r="H1965" t="str">
        <f>"0000"</f>
        <v>0000</v>
      </c>
      <c r="I1965" t="s">
        <v>83</v>
      </c>
      <c r="J1965">
        <v>0</v>
      </c>
      <c r="K1965">
        <v>1</v>
      </c>
      <c r="L1965">
        <v>3</v>
      </c>
      <c r="M1965">
        <v>147</v>
      </c>
      <c r="N1965">
        <v>365</v>
      </c>
      <c r="O1965">
        <v>2</v>
      </c>
      <c r="P1965">
        <v>365</v>
      </c>
      <c r="Q1965">
        <v>0</v>
      </c>
      <c r="R1965">
        <v>15</v>
      </c>
      <c r="S1965">
        <v>208</v>
      </c>
      <c r="T1965">
        <v>1</v>
      </c>
      <c r="U1965">
        <v>4</v>
      </c>
      <c r="V1965">
        <v>4</v>
      </c>
      <c r="X1965">
        <v>39</v>
      </c>
      <c r="Z1965">
        <v>0</v>
      </c>
      <c r="AA1965">
        <v>42</v>
      </c>
      <c r="AB1965">
        <v>5</v>
      </c>
      <c r="AU1965">
        <v>0</v>
      </c>
      <c r="AW1965">
        <v>42</v>
      </c>
      <c r="AX1965">
        <v>5</v>
      </c>
      <c r="AY1965">
        <v>365</v>
      </c>
      <c r="AZ1965">
        <v>365</v>
      </c>
      <c r="BA1965">
        <v>468</v>
      </c>
      <c r="BB1965">
        <v>44</v>
      </c>
      <c r="BD1965">
        <v>1</v>
      </c>
      <c r="BF1965" t="s">
        <v>2128</v>
      </c>
      <c r="BG1965" s="1">
        <v>44354.010416666664</v>
      </c>
      <c r="BH1965" s="1">
        <v>44354.017453703702</v>
      </c>
      <c r="BI1965" s="1">
        <v>44354.017962962964</v>
      </c>
      <c r="BJ1965" t="s">
        <v>85</v>
      </c>
      <c r="BK1965" t="s">
        <v>86</v>
      </c>
      <c r="BL1965" t="s">
        <v>87</v>
      </c>
    </row>
    <row r="1966" spans="1:64" x14ac:dyDescent="0.3">
      <c r="A1966" t="str">
        <f>"201139C0100"</f>
        <v>201139C0100</v>
      </c>
      <c r="B1966" t="str">
        <f>"201139C01003"</f>
        <v>201139C01003</v>
      </c>
      <c r="C1966" t="str">
        <f t="shared" si="116"/>
        <v>20</v>
      </c>
      <c r="D1966" t="s">
        <v>81</v>
      </c>
      <c r="E1966" t="str">
        <f t="shared" si="119"/>
        <v>199</v>
      </c>
      <c r="F1966" t="s">
        <v>2127</v>
      </c>
      <c r="G1966" t="str">
        <f>"1139"</f>
        <v>1139</v>
      </c>
      <c r="H1966" t="str">
        <f>"0001"</f>
        <v>0001</v>
      </c>
      <c r="I1966" t="s">
        <v>89</v>
      </c>
      <c r="J1966">
        <v>0</v>
      </c>
      <c r="K1966">
        <v>1</v>
      </c>
      <c r="L1966">
        <v>3</v>
      </c>
      <c r="M1966">
        <v>157</v>
      </c>
      <c r="N1966">
        <v>354</v>
      </c>
      <c r="O1966">
        <v>1</v>
      </c>
      <c r="P1966">
        <v>354</v>
      </c>
      <c r="Q1966">
        <v>1</v>
      </c>
      <c r="R1966">
        <v>12</v>
      </c>
      <c r="S1966">
        <v>200</v>
      </c>
      <c r="T1966">
        <v>0</v>
      </c>
      <c r="U1966">
        <v>7</v>
      </c>
      <c r="V1966">
        <v>7</v>
      </c>
      <c r="X1966">
        <v>23</v>
      </c>
      <c r="Z1966">
        <v>2</v>
      </c>
      <c r="AA1966">
        <v>51</v>
      </c>
      <c r="AB1966">
        <v>8</v>
      </c>
      <c r="AU1966">
        <v>0</v>
      </c>
      <c r="AW1966">
        <v>34</v>
      </c>
      <c r="AX1966">
        <v>9</v>
      </c>
      <c r="AY1966">
        <v>354</v>
      </c>
      <c r="AZ1966">
        <v>354</v>
      </c>
      <c r="BA1966">
        <v>467</v>
      </c>
      <c r="BB1966">
        <v>44</v>
      </c>
      <c r="BD1966">
        <v>1</v>
      </c>
      <c r="BF1966" t="s">
        <v>2129</v>
      </c>
      <c r="BG1966" s="1">
        <v>44354.033333333333</v>
      </c>
      <c r="BH1966" s="1">
        <v>44354.040694444448</v>
      </c>
      <c r="BI1966" s="1">
        <v>44354.041770833333</v>
      </c>
      <c r="BJ1966" t="s">
        <v>85</v>
      </c>
      <c r="BK1966" t="s">
        <v>86</v>
      </c>
      <c r="BL1966" t="s">
        <v>87</v>
      </c>
    </row>
    <row r="1967" spans="1:64" x14ac:dyDescent="0.3">
      <c r="A1967" t="str">
        <f>"201140B0000"</f>
        <v>201140B0000</v>
      </c>
      <c r="B1967" t="str">
        <f>"201140B00003"</f>
        <v>201140B00003</v>
      </c>
      <c r="C1967" t="str">
        <f t="shared" si="116"/>
        <v>20</v>
      </c>
      <c r="D1967" t="s">
        <v>81</v>
      </c>
      <c r="E1967" t="str">
        <f t="shared" si="119"/>
        <v>199</v>
      </c>
      <c r="F1967" t="s">
        <v>2127</v>
      </c>
      <c r="G1967" t="str">
        <f>"1140"</f>
        <v>1140</v>
      </c>
      <c r="H1967" t="str">
        <f>"0000"</f>
        <v>0000</v>
      </c>
      <c r="I1967" t="s">
        <v>83</v>
      </c>
      <c r="J1967">
        <v>0</v>
      </c>
      <c r="K1967">
        <v>1</v>
      </c>
      <c r="L1967">
        <v>3</v>
      </c>
      <c r="M1967">
        <v>179</v>
      </c>
      <c r="N1967">
        <v>565</v>
      </c>
      <c r="O1967">
        <v>0</v>
      </c>
      <c r="P1967">
        <v>386</v>
      </c>
      <c r="Q1967">
        <v>0</v>
      </c>
      <c r="R1967">
        <v>8</v>
      </c>
      <c r="S1967">
        <v>201</v>
      </c>
      <c r="T1967">
        <v>0</v>
      </c>
      <c r="U1967">
        <v>5</v>
      </c>
      <c r="V1967">
        <v>9</v>
      </c>
      <c r="X1967">
        <v>41</v>
      </c>
      <c r="Z1967">
        <v>2</v>
      </c>
      <c r="AA1967">
        <v>25</v>
      </c>
      <c r="AB1967">
        <v>7</v>
      </c>
      <c r="AU1967">
        <v>0</v>
      </c>
      <c r="AW1967">
        <v>75</v>
      </c>
      <c r="AX1967">
        <v>13</v>
      </c>
      <c r="AY1967">
        <v>386</v>
      </c>
      <c r="AZ1967">
        <v>386</v>
      </c>
      <c r="BA1967">
        <v>521</v>
      </c>
      <c r="BB1967">
        <v>44</v>
      </c>
      <c r="BD1967">
        <v>1</v>
      </c>
      <c r="BF1967" t="s">
        <v>2130</v>
      </c>
      <c r="BG1967" s="1">
        <v>44354.053472222222</v>
      </c>
      <c r="BH1967" s="1">
        <v>44354.059745370374</v>
      </c>
      <c r="BI1967" s="1">
        <v>44354.060312499998</v>
      </c>
      <c r="BJ1967" t="s">
        <v>85</v>
      </c>
      <c r="BK1967" t="s">
        <v>86</v>
      </c>
      <c r="BL1967" t="s">
        <v>87</v>
      </c>
    </row>
    <row r="1968" spans="1:64" x14ac:dyDescent="0.3">
      <c r="A1968" t="str">
        <f>"201140C0100"</f>
        <v>201140C0100</v>
      </c>
      <c r="B1968" t="str">
        <f>"201140C01003"</f>
        <v>201140C01003</v>
      </c>
      <c r="C1968" t="str">
        <f t="shared" si="116"/>
        <v>20</v>
      </c>
      <c r="D1968" t="s">
        <v>81</v>
      </c>
      <c r="E1968" t="str">
        <f t="shared" si="119"/>
        <v>199</v>
      </c>
      <c r="F1968" t="s">
        <v>2127</v>
      </c>
      <c r="G1968" t="str">
        <f>"1140"</f>
        <v>1140</v>
      </c>
      <c r="H1968" t="str">
        <f>"0001"</f>
        <v>0001</v>
      </c>
      <c r="I1968" t="s">
        <v>89</v>
      </c>
      <c r="J1968">
        <v>0</v>
      </c>
      <c r="K1968">
        <v>1</v>
      </c>
      <c r="L1968">
        <v>3</v>
      </c>
      <c r="M1968">
        <v>191</v>
      </c>
      <c r="N1968">
        <v>374</v>
      </c>
      <c r="O1968">
        <v>0</v>
      </c>
      <c r="P1968">
        <v>374</v>
      </c>
      <c r="Q1968">
        <v>0</v>
      </c>
      <c r="R1968">
        <v>14</v>
      </c>
      <c r="S1968">
        <v>197</v>
      </c>
      <c r="T1968">
        <v>1</v>
      </c>
      <c r="U1968">
        <v>9</v>
      </c>
      <c r="V1968">
        <v>2</v>
      </c>
      <c r="X1968">
        <v>27</v>
      </c>
      <c r="Z1968">
        <v>1</v>
      </c>
      <c r="AA1968">
        <v>32</v>
      </c>
      <c r="AB1968">
        <v>4</v>
      </c>
      <c r="AU1968">
        <v>0</v>
      </c>
      <c r="AW1968">
        <v>73</v>
      </c>
      <c r="AX1968">
        <v>14</v>
      </c>
      <c r="AY1968">
        <v>374</v>
      </c>
      <c r="AZ1968">
        <v>374</v>
      </c>
      <c r="BA1968">
        <v>521</v>
      </c>
      <c r="BB1968">
        <v>44</v>
      </c>
      <c r="BD1968">
        <v>1</v>
      </c>
      <c r="BF1968" t="s">
        <v>2131</v>
      </c>
      <c r="BG1968" s="1">
        <v>44354.056944444441</v>
      </c>
      <c r="BH1968" s="1">
        <v>44354.06355324074</v>
      </c>
      <c r="BI1968" s="1">
        <v>44354.06391203704</v>
      </c>
      <c r="BJ1968" t="s">
        <v>85</v>
      </c>
      <c r="BK1968" t="s">
        <v>86</v>
      </c>
      <c r="BL1968" t="s">
        <v>87</v>
      </c>
    </row>
    <row r="1969" spans="1:64" x14ac:dyDescent="0.3">
      <c r="A1969" t="str">
        <f>"201141B0000"</f>
        <v>201141B0000</v>
      </c>
      <c r="B1969" t="str">
        <f>"201141B00003"</f>
        <v>201141B00003</v>
      </c>
      <c r="C1969" t="str">
        <f t="shared" si="116"/>
        <v>20</v>
      </c>
      <c r="D1969" t="s">
        <v>81</v>
      </c>
      <c r="E1969" t="str">
        <f t="shared" si="119"/>
        <v>199</v>
      </c>
      <c r="F1969" t="s">
        <v>2127</v>
      </c>
      <c r="G1969" t="str">
        <f>"1141"</f>
        <v>1141</v>
      </c>
      <c r="H1969" t="str">
        <f>"0000"</f>
        <v>0000</v>
      </c>
      <c r="I1969" t="s">
        <v>83</v>
      </c>
      <c r="J1969">
        <v>0</v>
      </c>
      <c r="K1969">
        <v>1</v>
      </c>
      <c r="L1969">
        <v>3</v>
      </c>
      <c r="M1969">
        <v>214</v>
      </c>
      <c r="N1969">
        <v>427</v>
      </c>
      <c r="O1969">
        <v>0</v>
      </c>
      <c r="P1969">
        <v>427</v>
      </c>
      <c r="Q1969">
        <v>1</v>
      </c>
      <c r="R1969">
        <v>7</v>
      </c>
      <c r="S1969">
        <v>247</v>
      </c>
      <c r="T1969">
        <v>2</v>
      </c>
      <c r="U1969">
        <v>6</v>
      </c>
      <c r="V1969">
        <v>7</v>
      </c>
      <c r="X1969">
        <v>51</v>
      </c>
      <c r="Z1969">
        <v>1</v>
      </c>
      <c r="AA1969">
        <v>28</v>
      </c>
      <c r="AB1969">
        <v>10</v>
      </c>
      <c r="AU1969">
        <v>0</v>
      </c>
      <c r="AW1969">
        <v>50</v>
      </c>
      <c r="AX1969">
        <v>17</v>
      </c>
      <c r="AY1969" t="s">
        <v>95</v>
      </c>
      <c r="AZ1969">
        <v>427</v>
      </c>
      <c r="BA1969">
        <v>597</v>
      </c>
      <c r="BB1969">
        <v>44</v>
      </c>
      <c r="BD1969">
        <v>1</v>
      </c>
      <c r="BF1969" t="s">
        <v>2132</v>
      </c>
      <c r="BG1969" s="1">
        <v>44354.059027777781</v>
      </c>
      <c r="BH1969" s="1">
        <v>44354.066030092596</v>
      </c>
      <c r="BI1969" s="1">
        <v>44354.066805555558</v>
      </c>
      <c r="BJ1969" t="s">
        <v>85</v>
      </c>
      <c r="BK1969" t="s">
        <v>86</v>
      </c>
      <c r="BL1969" t="s">
        <v>87</v>
      </c>
    </row>
    <row r="1970" spans="1:64" x14ac:dyDescent="0.3">
      <c r="A1970" t="str">
        <f>"201141C0100"</f>
        <v>201141C0100</v>
      </c>
      <c r="B1970" t="str">
        <f>"201141C01003"</f>
        <v>201141C01003</v>
      </c>
      <c r="C1970" t="str">
        <f t="shared" si="116"/>
        <v>20</v>
      </c>
      <c r="D1970" t="s">
        <v>81</v>
      </c>
      <c r="E1970" t="str">
        <f t="shared" si="119"/>
        <v>199</v>
      </c>
      <c r="F1970" t="s">
        <v>2127</v>
      </c>
      <c r="G1970" t="str">
        <f>"1141"</f>
        <v>1141</v>
      </c>
      <c r="H1970" t="str">
        <f>"0001"</f>
        <v>0001</v>
      </c>
      <c r="I1970" t="s">
        <v>89</v>
      </c>
      <c r="J1970">
        <v>0</v>
      </c>
      <c r="K1970">
        <v>1</v>
      </c>
      <c r="L1970">
        <v>3</v>
      </c>
      <c r="M1970">
        <v>184</v>
      </c>
      <c r="N1970">
        <v>456</v>
      </c>
      <c r="O1970">
        <v>1</v>
      </c>
      <c r="P1970">
        <v>456</v>
      </c>
      <c r="Q1970">
        <v>0</v>
      </c>
      <c r="R1970">
        <v>7</v>
      </c>
      <c r="S1970">
        <v>257</v>
      </c>
      <c r="T1970">
        <v>0</v>
      </c>
      <c r="U1970">
        <v>9</v>
      </c>
      <c r="V1970">
        <v>6</v>
      </c>
      <c r="X1970">
        <v>52</v>
      </c>
      <c r="Z1970">
        <v>1</v>
      </c>
      <c r="AA1970">
        <v>22</v>
      </c>
      <c r="AB1970">
        <v>5</v>
      </c>
      <c r="AU1970">
        <v>0</v>
      </c>
      <c r="AW1970">
        <v>61</v>
      </c>
      <c r="AX1970">
        <v>36</v>
      </c>
      <c r="AY1970">
        <v>456</v>
      </c>
      <c r="AZ1970">
        <v>456</v>
      </c>
      <c r="BA1970">
        <v>596</v>
      </c>
      <c r="BB1970">
        <v>44</v>
      </c>
      <c r="BD1970">
        <v>1</v>
      </c>
      <c r="BF1970" t="s">
        <v>2133</v>
      </c>
      <c r="BG1970" s="1">
        <v>44354.061111111114</v>
      </c>
      <c r="BH1970" s="1">
        <v>44354.067372685182</v>
      </c>
      <c r="BI1970" s="1">
        <v>44354.067685185182</v>
      </c>
      <c r="BJ1970" t="s">
        <v>85</v>
      </c>
      <c r="BK1970" t="s">
        <v>86</v>
      </c>
      <c r="BL1970" t="s">
        <v>87</v>
      </c>
    </row>
    <row r="1971" spans="1:64" x14ac:dyDescent="0.3">
      <c r="A1971" t="str">
        <f>"201142B0000"</f>
        <v>201142B0000</v>
      </c>
      <c r="B1971" t="str">
        <f>"201142B00003"</f>
        <v>201142B00003</v>
      </c>
      <c r="C1971" t="str">
        <f t="shared" si="116"/>
        <v>20</v>
      </c>
      <c r="D1971" t="s">
        <v>81</v>
      </c>
      <c r="E1971" t="str">
        <f t="shared" si="119"/>
        <v>199</v>
      </c>
      <c r="F1971" t="s">
        <v>2127</v>
      </c>
      <c r="G1971" t="str">
        <f>"1142"</f>
        <v>1142</v>
      </c>
      <c r="H1971" t="str">
        <f>"0000"</f>
        <v>0000</v>
      </c>
      <c r="I1971" t="s">
        <v>83</v>
      </c>
      <c r="J1971">
        <v>0</v>
      </c>
      <c r="K1971">
        <v>1</v>
      </c>
      <c r="L1971">
        <v>3</v>
      </c>
      <c r="M1971">
        <v>133</v>
      </c>
      <c r="N1971">
        <v>326</v>
      </c>
      <c r="O1971">
        <v>5</v>
      </c>
      <c r="P1971">
        <v>326</v>
      </c>
      <c r="Q1971">
        <v>0</v>
      </c>
      <c r="R1971">
        <v>5</v>
      </c>
      <c r="S1971">
        <v>191</v>
      </c>
      <c r="T1971">
        <v>1</v>
      </c>
      <c r="U1971">
        <v>4</v>
      </c>
      <c r="V1971">
        <v>3</v>
      </c>
      <c r="X1971">
        <v>24</v>
      </c>
      <c r="Z1971">
        <v>0</v>
      </c>
      <c r="AA1971">
        <v>33</v>
      </c>
      <c r="AB1971">
        <v>3</v>
      </c>
      <c r="AU1971">
        <v>0</v>
      </c>
      <c r="AW1971">
        <v>54</v>
      </c>
      <c r="AX1971">
        <v>8</v>
      </c>
      <c r="AY1971">
        <v>326</v>
      </c>
      <c r="AZ1971">
        <v>326</v>
      </c>
      <c r="BA1971">
        <v>415</v>
      </c>
      <c r="BB1971">
        <v>44</v>
      </c>
      <c r="BD1971">
        <v>1</v>
      </c>
      <c r="BF1971" t="s">
        <v>2134</v>
      </c>
      <c r="BG1971" s="1">
        <v>44353.995833333334</v>
      </c>
      <c r="BH1971" s="1">
        <v>44354.001539351855</v>
      </c>
      <c r="BI1971" s="1">
        <v>44354.001956018517</v>
      </c>
      <c r="BJ1971" t="s">
        <v>85</v>
      </c>
      <c r="BK1971" t="s">
        <v>86</v>
      </c>
      <c r="BL1971" t="s">
        <v>87</v>
      </c>
    </row>
    <row r="1972" spans="1:64" x14ac:dyDescent="0.3">
      <c r="A1972" t="str">
        <f>"201142E0100"</f>
        <v>201142E0100</v>
      </c>
      <c r="B1972" t="str">
        <f>"201142E01003"</f>
        <v>201142E01003</v>
      </c>
      <c r="C1972" t="str">
        <f t="shared" si="116"/>
        <v>20</v>
      </c>
      <c r="D1972" t="s">
        <v>81</v>
      </c>
      <c r="E1972" t="str">
        <f t="shared" si="119"/>
        <v>199</v>
      </c>
      <c r="F1972" t="s">
        <v>2127</v>
      </c>
      <c r="G1972" t="str">
        <f>"1142"</f>
        <v>1142</v>
      </c>
      <c r="H1972" t="str">
        <f>"0001"</f>
        <v>0001</v>
      </c>
      <c r="I1972" t="s">
        <v>122</v>
      </c>
      <c r="J1972">
        <v>0</v>
      </c>
      <c r="K1972">
        <v>1</v>
      </c>
      <c r="L1972">
        <v>3</v>
      </c>
      <c r="M1972">
        <v>177</v>
      </c>
      <c r="N1972">
        <v>443</v>
      </c>
      <c r="O1972">
        <v>1</v>
      </c>
      <c r="P1972">
        <v>443</v>
      </c>
      <c r="Q1972">
        <v>1</v>
      </c>
      <c r="R1972">
        <v>2</v>
      </c>
      <c r="S1972">
        <v>222</v>
      </c>
      <c r="T1972">
        <v>0</v>
      </c>
      <c r="U1972">
        <v>3</v>
      </c>
      <c r="V1972">
        <v>0</v>
      </c>
      <c r="X1972">
        <v>211</v>
      </c>
      <c r="Z1972">
        <v>0</v>
      </c>
      <c r="AA1972">
        <v>2</v>
      </c>
      <c r="AB1972">
        <v>2</v>
      </c>
      <c r="AU1972">
        <v>0</v>
      </c>
      <c r="AW1972">
        <v>0</v>
      </c>
      <c r="AX1972">
        <v>0</v>
      </c>
      <c r="AY1972">
        <v>443</v>
      </c>
      <c r="AZ1972">
        <v>443</v>
      </c>
      <c r="BA1972">
        <v>576</v>
      </c>
      <c r="BB1972">
        <v>44</v>
      </c>
      <c r="BD1972">
        <v>1</v>
      </c>
      <c r="BF1972" t="s">
        <v>2135</v>
      </c>
      <c r="BG1972" s="1">
        <v>44353.992361111108</v>
      </c>
      <c r="BH1972" s="1">
        <v>44353.998391203706</v>
      </c>
      <c r="BI1972" s="1">
        <v>44353.999409722222</v>
      </c>
      <c r="BJ1972" t="s">
        <v>85</v>
      </c>
      <c r="BK1972" t="s">
        <v>86</v>
      </c>
      <c r="BL1972" t="s">
        <v>87</v>
      </c>
    </row>
    <row r="1973" spans="1:64" x14ac:dyDescent="0.3">
      <c r="A1973" t="str">
        <f>"201142E0101"</f>
        <v>201142E0101</v>
      </c>
      <c r="B1973" t="str">
        <f>"201142E01013"</f>
        <v>201142E01013</v>
      </c>
      <c r="C1973" t="str">
        <f t="shared" si="116"/>
        <v>20</v>
      </c>
      <c r="D1973" t="s">
        <v>81</v>
      </c>
      <c r="E1973" t="str">
        <f t="shared" si="119"/>
        <v>199</v>
      </c>
      <c r="F1973" t="s">
        <v>2127</v>
      </c>
      <c r="G1973" t="str">
        <f>"1142"</f>
        <v>1142</v>
      </c>
      <c r="H1973" t="str">
        <f>"0001"</f>
        <v>0001</v>
      </c>
      <c r="I1973" t="s">
        <v>122</v>
      </c>
      <c r="J1973">
        <v>1</v>
      </c>
      <c r="K1973">
        <v>1</v>
      </c>
      <c r="L1973">
        <v>3</v>
      </c>
      <c r="M1973">
        <v>142</v>
      </c>
      <c r="N1973">
        <v>477</v>
      </c>
      <c r="O1973">
        <v>2</v>
      </c>
      <c r="P1973">
        <v>477</v>
      </c>
      <c r="Q1973">
        <v>0</v>
      </c>
      <c r="R1973">
        <v>0</v>
      </c>
      <c r="S1973">
        <v>266</v>
      </c>
      <c r="T1973">
        <v>0</v>
      </c>
      <c r="U1973">
        <v>3</v>
      </c>
      <c r="V1973">
        <v>1</v>
      </c>
      <c r="X1973">
        <v>191</v>
      </c>
      <c r="Z1973">
        <v>0</v>
      </c>
      <c r="AA1973">
        <v>11</v>
      </c>
      <c r="AB1973">
        <v>3</v>
      </c>
      <c r="AU1973">
        <v>0</v>
      </c>
      <c r="AW1973">
        <v>0</v>
      </c>
      <c r="AX1973">
        <v>2</v>
      </c>
      <c r="AY1973">
        <v>477</v>
      </c>
      <c r="AZ1973">
        <v>477</v>
      </c>
      <c r="BA1973">
        <v>575</v>
      </c>
      <c r="BB1973">
        <v>44</v>
      </c>
      <c r="BD1973">
        <v>1</v>
      </c>
      <c r="BF1973" t="s">
        <v>2136</v>
      </c>
      <c r="BG1973" s="1">
        <v>44353.993750000001</v>
      </c>
      <c r="BH1973" s="1">
        <v>44353.998680555553</v>
      </c>
      <c r="BI1973" s="1">
        <v>44353.999131944445</v>
      </c>
      <c r="BJ1973" t="s">
        <v>85</v>
      </c>
      <c r="BK1973" t="s">
        <v>86</v>
      </c>
      <c r="BL1973" t="s">
        <v>87</v>
      </c>
    </row>
    <row r="1974" spans="1:64" x14ac:dyDescent="0.3">
      <c r="A1974" t="str">
        <f>"201143B0000"</f>
        <v>201143B0000</v>
      </c>
      <c r="B1974" t="str">
        <f>"201143B00003"</f>
        <v>201143B00003</v>
      </c>
      <c r="C1974" t="str">
        <f t="shared" si="116"/>
        <v>20</v>
      </c>
      <c r="D1974" t="s">
        <v>81</v>
      </c>
      <c r="E1974" t="str">
        <f t="shared" si="119"/>
        <v>199</v>
      </c>
      <c r="F1974" t="s">
        <v>2127</v>
      </c>
      <c r="G1974" t="str">
        <f>"1143"</f>
        <v>1143</v>
      </c>
      <c r="H1974" t="str">
        <f>"0000"</f>
        <v>0000</v>
      </c>
      <c r="I1974" t="s">
        <v>83</v>
      </c>
      <c r="J1974">
        <v>0</v>
      </c>
      <c r="K1974">
        <v>1</v>
      </c>
      <c r="L1974">
        <v>3</v>
      </c>
      <c r="M1974">
        <v>115</v>
      </c>
      <c r="N1974">
        <v>155</v>
      </c>
      <c r="O1974">
        <v>0</v>
      </c>
      <c r="P1974">
        <v>155</v>
      </c>
      <c r="Q1974">
        <v>0</v>
      </c>
      <c r="R1974">
        <v>10</v>
      </c>
      <c r="S1974">
        <v>67</v>
      </c>
      <c r="T1974">
        <v>0</v>
      </c>
      <c r="U1974">
        <v>0</v>
      </c>
      <c r="V1974">
        <v>2</v>
      </c>
      <c r="X1974">
        <v>53</v>
      </c>
      <c r="Z1974">
        <v>0</v>
      </c>
      <c r="AA1974">
        <v>1</v>
      </c>
      <c r="AB1974">
        <v>19</v>
      </c>
      <c r="AU1974">
        <v>0</v>
      </c>
      <c r="AW1974">
        <v>0</v>
      </c>
      <c r="AX1974">
        <v>3</v>
      </c>
      <c r="AY1974">
        <v>155</v>
      </c>
      <c r="AZ1974">
        <v>155</v>
      </c>
      <c r="BA1974">
        <v>226</v>
      </c>
      <c r="BB1974">
        <v>44</v>
      </c>
      <c r="BD1974">
        <v>1</v>
      </c>
      <c r="BF1974" t="s">
        <v>2137</v>
      </c>
      <c r="BG1974" s="1">
        <v>44354.104861111111</v>
      </c>
      <c r="BH1974" s="1">
        <v>44354.107951388891</v>
      </c>
      <c r="BI1974" s="1">
        <v>44354.108344907407</v>
      </c>
      <c r="BJ1974" t="s">
        <v>85</v>
      </c>
      <c r="BK1974" t="s">
        <v>86</v>
      </c>
      <c r="BL1974" t="s">
        <v>87</v>
      </c>
    </row>
    <row r="1975" spans="1:64" x14ac:dyDescent="0.3">
      <c r="A1975" t="str">
        <f>"201143E0100"</f>
        <v>201143E0100</v>
      </c>
      <c r="B1975" t="str">
        <f>"201143E01003"</f>
        <v>201143E01003</v>
      </c>
      <c r="C1975" t="str">
        <f t="shared" si="116"/>
        <v>20</v>
      </c>
      <c r="D1975" t="s">
        <v>81</v>
      </c>
      <c r="E1975" t="str">
        <f t="shared" si="119"/>
        <v>199</v>
      </c>
      <c r="F1975" t="s">
        <v>2127</v>
      </c>
      <c r="G1975" t="str">
        <f>"1143"</f>
        <v>1143</v>
      </c>
      <c r="H1975" t="str">
        <f>"0001"</f>
        <v>0001</v>
      </c>
      <c r="I1975" t="s">
        <v>122</v>
      </c>
      <c r="J1975">
        <v>0</v>
      </c>
      <c r="K1975">
        <v>1</v>
      </c>
      <c r="L1975">
        <v>3</v>
      </c>
      <c r="M1975">
        <v>122</v>
      </c>
      <c r="N1975">
        <v>165</v>
      </c>
      <c r="O1975">
        <v>0</v>
      </c>
      <c r="P1975">
        <v>165</v>
      </c>
      <c r="Q1975">
        <v>0</v>
      </c>
      <c r="R1975">
        <v>15</v>
      </c>
      <c r="S1975">
        <v>86</v>
      </c>
      <c r="T1975">
        <v>3</v>
      </c>
      <c r="U1975">
        <v>2</v>
      </c>
      <c r="V1975">
        <v>6</v>
      </c>
      <c r="X1975">
        <v>47</v>
      </c>
      <c r="Z1975">
        <v>4</v>
      </c>
      <c r="AA1975">
        <v>0</v>
      </c>
      <c r="AB1975">
        <v>0</v>
      </c>
      <c r="AU1975">
        <v>0</v>
      </c>
      <c r="AW1975">
        <v>0</v>
      </c>
      <c r="AX1975">
        <v>2</v>
      </c>
      <c r="AY1975">
        <v>165</v>
      </c>
      <c r="AZ1975">
        <v>165</v>
      </c>
      <c r="BA1975">
        <v>243</v>
      </c>
      <c r="BB1975">
        <v>44</v>
      </c>
      <c r="BD1975">
        <v>1</v>
      </c>
      <c r="BF1975" t="s">
        <v>2138</v>
      </c>
      <c r="BG1975" s="1">
        <v>44354.091666666667</v>
      </c>
      <c r="BH1975" s="1">
        <v>44354.096608796295</v>
      </c>
      <c r="BI1975" s="1">
        <v>44354.097314814811</v>
      </c>
      <c r="BJ1975" t="s">
        <v>85</v>
      </c>
      <c r="BK1975" t="s">
        <v>86</v>
      </c>
      <c r="BL1975" t="s">
        <v>87</v>
      </c>
    </row>
    <row r="1976" spans="1:64" x14ac:dyDescent="0.3">
      <c r="A1976" t="str">
        <f>"201143E0200"</f>
        <v>201143E0200</v>
      </c>
      <c r="B1976" t="str">
        <f>"201143E02003"</f>
        <v>201143E02003</v>
      </c>
      <c r="C1976" t="str">
        <f t="shared" si="116"/>
        <v>20</v>
      </c>
      <c r="D1976" t="s">
        <v>81</v>
      </c>
      <c r="E1976" t="str">
        <f t="shared" si="119"/>
        <v>199</v>
      </c>
      <c r="F1976" t="s">
        <v>2127</v>
      </c>
      <c r="G1976" t="str">
        <f>"1143"</f>
        <v>1143</v>
      </c>
      <c r="H1976" t="str">
        <f>"0002"</f>
        <v>0002</v>
      </c>
      <c r="I1976" t="s">
        <v>122</v>
      </c>
      <c r="J1976">
        <v>0</v>
      </c>
      <c r="K1976">
        <v>1</v>
      </c>
      <c r="L1976">
        <v>3</v>
      </c>
      <c r="M1976">
        <v>54</v>
      </c>
      <c r="N1976">
        <v>78</v>
      </c>
      <c r="O1976">
        <v>4</v>
      </c>
      <c r="P1976">
        <v>78</v>
      </c>
      <c r="Q1976">
        <v>0</v>
      </c>
      <c r="R1976">
        <v>18</v>
      </c>
      <c r="S1976">
        <v>40</v>
      </c>
      <c r="T1976">
        <v>0</v>
      </c>
      <c r="U1976">
        <v>1</v>
      </c>
      <c r="V1976">
        <v>0</v>
      </c>
      <c r="X1976">
        <v>14</v>
      </c>
      <c r="Z1976">
        <v>0</v>
      </c>
      <c r="AA1976">
        <v>2</v>
      </c>
      <c r="AB1976">
        <v>0</v>
      </c>
      <c r="AU1976">
        <v>0</v>
      </c>
      <c r="AW1976">
        <v>0</v>
      </c>
      <c r="AX1976">
        <v>3</v>
      </c>
      <c r="AY1976">
        <v>78</v>
      </c>
      <c r="AZ1976">
        <v>78</v>
      </c>
      <c r="BA1976">
        <v>88</v>
      </c>
      <c r="BB1976">
        <v>44</v>
      </c>
      <c r="BD1976">
        <v>1</v>
      </c>
      <c r="BF1976" t="s">
        <v>2139</v>
      </c>
      <c r="BG1976" s="1">
        <v>44354.07916666667</v>
      </c>
      <c r="BH1976" s="1">
        <v>44354.085844907408</v>
      </c>
      <c r="BI1976" s="1">
        <v>44354.086215277777</v>
      </c>
      <c r="BJ1976" t="s">
        <v>85</v>
      </c>
      <c r="BK1976" t="s">
        <v>86</v>
      </c>
      <c r="BL1976" t="s">
        <v>87</v>
      </c>
    </row>
    <row r="1977" spans="1:64" x14ac:dyDescent="0.3">
      <c r="A1977" t="str">
        <f>"201144B0000"</f>
        <v>201144B0000</v>
      </c>
      <c r="B1977" t="str">
        <f>"201144B00003"</f>
        <v>201144B00003</v>
      </c>
      <c r="C1977" t="str">
        <f t="shared" si="116"/>
        <v>20</v>
      </c>
      <c r="D1977" t="s">
        <v>81</v>
      </c>
      <c r="E1977" t="str">
        <f t="shared" si="119"/>
        <v>199</v>
      </c>
      <c r="F1977" t="s">
        <v>2127</v>
      </c>
      <c r="G1977" t="str">
        <f>"1144"</f>
        <v>1144</v>
      </c>
      <c r="H1977" t="str">
        <f>"0000"</f>
        <v>0000</v>
      </c>
      <c r="I1977" t="s">
        <v>83</v>
      </c>
      <c r="J1977">
        <v>0</v>
      </c>
      <c r="K1977">
        <v>1</v>
      </c>
      <c r="L1977">
        <v>3</v>
      </c>
      <c r="M1977">
        <v>185</v>
      </c>
      <c r="N1977">
        <v>258</v>
      </c>
      <c r="O1977">
        <v>0</v>
      </c>
      <c r="P1977">
        <v>258</v>
      </c>
      <c r="Q1977">
        <v>3</v>
      </c>
      <c r="R1977">
        <v>5</v>
      </c>
      <c r="S1977">
        <v>121</v>
      </c>
      <c r="T1977">
        <v>0</v>
      </c>
      <c r="U1977">
        <v>2</v>
      </c>
      <c r="V1977">
        <v>0</v>
      </c>
      <c r="X1977">
        <v>62</v>
      </c>
      <c r="Z1977">
        <v>7</v>
      </c>
      <c r="AA1977">
        <v>50</v>
      </c>
      <c r="AB1977">
        <v>2</v>
      </c>
      <c r="AU1977">
        <v>0</v>
      </c>
      <c r="AW1977">
        <v>0</v>
      </c>
      <c r="AX1977">
        <v>6</v>
      </c>
      <c r="AY1977">
        <v>258</v>
      </c>
      <c r="AZ1977">
        <v>258</v>
      </c>
      <c r="BA1977">
        <v>399</v>
      </c>
      <c r="BB1977">
        <v>44</v>
      </c>
      <c r="BD1977">
        <v>1</v>
      </c>
      <c r="BF1977" t="s">
        <v>2140</v>
      </c>
      <c r="BG1977" s="1">
        <v>44354.131249999999</v>
      </c>
      <c r="BH1977" s="1">
        <v>44354.133657407408</v>
      </c>
      <c r="BI1977" s="1">
        <v>44354.134120370371</v>
      </c>
      <c r="BJ1977" t="s">
        <v>85</v>
      </c>
      <c r="BK1977" t="s">
        <v>86</v>
      </c>
      <c r="BL1977" t="s">
        <v>87</v>
      </c>
    </row>
    <row r="1978" spans="1:64" x14ac:dyDescent="0.3">
      <c r="A1978" t="str">
        <f>"201144E0100"</f>
        <v>201144E0100</v>
      </c>
      <c r="B1978" t="str">
        <f>"201144E01003"</f>
        <v>201144E01003</v>
      </c>
      <c r="C1978" t="str">
        <f t="shared" si="116"/>
        <v>20</v>
      </c>
      <c r="D1978" t="s">
        <v>81</v>
      </c>
      <c r="E1978" t="str">
        <f t="shared" si="119"/>
        <v>199</v>
      </c>
      <c r="F1978" t="s">
        <v>2127</v>
      </c>
      <c r="G1978" t="str">
        <f>"1144"</f>
        <v>1144</v>
      </c>
      <c r="H1978" t="str">
        <f>"0001"</f>
        <v>0001</v>
      </c>
      <c r="I1978" t="s">
        <v>122</v>
      </c>
      <c r="J1978">
        <v>0</v>
      </c>
      <c r="K1978">
        <v>1</v>
      </c>
      <c r="L1978">
        <v>3</v>
      </c>
      <c r="M1978">
        <v>204</v>
      </c>
      <c r="N1978">
        <v>415</v>
      </c>
      <c r="O1978">
        <v>1</v>
      </c>
      <c r="P1978">
        <v>415</v>
      </c>
      <c r="Q1978">
        <v>1</v>
      </c>
      <c r="R1978">
        <v>18</v>
      </c>
      <c r="S1978">
        <v>188</v>
      </c>
      <c r="T1978">
        <v>0</v>
      </c>
      <c r="U1978">
        <v>0</v>
      </c>
      <c r="V1978">
        <v>2</v>
      </c>
      <c r="X1978">
        <v>136</v>
      </c>
      <c r="Z1978">
        <v>5</v>
      </c>
      <c r="AA1978">
        <v>56</v>
      </c>
      <c r="AB1978">
        <v>0</v>
      </c>
      <c r="AU1978">
        <v>0</v>
      </c>
      <c r="AW1978">
        <v>0</v>
      </c>
      <c r="AX1978">
        <v>9</v>
      </c>
      <c r="AY1978">
        <v>415</v>
      </c>
      <c r="AZ1978">
        <v>415</v>
      </c>
      <c r="BA1978">
        <v>575</v>
      </c>
      <c r="BB1978">
        <v>44</v>
      </c>
      <c r="BD1978">
        <v>1</v>
      </c>
      <c r="BF1978" t="s">
        <v>2141</v>
      </c>
      <c r="BG1978" s="1">
        <v>44354.130555555559</v>
      </c>
      <c r="BH1978" s="1">
        <v>44354.131944444445</v>
      </c>
      <c r="BI1978" s="1">
        <v>44354.132465277777</v>
      </c>
      <c r="BJ1978" t="s">
        <v>85</v>
      </c>
      <c r="BK1978" t="s">
        <v>86</v>
      </c>
      <c r="BL1978" t="s">
        <v>87</v>
      </c>
    </row>
    <row r="1979" spans="1:64" x14ac:dyDescent="0.3">
      <c r="A1979" t="str">
        <f>"201144E0200"</f>
        <v>201144E0200</v>
      </c>
      <c r="B1979" t="str">
        <f>"201144E02003"</f>
        <v>201144E02003</v>
      </c>
      <c r="C1979" t="str">
        <f t="shared" si="116"/>
        <v>20</v>
      </c>
      <c r="D1979" t="s">
        <v>81</v>
      </c>
      <c r="E1979" t="str">
        <f t="shared" si="119"/>
        <v>199</v>
      </c>
      <c r="F1979" t="s">
        <v>2127</v>
      </c>
      <c r="G1979" t="str">
        <f>"1144"</f>
        <v>1144</v>
      </c>
      <c r="H1979" t="str">
        <f>"0002"</f>
        <v>0002</v>
      </c>
      <c r="I1979" t="s">
        <v>122</v>
      </c>
      <c r="J1979">
        <v>0</v>
      </c>
      <c r="K1979">
        <v>1</v>
      </c>
      <c r="L1979">
        <v>3</v>
      </c>
      <c r="M1979">
        <v>90</v>
      </c>
      <c r="N1979">
        <v>123</v>
      </c>
      <c r="O1979">
        <v>0</v>
      </c>
      <c r="P1979">
        <v>123</v>
      </c>
      <c r="Q1979">
        <v>0</v>
      </c>
      <c r="R1979">
        <v>9</v>
      </c>
      <c r="S1979">
        <v>98</v>
      </c>
      <c r="T1979">
        <v>0</v>
      </c>
      <c r="U1979">
        <v>1</v>
      </c>
      <c r="V1979">
        <v>0</v>
      </c>
      <c r="X1979">
        <v>13</v>
      </c>
      <c r="Z1979">
        <v>1</v>
      </c>
      <c r="AA1979">
        <v>0</v>
      </c>
      <c r="AB1979">
        <v>0</v>
      </c>
      <c r="AU1979">
        <v>0</v>
      </c>
      <c r="AW1979">
        <v>0</v>
      </c>
      <c r="AX1979">
        <v>1</v>
      </c>
      <c r="AY1979">
        <v>123</v>
      </c>
      <c r="AZ1979">
        <v>123</v>
      </c>
      <c r="BA1979">
        <v>169</v>
      </c>
      <c r="BB1979">
        <v>44</v>
      </c>
      <c r="BD1979">
        <v>1</v>
      </c>
      <c r="BF1979" t="s">
        <v>2142</v>
      </c>
      <c r="BG1979" s="1">
        <v>44354.132638888892</v>
      </c>
      <c r="BH1979" s="1">
        <v>44354.135868055557</v>
      </c>
      <c r="BI1979" s="1">
        <v>44354.136087962965</v>
      </c>
      <c r="BJ1979" t="s">
        <v>85</v>
      </c>
      <c r="BK1979" t="s">
        <v>86</v>
      </c>
      <c r="BL1979" t="s">
        <v>87</v>
      </c>
    </row>
    <row r="1980" spans="1:64" x14ac:dyDescent="0.3">
      <c r="A1980" t="str">
        <f>"201145B0000"</f>
        <v>201145B0000</v>
      </c>
      <c r="B1980" t="str">
        <f>"201145B00003"</f>
        <v>201145B00003</v>
      </c>
      <c r="C1980" t="str">
        <f t="shared" si="116"/>
        <v>20</v>
      </c>
      <c r="D1980" t="s">
        <v>81</v>
      </c>
      <c r="E1980" t="str">
        <f t="shared" si="119"/>
        <v>199</v>
      </c>
      <c r="F1980" t="s">
        <v>2127</v>
      </c>
      <c r="G1980" t="str">
        <f>"1145"</f>
        <v>1145</v>
      </c>
      <c r="H1980" t="str">
        <f>"0000"</f>
        <v>0000</v>
      </c>
      <c r="I1980" t="s">
        <v>83</v>
      </c>
      <c r="J1980">
        <v>0</v>
      </c>
      <c r="K1980">
        <v>1</v>
      </c>
      <c r="L1980">
        <v>3</v>
      </c>
      <c r="BA1980">
        <v>598</v>
      </c>
      <c r="BB1980">
        <v>44</v>
      </c>
      <c r="BC1980" t="s">
        <v>161</v>
      </c>
      <c r="BD1980">
        <v>0</v>
      </c>
      <c r="BF1980" t="s">
        <v>2143</v>
      </c>
      <c r="BG1980" s="1">
        <v>44354.211805555555</v>
      </c>
      <c r="BH1980" s="1">
        <v>44354.213437500002</v>
      </c>
      <c r="BI1980" s="1">
        <v>44354.213437500002</v>
      </c>
      <c r="BJ1980" t="s">
        <v>85</v>
      </c>
      <c r="BK1980" t="s">
        <v>86</v>
      </c>
      <c r="BL1980" t="s">
        <v>87</v>
      </c>
    </row>
    <row r="1981" spans="1:64" x14ac:dyDescent="0.3">
      <c r="A1981" t="str">
        <f>"201145E0100"</f>
        <v>201145E0100</v>
      </c>
      <c r="B1981" t="str">
        <f>"201145E01003"</f>
        <v>201145E01003</v>
      </c>
      <c r="C1981" t="str">
        <f t="shared" si="116"/>
        <v>20</v>
      </c>
      <c r="D1981" t="s">
        <v>81</v>
      </c>
      <c r="E1981" t="str">
        <f t="shared" si="119"/>
        <v>199</v>
      </c>
      <c r="F1981" t="s">
        <v>2127</v>
      </c>
      <c r="G1981" t="str">
        <f>"1145"</f>
        <v>1145</v>
      </c>
      <c r="H1981" t="str">
        <f>"0001"</f>
        <v>0001</v>
      </c>
      <c r="I1981" t="s">
        <v>122</v>
      </c>
      <c r="J1981">
        <v>0</v>
      </c>
      <c r="K1981">
        <v>1</v>
      </c>
      <c r="L1981">
        <v>3</v>
      </c>
      <c r="M1981">
        <v>152</v>
      </c>
      <c r="N1981">
        <v>244</v>
      </c>
      <c r="O1981">
        <v>0</v>
      </c>
      <c r="P1981">
        <v>244</v>
      </c>
      <c r="Q1981">
        <v>0</v>
      </c>
      <c r="R1981">
        <v>17</v>
      </c>
      <c r="S1981">
        <v>125</v>
      </c>
      <c r="T1981">
        <v>0</v>
      </c>
      <c r="U1981">
        <v>2</v>
      </c>
      <c r="V1981">
        <v>0</v>
      </c>
      <c r="X1981">
        <v>81</v>
      </c>
      <c r="Z1981">
        <v>2</v>
      </c>
      <c r="AA1981">
        <v>12</v>
      </c>
      <c r="AB1981">
        <v>0</v>
      </c>
      <c r="AU1981">
        <v>0</v>
      </c>
      <c r="AW1981">
        <v>0</v>
      </c>
      <c r="AX1981">
        <v>5</v>
      </c>
      <c r="AY1981">
        <v>244</v>
      </c>
      <c r="AZ1981">
        <v>244</v>
      </c>
      <c r="BA1981">
        <v>352</v>
      </c>
      <c r="BB1981">
        <v>44</v>
      </c>
      <c r="BD1981">
        <v>1</v>
      </c>
      <c r="BF1981" t="s">
        <v>2144</v>
      </c>
      <c r="BG1981" s="1">
        <v>44354.083333333336</v>
      </c>
      <c r="BH1981" s="1">
        <v>44354.090243055558</v>
      </c>
      <c r="BI1981" s="1">
        <v>44354.090590277781</v>
      </c>
      <c r="BJ1981" t="s">
        <v>85</v>
      </c>
      <c r="BK1981" t="s">
        <v>86</v>
      </c>
      <c r="BL1981" t="s">
        <v>87</v>
      </c>
    </row>
    <row r="1982" spans="1:64" x14ac:dyDescent="0.3">
      <c r="A1982" t="str">
        <f>"201146B0000"</f>
        <v>201146B0000</v>
      </c>
      <c r="B1982" t="str">
        <f>"201146B00003"</f>
        <v>201146B00003</v>
      </c>
      <c r="C1982" t="str">
        <f t="shared" si="116"/>
        <v>20</v>
      </c>
      <c r="D1982" t="s">
        <v>81</v>
      </c>
      <c r="E1982" t="str">
        <f t="shared" si="119"/>
        <v>199</v>
      </c>
      <c r="F1982" t="s">
        <v>2127</v>
      </c>
      <c r="G1982" t="str">
        <f>"1146"</f>
        <v>1146</v>
      </c>
      <c r="H1982" t="str">
        <f>"0000"</f>
        <v>0000</v>
      </c>
      <c r="I1982" t="s">
        <v>83</v>
      </c>
      <c r="J1982">
        <v>0</v>
      </c>
      <c r="K1982">
        <v>1</v>
      </c>
      <c r="L1982">
        <v>3</v>
      </c>
      <c r="M1982">
        <v>83</v>
      </c>
      <c r="N1982">
        <v>132</v>
      </c>
      <c r="O1982">
        <v>0</v>
      </c>
      <c r="P1982">
        <v>132</v>
      </c>
      <c r="Q1982">
        <v>0</v>
      </c>
      <c r="R1982">
        <v>0</v>
      </c>
      <c r="S1982">
        <v>100</v>
      </c>
      <c r="T1982">
        <v>0</v>
      </c>
      <c r="U1982">
        <v>3</v>
      </c>
      <c r="V1982">
        <v>2</v>
      </c>
      <c r="X1982">
        <v>22</v>
      </c>
      <c r="Z1982">
        <v>1</v>
      </c>
      <c r="AA1982">
        <v>1</v>
      </c>
      <c r="AB1982">
        <v>0</v>
      </c>
      <c r="AU1982">
        <v>0</v>
      </c>
      <c r="AW1982">
        <v>0</v>
      </c>
      <c r="AX1982">
        <v>3</v>
      </c>
      <c r="AY1982">
        <v>132</v>
      </c>
      <c r="AZ1982">
        <v>132</v>
      </c>
      <c r="BA1982">
        <v>171</v>
      </c>
      <c r="BB1982">
        <v>44</v>
      </c>
      <c r="BD1982">
        <v>1</v>
      </c>
      <c r="BF1982" t="s">
        <v>2145</v>
      </c>
      <c r="BG1982" s="1">
        <v>44354.036111111112</v>
      </c>
      <c r="BH1982" s="1">
        <v>44354.044432870367</v>
      </c>
      <c r="BI1982" s="1">
        <v>44354.04478009259</v>
      </c>
      <c r="BJ1982" t="s">
        <v>85</v>
      </c>
      <c r="BK1982" t="s">
        <v>86</v>
      </c>
      <c r="BL1982" t="s">
        <v>87</v>
      </c>
    </row>
    <row r="1983" spans="1:64" x14ac:dyDescent="0.3">
      <c r="A1983" t="str">
        <f>"201146E0100"</f>
        <v>201146E0100</v>
      </c>
      <c r="B1983" t="str">
        <f>"201146E01003"</f>
        <v>201146E01003</v>
      </c>
      <c r="C1983" t="str">
        <f t="shared" si="116"/>
        <v>20</v>
      </c>
      <c r="D1983" t="s">
        <v>81</v>
      </c>
      <c r="E1983" t="str">
        <f t="shared" si="119"/>
        <v>199</v>
      </c>
      <c r="F1983" t="s">
        <v>2127</v>
      </c>
      <c r="G1983" t="str">
        <f>"1146"</f>
        <v>1146</v>
      </c>
      <c r="H1983" t="str">
        <f>"0001"</f>
        <v>0001</v>
      </c>
      <c r="I1983" t="s">
        <v>122</v>
      </c>
      <c r="J1983">
        <v>0</v>
      </c>
      <c r="K1983">
        <v>1</v>
      </c>
      <c r="L1983">
        <v>3</v>
      </c>
      <c r="M1983">
        <v>77</v>
      </c>
      <c r="N1983">
        <v>170</v>
      </c>
      <c r="O1983">
        <v>1</v>
      </c>
      <c r="P1983">
        <v>170</v>
      </c>
      <c r="Q1983" t="s">
        <v>95</v>
      </c>
      <c r="R1983">
        <v>11</v>
      </c>
      <c r="S1983">
        <v>87</v>
      </c>
      <c r="T1983">
        <v>1</v>
      </c>
      <c r="U1983" t="s">
        <v>95</v>
      </c>
      <c r="V1983">
        <v>1</v>
      </c>
      <c r="X1983">
        <v>60</v>
      </c>
      <c r="Z1983">
        <v>3</v>
      </c>
      <c r="AA1983" t="s">
        <v>95</v>
      </c>
      <c r="AB1983">
        <v>1</v>
      </c>
      <c r="AU1983" t="s">
        <v>95</v>
      </c>
      <c r="AW1983" t="s">
        <v>95</v>
      </c>
      <c r="AX1983">
        <v>6</v>
      </c>
      <c r="AY1983">
        <v>170</v>
      </c>
      <c r="AZ1983">
        <v>170</v>
      </c>
      <c r="BA1983">
        <v>203</v>
      </c>
      <c r="BB1983">
        <v>44</v>
      </c>
      <c r="BC1983" t="s">
        <v>96</v>
      </c>
      <c r="BD1983">
        <v>1</v>
      </c>
      <c r="BF1983" t="s">
        <v>2146</v>
      </c>
      <c r="BG1983" s="1">
        <v>44354.138194444444</v>
      </c>
      <c r="BH1983" s="1">
        <v>44354.140613425923</v>
      </c>
      <c r="BI1983" s="1">
        <v>44354.141157407408</v>
      </c>
      <c r="BJ1983" t="s">
        <v>85</v>
      </c>
      <c r="BK1983" t="s">
        <v>86</v>
      </c>
      <c r="BL1983" t="s">
        <v>87</v>
      </c>
    </row>
    <row r="1984" spans="1:64" x14ac:dyDescent="0.3">
      <c r="A1984" t="str">
        <f>"201146E0200"</f>
        <v>201146E0200</v>
      </c>
      <c r="B1984" t="str">
        <f>"201146E02003"</f>
        <v>201146E02003</v>
      </c>
      <c r="C1984" t="str">
        <f t="shared" si="116"/>
        <v>20</v>
      </c>
      <c r="D1984" t="s">
        <v>81</v>
      </c>
      <c r="E1984" t="str">
        <f t="shared" si="119"/>
        <v>199</v>
      </c>
      <c r="F1984" t="s">
        <v>2127</v>
      </c>
      <c r="G1984" t="str">
        <f>"1146"</f>
        <v>1146</v>
      </c>
      <c r="H1984" t="str">
        <f>"0002"</f>
        <v>0002</v>
      </c>
      <c r="I1984" t="s">
        <v>122</v>
      </c>
      <c r="J1984">
        <v>0</v>
      </c>
      <c r="K1984">
        <v>1</v>
      </c>
      <c r="L1984">
        <v>3</v>
      </c>
      <c r="M1984">
        <v>85</v>
      </c>
      <c r="N1984">
        <v>158</v>
      </c>
      <c r="O1984">
        <v>1</v>
      </c>
      <c r="P1984">
        <v>158</v>
      </c>
      <c r="Q1984">
        <v>0</v>
      </c>
      <c r="R1984">
        <v>1</v>
      </c>
      <c r="S1984">
        <v>129</v>
      </c>
      <c r="T1984">
        <v>0</v>
      </c>
      <c r="U1984">
        <v>0</v>
      </c>
      <c r="V1984">
        <v>1</v>
      </c>
      <c r="X1984">
        <v>2</v>
      </c>
      <c r="Z1984">
        <v>1</v>
      </c>
      <c r="AA1984">
        <v>15</v>
      </c>
      <c r="AB1984">
        <v>6</v>
      </c>
      <c r="AU1984">
        <v>0</v>
      </c>
      <c r="AW1984">
        <v>0</v>
      </c>
      <c r="AX1984">
        <v>3</v>
      </c>
      <c r="AY1984">
        <v>158</v>
      </c>
      <c r="AZ1984">
        <v>158</v>
      </c>
      <c r="BA1984">
        <v>199</v>
      </c>
      <c r="BB1984">
        <v>44</v>
      </c>
      <c r="BD1984">
        <v>1</v>
      </c>
      <c r="BF1984" t="s">
        <v>2147</v>
      </c>
      <c r="BG1984" s="1">
        <v>44354.037499999999</v>
      </c>
      <c r="BH1984" s="1">
        <v>44354.045775462961</v>
      </c>
      <c r="BI1984" s="1">
        <v>44354.046249999999</v>
      </c>
      <c r="BJ1984" t="s">
        <v>85</v>
      </c>
      <c r="BK1984" t="s">
        <v>86</v>
      </c>
      <c r="BL1984" t="s">
        <v>87</v>
      </c>
    </row>
    <row r="1985" spans="1:64" x14ac:dyDescent="0.3">
      <c r="A1985" t="str">
        <f>"201147B0000"</f>
        <v>201147B0000</v>
      </c>
      <c r="B1985" t="str">
        <f>"201147B00003"</f>
        <v>201147B00003</v>
      </c>
      <c r="C1985" t="str">
        <f t="shared" si="116"/>
        <v>20</v>
      </c>
      <c r="D1985" t="s">
        <v>81</v>
      </c>
      <c r="E1985" t="str">
        <f t="shared" si="119"/>
        <v>199</v>
      </c>
      <c r="F1985" t="s">
        <v>2127</v>
      </c>
      <c r="G1985" t="str">
        <f>"1147"</f>
        <v>1147</v>
      </c>
      <c r="H1985" t="str">
        <f>"0000"</f>
        <v>0000</v>
      </c>
      <c r="I1985" t="s">
        <v>83</v>
      </c>
      <c r="J1985">
        <v>0</v>
      </c>
      <c r="K1985">
        <v>1</v>
      </c>
      <c r="L1985">
        <v>3</v>
      </c>
      <c r="M1985">
        <v>105</v>
      </c>
      <c r="N1985">
        <v>191</v>
      </c>
      <c r="O1985">
        <v>0</v>
      </c>
      <c r="P1985">
        <v>191</v>
      </c>
      <c r="Q1985">
        <v>1</v>
      </c>
      <c r="R1985">
        <v>2</v>
      </c>
      <c r="S1985">
        <v>65</v>
      </c>
      <c r="T1985">
        <v>0</v>
      </c>
      <c r="U1985">
        <v>2</v>
      </c>
      <c r="V1985">
        <v>1</v>
      </c>
      <c r="X1985">
        <v>34</v>
      </c>
      <c r="Z1985">
        <v>2</v>
      </c>
      <c r="AA1985">
        <v>34</v>
      </c>
      <c r="AB1985">
        <v>47</v>
      </c>
      <c r="AU1985">
        <v>0</v>
      </c>
      <c r="AW1985">
        <v>1</v>
      </c>
      <c r="AX1985">
        <v>2</v>
      </c>
      <c r="AY1985">
        <v>191</v>
      </c>
      <c r="AZ1985">
        <v>191</v>
      </c>
      <c r="BA1985">
        <v>252</v>
      </c>
      <c r="BB1985">
        <v>44</v>
      </c>
      <c r="BD1985">
        <v>1</v>
      </c>
      <c r="BF1985" t="s">
        <v>2148</v>
      </c>
      <c r="BG1985" s="1">
        <v>44354.140277777777</v>
      </c>
      <c r="BH1985" s="1">
        <v>44354.14234953704</v>
      </c>
      <c r="BI1985" s="1">
        <v>44354.14267361111</v>
      </c>
      <c r="BJ1985" t="s">
        <v>85</v>
      </c>
      <c r="BK1985" t="s">
        <v>86</v>
      </c>
      <c r="BL1985" t="s">
        <v>87</v>
      </c>
    </row>
    <row r="1986" spans="1:64" x14ac:dyDescent="0.3">
      <c r="A1986" t="str">
        <f>"201147E0100"</f>
        <v>201147E0100</v>
      </c>
      <c r="B1986" t="str">
        <f>"201147E01003"</f>
        <v>201147E01003</v>
      </c>
      <c r="C1986" t="str">
        <f t="shared" si="116"/>
        <v>20</v>
      </c>
      <c r="D1986" t="s">
        <v>81</v>
      </c>
      <c r="E1986" t="str">
        <f t="shared" si="119"/>
        <v>199</v>
      </c>
      <c r="F1986" t="s">
        <v>2127</v>
      </c>
      <c r="G1986" t="str">
        <f>"1147"</f>
        <v>1147</v>
      </c>
      <c r="H1986" t="str">
        <f>"0001"</f>
        <v>0001</v>
      </c>
      <c r="I1986" t="s">
        <v>122</v>
      </c>
      <c r="J1986">
        <v>0</v>
      </c>
      <c r="K1986">
        <v>1</v>
      </c>
      <c r="L1986">
        <v>3</v>
      </c>
      <c r="M1986">
        <v>176</v>
      </c>
      <c r="N1986">
        <v>233</v>
      </c>
      <c r="O1986">
        <v>0</v>
      </c>
      <c r="P1986">
        <v>233</v>
      </c>
      <c r="Q1986">
        <v>2</v>
      </c>
      <c r="R1986">
        <v>27</v>
      </c>
      <c r="S1986">
        <v>109</v>
      </c>
      <c r="T1986">
        <v>0</v>
      </c>
      <c r="U1986">
        <v>6</v>
      </c>
      <c r="V1986">
        <v>1</v>
      </c>
      <c r="X1986">
        <v>19</v>
      </c>
      <c r="Z1986">
        <v>1</v>
      </c>
      <c r="AA1986">
        <v>36</v>
      </c>
      <c r="AB1986">
        <v>30</v>
      </c>
      <c r="AU1986">
        <v>0</v>
      </c>
      <c r="AW1986">
        <v>0</v>
      </c>
      <c r="AX1986">
        <v>2</v>
      </c>
      <c r="AY1986">
        <v>233</v>
      </c>
      <c r="AZ1986">
        <v>233</v>
      </c>
      <c r="BA1986">
        <v>365</v>
      </c>
      <c r="BB1986">
        <v>44</v>
      </c>
      <c r="BD1986">
        <v>1</v>
      </c>
      <c r="BF1986" t="s">
        <v>2149</v>
      </c>
      <c r="BG1986" s="1">
        <v>44354.135416666664</v>
      </c>
      <c r="BH1986" s="1">
        <v>44354.138356481482</v>
      </c>
      <c r="BI1986" s="1">
        <v>44354.138749999998</v>
      </c>
      <c r="BJ1986" t="s">
        <v>85</v>
      </c>
      <c r="BK1986" t="s">
        <v>86</v>
      </c>
      <c r="BL1986" t="s">
        <v>87</v>
      </c>
    </row>
    <row r="1987" spans="1:64" x14ac:dyDescent="0.3">
      <c r="A1987" t="str">
        <f>"201147E0200"</f>
        <v>201147E0200</v>
      </c>
      <c r="B1987" t="str">
        <f>"201147E02003"</f>
        <v>201147E02003</v>
      </c>
      <c r="C1987" t="str">
        <f t="shared" si="116"/>
        <v>20</v>
      </c>
      <c r="D1987" t="s">
        <v>81</v>
      </c>
      <c r="E1987" t="str">
        <f t="shared" si="119"/>
        <v>199</v>
      </c>
      <c r="F1987" t="s">
        <v>2127</v>
      </c>
      <c r="G1987" t="str">
        <f>"1147"</f>
        <v>1147</v>
      </c>
      <c r="H1987" t="str">
        <f>"0002"</f>
        <v>0002</v>
      </c>
      <c r="I1987" t="s">
        <v>122</v>
      </c>
      <c r="J1987">
        <v>0</v>
      </c>
      <c r="K1987">
        <v>1</v>
      </c>
      <c r="L1987">
        <v>3</v>
      </c>
      <c r="M1987">
        <v>78</v>
      </c>
      <c r="N1987">
        <v>146</v>
      </c>
      <c r="O1987">
        <v>0</v>
      </c>
      <c r="P1987">
        <v>146</v>
      </c>
      <c r="Q1987">
        <v>0</v>
      </c>
      <c r="R1987">
        <v>0</v>
      </c>
      <c r="S1987">
        <v>71</v>
      </c>
      <c r="T1987">
        <v>0</v>
      </c>
      <c r="U1987">
        <v>1</v>
      </c>
      <c r="V1987">
        <v>0</v>
      </c>
      <c r="X1987">
        <v>38</v>
      </c>
      <c r="Z1987">
        <v>1</v>
      </c>
      <c r="AA1987">
        <v>35</v>
      </c>
      <c r="AB1987">
        <v>0</v>
      </c>
      <c r="AU1987">
        <v>0</v>
      </c>
      <c r="AW1987">
        <v>0</v>
      </c>
      <c r="AX1987">
        <v>0</v>
      </c>
      <c r="AY1987">
        <v>146</v>
      </c>
      <c r="AZ1987">
        <v>146</v>
      </c>
      <c r="BA1987">
        <v>180</v>
      </c>
      <c r="BB1987">
        <v>44</v>
      </c>
      <c r="BD1987">
        <v>1</v>
      </c>
      <c r="BF1987" t="s">
        <v>2150</v>
      </c>
      <c r="BG1987" s="1">
        <v>44354.136805555558</v>
      </c>
      <c r="BH1987" s="1">
        <v>44354.13894675926</v>
      </c>
      <c r="BI1987" s="1">
        <v>44354.139305555553</v>
      </c>
      <c r="BJ1987" t="s">
        <v>85</v>
      </c>
      <c r="BK1987" t="s">
        <v>86</v>
      </c>
      <c r="BL1987" t="s">
        <v>87</v>
      </c>
    </row>
    <row r="1988" spans="1:64" x14ac:dyDescent="0.3">
      <c r="A1988" t="str">
        <f>"201148B0000"</f>
        <v>201148B0000</v>
      </c>
      <c r="B1988" t="str">
        <f>"201148B00003"</f>
        <v>201148B00003</v>
      </c>
      <c r="C1988" t="str">
        <f t="shared" si="116"/>
        <v>20</v>
      </c>
      <c r="D1988" t="s">
        <v>81</v>
      </c>
      <c r="E1988" t="str">
        <f t="shared" si="119"/>
        <v>199</v>
      </c>
      <c r="F1988" t="s">
        <v>2127</v>
      </c>
      <c r="G1988" t="str">
        <f>"1148"</f>
        <v>1148</v>
      </c>
      <c r="H1988" t="str">
        <f>"0000"</f>
        <v>0000</v>
      </c>
      <c r="I1988" t="s">
        <v>83</v>
      </c>
      <c r="J1988">
        <v>0</v>
      </c>
      <c r="K1988">
        <v>1</v>
      </c>
      <c r="L1988">
        <v>3</v>
      </c>
      <c r="M1988">
        <v>244</v>
      </c>
      <c r="N1988">
        <v>445</v>
      </c>
      <c r="O1988" t="s">
        <v>92</v>
      </c>
      <c r="P1988">
        <v>446</v>
      </c>
      <c r="Q1988">
        <v>1</v>
      </c>
      <c r="R1988">
        <v>12</v>
      </c>
      <c r="S1988">
        <v>234</v>
      </c>
      <c r="T1988">
        <v>1</v>
      </c>
      <c r="U1988">
        <v>7</v>
      </c>
      <c r="V1988">
        <v>12</v>
      </c>
      <c r="X1988">
        <v>92</v>
      </c>
      <c r="Z1988">
        <v>2</v>
      </c>
      <c r="AA1988">
        <v>13</v>
      </c>
      <c r="AB1988">
        <v>55</v>
      </c>
      <c r="AU1988">
        <v>0</v>
      </c>
      <c r="AW1988">
        <v>8</v>
      </c>
      <c r="AX1988">
        <v>10</v>
      </c>
      <c r="AY1988">
        <v>446</v>
      </c>
      <c r="AZ1988">
        <v>447</v>
      </c>
      <c r="BA1988">
        <v>645</v>
      </c>
      <c r="BB1988">
        <v>44</v>
      </c>
      <c r="BD1988">
        <v>1</v>
      </c>
      <c r="BF1988" t="s">
        <v>2151</v>
      </c>
      <c r="BG1988" s="1">
        <v>44354.114583333336</v>
      </c>
      <c r="BH1988" s="1">
        <v>44354.117256944446</v>
      </c>
      <c r="BI1988" s="1">
        <v>44354.118333333332</v>
      </c>
      <c r="BJ1988" t="s">
        <v>85</v>
      </c>
      <c r="BK1988" t="s">
        <v>86</v>
      </c>
      <c r="BL1988" t="s">
        <v>87</v>
      </c>
    </row>
    <row r="1989" spans="1:64" x14ac:dyDescent="0.3">
      <c r="A1989" t="str">
        <f>"201148E0100"</f>
        <v>201148E0100</v>
      </c>
      <c r="B1989" t="str">
        <f>"201148E01003"</f>
        <v>201148E01003</v>
      </c>
      <c r="C1989" t="str">
        <f t="shared" si="116"/>
        <v>20</v>
      </c>
      <c r="D1989" t="s">
        <v>81</v>
      </c>
      <c r="E1989" t="str">
        <f t="shared" si="119"/>
        <v>199</v>
      </c>
      <c r="F1989" t="s">
        <v>2127</v>
      </c>
      <c r="G1989" t="str">
        <f>"1148"</f>
        <v>1148</v>
      </c>
      <c r="H1989" t="str">
        <f>"0001"</f>
        <v>0001</v>
      </c>
      <c r="I1989" t="s">
        <v>122</v>
      </c>
      <c r="J1989">
        <v>0</v>
      </c>
      <c r="K1989">
        <v>1</v>
      </c>
      <c r="L1989">
        <v>3</v>
      </c>
      <c r="M1989">
        <v>63</v>
      </c>
      <c r="N1989">
        <v>80</v>
      </c>
      <c r="O1989">
        <v>0</v>
      </c>
      <c r="P1989">
        <v>80</v>
      </c>
      <c r="Q1989">
        <v>7</v>
      </c>
      <c r="R1989">
        <v>7</v>
      </c>
      <c r="S1989">
        <v>45</v>
      </c>
      <c r="T1989" t="s">
        <v>95</v>
      </c>
      <c r="U1989" t="s">
        <v>95</v>
      </c>
      <c r="V1989" t="s">
        <v>95</v>
      </c>
      <c r="X1989">
        <v>28</v>
      </c>
      <c r="Z1989" t="s">
        <v>95</v>
      </c>
      <c r="AA1989" t="s">
        <v>95</v>
      </c>
      <c r="AB1989" t="s">
        <v>95</v>
      </c>
      <c r="AU1989" t="s">
        <v>95</v>
      </c>
      <c r="AW1989" t="s">
        <v>95</v>
      </c>
      <c r="AX1989" t="s">
        <v>95</v>
      </c>
      <c r="AY1989" t="s">
        <v>95</v>
      </c>
      <c r="AZ1989">
        <v>87</v>
      </c>
      <c r="BA1989">
        <v>99</v>
      </c>
      <c r="BB1989">
        <v>44</v>
      </c>
      <c r="BC1989" t="s">
        <v>96</v>
      </c>
      <c r="BD1989">
        <v>1</v>
      </c>
      <c r="BF1989" t="s">
        <v>2152</v>
      </c>
      <c r="BG1989" s="1">
        <v>44354.106944444444</v>
      </c>
      <c r="BH1989" s="1">
        <v>44354.112280092595</v>
      </c>
      <c r="BI1989" s="1">
        <v>44354.112569444442</v>
      </c>
      <c r="BJ1989" t="s">
        <v>85</v>
      </c>
      <c r="BK1989" t="s">
        <v>86</v>
      </c>
      <c r="BL1989" t="s">
        <v>87</v>
      </c>
    </row>
    <row r="1990" spans="1:64" x14ac:dyDescent="0.3">
      <c r="A1990" t="str">
        <f>"201149B0000"</f>
        <v>201149B0000</v>
      </c>
      <c r="B1990" t="str">
        <f>"201149B00003"</f>
        <v>201149B00003</v>
      </c>
      <c r="C1990" t="str">
        <f t="shared" si="116"/>
        <v>20</v>
      </c>
      <c r="D1990" t="s">
        <v>81</v>
      </c>
      <c r="E1990" t="str">
        <f t="shared" si="119"/>
        <v>199</v>
      </c>
      <c r="F1990" t="s">
        <v>2127</v>
      </c>
      <c r="G1990" t="str">
        <f>"1149"</f>
        <v>1149</v>
      </c>
      <c r="H1990" t="str">
        <f>"0000"</f>
        <v>0000</v>
      </c>
      <c r="I1990" t="s">
        <v>83</v>
      </c>
      <c r="J1990">
        <v>0</v>
      </c>
      <c r="K1990">
        <v>1</v>
      </c>
      <c r="L1990">
        <v>3</v>
      </c>
      <c r="M1990">
        <v>153</v>
      </c>
      <c r="N1990">
        <v>324</v>
      </c>
      <c r="O1990">
        <v>0</v>
      </c>
      <c r="P1990">
        <v>324</v>
      </c>
      <c r="Q1990">
        <v>1</v>
      </c>
      <c r="R1990">
        <v>2</v>
      </c>
      <c r="S1990">
        <v>134</v>
      </c>
      <c r="T1990">
        <v>0</v>
      </c>
      <c r="U1990">
        <v>3</v>
      </c>
      <c r="V1990">
        <v>19</v>
      </c>
      <c r="X1990">
        <v>37</v>
      </c>
      <c r="Z1990">
        <v>3</v>
      </c>
      <c r="AA1990">
        <v>50</v>
      </c>
      <c r="AB1990">
        <v>57</v>
      </c>
      <c r="AU1990">
        <v>0</v>
      </c>
      <c r="AW1990">
        <v>4</v>
      </c>
      <c r="AX1990">
        <v>14</v>
      </c>
      <c r="AY1990">
        <v>324</v>
      </c>
      <c r="AZ1990">
        <v>324</v>
      </c>
      <c r="BA1990">
        <v>433</v>
      </c>
      <c r="BB1990">
        <v>44</v>
      </c>
      <c r="BD1990">
        <v>1</v>
      </c>
      <c r="BF1990" t="s">
        <v>2153</v>
      </c>
      <c r="BG1990" s="1">
        <v>44354.029166666667</v>
      </c>
      <c r="BH1990" s="1">
        <v>44354.037939814814</v>
      </c>
      <c r="BI1990" s="1">
        <v>44354.038819444446</v>
      </c>
      <c r="BJ1990" t="s">
        <v>85</v>
      </c>
      <c r="BK1990" t="s">
        <v>86</v>
      </c>
      <c r="BL1990" t="s">
        <v>87</v>
      </c>
    </row>
    <row r="1991" spans="1:64" x14ac:dyDescent="0.3">
      <c r="A1991" t="str">
        <f>"201149C0100"</f>
        <v>201149C0100</v>
      </c>
      <c r="B1991" t="str">
        <f>"201149C01003"</f>
        <v>201149C01003</v>
      </c>
      <c r="C1991" t="str">
        <f t="shared" ref="C1991:C2054" si="120">"20"</f>
        <v>20</v>
      </c>
      <c r="D1991" t="s">
        <v>81</v>
      </c>
      <c r="E1991" t="str">
        <f t="shared" si="119"/>
        <v>199</v>
      </c>
      <c r="F1991" t="s">
        <v>2127</v>
      </c>
      <c r="G1991" t="str">
        <f>"1149"</f>
        <v>1149</v>
      </c>
      <c r="H1991" t="str">
        <f>"0001"</f>
        <v>0001</v>
      </c>
      <c r="I1991" t="s">
        <v>89</v>
      </c>
      <c r="J1991">
        <v>0</v>
      </c>
      <c r="K1991">
        <v>1</v>
      </c>
      <c r="L1991">
        <v>3</v>
      </c>
      <c r="M1991" t="s">
        <v>131</v>
      </c>
      <c r="N1991" t="s">
        <v>131</v>
      </c>
      <c r="O1991" t="s">
        <v>131</v>
      </c>
      <c r="P1991">
        <v>339</v>
      </c>
      <c r="Q1991">
        <v>0</v>
      </c>
      <c r="R1991">
        <v>2</v>
      </c>
      <c r="S1991">
        <v>143</v>
      </c>
      <c r="T1991">
        <v>1</v>
      </c>
      <c r="U1991">
        <v>6</v>
      </c>
      <c r="V1991">
        <v>21</v>
      </c>
      <c r="X1991">
        <v>24</v>
      </c>
      <c r="Z1991">
        <v>1</v>
      </c>
      <c r="AA1991">
        <v>46</v>
      </c>
      <c r="AB1991">
        <v>78</v>
      </c>
      <c r="AU1991">
        <v>0</v>
      </c>
      <c r="AW1991">
        <v>0</v>
      </c>
      <c r="AX1991">
        <v>14</v>
      </c>
      <c r="AY1991">
        <v>339</v>
      </c>
      <c r="AZ1991">
        <v>336</v>
      </c>
      <c r="BA1991">
        <v>433</v>
      </c>
      <c r="BB1991">
        <v>44</v>
      </c>
      <c r="BD1991">
        <v>1</v>
      </c>
      <c r="BF1991" t="s">
        <v>2154</v>
      </c>
      <c r="BG1991" s="1">
        <v>44354.027083333334</v>
      </c>
      <c r="BH1991" s="1">
        <v>44354.041331018518</v>
      </c>
      <c r="BI1991" s="1">
        <v>44354.0546875</v>
      </c>
      <c r="BJ1991" t="s">
        <v>85</v>
      </c>
      <c r="BK1991" t="s">
        <v>86</v>
      </c>
      <c r="BL1991" t="s">
        <v>87</v>
      </c>
    </row>
    <row r="1992" spans="1:64" x14ac:dyDescent="0.3">
      <c r="A1992" t="str">
        <f>"201150B0000"</f>
        <v>201150B0000</v>
      </c>
      <c r="B1992" t="str">
        <f>"201150B00003"</f>
        <v>201150B00003</v>
      </c>
      <c r="C1992" t="str">
        <f t="shared" si="120"/>
        <v>20</v>
      </c>
      <c r="D1992" t="s">
        <v>81</v>
      </c>
      <c r="E1992" t="str">
        <f t="shared" si="119"/>
        <v>199</v>
      </c>
      <c r="F1992" t="s">
        <v>2127</v>
      </c>
      <c r="G1992" t="str">
        <f>"1150"</f>
        <v>1150</v>
      </c>
      <c r="H1992" t="str">
        <f>"0000"</f>
        <v>0000</v>
      </c>
      <c r="I1992" t="s">
        <v>83</v>
      </c>
      <c r="J1992">
        <v>0</v>
      </c>
      <c r="K1992">
        <v>1</v>
      </c>
      <c r="L1992">
        <v>3</v>
      </c>
      <c r="M1992">
        <v>203</v>
      </c>
      <c r="N1992">
        <v>285</v>
      </c>
      <c r="O1992">
        <v>0</v>
      </c>
      <c r="P1992">
        <v>285</v>
      </c>
      <c r="Q1992">
        <v>0</v>
      </c>
      <c r="R1992">
        <v>10</v>
      </c>
      <c r="S1992">
        <v>122</v>
      </c>
      <c r="T1992">
        <v>3</v>
      </c>
      <c r="U1992">
        <v>3</v>
      </c>
      <c r="V1992">
        <v>7</v>
      </c>
      <c r="X1992">
        <v>62</v>
      </c>
      <c r="Z1992">
        <v>5</v>
      </c>
      <c r="AA1992">
        <v>26</v>
      </c>
      <c r="AB1992">
        <v>14</v>
      </c>
      <c r="AU1992">
        <v>0</v>
      </c>
      <c r="AW1992">
        <v>0</v>
      </c>
      <c r="AX1992">
        <v>33</v>
      </c>
      <c r="AY1992">
        <v>285</v>
      </c>
      <c r="AZ1992">
        <v>285</v>
      </c>
      <c r="BA1992">
        <v>444</v>
      </c>
      <c r="BB1992">
        <v>44</v>
      </c>
      <c r="BD1992">
        <v>1</v>
      </c>
      <c r="BF1992" t="s">
        <v>2155</v>
      </c>
      <c r="BG1992" s="1">
        <v>44354.118750000001</v>
      </c>
      <c r="BH1992" s="1">
        <v>44354.121666666666</v>
      </c>
      <c r="BI1992" s="1">
        <v>44354.122349537036</v>
      </c>
      <c r="BJ1992" t="s">
        <v>85</v>
      </c>
      <c r="BK1992" t="s">
        <v>86</v>
      </c>
      <c r="BL1992" t="s">
        <v>87</v>
      </c>
    </row>
    <row r="1993" spans="1:64" x14ac:dyDescent="0.3">
      <c r="A1993" t="str">
        <f>"201150C0100"</f>
        <v>201150C0100</v>
      </c>
      <c r="B1993" t="str">
        <f>"201150C01003"</f>
        <v>201150C01003</v>
      </c>
      <c r="C1993" t="str">
        <f t="shared" si="120"/>
        <v>20</v>
      </c>
      <c r="D1993" t="s">
        <v>81</v>
      </c>
      <c r="E1993" t="str">
        <f t="shared" si="119"/>
        <v>199</v>
      </c>
      <c r="F1993" t="s">
        <v>2127</v>
      </c>
      <c r="G1993" t="str">
        <f>"1150"</f>
        <v>1150</v>
      </c>
      <c r="H1993" t="str">
        <f>"0001"</f>
        <v>0001</v>
      </c>
      <c r="I1993" t="s">
        <v>89</v>
      </c>
      <c r="J1993">
        <v>0</v>
      </c>
      <c r="K1993">
        <v>1</v>
      </c>
      <c r="L1993">
        <v>3</v>
      </c>
      <c r="M1993">
        <v>209</v>
      </c>
      <c r="N1993">
        <v>277</v>
      </c>
      <c r="O1993">
        <v>8</v>
      </c>
      <c r="P1993">
        <v>277</v>
      </c>
      <c r="Q1993">
        <v>0</v>
      </c>
      <c r="R1993">
        <v>3</v>
      </c>
      <c r="S1993">
        <v>110</v>
      </c>
      <c r="T1993">
        <v>1</v>
      </c>
      <c r="U1993">
        <v>4</v>
      </c>
      <c r="V1993">
        <v>10</v>
      </c>
      <c r="X1993">
        <v>101</v>
      </c>
      <c r="Z1993">
        <v>1</v>
      </c>
      <c r="AA1993">
        <v>20</v>
      </c>
      <c r="AB1993">
        <v>12</v>
      </c>
      <c r="AU1993" t="s">
        <v>95</v>
      </c>
      <c r="AW1993" t="s">
        <v>95</v>
      </c>
      <c r="AX1993">
        <v>15</v>
      </c>
      <c r="AY1993" t="s">
        <v>95</v>
      </c>
      <c r="AZ1993">
        <v>277</v>
      </c>
      <c r="BA1993">
        <v>443</v>
      </c>
      <c r="BB1993">
        <v>44</v>
      </c>
      <c r="BC1993" t="s">
        <v>96</v>
      </c>
      <c r="BD1993">
        <v>1</v>
      </c>
      <c r="BF1993" t="s">
        <v>2156</v>
      </c>
      <c r="BG1993" s="1">
        <v>44354.111805555556</v>
      </c>
      <c r="BH1993" s="1">
        <v>44354.115104166667</v>
      </c>
      <c r="BI1993" s="1">
        <v>44354.11550925926</v>
      </c>
      <c r="BJ1993" t="s">
        <v>85</v>
      </c>
      <c r="BK1993" t="s">
        <v>86</v>
      </c>
      <c r="BL1993" t="s">
        <v>87</v>
      </c>
    </row>
    <row r="1994" spans="1:64" x14ac:dyDescent="0.3">
      <c r="A1994" t="str">
        <f>"201151B0000"</f>
        <v>201151B0000</v>
      </c>
      <c r="B1994" t="str">
        <f>"201151B00003"</f>
        <v>201151B00003</v>
      </c>
      <c r="C1994" t="str">
        <f t="shared" si="120"/>
        <v>20</v>
      </c>
      <c r="D1994" t="s">
        <v>81</v>
      </c>
      <c r="E1994" t="str">
        <f t="shared" si="119"/>
        <v>199</v>
      </c>
      <c r="F1994" t="s">
        <v>2127</v>
      </c>
      <c r="G1994" t="str">
        <f>"1151"</f>
        <v>1151</v>
      </c>
      <c r="H1994" t="str">
        <f>"0000"</f>
        <v>0000</v>
      </c>
      <c r="I1994" t="s">
        <v>83</v>
      </c>
      <c r="J1994">
        <v>0</v>
      </c>
      <c r="K1994">
        <v>1</v>
      </c>
      <c r="L1994">
        <v>3</v>
      </c>
      <c r="M1994">
        <v>151</v>
      </c>
      <c r="N1994">
        <v>466</v>
      </c>
      <c r="O1994">
        <v>0</v>
      </c>
      <c r="P1994">
        <v>466</v>
      </c>
      <c r="Q1994">
        <v>0</v>
      </c>
      <c r="R1994">
        <v>10</v>
      </c>
      <c r="S1994">
        <v>214</v>
      </c>
      <c r="T1994">
        <v>1</v>
      </c>
      <c r="U1994">
        <v>4</v>
      </c>
      <c r="V1994">
        <v>0</v>
      </c>
      <c r="X1994">
        <v>12</v>
      </c>
      <c r="Z1994">
        <v>7</v>
      </c>
      <c r="AA1994">
        <v>207</v>
      </c>
      <c r="AB1994">
        <v>2</v>
      </c>
      <c r="AU1994" t="s">
        <v>95</v>
      </c>
      <c r="AW1994">
        <v>5</v>
      </c>
      <c r="AX1994">
        <v>4</v>
      </c>
      <c r="AY1994">
        <v>466</v>
      </c>
      <c r="AZ1994">
        <v>466</v>
      </c>
      <c r="BA1994">
        <v>573</v>
      </c>
      <c r="BB1994">
        <v>44</v>
      </c>
      <c r="BC1994" t="s">
        <v>96</v>
      </c>
      <c r="BD1994">
        <v>1</v>
      </c>
      <c r="BF1994" t="s">
        <v>2157</v>
      </c>
      <c r="BG1994" s="1">
        <v>44354.02847222222</v>
      </c>
      <c r="BH1994" s="1">
        <v>44354.036435185182</v>
      </c>
      <c r="BI1994" s="1">
        <v>44354.03738425926</v>
      </c>
      <c r="BJ1994" t="s">
        <v>85</v>
      </c>
      <c r="BK1994" t="s">
        <v>86</v>
      </c>
      <c r="BL1994" t="s">
        <v>87</v>
      </c>
    </row>
    <row r="1995" spans="1:64" x14ac:dyDescent="0.3">
      <c r="A1995" t="str">
        <f>"201151C0100"</f>
        <v>201151C0100</v>
      </c>
      <c r="B1995" t="str">
        <f>"201151C01003"</f>
        <v>201151C01003</v>
      </c>
      <c r="C1995" t="str">
        <f t="shared" si="120"/>
        <v>20</v>
      </c>
      <c r="D1995" t="s">
        <v>81</v>
      </c>
      <c r="E1995" t="str">
        <f t="shared" si="119"/>
        <v>199</v>
      </c>
      <c r="F1995" t="s">
        <v>2127</v>
      </c>
      <c r="G1995" t="str">
        <f>"1151"</f>
        <v>1151</v>
      </c>
      <c r="H1995" t="str">
        <f>"0001"</f>
        <v>0001</v>
      </c>
      <c r="I1995" t="s">
        <v>89</v>
      </c>
      <c r="J1995">
        <v>0</v>
      </c>
      <c r="K1995">
        <v>1</v>
      </c>
      <c r="L1995">
        <v>3</v>
      </c>
      <c r="M1995">
        <v>158</v>
      </c>
      <c r="N1995">
        <v>459</v>
      </c>
      <c r="O1995">
        <v>0</v>
      </c>
      <c r="P1995">
        <v>459</v>
      </c>
      <c r="Q1995">
        <v>1</v>
      </c>
      <c r="R1995">
        <v>2</v>
      </c>
      <c r="S1995">
        <v>229</v>
      </c>
      <c r="T1995">
        <v>0</v>
      </c>
      <c r="U1995">
        <v>2</v>
      </c>
      <c r="V1995">
        <v>0</v>
      </c>
      <c r="X1995">
        <v>10</v>
      </c>
      <c r="Z1995">
        <v>6</v>
      </c>
      <c r="AA1995">
        <v>188</v>
      </c>
      <c r="AB1995">
        <v>4</v>
      </c>
      <c r="AU1995" t="s">
        <v>95</v>
      </c>
      <c r="AW1995">
        <v>14</v>
      </c>
      <c r="AX1995">
        <v>3</v>
      </c>
      <c r="AY1995">
        <v>459</v>
      </c>
      <c r="AZ1995">
        <v>459</v>
      </c>
      <c r="BA1995">
        <v>573</v>
      </c>
      <c r="BB1995">
        <v>44</v>
      </c>
      <c r="BC1995" t="s">
        <v>96</v>
      </c>
      <c r="BD1995">
        <v>1</v>
      </c>
      <c r="BF1995" t="s">
        <v>2158</v>
      </c>
      <c r="BG1995" s="1">
        <v>44354.013888888891</v>
      </c>
      <c r="BH1995" s="1">
        <v>44354.02484953704</v>
      </c>
      <c r="BI1995" s="1">
        <v>44354.025439814817</v>
      </c>
      <c r="BJ1995" t="s">
        <v>85</v>
      </c>
      <c r="BK1995" t="s">
        <v>86</v>
      </c>
      <c r="BL1995" t="s">
        <v>87</v>
      </c>
    </row>
    <row r="1996" spans="1:64" x14ac:dyDescent="0.3">
      <c r="A1996" t="str">
        <f>"201152B0000"</f>
        <v>201152B0000</v>
      </c>
      <c r="B1996" t="str">
        <f>"201152B00003"</f>
        <v>201152B00003</v>
      </c>
      <c r="C1996" t="str">
        <f t="shared" si="120"/>
        <v>20</v>
      </c>
      <c r="D1996" t="s">
        <v>81</v>
      </c>
      <c r="E1996" t="str">
        <f t="shared" si="119"/>
        <v>199</v>
      </c>
      <c r="F1996" t="s">
        <v>2127</v>
      </c>
      <c r="G1996" t="str">
        <f>"1152"</f>
        <v>1152</v>
      </c>
      <c r="H1996" t="str">
        <f>"0000"</f>
        <v>0000</v>
      </c>
      <c r="I1996" t="s">
        <v>83</v>
      </c>
      <c r="J1996">
        <v>0</v>
      </c>
      <c r="K1996">
        <v>1</v>
      </c>
      <c r="L1996">
        <v>3</v>
      </c>
      <c r="M1996">
        <v>93</v>
      </c>
      <c r="N1996">
        <v>226</v>
      </c>
      <c r="O1996">
        <v>2</v>
      </c>
      <c r="P1996" t="s">
        <v>92</v>
      </c>
      <c r="Q1996">
        <v>0</v>
      </c>
      <c r="R1996">
        <v>12</v>
      </c>
      <c r="S1996">
        <v>110</v>
      </c>
      <c r="T1996">
        <v>0</v>
      </c>
      <c r="U1996">
        <v>5</v>
      </c>
      <c r="V1996">
        <v>0</v>
      </c>
      <c r="X1996">
        <v>87</v>
      </c>
      <c r="Z1996">
        <v>0</v>
      </c>
      <c r="AA1996">
        <v>7</v>
      </c>
      <c r="AB1996">
        <v>0</v>
      </c>
      <c r="AU1996">
        <v>0</v>
      </c>
      <c r="AW1996">
        <v>0</v>
      </c>
      <c r="AX1996">
        <v>3</v>
      </c>
      <c r="AY1996">
        <v>224</v>
      </c>
      <c r="AZ1996">
        <v>224</v>
      </c>
      <c r="BA1996">
        <v>275</v>
      </c>
      <c r="BB1996">
        <v>44</v>
      </c>
      <c r="BD1996">
        <v>1</v>
      </c>
      <c r="BF1996" t="s">
        <v>2159</v>
      </c>
      <c r="BG1996" s="1">
        <v>44353.970833333333</v>
      </c>
      <c r="BH1996" s="1">
        <v>44353.976678240739</v>
      </c>
      <c r="BI1996" s="1">
        <v>44353.977071759262</v>
      </c>
      <c r="BJ1996" t="s">
        <v>85</v>
      </c>
      <c r="BK1996" t="s">
        <v>86</v>
      </c>
      <c r="BL1996" t="s">
        <v>87</v>
      </c>
    </row>
    <row r="1997" spans="1:64" x14ac:dyDescent="0.3">
      <c r="A1997" t="str">
        <f>"201152E0100"</f>
        <v>201152E0100</v>
      </c>
      <c r="B1997" t="str">
        <f>"201152E01003"</f>
        <v>201152E01003</v>
      </c>
      <c r="C1997" t="str">
        <f t="shared" si="120"/>
        <v>20</v>
      </c>
      <c r="D1997" t="s">
        <v>81</v>
      </c>
      <c r="E1997" t="str">
        <f t="shared" ref="E1997:E2016" si="121">"199"</f>
        <v>199</v>
      </c>
      <c r="F1997" t="s">
        <v>2127</v>
      </c>
      <c r="G1997" t="str">
        <f>"1152"</f>
        <v>1152</v>
      </c>
      <c r="H1997" t="str">
        <f>"0001"</f>
        <v>0001</v>
      </c>
      <c r="I1997" t="s">
        <v>122</v>
      </c>
      <c r="J1997">
        <v>0</v>
      </c>
      <c r="K1997">
        <v>1</v>
      </c>
      <c r="L1997">
        <v>3</v>
      </c>
      <c r="M1997">
        <v>104</v>
      </c>
      <c r="N1997">
        <v>147</v>
      </c>
      <c r="O1997">
        <v>2</v>
      </c>
      <c r="P1997">
        <v>147</v>
      </c>
      <c r="Q1997">
        <v>0</v>
      </c>
      <c r="R1997">
        <v>2</v>
      </c>
      <c r="S1997">
        <v>124</v>
      </c>
      <c r="T1997">
        <v>0</v>
      </c>
      <c r="U1997">
        <v>1</v>
      </c>
      <c r="V1997">
        <v>1</v>
      </c>
      <c r="X1997">
        <v>8</v>
      </c>
      <c r="Z1997">
        <v>0</v>
      </c>
      <c r="AA1997">
        <v>8</v>
      </c>
      <c r="AB1997">
        <v>1</v>
      </c>
      <c r="AU1997">
        <v>0</v>
      </c>
      <c r="AW1997">
        <v>2</v>
      </c>
      <c r="AX1997">
        <v>0</v>
      </c>
      <c r="AY1997">
        <v>147</v>
      </c>
      <c r="AZ1997">
        <v>147</v>
      </c>
      <c r="BA1997">
        <v>168</v>
      </c>
      <c r="BB1997">
        <v>44</v>
      </c>
      <c r="BD1997">
        <v>1</v>
      </c>
      <c r="BF1997" t="s">
        <v>2160</v>
      </c>
      <c r="BG1997" s="1">
        <v>44353.977777777778</v>
      </c>
      <c r="BH1997" s="1">
        <v>44353.996851851851</v>
      </c>
      <c r="BI1997" s="1">
        <v>44353.997233796297</v>
      </c>
      <c r="BJ1997" t="s">
        <v>85</v>
      </c>
      <c r="BK1997" t="s">
        <v>86</v>
      </c>
      <c r="BL1997" t="s">
        <v>87</v>
      </c>
    </row>
    <row r="1998" spans="1:64" x14ac:dyDescent="0.3">
      <c r="A1998" t="str">
        <f>"201152E0200"</f>
        <v>201152E0200</v>
      </c>
      <c r="B1998" t="str">
        <f>"201152E02003"</f>
        <v>201152E02003</v>
      </c>
      <c r="C1998" t="str">
        <f t="shared" si="120"/>
        <v>20</v>
      </c>
      <c r="D1998" t="s">
        <v>81</v>
      </c>
      <c r="E1998" t="str">
        <f t="shared" si="121"/>
        <v>199</v>
      </c>
      <c r="F1998" t="s">
        <v>2127</v>
      </c>
      <c r="G1998" t="str">
        <f>"1152"</f>
        <v>1152</v>
      </c>
      <c r="H1998" t="str">
        <f>"0002"</f>
        <v>0002</v>
      </c>
      <c r="I1998" t="s">
        <v>122</v>
      </c>
      <c r="J1998">
        <v>0</v>
      </c>
      <c r="K1998">
        <v>1</v>
      </c>
      <c r="L1998">
        <v>3</v>
      </c>
      <c r="BA1998">
        <v>207</v>
      </c>
      <c r="BB1998">
        <v>44</v>
      </c>
      <c r="BC1998" t="s">
        <v>161</v>
      </c>
      <c r="BD1998">
        <v>0</v>
      </c>
      <c r="BF1998" t="s">
        <v>2161</v>
      </c>
      <c r="BG1998" s="1">
        <v>44354.256944444445</v>
      </c>
      <c r="BH1998" s="1">
        <v>44354.267118055555</v>
      </c>
      <c r="BI1998" s="1">
        <v>44354.267118055555</v>
      </c>
      <c r="BJ1998" t="s">
        <v>85</v>
      </c>
      <c r="BK1998" t="s">
        <v>86</v>
      </c>
      <c r="BL1998" t="s">
        <v>87</v>
      </c>
    </row>
    <row r="1999" spans="1:64" x14ac:dyDescent="0.3">
      <c r="A1999" t="str">
        <f>"201153B0000"</f>
        <v>201153B0000</v>
      </c>
      <c r="B1999" t="str">
        <f>"201153B00003"</f>
        <v>201153B00003</v>
      </c>
      <c r="C1999" t="str">
        <f t="shared" si="120"/>
        <v>20</v>
      </c>
      <c r="D1999" t="s">
        <v>81</v>
      </c>
      <c r="E1999" t="str">
        <f t="shared" si="121"/>
        <v>199</v>
      </c>
      <c r="F1999" t="s">
        <v>2127</v>
      </c>
      <c r="G1999" t="str">
        <f>"1153"</f>
        <v>1153</v>
      </c>
      <c r="H1999" t="str">
        <f>"0000"</f>
        <v>0000</v>
      </c>
      <c r="I1999" t="s">
        <v>83</v>
      </c>
      <c r="J1999">
        <v>0</v>
      </c>
      <c r="K1999">
        <v>1</v>
      </c>
      <c r="L1999">
        <v>3</v>
      </c>
      <c r="M1999">
        <v>217</v>
      </c>
      <c r="N1999">
        <v>531</v>
      </c>
      <c r="O1999">
        <v>3</v>
      </c>
      <c r="P1999">
        <v>531</v>
      </c>
      <c r="Q1999">
        <v>3</v>
      </c>
      <c r="R1999">
        <v>4</v>
      </c>
      <c r="S1999">
        <v>252</v>
      </c>
      <c r="T1999">
        <v>2</v>
      </c>
      <c r="U1999">
        <v>6</v>
      </c>
      <c r="V1999">
        <v>3</v>
      </c>
      <c r="X1999">
        <v>39</v>
      </c>
      <c r="Z1999">
        <v>5</v>
      </c>
      <c r="AA1999">
        <v>184</v>
      </c>
      <c r="AB1999">
        <v>9</v>
      </c>
      <c r="AU1999">
        <v>0</v>
      </c>
      <c r="AW1999">
        <v>9</v>
      </c>
      <c r="AX1999">
        <v>15</v>
      </c>
      <c r="AY1999">
        <v>531</v>
      </c>
      <c r="AZ1999">
        <v>531</v>
      </c>
      <c r="BA1999">
        <v>704</v>
      </c>
      <c r="BB1999">
        <v>44</v>
      </c>
      <c r="BD1999">
        <v>1</v>
      </c>
      <c r="BF1999" t="s">
        <v>2162</v>
      </c>
      <c r="BG1999" s="1">
        <v>44354.023611111108</v>
      </c>
      <c r="BH1999" s="1">
        <v>44354.030856481484</v>
      </c>
      <c r="BI1999" s="1">
        <v>44354.031354166669</v>
      </c>
      <c r="BJ1999" t="s">
        <v>85</v>
      </c>
      <c r="BK1999" t="s">
        <v>86</v>
      </c>
      <c r="BL1999" t="s">
        <v>87</v>
      </c>
    </row>
    <row r="2000" spans="1:64" x14ac:dyDescent="0.3">
      <c r="A2000" t="str">
        <f>"201154B0000"</f>
        <v>201154B0000</v>
      </c>
      <c r="B2000" t="str">
        <f>"201154B00003"</f>
        <v>201154B00003</v>
      </c>
      <c r="C2000" t="str">
        <f t="shared" si="120"/>
        <v>20</v>
      </c>
      <c r="D2000" t="s">
        <v>81</v>
      </c>
      <c r="E2000" t="str">
        <f t="shared" si="121"/>
        <v>199</v>
      </c>
      <c r="F2000" t="s">
        <v>2127</v>
      </c>
      <c r="G2000" t="str">
        <f>"1154"</f>
        <v>1154</v>
      </c>
      <c r="H2000" t="str">
        <f>"0000"</f>
        <v>0000</v>
      </c>
      <c r="I2000" t="s">
        <v>83</v>
      </c>
      <c r="J2000">
        <v>0</v>
      </c>
      <c r="K2000">
        <v>1</v>
      </c>
      <c r="L2000">
        <v>3</v>
      </c>
      <c r="M2000">
        <v>218</v>
      </c>
      <c r="N2000">
        <v>378</v>
      </c>
      <c r="O2000">
        <v>0</v>
      </c>
      <c r="P2000" t="s">
        <v>92</v>
      </c>
      <c r="Q2000">
        <v>1</v>
      </c>
      <c r="R2000">
        <v>24</v>
      </c>
      <c r="S2000">
        <v>200</v>
      </c>
      <c r="T2000">
        <v>0</v>
      </c>
      <c r="U2000">
        <v>3</v>
      </c>
      <c r="V2000">
        <v>2</v>
      </c>
      <c r="X2000">
        <v>92</v>
      </c>
      <c r="Z2000">
        <v>6</v>
      </c>
      <c r="AA2000">
        <v>31</v>
      </c>
      <c r="AB2000">
        <v>14</v>
      </c>
      <c r="AU2000">
        <v>0</v>
      </c>
      <c r="AW2000">
        <v>0</v>
      </c>
      <c r="AX2000">
        <v>5</v>
      </c>
      <c r="AY2000">
        <v>378</v>
      </c>
      <c r="AZ2000">
        <v>378</v>
      </c>
      <c r="BA2000">
        <v>552</v>
      </c>
      <c r="BB2000">
        <v>44</v>
      </c>
      <c r="BD2000">
        <v>1</v>
      </c>
      <c r="BF2000" s="2" t="s">
        <v>2163</v>
      </c>
      <c r="BG2000" s="1">
        <v>44354.12777777778</v>
      </c>
      <c r="BH2000" s="1">
        <v>44354.12939814815</v>
      </c>
      <c r="BI2000" s="1">
        <v>44354.129814814813</v>
      </c>
      <c r="BJ2000" t="s">
        <v>85</v>
      </c>
      <c r="BK2000" t="s">
        <v>86</v>
      </c>
      <c r="BL2000" t="s">
        <v>87</v>
      </c>
    </row>
    <row r="2001" spans="1:64" x14ac:dyDescent="0.3">
      <c r="A2001" t="str">
        <f>"201154C0100"</f>
        <v>201154C0100</v>
      </c>
      <c r="B2001" t="str">
        <f>"201154C01003"</f>
        <v>201154C01003</v>
      </c>
      <c r="C2001" t="str">
        <f t="shared" si="120"/>
        <v>20</v>
      </c>
      <c r="D2001" t="s">
        <v>81</v>
      </c>
      <c r="E2001" t="str">
        <f t="shared" si="121"/>
        <v>199</v>
      </c>
      <c r="F2001" t="s">
        <v>2127</v>
      </c>
      <c r="G2001" t="str">
        <f>"1154"</f>
        <v>1154</v>
      </c>
      <c r="H2001" t="str">
        <f>"0001"</f>
        <v>0001</v>
      </c>
      <c r="I2001" t="s">
        <v>89</v>
      </c>
      <c r="J2001">
        <v>0</v>
      </c>
      <c r="K2001">
        <v>1</v>
      </c>
      <c r="L2001">
        <v>3</v>
      </c>
      <c r="M2001">
        <v>194</v>
      </c>
      <c r="N2001">
        <v>401</v>
      </c>
      <c r="O2001">
        <v>0</v>
      </c>
      <c r="P2001">
        <v>401</v>
      </c>
      <c r="Q2001">
        <v>0</v>
      </c>
      <c r="R2001">
        <v>28</v>
      </c>
      <c r="S2001">
        <v>215</v>
      </c>
      <c r="T2001">
        <v>0</v>
      </c>
      <c r="U2001">
        <v>1</v>
      </c>
      <c r="V2001">
        <v>2</v>
      </c>
      <c r="X2001">
        <v>95</v>
      </c>
      <c r="Z2001">
        <v>3</v>
      </c>
      <c r="AA2001">
        <v>35</v>
      </c>
      <c r="AB2001">
        <v>15</v>
      </c>
      <c r="AU2001">
        <v>0</v>
      </c>
      <c r="AW2001">
        <v>0</v>
      </c>
      <c r="AX2001">
        <v>7</v>
      </c>
      <c r="AY2001">
        <v>401</v>
      </c>
      <c r="AZ2001">
        <v>401</v>
      </c>
      <c r="BA2001">
        <v>551</v>
      </c>
      <c r="BB2001">
        <v>44</v>
      </c>
      <c r="BD2001">
        <v>1</v>
      </c>
      <c r="BF2001" t="s">
        <v>2164</v>
      </c>
      <c r="BG2001" s="1">
        <v>44354.12222222222</v>
      </c>
      <c r="BH2001" s="1">
        <v>44354.125219907408</v>
      </c>
      <c r="BI2001" s="1">
        <v>44354.12599537037</v>
      </c>
      <c r="BJ2001" t="s">
        <v>85</v>
      </c>
      <c r="BK2001" t="s">
        <v>86</v>
      </c>
      <c r="BL2001" t="s">
        <v>87</v>
      </c>
    </row>
    <row r="2002" spans="1:64" x14ac:dyDescent="0.3">
      <c r="A2002" t="str">
        <f>"201155B0000"</f>
        <v>201155B0000</v>
      </c>
      <c r="B2002" t="str">
        <f>"201155B00003"</f>
        <v>201155B00003</v>
      </c>
      <c r="C2002" t="str">
        <f t="shared" si="120"/>
        <v>20</v>
      </c>
      <c r="D2002" t="s">
        <v>81</v>
      </c>
      <c r="E2002" t="str">
        <f t="shared" si="121"/>
        <v>199</v>
      </c>
      <c r="F2002" t="s">
        <v>2127</v>
      </c>
      <c r="G2002" t="str">
        <f>"1155"</f>
        <v>1155</v>
      </c>
      <c r="H2002" t="str">
        <f>"0000"</f>
        <v>0000</v>
      </c>
      <c r="I2002" t="s">
        <v>83</v>
      </c>
      <c r="J2002">
        <v>0</v>
      </c>
      <c r="K2002">
        <v>1</v>
      </c>
      <c r="L2002">
        <v>3</v>
      </c>
      <c r="M2002">
        <v>147</v>
      </c>
      <c r="N2002">
        <v>419</v>
      </c>
      <c r="O2002">
        <v>1</v>
      </c>
      <c r="P2002" t="s">
        <v>92</v>
      </c>
      <c r="Q2002">
        <v>0</v>
      </c>
      <c r="R2002">
        <v>1</v>
      </c>
      <c r="S2002">
        <v>223</v>
      </c>
      <c r="T2002">
        <v>0</v>
      </c>
      <c r="U2002">
        <v>0</v>
      </c>
      <c r="V2002">
        <v>4</v>
      </c>
      <c r="X2002">
        <v>123</v>
      </c>
      <c r="Z2002">
        <v>1</v>
      </c>
      <c r="AA2002">
        <v>55</v>
      </c>
      <c r="AB2002">
        <v>2</v>
      </c>
      <c r="AU2002">
        <v>0</v>
      </c>
      <c r="AW2002">
        <v>5</v>
      </c>
      <c r="AX2002">
        <v>5</v>
      </c>
      <c r="AY2002">
        <v>419</v>
      </c>
      <c r="AZ2002">
        <v>419</v>
      </c>
      <c r="BA2002">
        <v>522</v>
      </c>
      <c r="BB2002">
        <v>44</v>
      </c>
      <c r="BD2002">
        <v>1</v>
      </c>
      <c r="BF2002" s="2" t="s">
        <v>2165</v>
      </c>
      <c r="BG2002" s="1">
        <v>44354.07708333333</v>
      </c>
      <c r="BH2002" s="1">
        <v>44354.083599537036</v>
      </c>
      <c r="BI2002" s="1">
        <v>44354.083923611113</v>
      </c>
      <c r="BJ2002" t="s">
        <v>85</v>
      </c>
      <c r="BK2002" t="s">
        <v>86</v>
      </c>
      <c r="BL2002" t="s">
        <v>87</v>
      </c>
    </row>
    <row r="2003" spans="1:64" x14ac:dyDescent="0.3">
      <c r="A2003" t="str">
        <f>"201155C0100"</f>
        <v>201155C0100</v>
      </c>
      <c r="B2003" t="str">
        <f>"201155C01003"</f>
        <v>201155C01003</v>
      </c>
      <c r="C2003" t="str">
        <f t="shared" si="120"/>
        <v>20</v>
      </c>
      <c r="D2003" t="s">
        <v>81</v>
      </c>
      <c r="E2003" t="str">
        <f t="shared" si="121"/>
        <v>199</v>
      </c>
      <c r="F2003" t="s">
        <v>2127</v>
      </c>
      <c r="G2003" t="str">
        <f>"1155"</f>
        <v>1155</v>
      </c>
      <c r="H2003" t="str">
        <f>"0001"</f>
        <v>0001</v>
      </c>
      <c r="I2003" t="s">
        <v>89</v>
      </c>
      <c r="J2003">
        <v>0</v>
      </c>
      <c r="K2003">
        <v>1</v>
      </c>
      <c r="L2003">
        <v>3</v>
      </c>
      <c r="M2003">
        <v>154</v>
      </c>
      <c r="N2003">
        <v>412</v>
      </c>
      <c r="O2003">
        <v>1</v>
      </c>
      <c r="P2003">
        <v>412</v>
      </c>
      <c r="Q2003">
        <v>2</v>
      </c>
      <c r="R2003">
        <v>5</v>
      </c>
      <c r="S2003">
        <v>226</v>
      </c>
      <c r="T2003">
        <v>0</v>
      </c>
      <c r="U2003">
        <v>1</v>
      </c>
      <c r="V2003">
        <v>3</v>
      </c>
      <c r="X2003">
        <v>123</v>
      </c>
      <c r="Z2003">
        <v>5</v>
      </c>
      <c r="AA2003">
        <v>32</v>
      </c>
      <c r="AB2003">
        <v>4</v>
      </c>
      <c r="AU2003">
        <v>0</v>
      </c>
      <c r="AW2003">
        <v>5</v>
      </c>
      <c r="AX2003">
        <v>6</v>
      </c>
      <c r="AY2003">
        <v>412</v>
      </c>
      <c r="AZ2003">
        <v>412</v>
      </c>
      <c r="BA2003">
        <v>522</v>
      </c>
      <c r="BB2003">
        <v>44</v>
      </c>
      <c r="BD2003">
        <v>1</v>
      </c>
      <c r="BF2003" t="s">
        <v>2166</v>
      </c>
      <c r="BG2003" s="1">
        <v>44354.074305555558</v>
      </c>
      <c r="BH2003" s="1">
        <v>44354.081550925926</v>
      </c>
      <c r="BI2003" s="1">
        <v>44354.082233796296</v>
      </c>
      <c r="BJ2003" t="s">
        <v>85</v>
      </c>
      <c r="BK2003" t="s">
        <v>86</v>
      </c>
      <c r="BL2003" t="s">
        <v>87</v>
      </c>
    </row>
    <row r="2004" spans="1:64" x14ac:dyDescent="0.3">
      <c r="A2004" t="str">
        <f>"201156B0000"</f>
        <v>201156B0000</v>
      </c>
      <c r="B2004" t="str">
        <f>"201156B00003"</f>
        <v>201156B00003</v>
      </c>
      <c r="C2004" t="str">
        <f t="shared" si="120"/>
        <v>20</v>
      </c>
      <c r="D2004" t="s">
        <v>81</v>
      </c>
      <c r="E2004" t="str">
        <f t="shared" si="121"/>
        <v>199</v>
      </c>
      <c r="F2004" t="s">
        <v>2127</v>
      </c>
      <c r="G2004" t="str">
        <f>"1156"</f>
        <v>1156</v>
      </c>
      <c r="H2004" t="str">
        <f>"0000"</f>
        <v>0000</v>
      </c>
      <c r="I2004" t="s">
        <v>83</v>
      </c>
      <c r="J2004">
        <v>0</v>
      </c>
      <c r="K2004">
        <v>1</v>
      </c>
      <c r="L2004">
        <v>3</v>
      </c>
      <c r="M2004">
        <v>255</v>
      </c>
      <c r="N2004">
        <v>516</v>
      </c>
      <c r="O2004">
        <v>0</v>
      </c>
      <c r="P2004">
        <v>516</v>
      </c>
      <c r="Q2004">
        <v>1</v>
      </c>
      <c r="R2004">
        <v>4</v>
      </c>
      <c r="S2004">
        <v>241</v>
      </c>
      <c r="T2004">
        <v>0</v>
      </c>
      <c r="U2004">
        <v>0</v>
      </c>
      <c r="V2004">
        <v>11</v>
      </c>
      <c r="X2004">
        <v>190</v>
      </c>
      <c r="Z2004">
        <v>3</v>
      </c>
      <c r="AA2004">
        <v>13</v>
      </c>
      <c r="AB2004">
        <v>48</v>
      </c>
      <c r="AU2004">
        <v>0</v>
      </c>
      <c r="AW2004">
        <v>0</v>
      </c>
      <c r="AX2004">
        <v>5</v>
      </c>
      <c r="AY2004">
        <v>516</v>
      </c>
      <c r="AZ2004">
        <v>516</v>
      </c>
      <c r="BA2004">
        <v>727</v>
      </c>
      <c r="BB2004">
        <v>44</v>
      </c>
      <c r="BD2004">
        <v>1</v>
      </c>
      <c r="BF2004" t="s">
        <v>2167</v>
      </c>
      <c r="BG2004" s="1">
        <v>44354.125</v>
      </c>
      <c r="BH2004" s="1">
        <v>44354.127418981479</v>
      </c>
      <c r="BI2004" s="1">
        <v>44354.127986111111</v>
      </c>
      <c r="BJ2004" t="s">
        <v>85</v>
      </c>
      <c r="BK2004" t="s">
        <v>86</v>
      </c>
      <c r="BL2004" t="s">
        <v>87</v>
      </c>
    </row>
    <row r="2005" spans="1:64" x14ac:dyDescent="0.3">
      <c r="A2005" t="str">
        <f>"201156E0100"</f>
        <v>201156E0100</v>
      </c>
      <c r="B2005" t="str">
        <f>"201156E01003"</f>
        <v>201156E01003</v>
      </c>
      <c r="C2005" t="str">
        <f t="shared" si="120"/>
        <v>20</v>
      </c>
      <c r="D2005" t="s">
        <v>81</v>
      </c>
      <c r="E2005" t="str">
        <f t="shared" si="121"/>
        <v>199</v>
      </c>
      <c r="F2005" t="s">
        <v>2127</v>
      </c>
      <c r="G2005" t="str">
        <f>"1156"</f>
        <v>1156</v>
      </c>
      <c r="H2005" t="str">
        <f>"0001"</f>
        <v>0001</v>
      </c>
      <c r="I2005" t="s">
        <v>122</v>
      </c>
      <c r="J2005">
        <v>0</v>
      </c>
      <c r="K2005">
        <v>1</v>
      </c>
      <c r="L2005">
        <v>3</v>
      </c>
      <c r="M2005">
        <v>129</v>
      </c>
      <c r="N2005">
        <v>278</v>
      </c>
      <c r="O2005">
        <v>10</v>
      </c>
      <c r="P2005">
        <v>278</v>
      </c>
      <c r="Q2005" t="s">
        <v>95</v>
      </c>
      <c r="R2005">
        <v>5</v>
      </c>
      <c r="S2005">
        <v>124</v>
      </c>
      <c r="T2005" t="s">
        <v>95</v>
      </c>
      <c r="U2005">
        <v>1</v>
      </c>
      <c r="V2005">
        <v>2</v>
      </c>
      <c r="X2005">
        <v>102</v>
      </c>
      <c r="Z2005">
        <v>3</v>
      </c>
      <c r="AA2005">
        <v>30</v>
      </c>
      <c r="AB2005">
        <v>1</v>
      </c>
      <c r="AU2005" t="s">
        <v>95</v>
      </c>
      <c r="AW2005" t="s">
        <v>95</v>
      </c>
      <c r="AX2005">
        <v>10</v>
      </c>
      <c r="AY2005">
        <v>278</v>
      </c>
      <c r="AZ2005">
        <v>278</v>
      </c>
      <c r="BA2005">
        <v>363</v>
      </c>
      <c r="BB2005">
        <v>44</v>
      </c>
      <c r="BC2005" t="s">
        <v>96</v>
      </c>
      <c r="BD2005">
        <v>1</v>
      </c>
      <c r="BF2005" t="s">
        <v>2168</v>
      </c>
      <c r="BG2005" s="1">
        <v>44354.1</v>
      </c>
      <c r="BH2005" s="1">
        <v>44354.103078703702</v>
      </c>
      <c r="BI2005" s="1">
        <v>44354.103495370371</v>
      </c>
      <c r="BJ2005" t="s">
        <v>85</v>
      </c>
      <c r="BK2005" t="s">
        <v>86</v>
      </c>
      <c r="BL2005" t="s">
        <v>87</v>
      </c>
    </row>
    <row r="2006" spans="1:64" x14ac:dyDescent="0.3">
      <c r="A2006" t="str">
        <f>"201157B0000"</f>
        <v>201157B0000</v>
      </c>
      <c r="B2006" t="str">
        <f>"201157B00003"</f>
        <v>201157B00003</v>
      </c>
      <c r="C2006" t="str">
        <f t="shared" si="120"/>
        <v>20</v>
      </c>
      <c r="D2006" t="s">
        <v>81</v>
      </c>
      <c r="E2006" t="str">
        <f t="shared" si="121"/>
        <v>199</v>
      </c>
      <c r="F2006" t="s">
        <v>2127</v>
      </c>
      <c r="G2006" t="str">
        <f>"1157"</f>
        <v>1157</v>
      </c>
      <c r="H2006" t="str">
        <f>"0000"</f>
        <v>0000</v>
      </c>
      <c r="I2006" t="s">
        <v>83</v>
      </c>
      <c r="J2006">
        <v>0</v>
      </c>
      <c r="K2006">
        <v>1</v>
      </c>
      <c r="L2006">
        <v>3</v>
      </c>
      <c r="M2006">
        <v>254</v>
      </c>
      <c r="N2006">
        <v>424</v>
      </c>
      <c r="O2006">
        <v>0</v>
      </c>
      <c r="P2006">
        <v>424</v>
      </c>
      <c r="Q2006">
        <v>0</v>
      </c>
      <c r="R2006">
        <v>15</v>
      </c>
      <c r="S2006">
        <v>194</v>
      </c>
      <c r="T2006">
        <v>0</v>
      </c>
      <c r="U2006">
        <v>6</v>
      </c>
      <c r="V2006">
        <v>16</v>
      </c>
      <c r="X2006">
        <v>163</v>
      </c>
      <c r="Z2006">
        <v>2</v>
      </c>
      <c r="AA2006">
        <v>9</v>
      </c>
      <c r="AB2006">
        <v>12</v>
      </c>
      <c r="AU2006">
        <v>0</v>
      </c>
      <c r="AW2006">
        <v>2</v>
      </c>
      <c r="AX2006">
        <v>5</v>
      </c>
      <c r="AY2006">
        <v>424</v>
      </c>
      <c r="AZ2006">
        <v>424</v>
      </c>
      <c r="BA2006">
        <v>634</v>
      </c>
      <c r="BB2006">
        <v>44</v>
      </c>
      <c r="BD2006">
        <v>1</v>
      </c>
      <c r="BF2006" t="s">
        <v>2169</v>
      </c>
      <c r="BG2006" s="1">
        <v>44354.126388888886</v>
      </c>
      <c r="BH2006" s="1">
        <v>44354.128842592596</v>
      </c>
      <c r="BI2006" s="1">
        <v>44354.129444444443</v>
      </c>
      <c r="BJ2006" t="s">
        <v>85</v>
      </c>
      <c r="BK2006" t="s">
        <v>86</v>
      </c>
      <c r="BL2006" t="s">
        <v>87</v>
      </c>
    </row>
    <row r="2007" spans="1:64" x14ac:dyDescent="0.3">
      <c r="A2007" t="str">
        <f>"201157C0100"</f>
        <v>201157C0100</v>
      </c>
      <c r="B2007" t="str">
        <f>"201157C01003"</f>
        <v>201157C01003</v>
      </c>
      <c r="C2007" t="str">
        <f t="shared" si="120"/>
        <v>20</v>
      </c>
      <c r="D2007" t="s">
        <v>81</v>
      </c>
      <c r="E2007" t="str">
        <f t="shared" si="121"/>
        <v>199</v>
      </c>
      <c r="F2007" t="s">
        <v>2127</v>
      </c>
      <c r="G2007" t="str">
        <f>"1157"</f>
        <v>1157</v>
      </c>
      <c r="H2007" t="str">
        <f>"0001"</f>
        <v>0001</v>
      </c>
      <c r="I2007" t="s">
        <v>89</v>
      </c>
      <c r="J2007">
        <v>0</v>
      </c>
      <c r="K2007">
        <v>1</v>
      </c>
      <c r="L2007">
        <v>3</v>
      </c>
      <c r="M2007">
        <v>258</v>
      </c>
      <c r="N2007">
        <v>420</v>
      </c>
      <c r="O2007">
        <v>0</v>
      </c>
      <c r="P2007">
        <v>420</v>
      </c>
      <c r="Q2007">
        <v>1</v>
      </c>
      <c r="R2007">
        <v>20</v>
      </c>
      <c r="S2007">
        <v>230</v>
      </c>
      <c r="T2007">
        <v>1</v>
      </c>
      <c r="U2007">
        <v>0</v>
      </c>
      <c r="V2007">
        <v>17</v>
      </c>
      <c r="X2007">
        <v>111</v>
      </c>
      <c r="Z2007">
        <v>1</v>
      </c>
      <c r="AA2007">
        <v>11</v>
      </c>
      <c r="AB2007">
        <v>9</v>
      </c>
      <c r="AU2007">
        <v>0</v>
      </c>
      <c r="AW2007">
        <v>3</v>
      </c>
      <c r="AX2007">
        <v>16</v>
      </c>
      <c r="AY2007">
        <v>420</v>
      </c>
      <c r="AZ2007">
        <v>420</v>
      </c>
      <c r="BA2007">
        <v>634</v>
      </c>
      <c r="BB2007">
        <v>44</v>
      </c>
      <c r="BD2007">
        <v>1</v>
      </c>
      <c r="BF2007" t="s">
        <v>2170</v>
      </c>
      <c r="BG2007" s="1">
        <v>44354.128472222219</v>
      </c>
      <c r="BH2007" s="1">
        <v>44354.134131944447</v>
      </c>
      <c r="BI2007" s="1">
        <v>44354.134340277778</v>
      </c>
      <c r="BJ2007" t="s">
        <v>85</v>
      </c>
      <c r="BK2007" t="s">
        <v>86</v>
      </c>
      <c r="BL2007" t="s">
        <v>87</v>
      </c>
    </row>
    <row r="2008" spans="1:64" x14ac:dyDescent="0.3">
      <c r="A2008" t="str">
        <f>"201158B0000"</f>
        <v>201158B0000</v>
      </c>
      <c r="B2008" t="str">
        <f>"201158B00003"</f>
        <v>201158B00003</v>
      </c>
      <c r="C2008" t="str">
        <f t="shared" si="120"/>
        <v>20</v>
      </c>
      <c r="D2008" t="s">
        <v>81</v>
      </c>
      <c r="E2008" t="str">
        <f t="shared" si="121"/>
        <v>199</v>
      </c>
      <c r="F2008" t="s">
        <v>2127</v>
      </c>
      <c r="G2008" t="str">
        <f>"1158"</f>
        <v>1158</v>
      </c>
      <c r="H2008" t="str">
        <f>"0000"</f>
        <v>0000</v>
      </c>
      <c r="I2008" t="s">
        <v>83</v>
      </c>
      <c r="J2008">
        <v>0</v>
      </c>
      <c r="K2008">
        <v>1</v>
      </c>
      <c r="L2008">
        <v>3</v>
      </c>
      <c r="M2008">
        <v>238</v>
      </c>
      <c r="N2008">
        <v>356</v>
      </c>
      <c r="O2008">
        <v>10</v>
      </c>
      <c r="P2008">
        <v>356</v>
      </c>
      <c r="Q2008">
        <v>2</v>
      </c>
      <c r="R2008">
        <v>21</v>
      </c>
      <c r="S2008">
        <v>113</v>
      </c>
      <c r="T2008">
        <v>1</v>
      </c>
      <c r="U2008">
        <v>1</v>
      </c>
      <c r="V2008">
        <v>6</v>
      </c>
      <c r="X2008">
        <v>125</v>
      </c>
      <c r="Z2008">
        <v>3</v>
      </c>
      <c r="AA2008">
        <v>41</v>
      </c>
      <c r="AB2008">
        <v>29</v>
      </c>
      <c r="AU2008">
        <v>0</v>
      </c>
      <c r="AW2008">
        <v>0</v>
      </c>
      <c r="AX2008">
        <v>14</v>
      </c>
      <c r="AY2008">
        <v>356</v>
      </c>
      <c r="AZ2008">
        <v>356</v>
      </c>
      <c r="BA2008">
        <v>550</v>
      </c>
      <c r="BB2008">
        <v>44</v>
      </c>
      <c r="BD2008">
        <v>1</v>
      </c>
      <c r="BF2008" t="s">
        <v>2171</v>
      </c>
      <c r="BG2008" s="1">
        <v>44354.101388888892</v>
      </c>
      <c r="BH2008" s="1">
        <v>44354.103807870371</v>
      </c>
      <c r="BI2008" s="1">
        <v>44354.104259259257</v>
      </c>
      <c r="BJ2008" t="s">
        <v>85</v>
      </c>
      <c r="BK2008" t="s">
        <v>86</v>
      </c>
      <c r="BL2008" t="s">
        <v>87</v>
      </c>
    </row>
    <row r="2009" spans="1:64" x14ac:dyDescent="0.3">
      <c r="A2009" t="str">
        <f>"201158C0100"</f>
        <v>201158C0100</v>
      </c>
      <c r="B2009" t="str">
        <f>"201158C01003"</f>
        <v>201158C01003</v>
      </c>
      <c r="C2009" t="str">
        <f t="shared" si="120"/>
        <v>20</v>
      </c>
      <c r="D2009" t="s">
        <v>81</v>
      </c>
      <c r="E2009" t="str">
        <f t="shared" si="121"/>
        <v>199</v>
      </c>
      <c r="F2009" t="s">
        <v>2127</v>
      </c>
      <c r="G2009" t="str">
        <f>"1158"</f>
        <v>1158</v>
      </c>
      <c r="H2009" t="str">
        <f>"0001"</f>
        <v>0001</v>
      </c>
      <c r="I2009" t="s">
        <v>89</v>
      </c>
      <c r="J2009">
        <v>0</v>
      </c>
      <c r="K2009">
        <v>1</v>
      </c>
      <c r="L2009">
        <v>3</v>
      </c>
      <c r="M2009">
        <v>390</v>
      </c>
      <c r="N2009">
        <v>390</v>
      </c>
      <c r="O2009">
        <v>0</v>
      </c>
      <c r="P2009">
        <v>390</v>
      </c>
      <c r="Q2009">
        <v>2</v>
      </c>
      <c r="R2009">
        <v>18</v>
      </c>
      <c r="S2009">
        <v>163</v>
      </c>
      <c r="T2009">
        <v>1</v>
      </c>
      <c r="U2009">
        <v>2</v>
      </c>
      <c r="V2009">
        <v>4</v>
      </c>
      <c r="X2009">
        <v>108</v>
      </c>
      <c r="Z2009">
        <v>3</v>
      </c>
      <c r="AA2009">
        <v>29</v>
      </c>
      <c r="AB2009">
        <v>42</v>
      </c>
      <c r="AU2009">
        <v>0</v>
      </c>
      <c r="AW2009">
        <v>0</v>
      </c>
      <c r="AX2009">
        <v>18</v>
      </c>
      <c r="AY2009">
        <v>390</v>
      </c>
      <c r="AZ2009">
        <v>390</v>
      </c>
      <c r="BA2009">
        <v>549</v>
      </c>
      <c r="BB2009">
        <v>44</v>
      </c>
      <c r="BD2009">
        <v>1</v>
      </c>
      <c r="BF2009" t="s">
        <v>2172</v>
      </c>
      <c r="BG2009" s="1">
        <v>44354.092361111114</v>
      </c>
      <c r="BH2009" s="1">
        <v>44354.097349537034</v>
      </c>
      <c r="BI2009" s="1">
        <v>44354.098344907405</v>
      </c>
      <c r="BJ2009" t="s">
        <v>85</v>
      </c>
      <c r="BK2009" t="s">
        <v>86</v>
      </c>
      <c r="BL2009" t="s">
        <v>87</v>
      </c>
    </row>
    <row r="2010" spans="1:64" x14ac:dyDescent="0.3">
      <c r="A2010" t="str">
        <f>"201158E0100"</f>
        <v>201158E0100</v>
      </c>
      <c r="B2010" t="str">
        <f>"201158E01003"</f>
        <v>201158E01003</v>
      </c>
      <c r="C2010" t="str">
        <f t="shared" si="120"/>
        <v>20</v>
      </c>
      <c r="D2010" t="s">
        <v>81</v>
      </c>
      <c r="E2010" t="str">
        <f t="shared" si="121"/>
        <v>199</v>
      </c>
      <c r="F2010" t="s">
        <v>2127</v>
      </c>
      <c r="G2010" t="str">
        <f>"1158"</f>
        <v>1158</v>
      </c>
      <c r="H2010" t="str">
        <f>"0001"</f>
        <v>0001</v>
      </c>
      <c r="I2010" t="s">
        <v>122</v>
      </c>
      <c r="J2010">
        <v>0</v>
      </c>
      <c r="K2010">
        <v>1</v>
      </c>
      <c r="L2010">
        <v>3</v>
      </c>
      <c r="M2010">
        <v>80</v>
      </c>
      <c r="N2010">
        <v>152</v>
      </c>
      <c r="O2010">
        <v>8</v>
      </c>
      <c r="P2010">
        <v>152</v>
      </c>
      <c r="Q2010">
        <v>0</v>
      </c>
      <c r="R2010">
        <v>0</v>
      </c>
      <c r="S2010">
        <v>55</v>
      </c>
      <c r="T2010">
        <v>0</v>
      </c>
      <c r="U2010">
        <v>1</v>
      </c>
      <c r="V2010">
        <v>1</v>
      </c>
      <c r="X2010">
        <v>92</v>
      </c>
      <c r="Z2010">
        <v>0</v>
      </c>
      <c r="AA2010">
        <v>1</v>
      </c>
      <c r="AB2010">
        <v>2</v>
      </c>
      <c r="AU2010">
        <v>0</v>
      </c>
      <c r="AW2010">
        <v>0</v>
      </c>
      <c r="AX2010">
        <v>0</v>
      </c>
      <c r="AY2010">
        <v>152</v>
      </c>
      <c r="AZ2010">
        <v>152</v>
      </c>
      <c r="BA2010">
        <v>188</v>
      </c>
      <c r="BB2010">
        <v>44</v>
      </c>
      <c r="BD2010">
        <v>1</v>
      </c>
      <c r="BF2010" t="s">
        <v>2173</v>
      </c>
      <c r="BG2010" s="1">
        <v>44354.098611111112</v>
      </c>
      <c r="BH2010" s="1">
        <v>44354.100763888891</v>
      </c>
      <c r="BI2010" s="1">
        <v>44354.101238425923</v>
      </c>
      <c r="BJ2010" t="s">
        <v>85</v>
      </c>
      <c r="BK2010" t="s">
        <v>86</v>
      </c>
      <c r="BL2010" t="s">
        <v>87</v>
      </c>
    </row>
    <row r="2011" spans="1:64" x14ac:dyDescent="0.3">
      <c r="A2011" t="str">
        <f>"201159B0000"</f>
        <v>201159B0000</v>
      </c>
      <c r="B2011" t="str">
        <f>"201159B00003"</f>
        <v>201159B00003</v>
      </c>
      <c r="C2011" t="str">
        <f t="shared" si="120"/>
        <v>20</v>
      </c>
      <c r="D2011" t="s">
        <v>81</v>
      </c>
      <c r="E2011" t="str">
        <f t="shared" si="121"/>
        <v>199</v>
      </c>
      <c r="F2011" t="s">
        <v>2127</v>
      </c>
      <c r="G2011" t="str">
        <f>"1159"</f>
        <v>1159</v>
      </c>
      <c r="H2011" t="str">
        <f>"0000"</f>
        <v>0000</v>
      </c>
      <c r="I2011" t="s">
        <v>83</v>
      </c>
      <c r="J2011">
        <v>0</v>
      </c>
      <c r="K2011">
        <v>1</v>
      </c>
      <c r="L2011">
        <v>3</v>
      </c>
      <c r="M2011">
        <v>180</v>
      </c>
      <c r="N2011">
        <v>392</v>
      </c>
      <c r="O2011">
        <v>0</v>
      </c>
      <c r="P2011">
        <v>392</v>
      </c>
      <c r="Q2011">
        <v>0</v>
      </c>
      <c r="R2011">
        <v>12</v>
      </c>
      <c r="S2011">
        <v>179</v>
      </c>
      <c r="T2011">
        <v>0</v>
      </c>
      <c r="U2011">
        <v>2</v>
      </c>
      <c r="V2011">
        <v>20</v>
      </c>
      <c r="X2011">
        <v>105</v>
      </c>
      <c r="Z2011">
        <v>2</v>
      </c>
      <c r="AA2011">
        <v>36</v>
      </c>
      <c r="AB2011">
        <v>28</v>
      </c>
      <c r="AU2011">
        <v>0</v>
      </c>
      <c r="AW2011">
        <v>2</v>
      </c>
      <c r="AX2011">
        <v>6</v>
      </c>
      <c r="AY2011">
        <v>392</v>
      </c>
      <c r="AZ2011">
        <v>392</v>
      </c>
      <c r="BA2011">
        <v>528</v>
      </c>
      <c r="BB2011">
        <v>44</v>
      </c>
      <c r="BD2011">
        <v>1</v>
      </c>
      <c r="BF2011" t="s">
        <v>2174</v>
      </c>
      <c r="BG2011" s="1">
        <v>44354.065972222219</v>
      </c>
      <c r="BH2011" s="1">
        <v>44354.071122685185</v>
      </c>
      <c r="BI2011" s="1">
        <v>44354.071550925924</v>
      </c>
      <c r="BJ2011" t="s">
        <v>85</v>
      </c>
      <c r="BK2011" t="s">
        <v>86</v>
      </c>
      <c r="BL2011" t="s">
        <v>87</v>
      </c>
    </row>
    <row r="2012" spans="1:64" x14ac:dyDescent="0.3">
      <c r="A2012" t="str">
        <f>"201159C0100"</f>
        <v>201159C0100</v>
      </c>
      <c r="B2012" t="str">
        <f>"201159C01003"</f>
        <v>201159C01003</v>
      </c>
      <c r="C2012" t="str">
        <f t="shared" si="120"/>
        <v>20</v>
      </c>
      <c r="D2012" t="s">
        <v>81</v>
      </c>
      <c r="E2012" t="str">
        <f t="shared" si="121"/>
        <v>199</v>
      </c>
      <c r="F2012" t="s">
        <v>2127</v>
      </c>
      <c r="G2012" t="str">
        <f>"1159"</f>
        <v>1159</v>
      </c>
      <c r="H2012" t="str">
        <f>"0001"</f>
        <v>0001</v>
      </c>
      <c r="I2012" t="s">
        <v>89</v>
      </c>
      <c r="J2012">
        <v>0</v>
      </c>
      <c r="K2012">
        <v>1</v>
      </c>
      <c r="L2012">
        <v>3</v>
      </c>
      <c r="M2012">
        <v>187</v>
      </c>
      <c r="N2012">
        <v>384</v>
      </c>
      <c r="O2012">
        <v>0</v>
      </c>
      <c r="P2012">
        <v>384</v>
      </c>
      <c r="Q2012">
        <v>0</v>
      </c>
      <c r="R2012">
        <v>13</v>
      </c>
      <c r="S2012">
        <v>162</v>
      </c>
      <c r="T2012">
        <v>3</v>
      </c>
      <c r="U2012">
        <v>1</v>
      </c>
      <c r="V2012">
        <v>13</v>
      </c>
      <c r="X2012">
        <v>117</v>
      </c>
      <c r="Z2012">
        <v>2</v>
      </c>
      <c r="AA2012">
        <v>46</v>
      </c>
      <c r="AB2012">
        <v>19</v>
      </c>
      <c r="AU2012">
        <v>0</v>
      </c>
      <c r="AW2012">
        <v>3</v>
      </c>
      <c r="AX2012">
        <v>5</v>
      </c>
      <c r="AY2012">
        <v>384</v>
      </c>
      <c r="AZ2012">
        <v>384</v>
      </c>
      <c r="BA2012">
        <v>527</v>
      </c>
      <c r="BB2012">
        <v>44</v>
      </c>
      <c r="BD2012">
        <v>1</v>
      </c>
      <c r="BF2012" t="s">
        <v>2175</v>
      </c>
      <c r="BG2012" s="1">
        <v>44354.075694444444</v>
      </c>
      <c r="BH2012" s="1">
        <v>44354.082245370373</v>
      </c>
      <c r="BI2012" s="1">
        <v>44354.082696759258</v>
      </c>
      <c r="BJ2012" t="s">
        <v>85</v>
      </c>
      <c r="BK2012" t="s">
        <v>86</v>
      </c>
      <c r="BL2012" t="s">
        <v>87</v>
      </c>
    </row>
    <row r="2013" spans="1:64" x14ac:dyDescent="0.3">
      <c r="A2013" t="str">
        <f>"201160B0000"</f>
        <v>201160B0000</v>
      </c>
      <c r="B2013" t="str">
        <f>"201160B00003"</f>
        <v>201160B00003</v>
      </c>
      <c r="C2013" t="str">
        <f t="shared" si="120"/>
        <v>20</v>
      </c>
      <c r="D2013" t="s">
        <v>81</v>
      </c>
      <c r="E2013" t="str">
        <f t="shared" si="121"/>
        <v>199</v>
      </c>
      <c r="F2013" t="s">
        <v>2127</v>
      </c>
      <c r="G2013" t="str">
        <f>"1160"</f>
        <v>1160</v>
      </c>
      <c r="H2013" t="str">
        <f>"0000"</f>
        <v>0000</v>
      </c>
      <c r="I2013" t="s">
        <v>83</v>
      </c>
      <c r="J2013">
        <v>0</v>
      </c>
      <c r="K2013">
        <v>1</v>
      </c>
      <c r="L2013">
        <v>3</v>
      </c>
      <c r="M2013">
        <v>193</v>
      </c>
      <c r="N2013">
        <v>499</v>
      </c>
      <c r="O2013">
        <v>0</v>
      </c>
      <c r="P2013">
        <v>499</v>
      </c>
      <c r="Q2013">
        <v>0</v>
      </c>
      <c r="R2013">
        <v>12</v>
      </c>
      <c r="S2013">
        <v>324</v>
      </c>
      <c r="T2013">
        <v>0</v>
      </c>
      <c r="U2013">
        <v>4</v>
      </c>
      <c r="V2013">
        <v>0</v>
      </c>
      <c r="X2013">
        <v>80</v>
      </c>
      <c r="Z2013">
        <v>0</v>
      </c>
      <c r="AA2013">
        <v>14</v>
      </c>
      <c r="AB2013">
        <v>9</v>
      </c>
      <c r="AU2013">
        <v>0</v>
      </c>
      <c r="AW2013">
        <v>47</v>
      </c>
      <c r="AX2013">
        <v>9</v>
      </c>
      <c r="AY2013">
        <v>499</v>
      </c>
      <c r="AZ2013">
        <v>499</v>
      </c>
      <c r="BA2013">
        <v>648</v>
      </c>
      <c r="BB2013">
        <v>44</v>
      </c>
      <c r="BD2013">
        <v>1</v>
      </c>
      <c r="BF2013" t="s">
        <v>2176</v>
      </c>
      <c r="BG2013" s="1">
        <v>44354.043749999997</v>
      </c>
      <c r="BH2013" s="1">
        <v>44354.052291666667</v>
      </c>
      <c r="BI2013" s="1">
        <v>44354.052858796298</v>
      </c>
      <c r="BJ2013" t="s">
        <v>85</v>
      </c>
      <c r="BK2013" t="s">
        <v>86</v>
      </c>
      <c r="BL2013" t="s">
        <v>87</v>
      </c>
    </row>
    <row r="2014" spans="1:64" x14ac:dyDescent="0.3">
      <c r="A2014" t="str">
        <f>"201160C0100"</f>
        <v>201160C0100</v>
      </c>
      <c r="B2014" t="str">
        <f>"201160C01003"</f>
        <v>201160C01003</v>
      </c>
      <c r="C2014" t="str">
        <f t="shared" si="120"/>
        <v>20</v>
      </c>
      <c r="D2014" t="s">
        <v>81</v>
      </c>
      <c r="E2014" t="str">
        <f t="shared" si="121"/>
        <v>199</v>
      </c>
      <c r="F2014" t="s">
        <v>2127</v>
      </c>
      <c r="G2014" t="str">
        <f>"1160"</f>
        <v>1160</v>
      </c>
      <c r="H2014" t="str">
        <f>"0001"</f>
        <v>0001</v>
      </c>
      <c r="I2014" t="s">
        <v>89</v>
      </c>
      <c r="J2014">
        <v>0</v>
      </c>
      <c r="K2014">
        <v>1</v>
      </c>
      <c r="L2014">
        <v>3</v>
      </c>
      <c r="M2014">
        <v>192</v>
      </c>
      <c r="N2014">
        <v>500</v>
      </c>
      <c r="O2014">
        <v>0</v>
      </c>
      <c r="P2014">
        <v>500</v>
      </c>
      <c r="Q2014">
        <v>0</v>
      </c>
      <c r="R2014">
        <v>3</v>
      </c>
      <c r="S2014">
        <v>338</v>
      </c>
      <c r="T2014">
        <v>0</v>
      </c>
      <c r="U2014">
        <v>2</v>
      </c>
      <c r="V2014">
        <v>0</v>
      </c>
      <c r="X2014">
        <v>85</v>
      </c>
      <c r="Z2014">
        <v>0</v>
      </c>
      <c r="AA2014">
        <v>31</v>
      </c>
      <c r="AB2014">
        <v>12</v>
      </c>
      <c r="AU2014">
        <v>0</v>
      </c>
      <c r="AW2014">
        <v>26</v>
      </c>
      <c r="AX2014">
        <v>3</v>
      </c>
      <c r="AY2014">
        <v>500</v>
      </c>
      <c r="AZ2014">
        <v>500</v>
      </c>
      <c r="BA2014">
        <v>648</v>
      </c>
      <c r="BB2014">
        <v>44</v>
      </c>
      <c r="BD2014">
        <v>1</v>
      </c>
      <c r="BF2014" t="s">
        <v>2177</v>
      </c>
      <c r="BG2014" s="1">
        <v>44354.040972222225</v>
      </c>
      <c r="BH2014" s="1">
        <v>44354.049953703703</v>
      </c>
      <c r="BI2014" s="1">
        <v>44354.050532407404</v>
      </c>
      <c r="BJ2014" t="s">
        <v>85</v>
      </c>
      <c r="BK2014" t="s">
        <v>86</v>
      </c>
      <c r="BL2014" t="s">
        <v>87</v>
      </c>
    </row>
    <row r="2015" spans="1:64" x14ac:dyDescent="0.3">
      <c r="A2015" t="str">
        <f>"201161B0000"</f>
        <v>201161B0000</v>
      </c>
      <c r="B2015" t="str">
        <f>"201161B00003"</f>
        <v>201161B00003</v>
      </c>
      <c r="C2015" t="str">
        <f t="shared" si="120"/>
        <v>20</v>
      </c>
      <c r="D2015" t="s">
        <v>81</v>
      </c>
      <c r="E2015" t="str">
        <f t="shared" si="121"/>
        <v>199</v>
      </c>
      <c r="F2015" t="s">
        <v>2127</v>
      </c>
      <c r="G2015" t="str">
        <f>"1161"</f>
        <v>1161</v>
      </c>
      <c r="H2015" t="str">
        <f>"0000"</f>
        <v>0000</v>
      </c>
      <c r="I2015" t="s">
        <v>83</v>
      </c>
      <c r="J2015">
        <v>0</v>
      </c>
      <c r="K2015">
        <v>1</v>
      </c>
      <c r="L2015">
        <v>3</v>
      </c>
      <c r="M2015">
        <v>129</v>
      </c>
      <c r="N2015">
        <v>454</v>
      </c>
      <c r="O2015">
        <v>0</v>
      </c>
      <c r="P2015">
        <v>454</v>
      </c>
      <c r="Q2015">
        <v>0</v>
      </c>
      <c r="R2015">
        <v>1</v>
      </c>
      <c r="S2015">
        <v>219</v>
      </c>
      <c r="T2015">
        <v>0</v>
      </c>
      <c r="U2015">
        <v>0</v>
      </c>
      <c r="V2015">
        <v>11</v>
      </c>
      <c r="X2015">
        <v>141</v>
      </c>
      <c r="Z2015">
        <v>0</v>
      </c>
      <c r="AA2015">
        <v>0</v>
      </c>
      <c r="AB2015">
        <v>66</v>
      </c>
      <c r="AU2015">
        <v>0</v>
      </c>
      <c r="AW2015">
        <v>14</v>
      </c>
      <c r="AX2015">
        <v>2</v>
      </c>
      <c r="AY2015">
        <v>454</v>
      </c>
      <c r="AZ2015">
        <v>454</v>
      </c>
      <c r="BA2015">
        <v>539</v>
      </c>
      <c r="BB2015">
        <v>44</v>
      </c>
      <c r="BD2015">
        <v>1</v>
      </c>
      <c r="BF2015" t="s">
        <v>2178</v>
      </c>
      <c r="BG2015" s="1">
        <v>44354.04583333333</v>
      </c>
      <c r="BH2015" s="1">
        <v>44354.053333333337</v>
      </c>
      <c r="BI2015" s="1">
        <v>44354.053842592592</v>
      </c>
      <c r="BJ2015" t="s">
        <v>85</v>
      </c>
      <c r="BK2015" t="s">
        <v>86</v>
      </c>
      <c r="BL2015" t="s">
        <v>87</v>
      </c>
    </row>
    <row r="2016" spans="1:64" x14ac:dyDescent="0.3">
      <c r="A2016" t="str">
        <f>"201161C0100"</f>
        <v>201161C0100</v>
      </c>
      <c r="B2016" t="str">
        <f>"201161C01003"</f>
        <v>201161C01003</v>
      </c>
      <c r="C2016" t="str">
        <f t="shared" si="120"/>
        <v>20</v>
      </c>
      <c r="D2016" t="s">
        <v>81</v>
      </c>
      <c r="E2016" t="str">
        <f t="shared" si="121"/>
        <v>199</v>
      </c>
      <c r="F2016" t="s">
        <v>2127</v>
      </c>
      <c r="G2016" t="str">
        <f>"1161"</f>
        <v>1161</v>
      </c>
      <c r="H2016" t="str">
        <f>"0001"</f>
        <v>0001</v>
      </c>
      <c r="I2016" t="s">
        <v>89</v>
      </c>
      <c r="J2016">
        <v>0</v>
      </c>
      <c r="K2016">
        <v>1</v>
      </c>
      <c r="L2016">
        <v>3</v>
      </c>
      <c r="M2016">
        <v>143</v>
      </c>
      <c r="N2016">
        <v>439</v>
      </c>
      <c r="O2016">
        <v>2</v>
      </c>
      <c r="P2016">
        <v>439</v>
      </c>
      <c r="Q2016">
        <v>0</v>
      </c>
      <c r="R2016">
        <v>1</v>
      </c>
      <c r="S2016">
        <v>216</v>
      </c>
      <c r="T2016">
        <v>0</v>
      </c>
      <c r="U2016">
        <v>0</v>
      </c>
      <c r="V2016">
        <v>21</v>
      </c>
      <c r="X2016">
        <v>105</v>
      </c>
      <c r="Z2016">
        <v>1</v>
      </c>
      <c r="AA2016">
        <v>2</v>
      </c>
      <c r="AB2016">
        <v>79</v>
      </c>
      <c r="AU2016">
        <v>0</v>
      </c>
      <c r="AW2016">
        <v>14</v>
      </c>
      <c r="AX2016">
        <v>0</v>
      </c>
      <c r="AY2016">
        <v>439</v>
      </c>
      <c r="AZ2016">
        <v>439</v>
      </c>
      <c r="BA2016">
        <v>538</v>
      </c>
      <c r="BB2016">
        <v>44</v>
      </c>
      <c r="BD2016">
        <v>1</v>
      </c>
      <c r="BF2016" t="s">
        <v>2179</v>
      </c>
      <c r="BG2016" s="1">
        <v>44354.039583333331</v>
      </c>
      <c r="BH2016" s="1">
        <v>44354.048773148148</v>
      </c>
      <c r="BI2016" s="1">
        <v>44354.049120370371</v>
      </c>
      <c r="BJ2016" t="s">
        <v>85</v>
      </c>
      <c r="BK2016" t="s">
        <v>86</v>
      </c>
      <c r="BL2016" t="s">
        <v>87</v>
      </c>
    </row>
    <row r="2017" spans="1:64" x14ac:dyDescent="0.3">
      <c r="A2017" t="str">
        <f>"201162B0000"</f>
        <v>201162B0000</v>
      </c>
      <c r="B2017" t="str">
        <f>"201162B00003"</f>
        <v>201162B00003</v>
      </c>
      <c r="C2017" t="str">
        <f t="shared" si="120"/>
        <v>20</v>
      </c>
      <c r="D2017" t="s">
        <v>81</v>
      </c>
      <c r="E2017" t="str">
        <f>"200"</f>
        <v>200</v>
      </c>
      <c r="F2017" t="s">
        <v>2180</v>
      </c>
      <c r="G2017" t="str">
        <f>"1162"</f>
        <v>1162</v>
      </c>
      <c r="H2017" t="str">
        <f>"0000"</f>
        <v>0000</v>
      </c>
      <c r="I2017" t="s">
        <v>83</v>
      </c>
      <c r="J2017">
        <v>0</v>
      </c>
      <c r="K2017">
        <v>1</v>
      </c>
      <c r="L2017">
        <v>3</v>
      </c>
      <c r="M2017">
        <v>200</v>
      </c>
      <c r="N2017">
        <v>196</v>
      </c>
      <c r="O2017">
        <v>0</v>
      </c>
      <c r="P2017">
        <v>196</v>
      </c>
      <c r="Q2017">
        <v>5</v>
      </c>
      <c r="R2017">
        <v>74</v>
      </c>
      <c r="S2017">
        <v>0</v>
      </c>
      <c r="U2017">
        <v>1</v>
      </c>
      <c r="X2017">
        <v>105</v>
      </c>
      <c r="Z2017">
        <v>5</v>
      </c>
      <c r="AK2017">
        <v>0</v>
      </c>
      <c r="AO2017">
        <v>0</v>
      </c>
      <c r="AP2017">
        <v>0</v>
      </c>
      <c r="AR2017">
        <v>0</v>
      </c>
      <c r="AW2017">
        <v>0</v>
      </c>
      <c r="AX2017">
        <v>6</v>
      </c>
      <c r="AY2017">
        <v>196</v>
      </c>
      <c r="AZ2017">
        <v>196</v>
      </c>
      <c r="BA2017">
        <v>352</v>
      </c>
      <c r="BB2017">
        <v>44</v>
      </c>
      <c r="BD2017">
        <v>1</v>
      </c>
      <c r="BF2017" t="s">
        <v>2181</v>
      </c>
      <c r="BG2017" s="1">
        <v>44354.509722222225</v>
      </c>
      <c r="BH2017" s="1">
        <v>44354.51258101852</v>
      </c>
      <c r="BI2017" s="1">
        <v>44354.513032407405</v>
      </c>
      <c r="BJ2017" t="s">
        <v>85</v>
      </c>
      <c r="BK2017" t="s">
        <v>86</v>
      </c>
      <c r="BL2017" t="s">
        <v>87</v>
      </c>
    </row>
    <row r="2018" spans="1:64" x14ac:dyDescent="0.3">
      <c r="A2018" t="str">
        <f>"201163B0000"</f>
        <v>201163B0000</v>
      </c>
      <c r="B2018" t="str">
        <f>"201163B00003"</f>
        <v>201163B00003</v>
      </c>
      <c r="C2018" t="str">
        <f t="shared" si="120"/>
        <v>20</v>
      </c>
      <c r="D2018" t="s">
        <v>81</v>
      </c>
      <c r="E2018" t="str">
        <f>"200"</f>
        <v>200</v>
      </c>
      <c r="F2018" t="s">
        <v>2180</v>
      </c>
      <c r="G2018" t="str">
        <f>"1163"</f>
        <v>1163</v>
      </c>
      <c r="H2018" t="str">
        <f>"0000"</f>
        <v>0000</v>
      </c>
      <c r="I2018" t="s">
        <v>83</v>
      </c>
      <c r="J2018">
        <v>0</v>
      </c>
      <c r="K2018">
        <v>1</v>
      </c>
      <c r="L2018">
        <v>3</v>
      </c>
      <c r="M2018">
        <v>107</v>
      </c>
      <c r="N2018">
        <v>117</v>
      </c>
      <c r="O2018">
        <v>0</v>
      </c>
      <c r="P2018">
        <v>117</v>
      </c>
      <c r="Q2018">
        <v>3</v>
      </c>
      <c r="R2018">
        <v>88</v>
      </c>
      <c r="S2018">
        <v>2</v>
      </c>
      <c r="U2018">
        <v>2</v>
      </c>
      <c r="X2018">
        <v>17</v>
      </c>
      <c r="Z2018">
        <v>3</v>
      </c>
      <c r="AK2018">
        <v>0</v>
      </c>
      <c r="AO2018">
        <v>0</v>
      </c>
      <c r="AP2018">
        <v>0</v>
      </c>
      <c r="AR2018">
        <v>0</v>
      </c>
      <c r="AW2018" t="s">
        <v>95</v>
      </c>
      <c r="AX2018">
        <v>2</v>
      </c>
      <c r="AY2018">
        <v>17</v>
      </c>
      <c r="AZ2018">
        <v>117</v>
      </c>
      <c r="BA2018">
        <v>180</v>
      </c>
      <c r="BB2018">
        <v>44</v>
      </c>
      <c r="BC2018" t="s">
        <v>96</v>
      </c>
      <c r="BD2018">
        <v>1</v>
      </c>
      <c r="BF2018" t="s">
        <v>2182</v>
      </c>
      <c r="BG2018" s="1">
        <v>44354.509722222225</v>
      </c>
      <c r="BH2018" s="1">
        <v>44354.511458333334</v>
      </c>
      <c r="BI2018" s="1">
        <v>44354.515601851854</v>
      </c>
      <c r="BJ2018" t="s">
        <v>85</v>
      </c>
      <c r="BK2018" t="s">
        <v>86</v>
      </c>
      <c r="BL2018" t="s">
        <v>87</v>
      </c>
    </row>
    <row r="2019" spans="1:64" x14ac:dyDescent="0.3">
      <c r="A2019" t="str">
        <f>"201238B0000"</f>
        <v>201238B0000</v>
      </c>
      <c r="B2019" t="str">
        <f>"201238B00003"</f>
        <v>201238B00003</v>
      </c>
      <c r="C2019" t="str">
        <f t="shared" si="120"/>
        <v>20</v>
      </c>
      <c r="D2019" t="s">
        <v>81</v>
      </c>
      <c r="E2019" t="str">
        <f t="shared" ref="E2019:E2025" si="122">"225"</f>
        <v>225</v>
      </c>
      <c r="F2019" t="s">
        <v>2183</v>
      </c>
      <c r="G2019" t="str">
        <f>"1238"</f>
        <v>1238</v>
      </c>
      <c r="H2019" t="str">
        <f>"0000"</f>
        <v>0000</v>
      </c>
      <c r="I2019" t="s">
        <v>83</v>
      </c>
      <c r="J2019">
        <v>0</v>
      </c>
      <c r="K2019">
        <v>1</v>
      </c>
      <c r="L2019">
        <v>3</v>
      </c>
      <c r="M2019" t="s">
        <v>92</v>
      </c>
      <c r="N2019" t="s">
        <v>92</v>
      </c>
      <c r="O2019" t="s">
        <v>92</v>
      </c>
      <c r="P2019">
        <v>584</v>
      </c>
      <c r="Q2019">
        <v>225</v>
      </c>
      <c r="R2019">
        <v>0</v>
      </c>
      <c r="S2019">
        <v>4</v>
      </c>
      <c r="T2019">
        <v>2</v>
      </c>
      <c r="U2019">
        <v>107</v>
      </c>
      <c r="W2019">
        <v>5</v>
      </c>
      <c r="X2019">
        <v>128</v>
      </c>
      <c r="Y2019">
        <v>73</v>
      </c>
      <c r="Z2019">
        <v>7</v>
      </c>
      <c r="AB2019">
        <v>15</v>
      </c>
      <c r="AF2019">
        <v>3</v>
      </c>
      <c r="AG2019">
        <v>0</v>
      </c>
      <c r="AH2019">
        <v>0</v>
      </c>
      <c r="AI2019">
        <v>0</v>
      </c>
      <c r="AU2019">
        <v>1</v>
      </c>
      <c r="AW2019">
        <v>0</v>
      </c>
      <c r="AX2019">
        <v>14</v>
      </c>
      <c r="AY2019">
        <v>584</v>
      </c>
      <c r="AZ2019">
        <v>584</v>
      </c>
      <c r="BA2019">
        <v>744</v>
      </c>
      <c r="BB2019">
        <v>44</v>
      </c>
      <c r="BD2019">
        <v>1</v>
      </c>
      <c r="BF2019" t="s">
        <v>2184</v>
      </c>
      <c r="BG2019" s="1">
        <v>44354.531944444447</v>
      </c>
      <c r="BH2019" s="1">
        <v>44354.537627314814</v>
      </c>
      <c r="BI2019" s="1">
        <v>44354.538124999999</v>
      </c>
      <c r="BJ2019" t="s">
        <v>85</v>
      </c>
      <c r="BK2019" t="s">
        <v>86</v>
      </c>
      <c r="BL2019" t="s">
        <v>87</v>
      </c>
    </row>
    <row r="2020" spans="1:64" x14ac:dyDescent="0.3">
      <c r="A2020" t="str">
        <f>"201238C0100"</f>
        <v>201238C0100</v>
      </c>
      <c r="B2020" t="str">
        <f>"201238C01003"</f>
        <v>201238C01003</v>
      </c>
      <c r="C2020" t="str">
        <f t="shared" si="120"/>
        <v>20</v>
      </c>
      <c r="D2020" t="s">
        <v>81</v>
      </c>
      <c r="E2020" t="str">
        <f t="shared" si="122"/>
        <v>225</v>
      </c>
      <c r="F2020" t="s">
        <v>2183</v>
      </c>
      <c r="G2020" t="str">
        <f>"1238"</f>
        <v>1238</v>
      </c>
      <c r="H2020" t="str">
        <f>"0001"</f>
        <v>0001</v>
      </c>
      <c r="I2020" t="s">
        <v>89</v>
      </c>
      <c r="J2020">
        <v>0</v>
      </c>
      <c r="K2020">
        <v>1</v>
      </c>
      <c r="L2020">
        <v>3</v>
      </c>
      <c r="M2020">
        <v>234</v>
      </c>
      <c r="N2020">
        <v>553</v>
      </c>
      <c r="O2020">
        <v>0</v>
      </c>
      <c r="P2020">
        <v>554</v>
      </c>
      <c r="Q2020">
        <v>178</v>
      </c>
      <c r="R2020">
        <v>1</v>
      </c>
      <c r="S2020">
        <v>4</v>
      </c>
      <c r="T2020">
        <v>0</v>
      </c>
      <c r="U2020">
        <v>137</v>
      </c>
      <c r="W2020">
        <v>4</v>
      </c>
      <c r="X2020">
        <v>92</v>
      </c>
      <c r="Y2020">
        <v>74</v>
      </c>
      <c r="Z2020">
        <v>3</v>
      </c>
      <c r="AB2020">
        <v>40</v>
      </c>
      <c r="AF2020">
        <v>0</v>
      </c>
      <c r="AG2020">
        <v>1</v>
      </c>
      <c r="AH2020">
        <v>1</v>
      </c>
      <c r="AI2020">
        <v>0</v>
      </c>
      <c r="AU2020">
        <v>0</v>
      </c>
      <c r="AW2020">
        <v>0</v>
      </c>
      <c r="AX2020">
        <v>19</v>
      </c>
      <c r="AY2020">
        <v>554</v>
      </c>
      <c r="AZ2020">
        <v>554</v>
      </c>
      <c r="BA2020">
        <v>744</v>
      </c>
      <c r="BB2020">
        <v>44</v>
      </c>
      <c r="BD2020">
        <v>1</v>
      </c>
      <c r="BF2020" s="2" t="s">
        <v>2185</v>
      </c>
      <c r="BG2020" s="1">
        <v>44354.533333333333</v>
      </c>
      <c r="BH2020" s="1">
        <v>44354.538564814815</v>
      </c>
      <c r="BI2020" s="1">
        <v>44354.539652777778</v>
      </c>
      <c r="BJ2020" t="s">
        <v>85</v>
      </c>
      <c r="BK2020" t="s">
        <v>86</v>
      </c>
      <c r="BL2020" t="s">
        <v>87</v>
      </c>
    </row>
    <row r="2021" spans="1:64" x14ac:dyDescent="0.3">
      <c r="A2021" t="str">
        <f>"201239B0000"</f>
        <v>201239B0000</v>
      </c>
      <c r="B2021" t="str">
        <f>"201239B00003"</f>
        <v>201239B00003</v>
      </c>
      <c r="C2021" t="str">
        <f t="shared" si="120"/>
        <v>20</v>
      </c>
      <c r="D2021" t="s">
        <v>81</v>
      </c>
      <c r="E2021" t="str">
        <f t="shared" si="122"/>
        <v>225</v>
      </c>
      <c r="F2021" t="s">
        <v>2183</v>
      </c>
      <c r="G2021" t="str">
        <f>"1239"</f>
        <v>1239</v>
      </c>
      <c r="H2021" t="str">
        <f>"0000"</f>
        <v>0000</v>
      </c>
      <c r="I2021" t="s">
        <v>83</v>
      </c>
      <c r="J2021">
        <v>0</v>
      </c>
      <c r="K2021">
        <v>1</v>
      </c>
      <c r="L2021">
        <v>3</v>
      </c>
      <c r="M2021">
        <v>128</v>
      </c>
      <c r="N2021">
        <v>333</v>
      </c>
      <c r="O2021">
        <v>0</v>
      </c>
      <c r="P2021">
        <v>326</v>
      </c>
      <c r="Q2021">
        <v>119</v>
      </c>
      <c r="R2021">
        <v>0</v>
      </c>
      <c r="S2021">
        <v>1</v>
      </c>
      <c r="T2021">
        <v>0</v>
      </c>
      <c r="U2021">
        <v>13</v>
      </c>
      <c r="W2021">
        <v>0</v>
      </c>
      <c r="X2021">
        <v>113</v>
      </c>
      <c r="Y2021">
        <v>64</v>
      </c>
      <c r="Z2021">
        <v>2</v>
      </c>
      <c r="AB2021">
        <v>10</v>
      </c>
      <c r="AF2021">
        <v>1</v>
      </c>
      <c r="AG2021">
        <v>0</v>
      </c>
      <c r="AH2021">
        <v>0</v>
      </c>
      <c r="AI2021">
        <v>0</v>
      </c>
      <c r="AU2021">
        <v>0</v>
      </c>
      <c r="AW2021">
        <v>0</v>
      </c>
      <c r="AX2021">
        <v>3</v>
      </c>
      <c r="AY2021">
        <v>326</v>
      </c>
      <c r="AZ2021">
        <v>326</v>
      </c>
      <c r="BA2021">
        <v>417</v>
      </c>
      <c r="BB2021">
        <v>44</v>
      </c>
      <c r="BD2021">
        <v>1</v>
      </c>
      <c r="BF2021" t="s">
        <v>2186</v>
      </c>
      <c r="BG2021" s="1">
        <v>44354.53125</v>
      </c>
      <c r="BH2021" s="1">
        <v>44354.534224537034</v>
      </c>
      <c r="BI2021" s="1">
        <v>44354.53466435185</v>
      </c>
      <c r="BJ2021" t="s">
        <v>85</v>
      </c>
      <c r="BK2021" t="s">
        <v>86</v>
      </c>
      <c r="BL2021" t="s">
        <v>87</v>
      </c>
    </row>
    <row r="2022" spans="1:64" x14ac:dyDescent="0.3">
      <c r="A2022" t="str">
        <f>"201239C0100"</f>
        <v>201239C0100</v>
      </c>
      <c r="B2022" t="str">
        <f>"201239C01003"</f>
        <v>201239C01003</v>
      </c>
      <c r="C2022" t="str">
        <f t="shared" si="120"/>
        <v>20</v>
      </c>
      <c r="D2022" t="s">
        <v>81</v>
      </c>
      <c r="E2022" t="str">
        <f t="shared" si="122"/>
        <v>225</v>
      </c>
      <c r="F2022" t="s">
        <v>2183</v>
      </c>
      <c r="G2022" t="str">
        <f>"1239"</f>
        <v>1239</v>
      </c>
      <c r="H2022" t="str">
        <f>"0001"</f>
        <v>0001</v>
      </c>
      <c r="I2022" t="s">
        <v>89</v>
      </c>
      <c r="J2022">
        <v>0</v>
      </c>
      <c r="K2022">
        <v>1</v>
      </c>
      <c r="L2022">
        <v>3</v>
      </c>
      <c r="M2022">
        <v>121</v>
      </c>
      <c r="N2022">
        <v>340</v>
      </c>
      <c r="O2022">
        <v>0</v>
      </c>
      <c r="P2022">
        <v>344</v>
      </c>
      <c r="Q2022">
        <v>101</v>
      </c>
      <c r="R2022">
        <v>1</v>
      </c>
      <c r="S2022">
        <v>0</v>
      </c>
      <c r="T2022">
        <v>0</v>
      </c>
      <c r="U2022">
        <v>2</v>
      </c>
      <c r="W2022">
        <v>0</v>
      </c>
      <c r="X2022">
        <v>160</v>
      </c>
      <c r="Y2022">
        <v>52</v>
      </c>
      <c r="Z2022">
        <v>0</v>
      </c>
      <c r="AB2022">
        <v>10</v>
      </c>
      <c r="AF2022">
        <v>0</v>
      </c>
      <c r="AG2022">
        <v>0</v>
      </c>
      <c r="AH2022">
        <v>0</v>
      </c>
      <c r="AI2022">
        <v>0</v>
      </c>
      <c r="AU2022">
        <v>0</v>
      </c>
      <c r="AW2022">
        <v>0</v>
      </c>
      <c r="AX2022">
        <v>0</v>
      </c>
      <c r="AY2022">
        <v>0</v>
      </c>
      <c r="AZ2022">
        <v>326</v>
      </c>
      <c r="BA2022">
        <v>416</v>
      </c>
      <c r="BB2022">
        <v>44</v>
      </c>
      <c r="BD2022">
        <v>1</v>
      </c>
      <c r="BF2022" t="s">
        <v>2187</v>
      </c>
      <c r="BG2022" s="1">
        <v>44354.53125</v>
      </c>
      <c r="BH2022" s="1">
        <v>44354.536944444444</v>
      </c>
      <c r="BI2022" s="1">
        <v>44354.537951388891</v>
      </c>
      <c r="BJ2022" t="s">
        <v>85</v>
      </c>
      <c r="BK2022" t="s">
        <v>86</v>
      </c>
      <c r="BL2022" t="s">
        <v>87</v>
      </c>
    </row>
    <row r="2023" spans="1:64" x14ac:dyDescent="0.3">
      <c r="A2023" t="str">
        <f>"201239E0100"</f>
        <v>201239E0100</v>
      </c>
      <c r="B2023" t="str">
        <f>"201239E01003"</f>
        <v>201239E01003</v>
      </c>
      <c r="C2023" t="str">
        <f t="shared" si="120"/>
        <v>20</v>
      </c>
      <c r="D2023" t="s">
        <v>81</v>
      </c>
      <c r="E2023" t="str">
        <f t="shared" si="122"/>
        <v>225</v>
      </c>
      <c r="F2023" t="s">
        <v>2183</v>
      </c>
      <c r="G2023" t="str">
        <f>"1239"</f>
        <v>1239</v>
      </c>
      <c r="H2023" t="str">
        <f>"0001"</f>
        <v>0001</v>
      </c>
      <c r="I2023" t="s">
        <v>122</v>
      </c>
      <c r="J2023">
        <v>0</v>
      </c>
      <c r="K2023">
        <v>1</v>
      </c>
      <c r="L2023">
        <v>3</v>
      </c>
      <c r="M2023">
        <v>96</v>
      </c>
      <c r="N2023">
        <v>473</v>
      </c>
      <c r="O2023">
        <v>0</v>
      </c>
      <c r="P2023" t="s">
        <v>92</v>
      </c>
      <c r="Q2023">
        <v>178</v>
      </c>
      <c r="R2023">
        <v>2</v>
      </c>
      <c r="S2023">
        <v>2</v>
      </c>
      <c r="T2023">
        <v>1</v>
      </c>
      <c r="U2023">
        <v>13</v>
      </c>
      <c r="W2023">
        <v>0</v>
      </c>
      <c r="X2023">
        <v>99</v>
      </c>
      <c r="Y2023">
        <v>139</v>
      </c>
      <c r="Z2023">
        <v>3</v>
      </c>
      <c r="AB2023">
        <v>18</v>
      </c>
      <c r="AF2023">
        <v>1</v>
      </c>
      <c r="AG2023">
        <v>1</v>
      </c>
      <c r="AH2023">
        <v>0</v>
      </c>
      <c r="AI2023">
        <v>0</v>
      </c>
      <c r="AU2023">
        <v>0</v>
      </c>
      <c r="AW2023">
        <v>0</v>
      </c>
      <c r="AX2023">
        <v>16</v>
      </c>
      <c r="AY2023">
        <v>473</v>
      </c>
      <c r="AZ2023">
        <v>473</v>
      </c>
      <c r="BA2023">
        <v>525</v>
      </c>
      <c r="BB2023">
        <v>44</v>
      </c>
      <c r="BD2023">
        <v>1</v>
      </c>
      <c r="BF2023" t="s">
        <v>2188</v>
      </c>
      <c r="BG2023" s="1">
        <v>44354.530555555553</v>
      </c>
      <c r="BH2023" s="1">
        <v>44354.53533564815</v>
      </c>
      <c r="BI2023" s="1">
        <v>44354.536215277774</v>
      </c>
      <c r="BJ2023" t="s">
        <v>85</v>
      </c>
      <c r="BK2023" t="s">
        <v>86</v>
      </c>
      <c r="BL2023" t="s">
        <v>87</v>
      </c>
    </row>
    <row r="2024" spans="1:64" x14ac:dyDescent="0.3">
      <c r="A2024" t="str">
        <f>"201240B0000"</f>
        <v>201240B0000</v>
      </c>
      <c r="B2024" t="str">
        <f>"201240B00003"</f>
        <v>201240B00003</v>
      </c>
      <c r="C2024" t="str">
        <f t="shared" si="120"/>
        <v>20</v>
      </c>
      <c r="D2024" t="s">
        <v>81</v>
      </c>
      <c r="E2024" t="str">
        <f t="shared" si="122"/>
        <v>225</v>
      </c>
      <c r="F2024" t="s">
        <v>2183</v>
      </c>
      <c r="G2024" t="str">
        <f>"1240"</f>
        <v>1240</v>
      </c>
      <c r="H2024" t="str">
        <f>"0000"</f>
        <v>0000</v>
      </c>
      <c r="I2024" t="s">
        <v>83</v>
      </c>
      <c r="J2024">
        <v>0</v>
      </c>
      <c r="K2024">
        <v>1</v>
      </c>
      <c r="L2024">
        <v>3</v>
      </c>
      <c r="M2024">
        <v>183</v>
      </c>
      <c r="N2024">
        <v>493</v>
      </c>
      <c r="O2024">
        <v>0</v>
      </c>
      <c r="P2024">
        <v>493</v>
      </c>
      <c r="Q2024">
        <v>195</v>
      </c>
      <c r="R2024">
        <v>0</v>
      </c>
      <c r="S2024">
        <v>3</v>
      </c>
      <c r="T2024">
        <v>0</v>
      </c>
      <c r="U2024">
        <v>23</v>
      </c>
      <c r="W2024">
        <v>4</v>
      </c>
      <c r="X2024">
        <v>92</v>
      </c>
      <c r="Y2024">
        <v>143</v>
      </c>
      <c r="Z2024">
        <v>2</v>
      </c>
      <c r="AB2024">
        <v>17</v>
      </c>
      <c r="AF2024">
        <v>3</v>
      </c>
      <c r="AG2024">
        <v>0</v>
      </c>
      <c r="AH2024">
        <v>1</v>
      </c>
      <c r="AI2024">
        <v>0</v>
      </c>
      <c r="AU2024">
        <v>0</v>
      </c>
      <c r="AW2024">
        <v>0</v>
      </c>
      <c r="AX2024">
        <v>10</v>
      </c>
      <c r="AY2024">
        <v>493</v>
      </c>
      <c r="AZ2024">
        <v>493</v>
      </c>
      <c r="BA2024">
        <v>632</v>
      </c>
      <c r="BB2024">
        <v>44</v>
      </c>
      <c r="BD2024">
        <v>1</v>
      </c>
      <c r="BF2024" t="s">
        <v>2189</v>
      </c>
      <c r="BG2024" s="1">
        <v>44354.532638888886</v>
      </c>
      <c r="BH2024" s="1">
        <v>44354.535578703704</v>
      </c>
      <c r="BI2024" s="1">
        <v>44354.536076388889</v>
      </c>
      <c r="BJ2024" t="s">
        <v>85</v>
      </c>
      <c r="BK2024" t="s">
        <v>86</v>
      </c>
      <c r="BL2024" t="s">
        <v>87</v>
      </c>
    </row>
    <row r="2025" spans="1:64" x14ac:dyDescent="0.3">
      <c r="A2025" t="str">
        <f>"201240C0100"</f>
        <v>201240C0100</v>
      </c>
      <c r="B2025" t="str">
        <f>"201240C01003"</f>
        <v>201240C01003</v>
      </c>
      <c r="C2025" t="str">
        <f t="shared" si="120"/>
        <v>20</v>
      </c>
      <c r="D2025" t="s">
        <v>81</v>
      </c>
      <c r="E2025" t="str">
        <f t="shared" si="122"/>
        <v>225</v>
      </c>
      <c r="F2025" t="s">
        <v>2183</v>
      </c>
      <c r="G2025" t="str">
        <f>"1240"</f>
        <v>1240</v>
      </c>
      <c r="H2025" t="str">
        <f>"0001"</f>
        <v>0001</v>
      </c>
      <c r="I2025" t="s">
        <v>89</v>
      </c>
      <c r="J2025">
        <v>0</v>
      </c>
      <c r="K2025">
        <v>1</v>
      </c>
      <c r="L2025">
        <v>3</v>
      </c>
      <c r="M2025">
        <v>164</v>
      </c>
      <c r="N2025">
        <v>507</v>
      </c>
      <c r="O2025">
        <v>0</v>
      </c>
      <c r="P2025">
        <v>509</v>
      </c>
      <c r="Q2025">
        <v>196</v>
      </c>
      <c r="R2025">
        <v>2</v>
      </c>
      <c r="S2025">
        <v>3</v>
      </c>
      <c r="T2025">
        <v>3</v>
      </c>
      <c r="U2025">
        <v>26</v>
      </c>
      <c r="W2025">
        <v>1</v>
      </c>
      <c r="X2025">
        <v>88</v>
      </c>
      <c r="Y2025">
        <v>165</v>
      </c>
      <c r="Z2025">
        <v>3</v>
      </c>
      <c r="AB2025">
        <v>6</v>
      </c>
      <c r="AF2025">
        <v>1</v>
      </c>
      <c r="AG2025">
        <v>0</v>
      </c>
      <c r="AH2025">
        <v>1</v>
      </c>
      <c r="AI2025">
        <v>0</v>
      </c>
      <c r="AU2025">
        <v>0</v>
      </c>
      <c r="AW2025">
        <v>0</v>
      </c>
      <c r="AX2025">
        <v>14</v>
      </c>
      <c r="AY2025">
        <v>509</v>
      </c>
      <c r="AZ2025">
        <v>509</v>
      </c>
      <c r="BA2025">
        <v>631</v>
      </c>
      <c r="BB2025">
        <v>44</v>
      </c>
      <c r="BD2025">
        <v>1</v>
      </c>
      <c r="BF2025" t="s">
        <v>2190</v>
      </c>
      <c r="BG2025" s="1">
        <v>44354.531944444447</v>
      </c>
      <c r="BH2025" s="1">
        <v>44354.535000000003</v>
      </c>
      <c r="BI2025" s="1">
        <v>44354.53564814815</v>
      </c>
      <c r="BJ2025" t="s">
        <v>85</v>
      </c>
      <c r="BK2025" t="s">
        <v>86</v>
      </c>
      <c r="BL2025" t="s">
        <v>87</v>
      </c>
    </row>
    <row r="2026" spans="1:64" x14ac:dyDescent="0.3">
      <c r="A2026" t="str">
        <f>"201254B0000"</f>
        <v>201254B0000</v>
      </c>
      <c r="B2026" t="str">
        <f>"201254B00003"</f>
        <v>201254B00003</v>
      </c>
      <c r="C2026" t="str">
        <f t="shared" si="120"/>
        <v>20</v>
      </c>
      <c r="D2026" t="s">
        <v>81</v>
      </c>
      <c r="E2026" t="str">
        <f t="shared" ref="E2026:E2057" si="123">"232"</f>
        <v>232</v>
      </c>
      <c r="F2026" t="s">
        <v>2191</v>
      </c>
      <c r="G2026" t="str">
        <f>"1254"</f>
        <v>1254</v>
      </c>
      <c r="H2026" t="str">
        <f>"0000"</f>
        <v>0000</v>
      </c>
      <c r="I2026" t="s">
        <v>83</v>
      </c>
      <c r="J2026">
        <v>0</v>
      </c>
      <c r="K2026">
        <v>1</v>
      </c>
      <c r="L2026">
        <v>3</v>
      </c>
      <c r="M2026">
        <v>125</v>
      </c>
      <c r="N2026">
        <v>391</v>
      </c>
      <c r="O2026">
        <v>0</v>
      </c>
      <c r="P2026">
        <v>391</v>
      </c>
      <c r="Q2026">
        <v>77</v>
      </c>
      <c r="R2026">
        <v>14</v>
      </c>
      <c r="S2026">
        <v>14</v>
      </c>
      <c r="T2026" t="s">
        <v>95</v>
      </c>
      <c r="U2026">
        <v>0</v>
      </c>
      <c r="V2026">
        <v>1</v>
      </c>
      <c r="X2026">
        <v>176</v>
      </c>
      <c r="Y2026">
        <v>95</v>
      </c>
      <c r="Z2026">
        <v>1</v>
      </c>
      <c r="AA2026" t="s">
        <v>95</v>
      </c>
      <c r="AB2026">
        <v>0</v>
      </c>
      <c r="AF2026">
        <v>1</v>
      </c>
      <c r="AG2026">
        <v>1</v>
      </c>
      <c r="AH2026">
        <v>0</v>
      </c>
      <c r="AI2026">
        <v>0</v>
      </c>
      <c r="AW2026">
        <v>0</v>
      </c>
      <c r="AX2026">
        <v>7</v>
      </c>
      <c r="AY2026">
        <v>391</v>
      </c>
      <c r="AZ2026">
        <v>387</v>
      </c>
      <c r="BA2026">
        <v>472</v>
      </c>
      <c r="BB2026">
        <v>44</v>
      </c>
      <c r="BC2026" t="s">
        <v>96</v>
      </c>
      <c r="BD2026">
        <v>1</v>
      </c>
      <c r="BF2026" t="s">
        <v>2192</v>
      </c>
      <c r="BG2026" s="1">
        <v>44353.984027777777</v>
      </c>
      <c r="BH2026" s="1">
        <v>44354.01834490741</v>
      </c>
      <c r="BI2026" s="1">
        <v>44354.024641203701</v>
      </c>
      <c r="BJ2026" t="s">
        <v>85</v>
      </c>
      <c r="BK2026" t="s">
        <v>86</v>
      </c>
      <c r="BL2026" t="s">
        <v>87</v>
      </c>
    </row>
    <row r="2027" spans="1:64" x14ac:dyDescent="0.3">
      <c r="A2027" t="str">
        <f>"201254C0100"</f>
        <v>201254C0100</v>
      </c>
      <c r="B2027" t="str">
        <f>"201254C01003"</f>
        <v>201254C01003</v>
      </c>
      <c r="C2027" t="str">
        <f t="shared" si="120"/>
        <v>20</v>
      </c>
      <c r="D2027" t="s">
        <v>81</v>
      </c>
      <c r="E2027" t="str">
        <f t="shared" si="123"/>
        <v>232</v>
      </c>
      <c r="F2027" t="s">
        <v>2191</v>
      </c>
      <c r="G2027" t="str">
        <f>"1254"</f>
        <v>1254</v>
      </c>
      <c r="H2027" t="str">
        <f>"0001"</f>
        <v>0001</v>
      </c>
      <c r="I2027" t="s">
        <v>89</v>
      </c>
      <c r="J2027">
        <v>0</v>
      </c>
      <c r="K2027">
        <v>1</v>
      </c>
      <c r="L2027">
        <v>3</v>
      </c>
      <c r="M2027">
        <v>137</v>
      </c>
      <c r="N2027">
        <v>378</v>
      </c>
      <c r="O2027">
        <v>2</v>
      </c>
      <c r="P2027">
        <v>378</v>
      </c>
      <c r="Q2027">
        <v>72</v>
      </c>
      <c r="R2027">
        <v>20</v>
      </c>
      <c r="S2027">
        <v>7</v>
      </c>
      <c r="T2027">
        <v>2</v>
      </c>
      <c r="U2027">
        <v>1</v>
      </c>
      <c r="V2027">
        <v>1</v>
      </c>
      <c r="X2027">
        <v>185</v>
      </c>
      <c r="Y2027">
        <v>76</v>
      </c>
      <c r="Z2027">
        <v>2</v>
      </c>
      <c r="AA2027">
        <v>4</v>
      </c>
      <c r="AB2027">
        <v>0</v>
      </c>
      <c r="AF2027">
        <v>2</v>
      </c>
      <c r="AG2027">
        <v>1</v>
      </c>
      <c r="AH2027">
        <v>0</v>
      </c>
      <c r="AI2027">
        <v>1</v>
      </c>
      <c r="AW2027">
        <v>0</v>
      </c>
      <c r="AX2027">
        <v>4</v>
      </c>
      <c r="AY2027">
        <v>378</v>
      </c>
      <c r="AZ2027">
        <v>378</v>
      </c>
      <c r="BA2027">
        <v>471</v>
      </c>
      <c r="BB2027">
        <v>44</v>
      </c>
      <c r="BD2027">
        <v>1</v>
      </c>
      <c r="BF2027" t="s">
        <v>2193</v>
      </c>
      <c r="BG2027" s="1">
        <v>44353.981249999997</v>
      </c>
      <c r="BH2027" s="1">
        <v>44353.986168981479</v>
      </c>
      <c r="BI2027" s="1">
        <v>44353.986504629633</v>
      </c>
      <c r="BJ2027" t="s">
        <v>85</v>
      </c>
      <c r="BK2027" t="s">
        <v>86</v>
      </c>
      <c r="BL2027" t="s">
        <v>87</v>
      </c>
    </row>
    <row r="2028" spans="1:64" x14ac:dyDescent="0.3">
      <c r="A2028" t="str">
        <f>"201255B0000"</f>
        <v>201255B0000</v>
      </c>
      <c r="B2028" t="str">
        <f>"201255B00003"</f>
        <v>201255B00003</v>
      </c>
      <c r="C2028" t="str">
        <f t="shared" si="120"/>
        <v>20</v>
      </c>
      <c r="D2028" t="s">
        <v>81</v>
      </c>
      <c r="E2028" t="str">
        <f t="shared" si="123"/>
        <v>232</v>
      </c>
      <c r="F2028" t="s">
        <v>2191</v>
      </c>
      <c r="G2028" t="str">
        <f>"1255"</f>
        <v>1255</v>
      </c>
      <c r="H2028" t="str">
        <f>"0000"</f>
        <v>0000</v>
      </c>
      <c r="I2028" t="s">
        <v>83</v>
      </c>
      <c r="J2028">
        <v>0</v>
      </c>
      <c r="K2028">
        <v>1</v>
      </c>
      <c r="L2028">
        <v>3</v>
      </c>
      <c r="M2028">
        <v>169</v>
      </c>
      <c r="N2028">
        <v>554</v>
      </c>
      <c r="O2028">
        <v>4</v>
      </c>
      <c r="P2028">
        <v>554</v>
      </c>
      <c r="Q2028">
        <v>103</v>
      </c>
      <c r="R2028">
        <v>29</v>
      </c>
      <c r="S2028">
        <v>10</v>
      </c>
      <c r="T2028">
        <v>4</v>
      </c>
      <c r="U2028">
        <v>0</v>
      </c>
      <c r="V2028">
        <v>1</v>
      </c>
      <c r="X2028">
        <v>207</v>
      </c>
      <c r="Y2028">
        <v>182</v>
      </c>
      <c r="Z2028">
        <v>0</v>
      </c>
      <c r="AA2028">
        <v>2</v>
      </c>
      <c r="AB2028">
        <v>0</v>
      </c>
      <c r="AF2028">
        <v>5</v>
      </c>
      <c r="AG2028">
        <v>3</v>
      </c>
      <c r="AH2028">
        <v>0</v>
      </c>
      <c r="AI2028">
        <v>1</v>
      </c>
      <c r="AW2028">
        <v>0</v>
      </c>
      <c r="AX2028">
        <v>7</v>
      </c>
      <c r="AY2028">
        <v>554</v>
      </c>
      <c r="AZ2028">
        <v>554</v>
      </c>
      <c r="BA2028">
        <v>679</v>
      </c>
      <c r="BB2028">
        <v>44</v>
      </c>
      <c r="BD2028">
        <v>1</v>
      </c>
      <c r="BF2028" t="s">
        <v>2194</v>
      </c>
      <c r="BG2028" s="1">
        <v>44353.987500000003</v>
      </c>
      <c r="BH2028" s="1">
        <v>44354.000879629632</v>
      </c>
      <c r="BI2028" s="1">
        <v>44354.00199074074</v>
      </c>
      <c r="BJ2028" t="s">
        <v>85</v>
      </c>
      <c r="BK2028" t="s">
        <v>86</v>
      </c>
      <c r="BL2028" t="s">
        <v>87</v>
      </c>
    </row>
    <row r="2029" spans="1:64" x14ac:dyDescent="0.3">
      <c r="A2029" t="str">
        <f>"201255C0100"</f>
        <v>201255C0100</v>
      </c>
      <c r="B2029" t="str">
        <f>"201255C01003"</f>
        <v>201255C01003</v>
      </c>
      <c r="C2029" t="str">
        <f t="shared" si="120"/>
        <v>20</v>
      </c>
      <c r="D2029" t="s">
        <v>81</v>
      </c>
      <c r="E2029" t="str">
        <f t="shared" si="123"/>
        <v>232</v>
      </c>
      <c r="F2029" t="s">
        <v>2191</v>
      </c>
      <c r="G2029" t="str">
        <f>"1255"</f>
        <v>1255</v>
      </c>
      <c r="H2029" t="str">
        <f>"0001"</f>
        <v>0001</v>
      </c>
      <c r="I2029" t="s">
        <v>89</v>
      </c>
      <c r="J2029">
        <v>0</v>
      </c>
      <c r="K2029">
        <v>1</v>
      </c>
      <c r="L2029">
        <v>3</v>
      </c>
      <c r="M2029">
        <v>184</v>
      </c>
      <c r="N2029">
        <v>538</v>
      </c>
      <c r="O2029">
        <v>3</v>
      </c>
      <c r="P2029">
        <v>0</v>
      </c>
      <c r="Q2029">
        <v>112</v>
      </c>
      <c r="R2029">
        <v>39</v>
      </c>
      <c r="S2029">
        <v>23</v>
      </c>
      <c r="T2029">
        <v>3</v>
      </c>
      <c r="U2029">
        <v>0</v>
      </c>
      <c r="V2029">
        <v>1</v>
      </c>
      <c r="X2029">
        <v>211</v>
      </c>
      <c r="Y2029">
        <v>126</v>
      </c>
      <c r="Z2029">
        <v>0</v>
      </c>
      <c r="AA2029">
        <v>4</v>
      </c>
      <c r="AB2029">
        <v>1</v>
      </c>
      <c r="AF2029">
        <v>7</v>
      </c>
      <c r="AG2029">
        <v>1</v>
      </c>
      <c r="AH2029">
        <v>0</v>
      </c>
      <c r="AI2029">
        <v>0</v>
      </c>
      <c r="AW2029">
        <v>0</v>
      </c>
      <c r="AX2029">
        <v>9</v>
      </c>
      <c r="AY2029">
        <v>537</v>
      </c>
      <c r="AZ2029">
        <v>537</v>
      </c>
      <c r="BA2029">
        <v>678</v>
      </c>
      <c r="BB2029">
        <v>44</v>
      </c>
      <c r="BD2029">
        <v>1</v>
      </c>
      <c r="BF2029" t="s">
        <v>2195</v>
      </c>
      <c r="BG2029" s="1">
        <v>44354.006944444445</v>
      </c>
      <c r="BH2029" s="1">
        <v>44354.016469907408</v>
      </c>
      <c r="BI2029" s="1">
        <v>44354.01771990741</v>
      </c>
      <c r="BJ2029" t="s">
        <v>85</v>
      </c>
      <c r="BK2029" t="s">
        <v>86</v>
      </c>
      <c r="BL2029" t="s">
        <v>1893</v>
      </c>
    </row>
    <row r="2030" spans="1:64" x14ac:dyDescent="0.3">
      <c r="A2030" t="str">
        <f>"201256B0000"</f>
        <v>201256B0000</v>
      </c>
      <c r="B2030" t="str">
        <f>"201256B00003"</f>
        <v>201256B00003</v>
      </c>
      <c r="C2030" t="str">
        <f t="shared" si="120"/>
        <v>20</v>
      </c>
      <c r="D2030" t="s">
        <v>81</v>
      </c>
      <c r="E2030" t="str">
        <f t="shared" si="123"/>
        <v>232</v>
      </c>
      <c r="F2030" t="s">
        <v>2191</v>
      </c>
      <c r="G2030" t="str">
        <f>"1256"</f>
        <v>1256</v>
      </c>
      <c r="H2030" t="str">
        <f>"0000"</f>
        <v>0000</v>
      </c>
      <c r="I2030" t="s">
        <v>83</v>
      </c>
      <c r="J2030">
        <v>0</v>
      </c>
      <c r="K2030">
        <v>1</v>
      </c>
      <c r="L2030">
        <v>3</v>
      </c>
      <c r="M2030">
        <v>157</v>
      </c>
      <c r="N2030">
        <v>515</v>
      </c>
      <c r="O2030">
        <v>0</v>
      </c>
      <c r="P2030">
        <v>515</v>
      </c>
      <c r="Q2030">
        <v>120</v>
      </c>
      <c r="R2030">
        <v>22</v>
      </c>
      <c r="S2030">
        <v>8</v>
      </c>
      <c r="T2030">
        <v>7</v>
      </c>
      <c r="U2030">
        <v>0</v>
      </c>
      <c r="V2030">
        <v>6</v>
      </c>
      <c r="X2030">
        <v>208</v>
      </c>
      <c r="Y2030">
        <v>121</v>
      </c>
      <c r="Z2030">
        <v>0</v>
      </c>
      <c r="AA2030">
        <v>3</v>
      </c>
      <c r="AB2030">
        <v>0</v>
      </c>
      <c r="AF2030">
        <v>5</v>
      </c>
      <c r="AG2030">
        <v>1</v>
      </c>
      <c r="AH2030">
        <v>0</v>
      </c>
      <c r="AI2030">
        <v>0</v>
      </c>
      <c r="AW2030">
        <v>0</v>
      </c>
      <c r="AX2030">
        <v>14</v>
      </c>
      <c r="AY2030">
        <v>515</v>
      </c>
      <c r="AZ2030">
        <v>515</v>
      </c>
      <c r="BA2030">
        <v>628</v>
      </c>
      <c r="BB2030">
        <v>44</v>
      </c>
      <c r="BD2030">
        <v>1</v>
      </c>
      <c r="BF2030" t="s">
        <v>2196</v>
      </c>
      <c r="BG2030" s="1">
        <v>44353.994444444441</v>
      </c>
      <c r="BH2030" s="1">
        <v>44354.00409722222</v>
      </c>
      <c r="BI2030" s="1">
        <v>44354.004884259259</v>
      </c>
      <c r="BJ2030" t="s">
        <v>85</v>
      </c>
      <c r="BK2030" t="s">
        <v>86</v>
      </c>
      <c r="BL2030" t="s">
        <v>87</v>
      </c>
    </row>
    <row r="2031" spans="1:64" x14ac:dyDescent="0.3">
      <c r="A2031" t="str">
        <f>"201256C0100"</f>
        <v>201256C0100</v>
      </c>
      <c r="B2031" t="str">
        <f>"201256C01003"</f>
        <v>201256C01003</v>
      </c>
      <c r="C2031" t="str">
        <f t="shared" si="120"/>
        <v>20</v>
      </c>
      <c r="D2031" t="s">
        <v>81</v>
      </c>
      <c r="E2031" t="str">
        <f t="shared" si="123"/>
        <v>232</v>
      </c>
      <c r="F2031" t="s">
        <v>2191</v>
      </c>
      <c r="G2031" t="str">
        <f>"1256"</f>
        <v>1256</v>
      </c>
      <c r="H2031" t="str">
        <f>"0001"</f>
        <v>0001</v>
      </c>
      <c r="I2031" t="s">
        <v>89</v>
      </c>
      <c r="J2031">
        <v>0</v>
      </c>
      <c r="K2031">
        <v>1</v>
      </c>
      <c r="L2031">
        <v>3</v>
      </c>
      <c r="M2031">
        <v>184</v>
      </c>
      <c r="N2031">
        <v>488</v>
      </c>
      <c r="O2031">
        <v>1</v>
      </c>
      <c r="P2031">
        <v>488</v>
      </c>
      <c r="Q2031">
        <v>114</v>
      </c>
      <c r="R2031">
        <v>27</v>
      </c>
      <c r="S2031">
        <v>12</v>
      </c>
      <c r="T2031">
        <v>2</v>
      </c>
      <c r="U2031">
        <v>0</v>
      </c>
      <c r="V2031">
        <v>2</v>
      </c>
      <c r="X2031">
        <v>217</v>
      </c>
      <c r="Y2031">
        <v>93</v>
      </c>
      <c r="Z2031">
        <v>1</v>
      </c>
      <c r="AA2031">
        <v>2</v>
      </c>
      <c r="AB2031">
        <v>0</v>
      </c>
      <c r="AF2031">
        <v>6</v>
      </c>
      <c r="AG2031">
        <v>0</v>
      </c>
      <c r="AH2031">
        <v>0</v>
      </c>
      <c r="AI2031">
        <v>0</v>
      </c>
      <c r="AW2031">
        <v>0</v>
      </c>
      <c r="AX2031">
        <v>12</v>
      </c>
      <c r="AY2031">
        <v>488</v>
      </c>
      <c r="AZ2031">
        <v>488</v>
      </c>
      <c r="BA2031">
        <v>628</v>
      </c>
      <c r="BB2031">
        <v>44</v>
      </c>
      <c r="BD2031">
        <v>1</v>
      </c>
      <c r="BF2031" t="s">
        <v>2197</v>
      </c>
      <c r="BG2031" s="1">
        <v>44353.990277777775</v>
      </c>
      <c r="BH2031" s="1">
        <v>44354.003078703703</v>
      </c>
      <c r="BI2031" s="1">
        <v>44354.003761574073</v>
      </c>
      <c r="BJ2031" t="s">
        <v>85</v>
      </c>
      <c r="BK2031" t="s">
        <v>86</v>
      </c>
      <c r="BL2031" t="s">
        <v>87</v>
      </c>
    </row>
    <row r="2032" spans="1:64" x14ac:dyDescent="0.3">
      <c r="A2032" t="str">
        <f>"201257B0000"</f>
        <v>201257B0000</v>
      </c>
      <c r="B2032" t="str">
        <f>"201257B00003"</f>
        <v>201257B00003</v>
      </c>
      <c r="C2032" t="str">
        <f t="shared" si="120"/>
        <v>20</v>
      </c>
      <c r="D2032" t="s">
        <v>81</v>
      </c>
      <c r="E2032" t="str">
        <f t="shared" si="123"/>
        <v>232</v>
      </c>
      <c r="F2032" t="s">
        <v>2191</v>
      </c>
      <c r="G2032" t="str">
        <f>"1257"</f>
        <v>1257</v>
      </c>
      <c r="H2032" t="str">
        <f>"0000"</f>
        <v>0000</v>
      </c>
      <c r="I2032" t="s">
        <v>83</v>
      </c>
      <c r="J2032">
        <v>0</v>
      </c>
      <c r="K2032">
        <v>1</v>
      </c>
      <c r="L2032">
        <v>3</v>
      </c>
      <c r="M2032">
        <v>134</v>
      </c>
      <c r="N2032">
        <v>454</v>
      </c>
      <c r="O2032">
        <v>3</v>
      </c>
      <c r="P2032">
        <v>454</v>
      </c>
      <c r="Q2032">
        <v>109</v>
      </c>
      <c r="R2032">
        <v>28</v>
      </c>
      <c r="S2032">
        <v>10</v>
      </c>
      <c r="T2032">
        <v>5</v>
      </c>
      <c r="U2032">
        <v>0</v>
      </c>
      <c r="V2032">
        <v>4</v>
      </c>
      <c r="X2032">
        <v>200</v>
      </c>
      <c r="Y2032">
        <v>80</v>
      </c>
      <c r="Z2032">
        <v>2</v>
      </c>
      <c r="AA2032">
        <v>2</v>
      </c>
      <c r="AB2032">
        <v>0</v>
      </c>
      <c r="AF2032">
        <v>3</v>
      </c>
      <c r="AG2032">
        <v>2</v>
      </c>
      <c r="AH2032">
        <v>1</v>
      </c>
      <c r="AI2032">
        <v>0</v>
      </c>
      <c r="AW2032">
        <v>0</v>
      </c>
      <c r="AX2032">
        <v>8</v>
      </c>
      <c r="AY2032">
        <v>454</v>
      </c>
      <c r="AZ2032">
        <v>454</v>
      </c>
      <c r="BA2032">
        <v>544</v>
      </c>
      <c r="BB2032">
        <v>44</v>
      </c>
      <c r="BD2032">
        <v>1</v>
      </c>
      <c r="BF2032" t="s">
        <v>2198</v>
      </c>
      <c r="BG2032" s="1">
        <v>44353.978472222225</v>
      </c>
      <c r="BH2032" s="1">
        <v>44353.983923611115</v>
      </c>
      <c r="BI2032" s="1">
        <v>44353.984351851854</v>
      </c>
      <c r="BJ2032" t="s">
        <v>85</v>
      </c>
      <c r="BK2032" t="s">
        <v>86</v>
      </c>
      <c r="BL2032" t="s">
        <v>87</v>
      </c>
    </row>
    <row r="2033" spans="1:64" x14ac:dyDescent="0.3">
      <c r="A2033" t="str">
        <f>"201257C0100"</f>
        <v>201257C0100</v>
      </c>
      <c r="B2033" t="str">
        <f>"201257C01003"</f>
        <v>201257C01003</v>
      </c>
      <c r="C2033" t="str">
        <f t="shared" si="120"/>
        <v>20</v>
      </c>
      <c r="D2033" t="s">
        <v>81</v>
      </c>
      <c r="E2033" t="str">
        <f t="shared" si="123"/>
        <v>232</v>
      </c>
      <c r="F2033" t="s">
        <v>2191</v>
      </c>
      <c r="G2033" t="str">
        <f>"1257"</f>
        <v>1257</v>
      </c>
      <c r="H2033" t="str">
        <f>"0001"</f>
        <v>0001</v>
      </c>
      <c r="I2033" t="s">
        <v>89</v>
      </c>
      <c r="J2033">
        <v>0</v>
      </c>
      <c r="K2033">
        <v>1</v>
      </c>
      <c r="L2033">
        <v>3</v>
      </c>
      <c r="M2033">
        <v>160</v>
      </c>
      <c r="N2033">
        <v>427</v>
      </c>
      <c r="O2033">
        <v>2</v>
      </c>
      <c r="P2033">
        <v>427</v>
      </c>
      <c r="Q2033">
        <v>111</v>
      </c>
      <c r="R2033">
        <v>34</v>
      </c>
      <c r="S2033">
        <v>5</v>
      </c>
      <c r="T2033">
        <v>3</v>
      </c>
      <c r="U2033">
        <v>2</v>
      </c>
      <c r="V2033">
        <v>2</v>
      </c>
      <c r="X2033">
        <v>179</v>
      </c>
      <c r="Y2033">
        <v>70</v>
      </c>
      <c r="Z2033">
        <v>1</v>
      </c>
      <c r="AA2033">
        <v>2</v>
      </c>
      <c r="AB2033">
        <v>0</v>
      </c>
      <c r="AF2033">
        <v>5</v>
      </c>
      <c r="AG2033">
        <v>2</v>
      </c>
      <c r="AH2033">
        <v>0</v>
      </c>
      <c r="AI2033">
        <v>0</v>
      </c>
      <c r="AW2033">
        <v>0</v>
      </c>
      <c r="AX2033">
        <v>11</v>
      </c>
      <c r="AY2033">
        <v>427</v>
      </c>
      <c r="AZ2033">
        <v>427</v>
      </c>
      <c r="BA2033">
        <v>543</v>
      </c>
      <c r="BB2033">
        <v>44</v>
      </c>
      <c r="BD2033">
        <v>1</v>
      </c>
      <c r="BF2033" t="s">
        <v>2199</v>
      </c>
      <c r="BG2033" s="1">
        <v>44353.976388888892</v>
      </c>
      <c r="BH2033" s="1">
        <v>44353.981469907405</v>
      </c>
      <c r="BI2033" s="1">
        <v>44353.982129629629</v>
      </c>
      <c r="BJ2033" t="s">
        <v>85</v>
      </c>
      <c r="BK2033" t="s">
        <v>86</v>
      </c>
      <c r="BL2033" t="s">
        <v>87</v>
      </c>
    </row>
    <row r="2034" spans="1:64" x14ac:dyDescent="0.3">
      <c r="A2034" t="str">
        <f>"201258B0000"</f>
        <v>201258B0000</v>
      </c>
      <c r="B2034" t="str">
        <f>"201258B00003"</f>
        <v>201258B00003</v>
      </c>
      <c r="C2034" t="str">
        <f t="shared" si="120"/>
        <v>20</v>
      </c>
      <c r="D2034" t="s">
        <v>81</v>
      </c>
      <c r="E2034" t="str">
        <f t="shared" si="123"/>
        <v>232</v>
      </c>
      <c r="F2034" t="s">
        <v>2191</v>
      </c>
      <c r="G2034" t="str">
        <f>"1258"</f>
        <v>1258</v>
      </c>
      <c r="H2034" t="str">
        <f>"0000"</f>
        <v>0000</v>
      </c>
      <c r="I2034" t="s">
        <v>83</v>
      </c>
      <c r="J2034">
        <v>0</v>
      </c>
      <c r="K2034">
        <v>1</v>
      </c>
      <c r="L2034">
        <v>3</v>
      </c>
      <c r="M2034">
        <v>154</v>
      </c>
      <c r="N2034">
        <v>494</v>
      </c>
      <c r="O2034">
        <v>3</v>
      </c>
      <c r="P2034">
        <v>494</v>
      </c>
      <c r="Q2034">
        <v>155</v>
      </c>
      <c r="R2034">
        <v>28</v>
      </c>
      <c r="S2034">
        <v>1</v>
      </c>
      <c r="T2034">
        <v>1</v>
      </c>
      <c r="U2034">
        <v>0</v>
      </c>
      <c r="V2034">
        <v>0</v>
      </c>
      <c r="X2034">
        <v>150</v>
      </c>
      <c r="Y2034">
        <v>139</v>
      </c>
      <c r="Z2034">
        <v>1</v>
      </c>
      <c r="AA2034">
        <v>7</v>
      </c>
      <c r="AB2034">
        <v>0</v>
      </c>
      <c r="AF2034">
        <v>2</v>
      </c>
      <c r="AG2034">
        <v>0</v>
      </c>
      <c r="AH2034">
        <v>0</v>
      </c>
      <c r="AI2034">
        <v>0</v>
      </c>
      <c r="AW2034">
        <v>0</v>
      </c>
      <c r="AX2034">
        <v>10</v>
      </c>
      <c r="AY2034">
        <v>494</v>
      </c>
      <c r="AZ2034">
        <v>494</v>
      </c>
      <c r="BA2034">
        <v>604</v>
      </c>
      <c r="BB2034">
        <v>44</v>
      </c>
      <c r="BD2034">
        <v>1</v>
      </c>
      <c r="BF2034" t="s">
        <v>2200</v>
      </c>
      <c r="BG2034" s="1">
        <v>44353.936805555553</v>
      </c>
      <c r="BH2034" s="1">
        <v>44353.946736111109</v>
      </c>
      <c r="BI2034" s="1">
        <v>44353.947222222225</v>
      </c>
      <c r="BJ2034" t="s">
        <v>85</v>
      </c>
      <c r="BK2034" t="s">
        <v>86</v>
      </c>
      <c r="BL2034" t="s">
        <v>1893</v>
      </c>
    </row>
    <row r="2035" spans="1:64" x14ac:dyDescent="0.3">
      <c r="A2035" t="str">
        <f>"201258E0100"</f>
        <v>201258E0100</v>
      </c>
      <c r="B2035" t="str">
        <f>"201258E01003"</f>
        <v>201258E01003</v>
      </c>
      <c r="C2035" t="str">
        <f t="shared" si="120"/>
        <v>20</v>
      </c>
      <c r="D2035" t="s">
        <v>81</v>
      </c>
      <c r="E2035" t="str">
        <f t="shared" si="123"/>
        <v>232</v>
      </c>
      <c r="F2035" t="s">
        <v>2191</v>
      </c>
      <c r="G2035" t="str">
        <f>"1258"</f>
        <v>1258</v>
      </c>
      <c r="H2035" t="str">
        <f>"0001"</f>
        <v>0001</v>
      </c>
      <c r="I2035" t="s">
        <v>122</v>
      </c>
      <c r="J2035">
        <v>0</v>
      </c>
      <c r="K2035">
        <v>1</v>
      </c>
      <c r="L2035">
        <v>3</v>
      </c>
      <c r="M2035">
        <v>109</v>
      </c>
      <c r="N2035">
        <v>382</v>
      </c>
      <c r="O2035">
        <v>1</v>
      </c>
      <c r="P2035">
        <v>382</v>
      </c>
      <c r="Q2035">
        <v>91</v>
      </c>
      <c r="R2035">
        <v>39</v>
      </c>
      <c r="S2035">
        <v>5</v>
      </c>
      <c r="T2035">
        <v>1</v>
      </c>
      <c r="U2035">
        <v>0</v>
      </c>
      <c r="V2035">
        <v>3</v>
      </c>
      <c r="X2035">
        <v>142</v>
      </c>
      <c r="Y2035">
        <v>96</v>
      </c>
      <c r="Z2035">
        <v>0</v>
      </c>
      <c r="AA2035">
        <v>1</v>
      </c>
      <c r="AB2035">
        <v>0</v>
      </c>
      <c r="AF2035">
        <v>0</v>
      </c>
      <c r="AG2035">
        <v>0</v>
      </c>
      <c r="AH2035">
        <v>0</v>
      </c>
      <c r="AI2035">
        <v>0</v>
      </c>
      <c r="AW2035">
        <v>0</v>
      </c>
      <c r="AX2035">
        <v>4</v>
      </c>
      <c r="AY2035">
        <v>382</v>
      </c>
      <c r="AZ2035">
        <v>382</v>
      </c>
      <c r="BA2035">
        <v>447</v>
      </c>
      <c r="BB2035">
        <v>44</v>
      </c>
      <c r="BD2035">
        <v>1</v>
      </c>
      <c r="BF2035" t="s">
        <v>2201</v>
      </c>
      <c r="BG2035" s="1">
        <v>44354.010416666664</v>
      </c>
      <c r="BH2035" s="1">
        <v>44354.021087962959</v>
      </c>
      <c r="BI2035" s="1">
        <v>44354.021724537037</v>
      </c>
      <c r="BJ2035" t="s">
        <v>85</v>
      </c>
      <c r="BK2035" t="s">
        <v>86</v>
      </c>
      <c r="BL2035" t="s">
        <v>87</v>
      </c>
    </row>
    <row r="2036" spans="1:64" x14ac:dyDescent="0.3">
      <c r="A2036" t="str">
        <f>"201258E0200"</f>
        <v>201258E0200</v>
      </c>
      <c r="B2036" t="str">
        <f>"201258E02003"</f>
        <v>201258E02003</v>
      </c>
      <c r="C2036" t="str">
        <f t="shared" si="120"/>
        <v>20</v>
      </c>
      <c r="D2036" t="s">
        <v>81</v>
      </c>
      <c r="E2036" t="str">
        <f t="shared" si="123"/>
        <v>232</v>
      </c>
      <c r="F2036" t="s">
        <v>2191</v>
      </c>
      <c r="G2036" t="str">
        <f>"1258"</f>
        <v>1258</v>
      </c>
      <c r="H2036" t="str">
        <f>"0002"</f>
        <v>0002</v>
      </c>
      <c r="I2036" t="s">
        <v>122</v>
      </c>
      <c r="J2036">
        <v>0</v>
      </c>
      <c r="K2036">
        <v>1</v>
      </c>
      <c r="L2036">
        <v>3</v>
      </c>
      <c r="M2036">
        <v>111</v>
      </c>
      <c r="N2036" t="s">
        <v>92</v>
      </c>
      <c r="O2036">
        <v>374</v>
      </c>
      <c r="P2036" t="s">
        <v>92</v>
      </c>
      <c r="Q2036">
        <v>93</v>
      </c>
      <c r="R2036">
        <v>36</v>
      </c>
      <c r="S2036">
        <v>28</v>
      </c>
      <c r="T2036">
        <v>0</v>
      </c>
      <c r="U2036">
        <v>0</v>
      </c>
      <c r="V2036">
        <v>0</v>
      </c>
      <c r="X2036">
        <v>155</v>
      </c>
      <c r="Y2036">
        <v>45</v>
      </c>
      <c r="Z2036">
        <v>0</v>
      </c>
      <c r="AA2036">
        <v>3</v>
      </c>
      <c r="AB2036">
        <v>0</v>
      </c>
      <c r="AF2036">
        <v>0</v>
      </c>
      <c r="AG2036">
        <v>3</v>
      </c>
      <c r="AH2036">
        <v>0</v>
      </c>
      <c r="AI2036">
        <v>0</v>
      </c>
      <c r="AW2036">
        <v>0</v>
      </c>
      <c r="AX2036">
        <v>8</v>
      </c>
      <c r="AY2036">
        <v>374</v>
      </c>
      <c r="AZ2036">
        <v>371</v>
      </c>
      <c r="BA2036">
        <v>441</v>
      </c>
      <c r="BB2036">
        <v>44</v>
      </c>
      <c r="BD2036">
        <v>1</v>
      </c>
      <c r="BF2036" t="s">
        <v>2202</v>
      </c>
      <c r="BG2036" s="1">
        <v>44353.973611111112</v>
      </c>
      <c r="BH2036" s="1">
        <v>44353.979467592595</v>
      </c>
      <c r="BI2036" s="1">
        <v>44353.979814814818</v>
      </c>
      <c r="BJ2036" t="s">
        <v>85</v>
      </c>
      <c r="BK2036" t="s">
        <v>86</v>
      </c>
      <c r="BL2036" t="s">
        <v>87</v>
      </c>
    </row>
    <row r="2037" spans="1:64" x14ac:dyDescent="0.3">
      <c r="A2037" t="str">
        <f>"201259B0000"</f>
        <v>201259B0000</v>
      </c>
      <c r="B2037" t="str">
        <f>"201259B00003"</f>
        <v>201259B00003</v>
      </c>
      <c r="C2037" t="str">
        <f t="shared" si="120"/>
        <v>20</v>
      </c>
      <c r="D2037" t="s">
        <v>81</v>
      </c>
      <c r="E2037" t="str">
        <f t="shared" si="123"/>
        <v>232</v>
      </c>
      <c r="F2037" t="s">
        <v>2191</v>
      </c>
      <c r="G2037" t="str">
        <f>"1259"</f>
        <v>1259</v>
      </c>
      <c r="H2037" t="str">
        <f>"0000"</f>
        <v>0000</v>
      </c>
      <c r="I2037" t="s">
        <v>83</v>
      </c>
      <c r="J2037">
        <v>0</v>
      </c>
      <c r="K2037">
        <v>1</v>
      </c>
      <c r="L2037">
        <v>3</v>
      </c>
      <c r="M2037">
        <v>117</v>
      </c>
      <c r="N2037">
        <v>406</v>
      </c>
      <c r="O2037">
        <v>3</v>
      </c>
      <c r="P2037" t="s">
        <v>92</v>
      </c>
      <c r="Q2037">
        <v>166</v>
      </c>
      <c r="R2037">
        <v>53</v>
      </c>
      <c r="S2037">
        <v>6</v>
      </c>
      <c r="T2037">
        <v>3</v>
      </c>
      <c r="U2037">
        <v>0</v>
      </c>
      <c r="V2037">
        <v>1</v>
      </c>
      <c r="X2037">
        <v>118</v>
      </c>
      <c r="Y2037">
        <v>50</v>
      </c>
      <c r="Z2037">
        <v>0</v>
      </c>
      <c r="AA2037">
        <v>1</v>
      </c>
      <c r="AB2037">
        <v>0</v>
      </c>
      <c r="AF2037">
        <v>6</v>
      </c>
      <c r="AG2037">
        <v>0</v>
      </c>
      <c r="AH2037">
        <v>0</v>
      </c>
      <c r="AI2037">
        <v>0</v>
      </c>
      <c r="AW2037">
        <v>0</v>
      </c>
      <c r="AX2037">
        <v>2</v>
      </c>
      <c r="AY2037">
        <v>406</v>
      </c>
      <c r="AZ2037">
        <v>406</v>
      </c>
      <c r="BA2037">
        <v>479</v>
      </c>
      <c r="BB2037">
        <v>44</v>
      </c>
      <c r="BD2037">
        <v>1</v>
      </c>
      <c r="BF2037" t="s">
        <v>2203</v>
      </c>
      <c r="BG2037" s="1">
        <v>44354.068749999999</v>
      </c>
      <c r="BH2037" s="1">
        <v>44354.080590277779</v>
      </c>
      <c r="BI2037" s="1">
        <v>44354.081111111111</v>
      </c>
      <c r="BJ2037" t="s">
        <v>85</v>
      </c>
      <c r="BK2037" t="s">
        <v>86</v>
      </c>
      <c r="BL2037" t="s">
        <v>87</v>
      </c>
    </row>
    <row r="2038" spans="1:64" x14ac:dyDescent="0.3">
      <c r="A2038" t="str">
        <f>"201259E0100"</f>
        <v>201259E0100</v>
      </c>
      <c r="B2038" t="str">
        <f>"201259E01003"</f>
        <v>201259E01003</v>
      </c>
      <c r="C2038" t="str">
        <f t="shared" si="120"/>
        <v>20</v>
      </c>
      <c r="D2038" t="s">
        <v>81</v>
      </c>
      <c r="E2038" t="str">
        <f t="shared" si="123"/>
        <v>232</v>
      </c>
      <c r="F2038" t="s">
        <v>2191</v>
      </c>
      <c r="G2038" t="str">
        <f>"1259"</f>
        <v>1259</v>
      </c>
      <c r="H2038" t="str">
        <f>"0001"</f>
        <v>0001</v>
      </c>
      <c r="I2038" t="s">
        <v>122</v>
      </c>
      <c r="J2038">
        <v>0</v>
      </c>
      <c r="K2038">
        <v>1</v>
      </c>
      <c r="L2038">
        <v>3</v>
      </c>
      <c r="M2038">
        <v>91</v>
      </c>
      <c r="N2038">
        <v>289</v>
      </c>
      <c r="O2038">
        <v>1</v>
      </c>
      <c r="P2038">
        <v>289</v>
      </c>
      <c r="Q2038">
        <v>41</v>
      </c>
      <c r="R2038">
        <v>8</v>
      </c>
      <c r="S2038">
        <v>6</v>
      </c>
      <c r="T2038">
        <v>2</v>
      </c>
      <c r="U2038">
        <v>0</v>
      </c>
      <c r="V2038">
        <v>0</v>
      </c>
      <c r="X2038">
        <v>81</v>
      </c>
      <c r="Y2038">
        <v>147</v>
      </c>
      <c r="Z2038">
        <v>1</v>
      </c>
      <c r="AA2038">
        <v>1</v>
      </c>
      <c r="AB2038">
        <v>0</v>
      </c>
      <c r="AF2038">
        <v>1</v>
      </c>
      <c r="AG2038">
        <v>0</v>
      </c>
      <c r="AH2038">
        <v>0</v>
      </c>
      <c r="AI2038">
        <v>0</v>
      </c>
      <c r="AW2038">
        <v>0</v>
      </c>
      <c r="AX2038">
        <v>1</v>
      </c>
      <c r="AY2038">
        <v>289</v>
      </c>
      <c r="AZ2038">
        <v>289</v>
      </c>
      <c r="BA2038">
        <v>336</v>
      </c>
      <c r="BB2038">
        <v>44</v>
      </c>
      <c r="BD2038">
        <v>1</v>
      </c>
      <c r="BF2038" t="s">
        <v>2204</v>
      </c>
      <c r="BG2038" s="1">
        <v>44354.000694444447</v>
      </c>
      <c r="BH2038" s="1">
        <v>44354.010115740741</v>
      </c>
      <c r="BI2038" s="1">
        <v>44354.010925925926</v>
      </c>
      <c r="BJ2038" t="s">
        <v>85</v>
      </c>
      <c r="BK2038" t="s">
        <v>86</v>
      </c>
      <c r="BL2038" t="s">
        <v>87</v>
      </c>
    </row>
    <row r="2039" spans="1:64" x14ac:dyDescent="0.3">
      <c r="A2039" t="str">
        <f>"201259E0200"</f>
        <v>201259E0200</v>
      </c>
      <c r="B2039" t="str">
        <f>"201259E02003"</f>
        <v>201259E02003</v>
      </c>
      <c r="C2039" t="str">
        <f t="shared" si="120"/>
        <v>20</v>
      </c>
      <c r="D2039" t="s">
        <v>81</v>
      </c>
      <c r="E2039" t="str">
        <f t="shared" si="123"/>
        <v>232</v>
      </c>
      <c r="F2039" t="s">
        <v>2191</v>
      </c>
      <c r="G2039" t="str">
        <f>"1259"</f>
        <v>1259</v>
      </c>
      <c r="H2039" t="str">
        <f>"0002"</f>
        <v>0002</v>
      </c>
      <c r="I2039" t="s">
        <v>122</v>
      </c>
      <c r="J2039">
        <v>0</v>
      </c>
      <c r="K2039">
        <v>1</v>
      </c>
      <c r="L2039">
        <v>3</v>
      </c>
      <c r="M2039">
        <v>109</v>
      </c>
      <c r="N2039">
        <v>422</v>
      </c>
      <c r="O2039">
        <v>0</v>
      </c>
      <c r="P2039" t="s">
        <v>131</v>
      </c>
      <c r="Q2039">
        <v>101</v>
      </c>
      <c r="R2039">
        <v>3</v>
      </c>
      <c r="S2039">
        <v>1</v>
      </c>
      <c r="T2039">
        <v>1</v>
      </c>
      <c r="U2039">
        <v>1</v>
      </c>
      <c r="V2039">
        <v>3</v>
      </c>
      <c r="X2039">
        <v>205</v>
      </c>
      <c r="Y2039">
        <v>95</v>
      </c>
      <c r="Z2039">
        <v>0</v>
      </c>
      <c r="AA2039">
        <v>3</v>
      </c>
      <c r="AB2039">
        <v>0</v>
      </c>
      <c r="AF2039">
        <v>5</v>
      </c>
      <c r="AG2039">
        <v>0</v>
      </c>
      <c r="AH2039">
        <v>1</v>
      </c>
      <c r="AI2039">
        <v>0</v>
      </c>
      <c r="AW2039">
        <v>0</v>
      </c>
      <c r="AX2039">
        <v>3</v>
      </c>
      <c r="AY2039">
        <v>422</v>
      </c>
      <c r="AZ2039">
        <v>422</v>
      </c>
      <c r="BA2039">
        <v>487</v>
      </c>
      <c r="BB2039">
        <v>44</v>
      </c>
      <c r="BD2039">
        <v>1</v>
      </c>
      <c r="BF2039" t="s">
        <v>2205</v>
      </c>
      <c r="BG2039" s="1">
        <v>44354.013194444444</v>
      </c>
      <c r="BH2039" s="1">
        <v>44354.023865740739</v>
      </c>
      <c r="BI2039" s="1">
        <v>44354.024444444447</v>
      </c>
      <c r="BJ2039" t="s">
        <v>85</v>
      </c>
      <c r="BK2039" t="s">
        <v>86</v>
      </c>
      <c r="BL2039" t="s">
        <v>87</v>
      </c>
    </row>
    <row r="2040" spans="1:64" x14ac:dyDescent="0.3">
      <c r="A2040" t="str">
        <f>"201259E0300"</f>
        <v>201259E0300</v>
      </c>
      <c r="B2040" t="str">
        <f>"201259E03003"</f>
        <v>201259E03003</v>
      </c>
      <c r="C2040" t="str">
        <f t="shared" si="120"/>
        <v>20</v>
      </c>
      <c r="D2040" t="s">
        <v>81</v>
      </c>
      <c r="E2040" t="str">
        <f t="shared" si="123"/>
        <v>232</v>
      </c>
      <c r="F2040" t="s">
        <v>2191</v>
      </c>
      <c r="G2040" t="str">
        <f>"1259"</f>
        <v>1259</v>
      </c>
      <c r="H2040" t="str">
        <f>"0003"</f>
        <v>0003</v>
      </c>
      <c r="I2040" t="s">
        <v>122</v>
      </c>
      <c r="J2040">
        <v>0</v>
      </c>
      <c r="K2040">
        <v>1</v>
      </c>
      <c r="L2040">
        <v>3</v>
      </c>
      <c r="M2040">
        <v>157</v>
      </c>
      <c r="N2040">
        <v>794</v>
      </c>
      <c r="O2040">
        <v>0</v>
      </c>
      <c r="P2040">
        <v>637</v>
      </c>
      <c r="Q2040">
        <v>203</v>
      </c>
      <c r="R2040">
        <v>37</v>
      </c>
      <c r="S2040">
        <v>20</v>
      </c>
      <c r="T2040">
        <v>1</v>
      </c>
      <c r="U2040">
        <v>1</v>
      </c>
      <c r="V2040">
        <v>2</v>
      </c>
      <c r="X2040">
        <v>201</v>
      </c>
      <c r="Y2040">
        <v>148</v>
      </c>
      <c r="Z2040">
        <v>1</v>
      </c>
      <c r="AA2040">
        <v>2</v>
      </c>
      <c r="AB2040">
        <v>2</v>
      </c>
      <c r="AF2040">
        <v>3</v>
      </c>
      <c r="AG2040">
        <v>2</v>
      </c>
      <c r="AH2040">
        <v>0</v>
      </c>
      <c r="AI2040">
        <v>0</v>
      </c>
      <c r="AW2040">
        <v>0</v>
      </c>
      <c r="AX2040">
        <v>14</v>
      </c>
      <c r="AY2040">
        <v>637</v>
      </c>
      <c r="AZ2040">
        <v>637</v>
      </c>
      <c r="BA2040">
        <v>750</v>
      </c>
      <c r="BB2040">
        <v>44</v>
      </c>
      <c r="BD2040">
        <v>1</v>
      </c>
      <c r="BF2040" t="s">
        <v>2206</v>
      </c>
      <c r="BG2040" s="1">
        <v>44354.072222222225</v>
      </c>
      <c r="BH2040" s="1">
        <v>44354.082037037035</v>
      </c>
      <c r="BI2040" s="1">
        <v>44354.084004629629</v>
      </c>
      <c r="BJ2040" t="s">
        <v>85</v>
      </c>
      <c r="BK2040" t="s">
        <v>86</v>
      </c>
      <c r="BL2040" t="s">
        <v>87</v>
      </c>
    </row>
    <row r="2041" spans="1:64" x14ac:dyDescent="0.3">
      <c r="A2041" t="str">
        <f>"201259E0400"</f>
        <v>201259E0400</v>
      </c>
      <c r="B2041" t="str">
        <f>"201259E04003"</f>
        <v>201259E04003</v>
      </c>
      <c r="C2041" t="str">
        <f t="shared" si="120"/>
        <v>20</v>
      </c>
      <c r="D2041" t="s">
        <v>81</v>
      </c>
      <c r="E2041" t="str">
        <f t="shared" si="123"/>
        <v>232</v>
      </c>
      <c r="F2041" t="s">
        <v>2191</v>
      </c>
      <c r="G2041" t="str">
        <f>"1259"</f>
        <v>1259</v>
      </c>
      <c r="H2041" t="str">
        <f>"0004"</f>
        <v>0004</v>
      </c>
      <c r="I2041" t="s">
        <v>122</v>
      </c>
      <c r="J2041">
        <v>0</v>
      </c>
      <c r="K2041">
        <v>1</v>
      </c>
      <c r="L2041">
        <v>3</v>
      </c>
      <c r="M2041">
        <v>76</v>
      </c>
      <c r="N2041">
        <v>240</v>
      </c>
      <c r="O2041">
        <v>1</v>
      </c>
      <c r="P2041">
        <v>240</v>
      </c>
      <c r="Q2041">
        <v>78</v>
      </c>
      <c r="R2041">
        <v>0</v>
      </c>
      <c r="S2041">
        <v>0</v>
      </c>
      <c r="T2041">
        <v>0</v>
      </c>
      <c r="U2041">
        <v>1</v>
      </c>
      <c r="V2041">
        <v>2</v>
      </c>
      <c r="X2041">
        <v>118</v>
      </c>
      <c r="Y2041">
        <v>35</v>
      </c>
      <c r="Z2041">
        <v>0</v>
      </c>
      <c r="AA2041">
        <v>4</v>
      </c>
      <c r="AB2041">
        <v>0</v>
      </c>
      <c r="AF2041">
        <v>0</v>
      </c>
      <c r="AG2041">
        <v>0</v>
      </c>
      <c r="AH2041">
        <v>0</v>
      </c>
      <c r="AI2041">
        <v>0</v>
      </c>
      <c r="AW2041">
        <v>0</v>
      </c>
      <c r="AX2041">
        <v>2</v>
      </c>
      <c r="AY2041">
        <v>240</v>
      </c>
      <c r="AZ2041">
        <v>240</v>
      </c>
      <c r="BA2041">
        <v>272</v>
      </c>
      <c r="BB2041">
        <v>44</v>
      </c>
      <c r="BD2041">
        <v>1</v>
      </c>
      <c r="BF2041" t="s">
        <v>2207</v>
      </c>
      <c r="BG2041" s="1">
        <v>44353.968055555553</v>
      </c>
      <c r="BH2041" s="1">
        <v>44353.974733796298</v>
      </c>
      <c r="BI2041" s="1">
        <v>44353.97515046296</v>
      </c>
      <c r="BJ2041" t="s">
        <v>85</v>
      </c>
      <c r="BK2041" t="s">
        <v>86</v>
      </c>
      <c r="BL2041" t="s">
        <v>87</v>
      </c>
    </row>
    <row r="2042" spans="1:64" x14ac:dyDescent="0.3">
      <c r="A2042" t="str">
        <f>"201260B0000"</f>
        <v>201260B0000</v>
      </c>
      <c r="B2042" t="str">
        <f>"201260B00003"</f>
        <v>201260B00003</v>
      </c>
      <c r="C2042" t="str">
        <f t="shared" si="120"/>
        <v>20</v>
      </c>
      <c r="D2042" t="s">
        <v>81</v>
      </c>
      <c r="E2042" t="str">
        <f t="shared" si="123"/>
        <v>232</v>
      </c>
      <c r="F2042" t="s">
        <v>2191</v>
      </c>
      <c r="G2042" t="str">
        <f>"1260"</f>
        <v>1260</v>
      </c>
      <c r="H2042" t="str">
        <f>"0000"</f>
        <v>0000</v>
      </c>
      <c r="I2042" t="s">
        <v>83</v>
      </c>
      <c r="J2042">
        <v>0</v>
      </c>
      <c r="K2042">
        <v>1</v>
      </c>
      <c r="L2042">
        <v>3</v>
      </c>
      <c r="M2042">
        <v>137</v>
      </c>
      <c r="N2042">
        <v>593</v>
      </c>
      <c r="O2042">
        <v>0</v>
      </c>
      <c r="P2042">
        <v>593</v>
      </c>
      <c r="Q2042">
        <v>197</v>
      </c>
      <c r="R2042">
        <v>7</v>
      </c>
      <c r="S2042">
        <v>15</v>
      </c>
      <c r="T2042">
        <v>4</v>
      </c>
      <c r="U2042">
        <v>1</v>
      </c>
      <c r="V2042">
        <v>0</v>
      </c>
      <c r="X2042">
        <v>227</v>
      </c>
      <c r="Y2042">
        <v>136</v>
      </c>
      <c r="Z2042">
        <v>1</v>
      </c>
      <c r="AA2042">
        <v>0</v>
      </c>
      <c r="AB2042">
        <v>0</v>
      </c>
      <c r="AF2042">
        <v>3</v>
      </c>
      <c r="AG2042">
        <v>1</v>
      </c>
      <c r="AH2042">
        <v>0</v>
      </c>
      <c r="AI2042">
        <v>0</v>
      </c>
      <c r="AW2042">
        <v>0</v>
      </c>
      <c r="AX2042">
        <v>1</v>
      </c>
      <c r="AY2042">
        <v>593</v>
      </c>
      <c r="AZ2042">
        <v>593</v>
      </c>
      <c r="BA2042">
        <v>686</v>
      </c>
      <c r="BB2042">
        <v>44</v>
      </c>
      <c r="BD2042">
        <v>1</v>
      </c>
      <c r="BF2042" t="s">
        <v>2208</v>
      </c>
      <c r="BG2042" s="1">
        <v>44354.039583333331</v>
      </c>
      <c r="BH2042" s="1">
        <v>44354.050671296296</v>
      </c>
      <c r="BI2042" s="1">
        <v>44354.051192129627</v>
      </c>
      <c r="BJ2042" t="s">
        <v>85</v>
      </c>
      <c r="BK2042" t="s">
        <v>86</v>
      </c>
      <c r="BL2042" t="s">
        <v>87</v>
      </c>
    </row>
    <row r="2043" spans="1:64" x14ac:dyDescent="0.3">
      <c r="A2043" t="str">
        <f>"201260C0100"</f>
        <v>201260C0100</v>
      </c>
      <c r="B2043" t="str">
        <f>"201260C01003"</f>
        <v>201260C01003</v>
      </c>
      <c r="C2043" t="str">
        <f t="shared" si="120"/>
        <v>20</v>
      </c>
      <c r="D2043" t="s">
        <v>81</v>
      </c>
      <c r="E2043" t="str">
        <f t="shared" si="123"/>
        <v>232</v>
      </c>
      <c r="F2043" t="s">
        <v>2191</v>
      </c>
      <c r="G2043" t="str">
        <f>"1260"</f>
        <v>1260</v>
      </c>
      <c r="H2043" t="str">
        <f>"0001"</f>
        <v>0001</v>
      </c>
      <c r="I2043" t="s">
        <v>89</v>
      </c>
      <c r="J2043">
        <v>0</v>
      </c>
      <c r="K2043">
        <v>1</v>
      </c>
      <c r="L2043">
        <v>3</v>
      </c>
      <c r="M2043">
        <v>121</v>
      </c>
      <c r="N2043">
        <v>608</v>
      </c>
      <c r="O2043">
        <v>0</v>
      </c>
      <c r="P2043">
        <v>608</v>
      </c>
      <c r="Q2043">
        <v>200</v>
      </c>
      <c r="R2043">
        <v>24</v>
      </c>
      <c r="S2043">
        <v>19</v>
      </c>
      <c r="T2043">
        <v>1</v>
      </c>
      <c r="U2043">
        <v>0</v>
      </c>
      <c r="V2043">
        <v>2</v>
      </c>
      <c r="X2043">
        <v>216</v>
      </c>
      <c r="Y2043">
        <v>134</v>
      </c>
      <c r="Z2043">
        <v>0</v>
      </c>
      <c r="AA2043">
        <v>2</v>
      </c>
      <c r="AB2043">
        <v>0</v>
      </c>
      <c r="AF2043">
        <v>2</v>
      </c>
      <c r="AG2043">
        <v>2</v>
      </c>
      <c r="AH2043">
        <v>0</v>
      </c>
      <c r="AI2043">
        <v>0</v>
      </c>
      <c r="AW2043">
        <v>0</v>
      </c>
      <c r="AX2043">
        <v>6</v>
      </c>
      <c r="AY2043">
        <v>608</v>
      </c>
      <c r="AZ2043">
        <v>608</v>
      </c>
      <c r="BA2043">
        <v>685</v>
      </c>
      <c r="BB2043">
        <v>44</v>
      </c>
      <c r="BD2043">
        <v>1</v>
      </c>
      <c r="BF2043" t="s">
        <v>2209</v>
      </c>
      <c r="BG2043" s="1">
        <v>44354.042361111111</v>
      </c>
      <c r="BH2043" s="1">
        <v>44354.051828703705</v>
      </c>
      <c r="BI2043" s="1">
        <v>44354.05232638889</v>
      </c>
      <c r="BJ2043" t="s">
        <v>85</v>
      </c>
      <c r="BK2043" t="s">
        <v>86</v>
      </c>
      <c r="BL2043" t="s">
        <v>87</v>
      </c>
    </row>
    <row r="2044" spans="1:64" x14ac:dyDescent="0.3">
      <c r="A2044" t="str">
        <f>"201261B0000"</f>
        <v>201261B0000</v>
      </c>
      <c r="B2044" t="str">
        <f>"201261B00003"</f>
        <v>201261B00003</v>
      </c>
      <c r="C2044" t="str">
        <f t="shared" si="120"/>
        <v>20</v>
      </c>
      <c r="D2044" t="s">
        <v>81</v>
      </c>
      <c r="E2044" t="str">
        <f t="shared" si="123"/>
        <v>232</v>
      </c>
      <c r="F2044" t="s">
        <v>2191</v>
      </c>
      <c r="G2044" t="str">
        <f>"1261"</f>
        <v>1261</v>
      </c>
      <c r="H2044" t="str">
        <f>"0000"</f>
        <v>0000</v>
      </c>
      <c r="I2044" t="s">
        <v>83</v>
      </c>
      <c r="J2044">
        <v>0</v>
      </c>
      <c r="K2044">
        <v>1</v>
      </c>
      <c r="L2044">
        <v>3</v>
      </c>
      <c r="M2044">
        <v>123</v>
      </c>
      <c r="N2044">
        <v>421</v>
      </c>
      <c r="O2044">
        <v>0</v>
      </c>
      <c r="P2044">
        <v>421</v>
      </c>
      <c r="Q2044">
        <v>87</v>
      </c>
      <c r="R2044">
        <v>39</v>
      </c>
      <c r="S2044">
        <v>0</v>
      </c>
      <c r="T2044">
        <v>4</v>
      </c>
      <c r="U2044">
        <v>1</v>
      </c>
      <c r="V2044">
        <v>4</v>
      </c>
      <c r="X2044">
        <v>167</v>
      </c>
      <c r="Y2044">
        <v>109</v>
      </c>
      <c r="Z2044">
        <v>0</v>
      </c>
      <c r="AA2044">
        <v>5</v>
      </c>
      <c r="AB2044">
        <v>0</v>
      </c>
      <c r="AF2044">
        <v>2</v>
      </c>
      <c r="AG2044">
        <v>0</v>
      </c>
      <c r="AH2044">
        <v>0</v>
      </c>
      <c r="AI2044">
        <v>0</v>
      </c>
      <c r="AW2044">
        <v>0</v>
      </c>
      <c r="AX2044">
        <v>3</v>
      </c>
      <c r="AY2044">
        <v>421</v>
      </c>
      <c r="AZ2044">
        <v>421</v>
      </c>
      <c r="BA2044">
        <v>500</v>
      </c>
      <c r="BB2044">
        <v>44</v>
      </c>
      <c r="BD2044">
        <v>1</v>
      </c>
      <c r="BF2044" t="s">
        <v>2210</v>
      </c>
      <c r="BG2044" s="1">
        <v>44353.99722222222</v>
      </c>
      <c r="BH2044" s="1">
        <v>44354.00582175926</v>
      </c>
      <c r="BI2044" s="1">
        <v>44354.006249999999</v>
      </c>
      <c r="BJ2044" t="s">
        <v>85</v>
      </c>
      <c r="BK2044" t="s">
        <v>86</v>
      </c>
      <c r="BL2044" t="s">
        <v>87</v>
      </c>
    </row>
    <row r="2045" spans="1:64" x14ac:dyDescent="0.3">
      <c r="A2045" t="str">
        <f>"201261C0100"</f>
        <v>201261C0100</v>
      </c>
      <c r="B2045" t="str">
        <f>"201261C01003"</f>
        <v>201261C01003</v>
      </c>
      <c r="C2045" t="str">
        <f t="shared" si="120"/>
        <v>20</v>
      </c>
      <c r="D2045" t="s">
        <v>81</v>
      </c>
      <c r="E2045" t="str">
        <f t="shared" si="123"/>
        <v>232</v>
      </c>
      <c r="F2045" t="s">
        <v>2191</v>
      </c>
      <c r="G2045" t="str">
        <f>"1261"</f>
        <v>1261</v>
      </c>
      <c r="H2045" t="str">
        <f>"0001"</f>
        <v>0001</v>
      </c>
      <c r="I2045" t="s">
        <v>89</v>
      </c>
      <c r="J2045">
        <v>0</v>
      </c>
      <c r="K2045">
        <v>1</v>
      </c>
      <c r="L2045">
        <v>3</v>
      </c>
      <c r="M2045">
        <v>131</v>
      </c>
      <c r="N2045">
        <v>413</v>
      </c>
      <c r="O2045">
        <v>0</v>
      </c>
      <c r="P2045">
        <v>413</v>
      </c>
      <c r="Q2045">
        <v>79</v>
      </c>
      <c r="R2045">
        <v>21</v>
      </c>
      <c r="S2045">
        <v>6</v>
      </c>
      <c r="T2045">
        <v>0</v>
      </c>
      <c r="U2045">
        <v>0</v>
      </c>
      <c r="V2045">
        <v>7</v>
      </c>
      <c r="X2045">
        <v>185</v>
      </c>
      <c r="Y2045">
        <v>102</v>
      </c>
      <c r="Z2045">
        <v>4</v>
      </c>
      <c r="AA2045">
        <v>4</v>
      </c>
      <c r="AB2045">
        <v>0</v>
      </c>
      <c r="AF2045">
        <v>1</v>
      </c>
      <c r="AG2045">
        <v>1</v>
      </c>
      <c r="AH2045">
        <v>0</v>
      </c>
      <c r="AI2045">
        <v>0</v>
      </c>
      <c r="AW2045">
        <v>0</v>
      </c>
      <c r="AX2045">
        <v>3</v>
      </c>
      <c r="AY2045">
        <v>413</v>
      </c>
      <c r="AZ2045">
        <v>413</v>
      </c>
      <c r="BA2045">
        <v>500</v>
      </c>
      <c r="BB2045">
        <v>44</v>
      </c>
      <c r="BD2045">
        <v>1</v>
      </c>
      <c r="BF2045" t="s">
        <v>2211</v>
      </c>
      <c r="BG2045" s="1">
        <v>44353.998611111114</v>
      </c>
      <c r="BH2045" s="1">
        <v>44354.007708333331</v>
      </c>
      <c r="BI2045" s="1">
        <v>44354.008587962962</v>
      </c>
      <c r="BJ2045" t="s">
        <v>85</v>
      </c>
      <c r="BK2045" t="s">
        <v>86</v>
      </c>
      <c r="BL2045" t="s">
        <v>87</v>
      </c>
    </row>
    <row r="2046" spans="1:64" x14ac:dyDescent="0.3">
      <c r="A2046" t="str">
        <f>"201261E0100"</f>
        <v>201261E0100</v>
      </c>
      <c r="B2046" t="str">
        <f>"201261E01003"</f>
        <v>201261E01003</v>
      </c>
      <c r="C2046" t="str">
        <f t="shared" si="120"/>
        <v>20</v>
      </c>
      <c r="D2046" t="s">
        <v>81</v>
      </c>
      <c r="E2046" t="str">
        <f t="shared" si="123"/>
        <v>232</v>
      </c>
      <c r="F2046" t="s">
        <v>2191</v>
      </c>
      <c r="G2046" t="str">
        <f>"1261"</f>
        <v>1261</v>
      </c>
      <c r="H2046" t="str">
        <f>"0001"</f>
        <v>0001</v>
      </c>
      <c r="I2046" t="s">
        <v>122</v>
      </c>
      <c r="J2046">
        <v>0</v>
      </c>
      <c r="K2046">
        <v>1</v>
      </c>
      <c r="L2046">
        <v>3</v>
      </c>
      <c r="M2046">
        <v>85</v>
      </c>
      <c r="N2046">
        <v>185</v>
      </c>
      <c r="O2046">
        <v>0</v>
      </c>
      <c r="P2046">
        <v>185</v>
      </c>
      <c r="Q2046">
        <v>34</v>
      </c>
      <c r="R2046">
        <v>0</v>
      </c>
      <c r="S2046">
        <v>0</v>
      </c>
      <c r="T2046">
        <v>1</v>
      </c>
      <c r="U2046">
        <v>0</v>
      </c>
      <c r="V2046">
        <v>0</v>
      </c>
      <c r="X2046">
        <v>47</v>
      </c>
      <c r="Y2046">
        <v>99</v>
      </c>
      <c r="Z2046">
        <v>0</v>
      </c>
      <c r="AA2046">
        <v>2</v>
      </c>
      <c r="AB2046">
        <v>1</v>
      </c>
      <c r="AF2046">
        <v>1</v>
      </c>
      <c r="AG2046">
        <v>0</v>
      </c>
      <c r="AH2046">
        <v>0</v>
      </c>
      <c r="AI2046">
        <v>0</v>
      </c>
      <c r="AW2046">
        <v>0</v>
      </c>
      <c r="AX2046">
        <v>0</v>
      </c>
      <c r="AY2046">
        <v>185</v>
      </c>
      <c r="AZ2046">
        <v>185</v>
      </c>
      <c r="BA2046">
        <v>226</v>
      </c>
      <c r="BB2046">
        <v>44</v>
      </c>
      <c r="BD2046">
        <v>1</v>
      </c>
      <c r="BF2046" t="s">
        <v>2212</v>
      </c>
      <c r="BG2046" s="1">
        <v>44353.884027777778</v>
      </c>
      <c r="BH2046" s="1">
        <v>44353.891921296294</v>
      </c>
      <c r="BI2046" s="1">
        <v>44353.892557870371</v>
      </c>
      <c r="BJ2046" t="s">
        <v>85</v>
      </c>
      <c r="BK2046" t="s">
        <v>86</v>
      </c>
      <c r="BL2046" t="s">
        <v>87</v>
      </c>
    </row>
    <row r="2047" spans="1:64" x14ac:dyDescent="0.3">
      <c r="A2047" t="str">
        <f>"201261E0200"</f>
        <v>201261E0200</v>
      </c>
      <c r="B2047" t="str">
        <f>"201261E02003"</f>
        <v>201261E02003</v>
      </c>
      <c r="C2047" t="str">
        <f t="shared" si="120"/>
        <v>20</v>
      </c>
      <c r="D2047" t="s">
        <v>81</v>
      </c>
      <c r="E2047" t="str">
        <f t="shared" si="123"/>
        <v>232</v>
      </c>
      <c r="F2047" t="s">
        <v>2191</v>
      </c>
      <c r="G2047" t="str">
        <f>"1261"</f>
        <v>1261</v>
      </c>
      <c r="H2047" t="str">
        <f>"0002"</f>
        <v>0002</v>
      </c>
      <c r="I2047" t="s">
        <v>122</v>
      </c>
      <c r="J2047">
        <v>0</v>
      </c>
      <c r="K2047">
        <v>1</v>
      </c>
      <c r="L2047">
        <v>3</v>
      </c>
      <c r="M2047">
        <v>78</v>
      </c>
      <c r="N2047">
        <v>188</v>
      </c>
      <c r="O2047">
        <v>3</v>
      </c>
      <c r="P2047">
        <v>188</v>
      </c>
      <c r="Q2047">
        <v>31</v>
      </c>
      <c r="R2047">
        <v>8</v>
      </c>
      <c r="S2047">
        <v>41</v>
      </c>
      <c r="T2047">
        <v>0</v>
      </c>
      <c r="U2047">
        <v>0</v>
      </c>
      <c r="V2047">
        <v>1</v>
      </c>
      <c r="X2047">
        <v>30</v>
      </c>
      <c r="Y2047">
        <v>72</v>
      </c>
      <c r="Z2047">
        <v>0</v>
      </c>
      <c r="AA2047">
        <v>2</v>
      </c>
      <c r="AB2047">
        <v>0</v>
      </c>
      <c r="AF2047">
        <v>0</v>
      </c>
      <c r="AG2047">
        <v>0</v>
      </c>
      <c r="AH2047">
        <v>0</v>
      </c>
      <c r="AI2047">
        <v>0</v>
      </c>
      <c r="AW2047">
        <v>0</v>
      </c>
      <c r="AX2047">
        <v>3</v>
      </c>
      <c r="AY2047">
        <v>3</v>
      </c>
      <c r="AZ2047">
        <v>188</v>
      </c>
      <c r="BA2047">
        <v>222</v>
      </c>
      <c r="BB2047">
        <v>44</v>
      </c>
      <c r="BD2047">
        <v>1</v>
      </c>
      <c r="BF2047" t="s">
        <v>2213</v>
      </c>
      <c r="BG2047" s="1">
        <v>44353.965277777781</v>
      </c>
      <c r="BH2047" s="1">
        <v>44353.97247685185</v>
      </c>
      <c r="BI2047" s="1">
        <v>44353.973020833335</v>
      </c>
      <c r="BJ2047" t="s">
        <v>85</v>
      </c>
      <c r="BK2047" t="s">
        <v>86</v>
      </c>
      <c r="BL2047" t="s">
        <v>87</v>
      </c>
    </row>
    <row r="2048" spans="1:64" x14ac:dyDescent="0.3">
      <c r="A2048" t="str">
        <f>"201262B0000"</f>
        <v>201262B0000</v>
      </c>
      <c r="B2048" t="str">
        <f>"201262B00003"</f>
        <v>201262B00003</v>
      </c>
      <c r="C2048" t="str">
        <f t="shared" si="120"/>
        <v>20</v>
      </c>
      <c r="D2048" t="s">
        <v>81</v>
      </c>
      <c r="E2048" t="str">
        <f t="shared" si="123"/>
        <v>232</v>
      </c>
      <c r="F2048" t="s">
        <v>2191</v>
      </c>
      <c r="G2048" t="str">
        <f>"1262"</f>
        <v>1262</v>
      </c>
      <c r="H2048" t="str">
        <f>"0000"</f>
        <v>0000</v>
      </c>
      <c r="I2048" t="s">
        <v>83</v>
      </c>
      <c r="J2048">
        <v>0</v>
      </c>
      <c r="K2048">
        <v>1</v>
      </c>
      <c r="L2048">
        <v>3</v>
      </c>
      <c r="M2048">
        <v>113</v>
      </c>
      <c r="N2048">
        <v>383</v>
      </c>
      <c r="O2048">
        <v>0</v>
      </c>
      <c r="P2048">
        <v>383</v>
      </c>
      <c r="Q2048">
        <v>63</v>
      </c>
      <c r="R2048">
        <v>30</v>
      </c>
      <c r="S2048">
        <v>5</v>
      </c>
      <c r="T2048">
        <v>2</v>
      </c>
      <c r="U2048">
        <v>1</v>
      </c>
      <c r="V2048">
        <v>2</v>
      </c>
      <c r="X2048">
        <v>109</v>
      </c>
      <c r="Y2048">
        <v>163</v>
      </c>
      <c r="Z2048">
        <v>1</v>
      </c>
      <c r="AA2048">
        <v>2</v>
      </c>
      <c r="AB2048">
        <v>0</v>
      </c>
      <c r="AF2048">
        <v>0</v>
      </c>
      <c r="AG2048">
        <v>0</v>
      </c>
      <c r="AH2048">
        <v>0</v>
      </c>
      <c r="AI2048">
        <v>0</v>
      </c>
      <c r="AW2048">
        <v>0</v>
      </c>
      <c r="AX2048">
        <v>5</v>
      </c>
      <c r="AY2048">
        <v>383</v>
      </c>
      <c r="AZ2048">
        <v>383</v>
      </c>
      <c r="BA2048">
        <v>452</v>
      </c>
      <c r="BB2048">
        <v>44</v>
      </c>
      <c r="BD2048">
        <v>1</v>
      </c>
      <c r="BF2048" t="s">
        <v>2214</v>
      </c>
      <c r="BG2048" s="1">
        <v>44353.959722222222</v>
      </c>
      <c r="BH2048" s="1">
        <v>44353.97111111111</v>
      </c>
      <c r="BI2048" s="1">
        <v>44353.971863425926</v>
      </c>
      <c r="BJ2048" t="s">
        <v>85</v>
      </c>
      <c r="BK2048" t="s">
        <v>86</v>
      </c>
      <c r="BL2048" t="s">
        <v>87</v>
      </c>
    </row>
    <row r="2049" spans="1:64" x14ac:dyDescent="0.3">
      <c r="A2049" t="str">
        <f>"201262C0100"</f>
        <v>201262C0100</v>
      </c>
      <c r="B2049" t="str">
        <f>"201262C01003"</f>
        <v>201262C01003</v>
      </c>
      <c r="C2049" t="str">
        <f t="shared" si="120"/>
        <v>20</v>
      </c>
      <c r="D2049" t="s">
        <v>81</v>
      </c>
      <c r="E2049" t="str">
        <f t="shared" si="123"/>
        <v>232</v>
      </c>
      <c r="F2049" t="s">
        <v>2191</v>
      </c>
      <c r="G2049" t="str">
        <f>"1262"</f>
        <v>1262</v>
      </c>
      <c r="H2049" t="str">
        <f>"0001"</f>
        <v>0001</v>
      </c>
      <c r="I2049" t="s">
        <v>89</v>
      </c>
      <c r="J2049">
        <v>0</v>
      </c>
      <c r="K2049">
        <v>1</v>
      </c>
      <c r="L2049">
        <v>3</v>
      </c>
      <c r="M2049">
        <v>105</v>
      </c>
      <c r="N2049">
        <v>390</v>
      </c>
      <c r="O2049">
        <v>0</v>
      </c>
      <c r="P2049">
        <v>390</v>
      </c>
      <c r="Q2049">
        <v>52</v>
      </c>
      <c r="R2049">
        <v>33</v>
      </c>
      <c r="S2049">
        <v>10</v>
      </c>
      <c r="T2049">
        <v>1</v>
      </c>
      <c r="U2049">
        <v>0</v>
      </c>
      <c r="V2049">
        <v>0</v>
      </c>
      <c r="X2049">
        <v>89</v>
      </c>
      <c r="Y2049">
        <v>195</v>
      </c>
      <c r="Z2049">
        <v>2</v>
      </c>
      <c r="AA2049">
        <v>2</v>
      </c>
      <c r="AB2049">
        <v>0</v>
      </c>
      <c r="AF2049">
        <v>1</v>
      </c>
      <c r="AG2049">
        <v>0</v>
      </c>
      <c r="AH2049">
        <v>0</v>
      </c>
      <c r="AI2049">
        <v>0</v>
      </c>
      <c r="AW2049">
        <v>0</v>
      </c>
      <c r="AX2049">
        <v>5</v>
      </c>
      <c r="AY2049">
        <v>390</v>
      </c>
      <c r="AZ2049">
        <v>390</v>
      </c>
      <c r="BA2049">
        <v>451</v>
      </c>
      <c r="BB2049">
        <v>44</v>
      </c>
      <c r="BD2049">
        <v>1</v>
      </c>
      <c r="BF2049" t="s">
        <v>2215</v>
      </c>
      <c r="BG2049" s="1">
        <v>44353.956944444442</v>
      </c>
      <c r="BH2049" s="1">
        <v>44353.969143518516</v>
      </c>
      <c r="BI2049" s="1">
        <v>44353.969733796293</v>
      </c>
      <c r="BJ2049" t="s">
        <v>85</v>
      </c>
      <c r="BK2049" t="s">
        <v>86</v>
      </c>
      <c r="BL2049" t="s">
        <v>87</v>
      </c>
    </row>
    <row r="2050" spans="1:64" x14ac:dyDescent="0.3">
      <c r="A2050" t="str">
        <f>"201263B0000"</f>
        <v>201263B0000</v>
      </c>
      <c r="B2050" t="str">
        <f>"201263B00003"</f>
        <v>201263B00003</v>
      </c>
      <c r="C2050" t="str">
        <f t="shared" si="120"/>
        <v>20</v>
      </c>
      <c r="D2050" t="s">
        <v>81</v>
      </c>
      <c r="E2050" t="str">
        <f t="shared" si="123"/>
        <v>232</v>
      </c>
      <c r="F2050" t="s">
        <v>2191</v>
      </c>
      <c r="G2050" t="str">
        <f>"1263"</f>
        <v>1263</v>
      </c>
      <c r="H2050" t="str">
        <f>"0000"</f>
        <v>0000</v>
      </c>
      <c r="I2050" t="s">
        <v>83</v>
      </c>
      <c r="J2050">
        <v>0</v>
      </c>
      <c r="K2050">
        <v>1</v>
      </c>
      <c r="L2050">
        <v>3</v>
      </c>
      <c r="M2050">
        <v>162</v>
      </c>
      <c r="N2050">
        <v>539</v>
      </c>
      <c r="O2050">
        <v>1</v>
      </c>
      <c r="P2050">
        <v>539</v>
      </c>
      <c r="Q2050">
        <v>46</v>
      </c>
      <c r="R2050">
        <v>8</v>
      </c>
      <c r="S2050">
        <v>2</v>
      </c>
      <c r="T2050">
        <v>2</v>
      </c>
      <c r="U2050">
        <v>0</v>
      </c>
      <c r="V2050">
        <v>4</v>
      </c>
      <c r="X2050">
        <v>311</v>
      </c>
      <c r="Y2050">
        <v>155</v>
      </c>
      <c r="Z2050">
        <v>0</v>
      </c>
      <c r="AA2050">
        <v>3</v>
      </c>
      <c r="AB2050">
        <v>1</v>
      </c>
      <c r="AF2050">
        <v>1</v>
      </c>
      <c r="AG2050">
        <v>0</v>
      </c>
      <c r="AH2050">
        <v>0</v>
      </c>
      <c r="AI2050">
        <v>0</v>
      </c>
      <c r="AW2050">
        <v>0</v>
      </c>
      <c r="AX2050">
        <v>7</v>
      </c>
      <c r="AY2050">
        <v>539</v>
      </c>
      <c r="AZ2050">
        <v>540</v>
      </c>
      <c r="BA2050">
        <v>657</v>
      </c>
      <c r="BB2050">
        <v>44</v>
      </c>
      <c r="BD2050">
        <v>1</v>
      </c>
      <c r="BF2050" t="s">
        <v>2216</v>
      </c>
      <c r="BG2050" s="1">
        <v>44354.079861111109</v>
      </c>
      <c r="BH2050" s="1">
        <v>44354.08829861111</v>
      </c>
      <c r="BI2050" s="1">
        <v>44354.089722222219</v>
      </c>
      <c r="BJ2050" t="s">
        <v>85</v>
      </c>
      <c r="BK2050" t="s">
        <v>86</v>
      </c>
      <c r="BL2050" t="s">
        <v>87</v>
      </c>
    </row>
    <row r="2051" spans="1:64" x14ac:dyDescent="0.3">
      <c r="A2051" t="str">
        <f>"201263E0100"</f>
        <v>201263E0100</v>
      </c>
      <c r="B2051" t="str">
        <f>"201263E01003"</f>
        <v>201263E01003</v>
      </c>
      <c r="C2051" t="str">
        <f t="shared" si="120"/>
        <v>20</v>
      </c>
      <c r="D2051" t="s">
        <v>81</v>
      </c>
      <c r="E2051" t="str">
        <f t="shared" si="123"/>
        <v>232</v>
      </c>
      <c r="F2051" t="s">
        <v>2191</v>
      </c>
      <c r="G2051" t="str">
        <f>"1263"</f>
        <v>1263</v>
      </c>
      <c r="H2051" t="str">
        <f>"0001"</f>
        <v>0001</v>
      </c>
      <c r="I2051" t="s">
        <v>122</v>
      </c>
      <c r="J2051">
        <v>0</v>
      </c>
      <c r="K2051">
        <v>1</v>
      </c>
      <c r="L2051">
        <v>3</v>
      </c>
      <c r="M2051">
        <v>112</v>
      </c>
      <c r="N2051">
        <v>413</v>
      </c>
      <c r="O2051">
        <v>1</v>
      </c>
      <c r="P2051">
        <v>413</v>
      </c>
      <c r="Q2051">
        <v>24</v>
      </c>
      <c r="R2051">
        <v>13</v>
      </c>
      <c r="S2051">
        <v>7</v>
      </c>
      <c r="T2051">
        <v>0</v>
      </c>
      <c r="U2051">
        <v>0</v>
      </c>
      <c r="V2051">
        <v>1</v>
      </c>
      <c r="X2051">
        <v>192</v>
      </c>
      <c r="Y2051">
        <v>166</v>
      </c>
      <c r="Z2051">
        <v>0</v>
      </c>
      <c r="AA2051">
        <v>4</v>
      </c>
      <c r="AB2051">
        <v>0</v>
      </c>
      <c r="AF2051">
        <v>0</v>
      </c>
      <c r="AG2051">
        <v>0</v>
      </c>
      <c r="AH2051">
        <v>0</v>
      </c>
      <c r="AI2051">
        <v>0</v>
      </c>
      <c r="AW2051">
        <v>0</v>
      </c>
      <c r="AX2051">
        <v>6</v>
      </c>
      <c r="AY2051">
        <v>413</v>
      </c>
      <c r="AZ2051">
        <v>413</v>
      </c>
      <c r="BA2051">
        <v>481</v>
      </c>
      <c r="BB2051">
        <v>44</v>
      </c>
      <c r="BD2051">
        <v>1</v>
      </c>
      <c r="BF2051" t="s">
        <v>2217</v>
      </c>
      <c r="BG2051" s="1">
        <v>44354.074305555558</v>
      </c>
      <c r="BH2051" s="1">
        <v>44354.081747685188</v>
      </c>
      <c r="BI2051" s="1">
        <v>44354.083298611113</v>
      </c>
      <c r="BJ2051" t="s">
        <v>85</v>
      </c>
      <c r="BK2051" t="s">
        <v>86</v>
      </c>
      <c r="BL2051" t="s">
        <v>87</v>
      </c>
    </row>
    <row r="2052" spans="1:64" x14ac:dyDescent="0.3">
      <c r="A2052" t="str">
        <f>"201263E0200"</f>
        <v>201263E0200</v>
      </c>
      <c r="B2052" t="str">
        <f>"201263E02003"</f>
        <v>201263E02003</v>
      </c>
      <c r="C2052" t="str">
        <f t="shared" si="120"/>
        <v>20</v>
      </c>
      <c r="D2052" t="s">
        <v>81</v>
      </c>
      <c r="E2052" t="str">
        <f t="shared" si="123"/>
        <v>232</v>
      </c>
      <c r="F2052" t="s">
        <v>2191</v>
      </c>
      <c r="G2052" t="str">
        <f>"1263"</f>
        <v>1263</v>
      </c>
      <c r="H2052" t="str">
        <f>"0002"</f>
        <v>0002</v>
      </c>
      <c r="I2052" t="s">
        <v>122</v>
      </c>
      <c r="J2052">
        <v>0</v>
      </c>
      <c r="K2052">
        <v>1</v>
      </c>
      <c r="L2052">
        <v>3</v>
      </c>
      <c r="M2052">
        <v>116</v>
      </c>
      <c r="N2052">
        <v>396</v>
      </c>
      <c r="O2052">
        <v>2</v>
      </c>
      <c r="P2052">
        <v>396</v>
      </c>
      <c r="Q2052">
        <v>51</v>
      </c>
      <c r="R2052">
        <v>11</v>
      </c>
      <c r="S2052">
        <v>3</v>
      </c>
      <c r="T2052">
        <v>1</v>
      </c>
      <c r="U2052">
        <v>0</v>
      </c>
      <c r="V2052">
        <v>1</v>
      </c>
      <c r="X2052">
        <v>143</v>
      </c>
      <c r="Y2052">
        <v>172</v>
      </c>
      <c r="Z2052">
        <v>0</v>
      </c>
      <c r="AA2052">
        <v>3</v>
      </c>
      <c r="AB2052">
        <v>0</v>
      </c>
      <c r="AF2052">
        <v>1</v>
      </c>
      <c r="AG2052">
        <v>0</v>
      </c>
      <c r="AH2052">
        <v>0</v>
      </c>
      <c r="AI2052">
        <v>0</v>
      </c>
      <c r="AW2052">
        <v>0</v>
      </c>
      <c r="AX2052">
        <v>10</v>
      </c>
      <c r="AY2052">
        <v>396</v>
      </c>
      <c r="AZ2052">
        <v>396</v>
      </c>
      <c r="BA2052">
        <v>468</v>
      </c>
      <c r="BB2052">
        <v>44</v>
      </c>
      <c r="BD2052">
        <v>1</v>
      </c>
      <c r="BF2052" t="s">
        <v>2218</v>
      </c>
      <c r="BG2052" s="1">
        <v>44354.07708333333</v>
      </c>
      <c r="BH2052" s="1">
        <v>44354.085057870368</v>
      </c>
      <c r="BI2052" s="1">
        <v>44354.085462962961</v>
      </c>
      <c r="BJ2052" t="s">
        <v>85</v>
      </c>
      <c r="BK2052" t="s">
        <v>86</v>
      </c>
      <c r="BL2052" t="s">
        <v>87</v>
      </c>
    </row>
    <row r="2053" spans="1:64" x14ac:dyDescent="0.3">
      <c r="A2053" t="str">
        <f>"201264B0000"</f>
        <v>201264B0000</v>
      </c>
      <c r="B2053" t="str">
        <f>"201264B00003"</f>
        <v>201264B00003</v>
      </c>
      <c r="C2053" t="str">
        <f t="shared" si="120"/>
        <v>20</v>
      </c>
      <c r="D2053" t="s">
        <v>81</v>
      </c>
      <c r="E2053" t="str">
        <f t="shared" si="123"/>
        <v>232</v>
      </c>
      <c r="F2053" t="s">
        <v>2191</v>
      </c>
      <c r="G2053" t="str">
        <f>"1264"</f>
        <v>1264</v>
      </c>
      <c r="H2053" t="str">
        <f>"0000"</f>
        <v>0000</v>
      </c>
      <c r="I2053" t="s">
        <v>83</v>
      </c>
      <c r="J2053">
        <v>0</v>
      </c>
      <c r="K2053">
        <v>1</v>
      </c>
      <c r="L2053">
        <v>3</v>
      </c>
      <c r="M2053">
        <v>143</v>
      </c>
      <c r="N2053">
        <v>563</v>
      </c>
      <c r="O2053">
        <v>0</v>
      </c>
      <c r="P2053">
        <v>563</v>
      </c>
      <c r="Q2053">
        <v>133</v>
      </c>
      <c r="R2053">
        <v>24</v>
      </c>
      <c r="S2053">
        <v>1</v>
      </c>
      <c r="T2053">
        <v>1</v>
      </c>
      <c r="U2053">
        <v>0</v>
      </c>
      <c r="V2053">
        <v>2</v>
      </c>
      <c r="X2053">
        <v>222</v>
      </c>
      <c r="Y2053">
        <v>173</v>
      </c>
      <c r="Z2053">
        <v>1</v>
      </c>
      <c r="AA2053">
        <v>4</v>
      </c>
      <c r="AB2053">
        <v>0</v>
      </c>
      <c r="AF2053">
        <v>1</v>
      </c>
      <c r="AG2053">
        <v>1</v>
      </c>
      <c r="AH2053">
        <v>0</v>
      </c>
      <c r="AI2053">
        <v>0</v>
      </c>
      <c r="AW2053">
        <v>0</v>
      </c>
      <c r="AX2053">
        <v>0</v>
      </c>
      <c r="AY2053">
        <v>563</v>
      </c>
      <c r="AZ2053">
        <v>563</v>
      </c>
      <c r="BA2053">
        <v>662</v>
      </c>
      <c r="BB2053">
        <v>44</v>
      </c>
      <c r="BD2053">
        <v>1</v>
      </c>
      <c r="BF2053" t="s">
        <v>2219</v>
      </c>
      <c r="BG2053" s="1">
        <v>44354.022916666669</v>
      </c>
      <c r="BH2053" s="1">
        <v>44354.036874999998</v>
      </c>
      <c r="BI2053" s="1">
        <v>44354.037499999999</v>
      </c>
      <c r="BJ2053" t="s">
        <v>85</v>
      </c>
      <c r="BK2053" t="s">
        <v>86</v>
      </c>
      <c r="BL2053" t="s">
        <v>87</v>
      </c>
    </row>
    <row r="2054" spans="1:64" x14ac:dyDescent="0.3">
      <c r="A2054" t="str">
        <f>"201264E0100"</f>
        <v>201264E0100</v>
      </c>
      <c r="B2054" t="str">
        <f>"201264E01003"</f>
        <v>201264E01003</v>
      </c>
      <c r="C2054" t="str">
        <f t="shared" si="120"/>
        <v>20</v>
      </c>
      <c r="D2054" t="s">
        <v>81</v>
      </c>
      <c r="E2054" t="str">
        <f t="shared" si="123"/>
        <v>232</v>
      </c>
      <c r="F2054" t="s">
        <v>2191</v>
      </c>
      <c r="G2054" t="str">
        <f>"1264"</f>
        <v>1264</v>
      </c>
      <c r="H2054" t="str">
        <f>"0001"</f>
        <v>0001</v>
      </c>
      <c r="I2054" t="s">
        <v>122</v>
      </c>
      <c r="J2054">
        <v>0</v>
      </c>
      <c r="K2054">
        <v>1</v>
      </c>
      <c r="L2054">
        <v>3</v>
      </c>
      <c r="M2054">
        <v>86</v>
      </c>
      <c r="N2054">
        <v>260</v>
      </c>
      <c r="O2054">
        <v>2</v>
      </c>
      <c r="P2054">
        <v>260</v>
      </c>
      <c r="Q2054">
        <v>52</v>
      </c>
      <c r="R2054">
        <v>10</v>
      </c>
      <c r="S2054">
        <v>2</v>
      </c>
      <c r="T2054">
        <v>0</v>
      </c>
      <c r="U2054">
        <v>2</v>
      </c>
      <c r="V2054">
        <v>2</v>
      </c>
      <c r="X2054">
        <v>95</v>
      </c>
      <c r="Y2054">
        <v>85</v>
      </c>
      <c r="Z2054">
        <v>0</v>
      </c>
      <c r="AA2054">
        <v>2</v>
      </c>
      <c r="AB2054">
        <v>0</v>
      </c>
      <c r="AF2054">
        <v>1</v>
      </c>
      <c r="AG2054">
        <v>0</v>
      </c>
      <c r="AH2054">
        <v>0</v>
      </c>
      <c r="AI2054">
        <v>0</v>
      </c>
      <c r="AW2054">
        <v>0</v>
      </c>
      <c r="AX2054">
        <v>9</v>
      </c>
      <c r="AY2054">
        <v>260</v>
      </c>
      <c r="AZ2054">
        <v>260</v>
      </c>
      <c r="BA2054">
        <v>302</v>
      </c>
      <c r="BB2054">
        <v>44</v>
      </c>
      <c r="BD2054">
        <v>1</v>
      </c>
      <c r="BF2054" t="s">
        <v>2220</v>
      </c>
      <c r="BG2054" s="1">
        <v>44354.017361111109</v>
      </c>
      <c r="BH2054" s="1">
        <v>44354.034143518518</v>
      </c>
      <c r="BI2054" s="1">
        <v>44354.034490740742</v>
      </c>
      <c r="BJ2054" t="s">
        <v>85</v>
      </c>
      <c r="BK2054" t="s">
        <v>86</v>
      </c>
      <c r="BL2054" t="s">
        <v>87</v>
      </c>
    </row>
    <row r="2055" spans="1:64" x14ac:dyDescent="0.3">
      <c r="A2055" t="str">
        <f>"201264E0200"</f>
        <v>201264E0200</v>
      </c>
      <c r="B2055" t="str">
        <f>"201264E02003"</f>
        <v>201264E02003</v>
      </c>
      <c r="C2055" t="str">
        <f t="shared" ref="C2055:C2118" si="124">"20"</f>
        <v>20</v>
      </c>
      <c r="D2055" t="s">
        <v>81</v>
      </c>
      <c r="E2055" t="str">
        <f t="shared" si="123"/>
        <v>232</v>
      </c>
      <c r="F2055" t="s">
        <v>2191</v>
      </c>
      <c r="G2055" t="str">
        <f>"1264"</f>
        <v>1264</v>
      </c>
      <c r="H2055" t="str">
        <f>"0002"</f>
        <v>0002</v>
      </c>
      <c r="I2055" t="s">
        <v>122</v>
      </c>
      <c r="J2055">
        <v>0</v>
      </c>
      <c r="K2055">
        <v>1</v>
      </c>
      <c r="L2055">
        <v>3</v>
      </c>
      <c r="M2055">
        <v>95</v>
      </c>
      <c r="N2055">
        <v>300</v>
      </c>
      <c r="O2055">
        <v>3</v>
      </c>
      <c r="P2055">
        <v>300</v>
      </c>
      <c r="Q2055">
        <v>46</v>
      </c>
      <c r="R2055">
        <v>17</v>
      </c>
      <c r="S2055">
        <v>3</v>
      </c>
      <c r="T2055">
        <v>1</v>
      </c>
      <c r="U2055">
        <v>0</v>
      </c>
      <c r="V2055">
        <v>9</v>
      </c>
      <c r="X2055">
        <v>186</v>
      </c>
      <c r="Y2055">
        <v>34</v>
      </c>
      <c r="Z2055">
        <v>1</v>
      </c>
      <c r="AA2055">
        <v>0</v>
      </c>
      <c r="AB2055">
        <v>0</v>
      </c>
      <c r="AF2055">
        <v>0</v>
      </c>
      <c r="AG2055">
        <v>0</v>
      </c>
      <c r="AH2055">
        <v>0</v>
      </c>
      <c r="AI2055">
        <v>0</v>
      </c>
      <c r="AW2055">
        <v>0</v>
      </c>
      <c r="AX2055">
        <v>3</v>
      </c>
      <c r="AY2055">
        <v>297</v>
      </c>
      <c r="AZ2055">
        <v>300</v>
      </c>
      <c r="BA2055">
        <v>351</v>
      </c>
      <c r="BB2055">
        <v>44</v>
      </c>
      <c r="BD2055">
        <v>1</v>
      </c>
      <c r="BF2055" t="s">
        <v>2221</v>
      </c>
      <c r="BG2055" s="1">
        <v>44354.015277777777</v>
      </c>
      <c r="BH2055" s="1">
        <v>44354.032465277778</v>
      </c>
      <c r="BI2055" s="1">
        <v>44354.03324074074</v>
      </c>
      <c r="BJ2055" t="s">
        <v>85</v>
      </c>
      <c r="BK2055" t="s">
        <v>86</v>
      </c>
      <c r="BL2055" t="s">
        <v>87</v>
      </c>
    </row>
    <row r="2056" spans="1:64" x14ac:dyDescent="0.3">
      <c r="A2056" t="str">
        <f>"201265B0000"</f>
        <v>201265B0000</v>
      </c>
      <c r="B2056" t="str">
        <f>"201265B00003"</f>
        <v>201265B00003</v>
      </c>
      <c r="C2056" t="str">
        <f t="shared" si="124"/>
        <v>20</v>
      </c>
      <c r="D2056" t="s">
        <v>81</v>
      </c>
      <c r="E2056" t="str">
        <f t="shared" si="123"/>
        <v>232</v>
      </c>
      <c r="F2056" t="s">
        <v>2191</v>
      </c>
      <c r="G2056" t="str">
        <f>"1265"</f>
        <v>1265</v>
      </c>
      <c r="H2056" t="str">
        <f>"0000"</f>
        <v>0000</v>
      </c>
      <c r="I2056" t="s">
        <v>83</v>
      </c>
      <c r="J2056">
        <v>0</v>
      </c>
      <c r="K2056">
        <v>1</v>
      </c>
      <c r="L2056">
        <v>3</v>
      </c>
      <c r="M2056">
        <v>135</v>
      </c>
      <c r="N2056">
        <v>478</v>
      </c>
      <c r="O2056">
        <v>0</v>
      </c>
      <c r="P2056">
        <v>478</v>
      </c>
      <c r="Q2056">
        <v>56</v>
      </c>
      <c r="R2056">
        <v>23</v>
      </c>
      <c r="S2056">
        <v>1</v>
      </c>
      <c r="T2056">
        <v>1</v>
      </c>
      <c r="U2056">
        <v>2</v>
      </c>
      <c r="V2056">
        <v>9</v>
      </c>
      <c r="X2056">
        <v>291</v>
      </c>
      <c r="Y2056">
        <v>83</v>
      </c>
      <c r="Z2056" t="s">
        <v>95</v>
      </c>
      <c r="AA2056">
        <v>5</v>
      </c>
      <c r="AB2056" t="s">
        <v>95</v>
      </c>
      <c r="AF2056" t="s">
        <v>95</v>
      </c>
      <c r="AG2056" t="s">
        <v>95</v>
      </c>
      <c r="AH2056" t="s">
        <v>95</v>
      </c>
      <c r="AI2056" t="s">
        <v>95</v>
      </c>
      <c r="AW2056" t="s">
        <v>95</v>
      </c>
      <c r="AX2056">
        <v>7</v>
      </c>
      <c r="AY2056">
        <v>478</v>
      </c>
      <c r="AZ2056">
        <v>478</v>
      </c>
      <c r="BA2056">
        <v>569</v>
      </c>
      <c r="BB2056">
        <v>44</v>
      </c>
      <c r="BC2056" t="s">
        <v>96</v>
      </c>
      <c r="BD2056">
        <v>1</v>
      </c>
      <c r="BF2056" t="s">
        <v>2222</v>
      </c>
      <c r="BG2056" s="1">
        <v>44354.156944444447</v>
      </c>
      <c r="BH2056" s="1">
        <v>44354.161805555559</v>
      </c>
      <c r="BI2056" s="1">
        <v>44354.162442129629</v>
      </c>
      <c r="BJ2056" t="s">
        <v>85</v>
      </c>
      <c r="BK2056" t="s">
        <v>86</v>
      </c>
      <c r="BL2056" t="s">
        <v>87</v>
      </c>
    </row>
    <row r="2057" spans="1:64" x14ac:dyDescent="0.3">
      <c r="A2057" t="str">
        <f>"201265E0100"</f>
        <v>201265E0100</v>
      </c>
      <c r="B2057" t="str">
        <f>"201265E01003"</f>
        <v>201265E01003</v>
      </c>
      <c r="C2057" t="str">
        <f t="shared" si="124"/>
        <v>20</v>
      </c>
      <c r="D2057" t="s">
        <v>81</v>
      </c>
      <c r="E2057" t="str">
        <f t="shared" si="123"/>
        <v>232</v>
      </c>
      <c r="F2057" t="s">
        <v>2191</v>
      </c>
      <c r="G2057" t="str">
        <f>"1265"</f>
        <v>1265</v>
      </c>
      <c r="H2057" t="str">
        <f>"0001"</f>
        <v>0001</v>
      </c>
      <c r="I2057" t="s">
        <v>122</v>
      </c>
      <c r="J2057">
        <v>0</v>
      </c>
      <c r="K2057">
        <v>1</v>
      </c>
      <c r="L2057">
        <v>3</v>
      </c>
      <c r="M2057">
        <v>102</v>
      </c>
      <c r="N2057">
        <v>272</v>
      </c>
      <c r="O2057">
        <v>7</v>
      </c>
      <c r="P2057">
        <v>272</v>
      </c>
      <c r="Q2057">
        <v>35</v>
      </c>
      <c r="R2057">
        <v>70</v>
      </c>
      <c r="S2057">
        <v>1</v>
      </c>
      <c r="T2057">
        <v>0</v>
      </c>
      <c r="U2057">
        <v>0</v>
      </c>
      <c r="V2057">
        <v>1</v>
      </c>
      <c r="X2057">
        <v>82</v>
      </c>
      <c r="Y2057">
        <v>75</v>
      </c>
      <c r="Z2057">
        <v>2</v>
      </c>
      <c r="AA2057">
        <v>4</v>
      </c>
      <c r="AB2057">
        <v>0</v>
      </c>
      <c r="AF2057">
        <v>0</v>
      </c>
      <c r="AG2057">
        <v>0</v>
      </c>
      <c r="AH2057">
        <v>0</v>
      </c>
      <c r="AI2057">
        <v>0</v>
      </c>
      <c r="AW2057">
        <v>0</v>
      </c>
      <c r="AX2057">
        <v>2</v>
      </c>
      <c r="AY2057">
        <v>272</v>
      </c>
      <c r="AZ2057">
        <v>272</v>
      </c>
      <c r="BA2057">
        <v>330</v>
      </c>
      <c r="BB2057">
        <v>44</v>
      </c>
      <c r="BD2057">
        <v>1</v>
      </c>
      <c r="BF2057" t="s">
        <v>2223</v>
      </c>
      <c r="BG2057" s="1">
        <v>44354.15347222222</v>
      </c>
      <c r="BH2057" s="1">
        <v>44354.159016203703</v>
      </c>
      <c r="BI2057" s="1">
        <v>44354.159490740742</v>
      </c>
      <c r="BJ2057" t="s">
        <v>85</v>
      </c>
      <c r="BK2057" t="s">
        <v>86</v>
      </c>
      <c r="BL2057" t="s">
        <v>87</v>
      </c>
    </row>
    <row r="2058" spans="1:64" x14ac:dyDescent="0.3">
      <c r="A2058" t="str">
        <f>"201278B0000"</f>
        <v>201278B0000</v>
      </c>
      <c r="B2058" t="str">
        <f>"201278B00003"</f>
        <v>201278B00003</v>
      </c>
      <c r="C2058" t="str">
        <f t="shared" si="124"/>
        <v>20</v>
      </c>
      <c r="D2058" t="s">
        <v>81</v>
      </c>
      <c r="E2058" t="str">
        <f>"237"</f>
        <v>237</v>
      </c>
      <c r="F2058" t="s">
        <v>2224</v>
      </c>
      <c r="G2058" t="str">
        <f>"1278"</f>
        <v>1278</v>
      </c>
      <c r="H2058" t="str">
        <f>"0000"</f>
        <v>0000</v>
      </c>
      <c r="I2058" t="s">
        <v>83</v>
      </c>
      <c r="J2058">
        <v>0</v>
      </c>
      <c r="K2058">
        <v>1</v>
      </c>
      <c r="L2058">
        <v>3</v>
      </c>
      <c r="M2058">
        <v>364</v>
      </c>
      <c r="N2058">
        <v>332</v>
      </c>
      <c r="O2058">
        <v>6</v>
      </c>
      <c r="P2058">
        <v>332</v>
      </c>
      <c r="Q2058">
        <v>7</v>
      </c>
      <c r="R2058">
        <v>8</v>
      </c>
      <c r="S2058">
        <v>47</v>
      </c>
      <c r="T2058">
        <v>3</v>
      </c>
      <c r="U2058">
        <v>3</v>
      </c>
      <c r="X2058">
        <v>149</v>
      </c>
      <c r="Y2058">
        <v>86</v>
      </c>
      <c r="Z2058">
        <v>1</v>
      </c>
      <c r="AF2058">
        <v>3</v>
      </c>
      <c r="AG2058">
        <v>0</v>
      </c>
      <c r="AH2058">
        <v>3</v>
      </c>
      <c r="AI2058">
        <v>0</v>
      </c>
      <c r="AW2058">
        <v>0</v>
      </c>
      <c r="AX2058">
        <v>22</v>
      </c>
      <c r="AY2058">
        <v>332</v>
      </c>
      <c r="AZ2058">
        <v>332</v>
      </c>
      <c r="BA2058">
        <v>652</v>
      </c>
      <c r="BB2058">
        <v>44</v>
      </c>
      <c r="BD2058">
        <v>1</v>
      </c>
      <c r="BF2058" t="s">
        <v>2225</v>
      </c>
      <c r="BG2058" s="1">
        <v>44354.302083333336</v>
      </c>
      <c r="BH2058" s="1">
        <v>44354.305173611108</v>
      </c>
      <c r="BI2058" s="1">
        <v>44354.305532407408</v>
      </c>
      <c r="BJ2058" t="s">
        <v>85</v>
      </c>
      <c r="BK2058" t="s">
        <v>86</v>
      </c>
      <c r="BL2058" t="s">
        <v>87</v>
      </c>
    </row>
    <row r="2059" spans="1:64" x14ac:dyDescent="0.3">
      <c r="A2059" t="str">
        <f>"201279B0000"</f>
        <v>201279B0000</v>
      </c>
      <c r="B2059" t="str">
        <f>"201279B00003"</f>
        <v>201279B00003</v>
      </c>
      <c r="C2059" t="str">
        <f t="shared" si="124"/>
        <v>20</v>
      </c>
      <c r="D2059" t="s">
        <v>81</v>
      </c>
      <c r="E2059" t="str">
        <f>"237"</f>
        <v>237</v>
      </c>
      <c r="F2059" t="s">
        <v>2224</v>
      </c>
      <c r="G2059" t="str">
        <f>"1279"</f>
        <v>1279</v>
      </c>
      <c r="H2059" t="str">
        <f>"0000"</f>
        <v>0000</v>
      </c>
      <c r="I2059" t="s">
        <v>83</v>
      </c>
      <c r="J2059">
        <v>0</v>
      </c>
      <c r="K2059">
        <v>1</v>
      </c>
      <c r="L2059">
        <v>3</v>
      </c>
      <c r="M2059">
        <v>212</v>
      </c>
      <c r="N2059" t="s">
        <v>131</v>
      </c>
      <c r="O2059">
        <v>3</v>
      </c>
      <c r="P2059">
        <v>216</v>
      </c>
      <c r="Q2059">
        <v>0</v>
      </c>
      <c r="R2059">
        <v>2</v>
      </c>
      <c r="S2059">
        <v>27</v>
      </c>
      <c r="T2059">
        <v>1</v>
      </c>
      <c r="U2059">
        <v>2</v>
      </c>
      <c r="X2059">
        <v>140</v>
      </c>
      <c r="Y2059">
        <v>32</v>
      </c>
      <c r="Z2059">
        <v>2</v>
      </c>
      <c r="AF2059">
        <v>0</v>
      </c>
      <c r="AG2059">
        <v>0</v>
      </c>
      <c r="AH2059">
        <v>0</v>
      </c>
      <c r="AI2059">
        <v>0</v>
      </c>
      <c r="AW2059">
        <v>0</v>
      </c>
      <c r="AX2059" t="s">
        <v>131</v>
      </c>
      <c r="AY2059" t="s">
        <v>95</v>
      </c>
      <c r="AZ2059">
        <v>206</v>
      </c>
      <c r="BA2059">
        <v>385</v>
      </c>
      <c r="BB2059">
        <v>44</v>
      </c>
      <c r="BC2059" t="s">
        <v>96</v>
      </c>
      <c r="BD2059">
        <v>1</v>
      </c>
      <c r="BF2059" t="s">
        <v>2226</v>
      </c>
      <c r="BG2059" s="1">
        <v>44354.302083333336</v>
      </c>
      <c r="BH2059" s="1">
        <v>44354.30672453704</v>
      </c>
      <c r="BI2059" s="1">
        <v>44354.307187500002</v>
      </c>
      <c r="BJ2059" t="s">
        <v>85</v>
      </c>
      <c r="BK2059" t="s">
        <v>86</v>
      </c>
      <c r="BL2059" t="s">
        <v>87</v>
      </c>
    </row>
    <row r="2060" spans="1:64" x14ac:dyDescent="0.3">
      <c r="A2060" t="str">
        <f>"201281B0000"</f>
        <v>201281B0000</v>
      </c>
      <c r="B2060" t="str">
        <f>"201281B00003"</f>
        <v>201281B00003</v>
      </c>
      <c r="C2060" t="str">
        <f t="shared" si="124"/>
        <v>20</v>
      </c>
      <c r="D2060" t="s">
        <v>81</v>
      </c>
      <c r="E2060" t="str">
        <f>"237"</f>
        <v>237</v>
      </c>
      <c r="F2060" t="s">
        <v>2224</v>
      </c>
      <c r="G2060" t="str">
        <f>"1281"</f>
        <v>1281</v>
      </c>
      <c r="H2060" t="str">
        <f>"0000"</f>
        <v>0000</v>
      </c>
      <c r="I2060" t="s">
        <v>83</v>
      </c>
      <c r="J2060">
        <v>0</v>
      </c>
      <c r="K2060">
        <v>1</v>
      </c>
      <c r="L2060">
        <v>3</v>
      </c>
      <c r="M2060">
        <v>194</v>
      </c>
      <c r="N2060">
        <v>134</v>
      </c>
      <c r="O2060">
        <v>4</v>
      </c>
      <c r="P2060">
        <v>134</v>
      </c>
      <c r="Q2060">
        <v>0</v>
      </c>
      <c r="R2060">
        <v>1</v>
      </c>
      <c r="S2060">
        <v>4</v>
      </c>
      <c r="T2060">
        <v>2</v>
      </c>
      <c r="U2060">
        <v>0</v>
      </c>
      <c r="X2060">
        <v>28</v>
      </c>
      <c r="Y2060">
        <v>94</v>
      </c>
      <c r="Z2060">
        <v>1</v>
      </c>
      <c r="AF2060">
        <v>0</v>
      </c>
      <c r="AG2060">
        <v>0</v>
      </c>
      <c r="AH2060">
        <v>0</v>
      </c>
      <c r="AI2060">
        <v>0</v>
      </c>
      <c r="AW2060">
        <v>0</v>
      </c>
      <c r="AX2060">
        <v>4</v>
      </c>
      <c r="AY2060">
        <v>134</v>
      </c>
      <c r="AZ2060">
        <v>134</v>
      </c>
      <c r="BA2060">
        <v>284</v>
      </c>
      <c r="BB2060">
        <v>44</v>
      </c>
      <c r="BD2060">
        <v>1</v>
      </c>
      <c r="BF2060" t="s">
        <v>2227</v>
      </c>
      <c r="BG2060" s="1">
        <v>44354.302083333336</v>
      </c>
      <c r="BH2060" s="1">
        <v>44354.304398148146</v>
      </c>
      <c r="BI2060" s="1">
        <v>44354.304988425924</v>
      </c>
      <c r="BJ2060" t="s">
        <v>85</v>
      </c>
      <c r="BK2060" t="s">
        <v>86</v>
      </c>
      <c r="BL2060" t="s">
        <v>87</v>
      </c>
    </row>
    <row r="2061" spans="1:64" x14ac:dyDescent="0.3">
      <c r="A2061" t="str">
        <f>"201294B0000"</f>
        <v>201294B0000</v>
      </c>
      <c r="B2061" t="str">
        <f>"201294B00003"</f>
        <v>201294B00003</v>
      </c>
      <c r="C2061" t="str">
        <f t="shared" si="124"/>
        <v>20</v>
      </c>
      <c r="D2061" t="s">
        <v>81</v>
      </c>
      <c r="E2061" t="str">
        <f>"245"</f>
        <v>245</v>
      </c>
      <c r="F2061" t="s">
        <v>2228</v>
      </c>
      <c r="G2061" t="str">
        <f>"1294"</f>
        <v>1294</v>
      </c>
      <c r="H2061" t="str">
        <f>"0000"</f>
        <v>0000</v>
      </c>
      <c r="I2061" t="s">
        <v>83</v>
      </c>
      <c r="J2061">
        <v>0</v>
      </c>
      <c r="K2061">
        <v>1</v>
      </c>
      <c r="L2061">
        <v>3</v>
      </c>
      <c r="M2061">
        <v>173</v>
      </c>
      <c r="N2061" t="s">
        <v>131</v>
      </c>
      <c r="O2061">
        <v>7</v>
      </c>
      <c r="P2061">
        <v>304</v>
      </c>
      <c r="Q2061">
        <v>0</v>
      </c>
      <c r="R2061">
        <v>168</v>
      </c>
      <c r="S2061">
        <v>70</v>
      </c>
      <c r="U2061">
        <v>3</v>
      </c>
      <c r="X2061">
        <v>55</v>
      </c>
      <c r="Z2061">
        <v>0</v>
      </c>
      <c r="AF2061">
        <v>4</v>
      </c>
      <c r="AG2061">
        <v>0</v>
      </c>
      <c r="AH2061">
        <v>0</v>
      </c>
      <c r="AI2061">
        <v>0</v>
      </c>
      <c r="AW2061">
        <v>4</v>
      </c>
      <c r="AX2061" t="s">
        <v>95</v>
      </c>
      <c r="AY2061">
        <v>309</v>
      </c>
      <c r="AZ2061">
        <v>304</v>
      </c>
      <c r="BA2061">
        <v>434</v>
      </c>
      <c r="BB2061">
        <v>44</v>
      </c>
      <c r="BC2061" t="s">
        <v>96</v>
      </c>
      <c r="BD2061">
        <v>1</v>
      </c>
      <c r="BF2061" t="s">
        <v>2229</v>
      </c>
      <c r="BG2061" s="1">
        <v>44354.46875</v>
      </c>
      <c r="BH2061" s="1">
        <v>44354.472037037034</v>
      </c>
      <c r="BI2061" s="1">
        <v>44354.472418981481</v>
      </c>
      <c r="BJ2061" t="s">
        <v>85</v>
      </c>
      <c r="BK2061" t="s">
        <v>86</v>
      </c>
      <c r="BL2061" t="s">
        <v>87</v>
      </c>
    </row>
    <row r="2062" spans="1:64" x14ac:dyDescent="0.3">
      <c r="A2062" t="str">
        <f>"201294C0100"</f>
        <v>201294C0100</v>
      </c>
      <c r="B2062" t="str">
        <f>"201294C01003"</f>
        <v>201294C01003</v>
      </c>
      <c r="C2062" t="str">
        <f t="shared" si="124"/>
        <v>20</v>
      </c>
      <c r="D2062" t="s">
        <v>81</v>
      </c>
      <c r="E2062" t="str">
        <f>"245"</f>
        <v>245</v>
      </c>
      <c r="F2062" t="s">
        <v>2228</v>
      </c>
      <c r="G2062" t="str">
        <f>"1294"</f>
        <v>1294</v>
      </c>
      <c r="H2062" t="str">
        <f>"0001"</f>
        <v>0001</v>
      </c>
      <c r="I2062" t="s">
        <v>89</v>
      </c>
      <c r="J2062">
        <v>0</v>
      </c>
      <c r="K2062">
        <v>1</v>
      </c>
      <c r="L2062">
        <v>3</v>
      </c>
      <c r="M2062">
        <v>169</v>
      </c>
      <c r="N2062">
        <v>308</v>
      </c>
      <c r="O2062">
        <v>0</v>
      </c>
      <c r="P2062">
        <v>308</v>
      </c>
      <c r="Q2062">
        <v>2</v>
      </c>
      <c r="R2062">
        <v>187</v>
      </c>
      <c r="S2062">
        <v>56</v>
      </c>
      <c r="U2062">
        <v>0</v>
      </c>
      <c r="X2062">
        <v>49</v>
      </c>
      <c r="Z2062">
        <v>2</v>
      </c>
      <c r="AF2062">
        <v>4</v>
      </c>
      <c r="AG2062">
        <v>2</v>
      </c>
      <c r="AH2062">
        <v>0</v>
      </c>
      <c r="AI2062">
        <v>2</v>
      </c>
      <c r="AW2062">
        <v>0</v>
      </c>
      <c r="AX2062">
        <v>4</v>
      </c>
      <c r="AY2062">
        <v>308</v>
      </c>
      <c r="AZ2062">
        <v>308</v>
      </c>
      <c r="BA2062">
        <v>433</v>
      </c>
      <c r="BB2062">
        <v>44</v>
      </c>
      <c r="BD2062">
        <v>1</v>
      </c>
      <c r="BF2062" t="s">
        <v>2230</v>
      </c>
      <c r="BG2062" s="1">
        <v>44354.468055555553</v>
      </c>
      <c r="BH2062" s="1">
        <v>44354.470196759263</v>
      </c>
      <c r="BI2062" s="1">
        <v>44354.470613425925</v>
      </c>
      <c r="BJ2062" t="s">
        <v>85</v>
      </c>
      <c r="BK2062" t="s">
        <v>86</v>
      </c>
      <c r="BL2062" t="s">
        <v>87</v>
      </c>
    </row>
    <row r="2063" spans="1:64" x14ac:dyDescent="0.3">
      <c r="A2063" t="str">
        <f>"201295B0000"</f>
        <v>201295B0000</v>
      </c>
      <c r="B2063" t="str">
        <f>"201295B00003"</f>
        <v>201295B00003</v>
      </c>
      <c r="C2063" t="str">
        <f t="shared" si="124"/>
        <v>20</v>
      </c>
      <c r="D2063" t="s">
        <v>81</v>
      </c>
      <c r="E2063" t="str">
        <f>"245"</f>
        <v>245</v>
      </c>
      <c r="F2063" t="s">
        <v>2228</v>
      </c>
      <c r="G2063" t="str">
        <f>"1295"</f>
        <v>1295</v>
      </c>
      <c r="H2063" t="str">
        <f>"0000"</f>
        <v>0000</v>
      </c>
      <c r="I2063" t="s">
        <v>83</v>
      </c>
      <c r="J2063">
        <v>0</v>
      </c>
      <c r="K2063">
        <v>1</v>
      </c>
      <c r="L2063">
        <v>3</v>
      </c>
      <c r="BA2063">
        <v>389</v>
      </c>
      <c r="BB2063">
        <v>44</v>
      </c>
      <c r="BC2063" t="s">
        <v>161</v>
      </c>
      <c r="BD2063">
        <v>0</v>
      </c>
      <c r="BF2063" t="s">
        <v>2231</v>
      </c>
      <c r="BG2063" s="1">
        <v>44354.686111111114</v>
      </c>
      <c r="BH2063" s="1">
        <v>44354.689108796294</v>
      </c>
      <c r="BI2063" s="1">
        <v>44354.689108796294</v>
      </c>
      <c r="BJ2063" t="s">
        <v>85</v>
      </c>
      <c r="BK2063" t="s">
        <v>86</v>
      </c>
      <c r="BL2063" t="s">
        <v>87</v>
      </c>
    </row>
    <row r="2064" spans="1:64" x14ac:dyDescent="0.3">
      <c r="A2064" t="str">
        <f>"201310B0000"</f>
        <v>201310B0000</v>
      </c>
      <c r="B2064" t="str">
        <f>"201310B00003"</f>
        <v>201310B00003</v>
      </c>
      <c r="C2064" t="str">
        <f t="shared" si="124"/>
        <v>20</v>
      </c>
      <c r="D2064" t="s">
        <v>81</v>
      </c>
      <c r="E2064" t="str">
        <f t="shared" ref="E2064:E2069" si="125">"252"</f>
        <v>252</v>
      </c>
      <c r="F2064" t="s">
        <v>2232</v>
      </c>
      <c r="G2064" t="str">
        <f>"1310"</f>
        <v>1310</v>
      </c>
      <c r="H2064" t="str">
        <f>"0000"</f>
        <v>0000</v>
      </c>
      <c r="I2064" t="s">
        <v>83</v>
      </c>
      <c r="J2064">
        <v>0</v>
      </c>
      <c r="K2064">
        <v>1</v>
      </c>
      <c r="L2064">
        <v>3</v>
      </c>
      <c r="M2064">
        <v>174</v>
      </c>
      <c r="N2064">
        <v>300</v>
      </c>
      <c r="O2064">
        <v>0</v>
      </c>
      <c r="P2064">
        <v>300</v>
      </c>
      <c r="Q2064">
        <v>62</v>
      </c>
      <c r="R2064">
        <v>18</v>
      </c>
      <c r="S2064">
        <v>3</v>
      </c>
      <c r="T2064">
        <v>1</v>
      </c>
      <c r="U2064">
        <v>4</v>
      </c>
      <c r="W2064">
        <v>3</v>
      </c>
      <c r="X2064">
        <v>83</v>
      </c>
      <c r="Y2064">
        <v>38</v>
      </c>
      <c r="Z2064">
        <v>3</v>
      </c>
      <c r="AC2064">
        <v>58</v>
      </c>
      <c r="AF2064">
        <v>4</v>
      </c>
      <c r="AG2064">
        <v>3</v>
      </c>
      <c r="AH2064">
        <v>4</v>
      </c>
      <c r="AI2064">
        <v>0</v>
      </c>
      <c r="AU2064">
        <v>0</v>
      </c>
      <c r="AW2064">
        <v>0</v>
      </c>
      <c r="AX2064">
        <v>16</v>
      </c>
      <c r="AY2064">
        <v>300</v>
      </c>
      <c r="AZ2064">
        <v>300</v>
      </c>
      <c r="BA2064">
        <v>428</v>
      </c>
      <c r="BB2064">
        <v>46</v>
      </c>
      <c r="BD2064">
        <v>1</v>
      </c>
      <c r="BF2064" t="s">
        <v>2233</v>
      </c>
      <c r="BG2064" s="1">
        <v>44354.688194444447</v>
      </c>
      <c r="BH2064" s="1">
        <v>44354.690717592595</v>
      </c>
      <c r="BI2064" s="1">
        <v>44354.691446759258</v>
      </c>
      <c r="BJ2064" t="s">
        <v>85</v>
      </c>
      <c r="BK2064" t="s">
        <v>86</v>
      </c>
      <c r="BL2064" t="s">
        <v>87</v>
      </c>
    </row>
    <row r="2065" spans="1:64" x14ac:dyDescent="0.3">
      <c r="A2065" t="str">
        <f>"201310C0100"</f>
        <v>201310C0100</v>
      </c>
      <c r="B2065" t="str">
        <f>"201310C01003"</f>
        <v>201310C01003</v>
      </c>
      <c r="C2065" t="str">
        <f t="shared" si="124"/>
        <v>20</v>
      </c>
      <c r="D2065" t="s">
        <v>81</v>
      </c>
      <c r="E2065" t="str">
        <f t="shared" si="125"/>
        <v>252</v>
      </c>
      <c r="F2065" t="s">
        <v>2232</v>
      </c>
      <c r="G2065" t="str">
        <f>"1310"</f>
        <v>1310</v>
      </c>
      <c r="H2065" t="str">
        <f>"0001"</f>
        <v>0001</v>
      </c>
      <c r="I2065" t="s">
        <v>89</v>
      </c>
      <c r="J2065">
        <v>0</v>
      </c>
      <c r="K2065">
        <v>1</v>
      </c>
      <c r="L2065">
        <v>3</v>
      </c>
      <c r="M2065">
        <v>181</v>
      </c>
      <c r="N2065">
        <v>293</v>
      </c>
      <c r="O2065">
        <v>1</v>
      </c>
      <c r="P2065" t="s">
        <v>92</v>
      </c>
      <c r="Q2065">
        <v>42</v>
      </c>
      <c r="R2065">
        <v>15</v>
      </c>
      <c r="S2065">
        <v>3</v>
      </c>
      <c r="T2065">
        <v>1</v>
      </c>
      <c r="U2065">
        <v>4</v>
      </c>
      <c r="W2065">
        <v>2</v>
      </c>
      <c r="X2065">
        <v>100</v>
      </c>
      <c r="Y2065">
        <v>33</v>
      </c>
      <c r="Z2065">
        <v>1</v>
      </c>
      <c r="AC2065">
        <v>75</v>
      </c>
      <c r="AF2065">
        <v>0</v>
      </c>
      <c r="AG2065">
        <v>4</v>
      </c>
      <c r="AH2065">
        <v>0</v>
      </c>
      <c r="AI2065">
        <v>0</v>
      </c>
      <c r="AU2065">
        <v>0</v>
      </c>
      <c r="AW2065">
        <v>0</v>
      </c>
      <c r="AX2065">
        <v>13</v>
      </c>
      <c r="AY2065">
        <v>293</v>
      </c>
      <c r="AZ2065">
        <v>293</v>
      </c>
      <c r="BA2065">
        <v>428</v>
      </c>
      <c r="BB2065">
        <v>46</v>
      </c>
      <c r="BD2065">
        <v>1</v>
      </c>
      <c r="BF2065" t="s">
        <v>2234</v>
      </c>
      <c r="BG2065" s="1">
        <v>44354.582638888889</v>
      </c>
      <c r="BH2065" s="1">
        <v>44354.584699074076</v>
      </c>
      <c r="BI2065" s="1">
        <v>44354.585405092592</v>
      </c>
      <c r="BJ2065" t="s">
        <v>85</v>
      </c>
      <c r="BK2065" t="s">
        <v>86</v>
      </c>
      <c r="BL2065" t="s">
        <v>87</v>
      </c>
    </row>
    <row r="2066" spans="1:64" x14ac:dyDescent="0.3">
      <c r="A2066" t="str">
        <f>"201310E0100"</f>
        <v>201310E0100</v>
      </c>
      <c r="B2066" t="str">
        <f>"201310E01003"</f>
        <v>201310E01003</v>
      </c>
      <c r="C2066" t="str">
        <f t="shared" si="124"/>
        <v>20</v>
      </c>
      <c r="D2066" t="s">
        <v>81</v>
      </c>
      <c r="E2066" t="str">
        <f t="shared" si="125"/>
        <v>252</v>
      </c>
      <c r="F2066" t="s">
        <v>2232</v>
      </c>
      <c r="G2066" t="str">
        <f>"1310"</f>
        <v>1310</v>
      </c>
      <c r="H2066" t="str">
        <f>"0001"</f>
        <v>0001</v>
      </c>
      <c r="I2066" t="s">
        <v>122</v>
      </c>
      <c r="J2066">
        <v>0</v>
      </c>
      <c r="K2066">
        <v>1</v>
      </c>
      <c r="L2066">
        <v>3</v>
      </c>
      <c r="M2066">
        <v>145</v>
      </c>
      <c r="N2066">
        <v>316</v>
      </c>
      <c r="O2066">
        <v>3</v>
      </c>
      <c r="P2066">
        <v>316</v>
      </c>
      <c r="Q2066">
        <v>55</v>
      </c>
      <c r="R2066">
        <v>45</v>
      </c>
      <c r="S2066">
        <v>7</v>
      </c>
      <c r="T2066">
        <v>2</v>
      </c>
      <c r="U2066">
        <v>1</v>
      </c>
      <c r="W2066">
        <v>4</v>
      </c>
      <c r="X2066">
        <v>103</v>
      </c>
      <c r="Y2066">
        <v>21</v>
      </c>
      <c r="Z2066">
        <v>2</v>
      </c>
      <c r="AC2066">
        <v>48</v>
      </c>
      <c r="AF2066">
        <v>5</v>
      </c>
      <c r="AG2066">
        <v>7</v>
      </c>
      <c r="AH2066">
        <v>0</v>
      </c>
      <c r="AI2066">
        <v>0</v>
      </c>
      <c r="AU2066">
        <v>0</v>
      </c>
      <c r="AW2066">
        <v>0</v>
      </c>
      <c r="AX2066">
        <v>16</v>
      </c>
      <c r="AY2066">
        <v>316</v>
      </c>
      <c r="AZ2066">
        <v>316</v>
      </c>
      <c r="BA2066">
        <v>415</v>
      </c>
      <c r="BB2066">
        <v>46</v>
      </c>
      <c r="BD2066">
        <v>1</v>
      </c>
      <c r="BF2066" t="s">
        <v>2235</v>
      </c>
      <c r="BG2066" s="1">
        <v>44354.586111111108</v>
      </c>
      <c r="BH2066" s="1">
        <v>44354.588379629633</v>
      </c>
      <c r="BI2066" s="1">
        <v>44354.589166666665</v>
      </c>
      <c r="BJ2066" t="s">
        <v>85</v>
      </c>
      <c r="BK2066" t="s">
        <v>86</v>
      </c>
      <c r="BL2066" t="s">
        <v>87</v>
      </c>
    </row>
    <row r="2067" spans="1:64" x14ac:dyDescent="0.3">
      <c r="A2067" t="str">
        <f>"201311B0000"</f>
        <v>201311B0000</v>
      </c>
      <c r="B2067" t="str">
        <f>"201311B00003"</f>
        <v>201311B00003</v>
      </c>
      <c r="C2067" t="str">
        <f t="shared" si="124"/>
        <v>20</v>
      </c>
      <c r="D2067" t="s">
        <v>81</v>
      </c>
      <c r="E2067" t="str">
        <f t="shared" si="125"/>
        <v>252</v>
      </c>
      <c r="F2067" t="s">
        <v>2232</v>
      </c>
      <c r="G2067" t="str">
        <f>"1311"</f>
        <v>1311</v>
      </c>
      <c r="H2067" t="str">
        <f>"0000"</f>
        <v>0000</v>
      </c>
      <c r="I2067" t="s">
        <v>83</v>
      </c>
      <c r="J2067">
        <v>0</v>
      </c>
      <c r="K2067">
        <v>1</v>
      </c>
      <c r="L2067">
        <v>3</v>
      </c>
      <c r="M2067">
        <v>285</v>
      </c>
      <c r="N2067">
        <v>497</v>
      </c>
      <c r="O2067">
        <v>1</v>
      </c>
      <c r="P2067">
        <v>497</v>
      </c>
      <c r="Q2067">
        <v>53</v>
      </c>
      <c r="R2067">
        <v>39</v>
      </c>
      <c r="S2067">
        <v>6</v>
      </c>
      <c r="T2067">
        <v>2</v>
      </c>
      <c r="U2067">
        <v>2</v>
      </c>
      <c r="W2067">
        <v>5</v>
      </c>
      <c r="X2067">
        <v>196</v>
      </c>
      <c r="Y2067">
        <v>69</v>
      </c>
      <c r="Z2067">
        <v>6</v>
      </c>
      <c r="AC2067">
        <v>82</v>
      </c>
      <c r="AF2067">
        <v>6</v>
      </c>
      <c r="AG2067">
        <v>7</v>
      </c>
      <c r="AH2067">
        <v>1</v>
      </c>
      <c r="AI2067">
        <v>1</v>
      </c>
      <c r="AU2067">
        <v>0</v>
      </c>
      <c r="AW2067">
        <v>0</v>
      </c>
      <c r="AX2067">
        <v>22</v>
      </c>
      <c r="AY2067">
        <v>497</v>
      </c>
      <c r="AZ2067">
        <v>497</v>
      </c>
      <c r="BA2067">
        <v>735</v>
      </c>
      <c r="BB2067">
        <v>46</v>
      </c>
      <c r="BD2067">
        <v>1</v>
      </c>
      <c r="BF2067" t="s">
        <v>2236</v>
      </c>
      <c r="BG2067" s="1">
        <v>44354.586111111108</v>
      </c>
      <c r="BH2067" s="1">
        <v>44354.588113425925</v>
      </c>
      <c r="BI2067" s="1">
        <v>44354.589756944442</v>
      </c>
      <c r="BJ2067" t="s">
        <v>85</v>
      </c>
      <c r="BK2067" t="s">
        <v>86</v>
      </c>
      <c r="BL2067" t="s">
        <v>87</v>
      </c>
    </row>
    <row r="2068" spans="1:64" x14ac:dyDescent="0.3">
      <c r="A2068" t="str">
        <f>"201312B0000"</f>
        <v>201312B0000</v>
      </c>
      <c r="B2068" t="str">
        <f>"201312B00003"</f>
        <v>201312B00003</v>
      </c>
      <c r="C2068" t="str">
        <f t="shared" si="124"/>
        <v>20</v>
      </c>
      <c r="D2068" t="s">
        <v>81</v>
      </c>
      <c r="E2068" t="str">
        <f t="shared" si="125"/>
        <v>252</v>
      </c>
      <c r="F2068" t="s">
        <v>2232</v>
      </c>
      <c r="G2068" t="str">
        <f>"1312"</f>
        <v>1312</v>
      </c>
      <c r="H2068" t="str">
        <f>"0000"</f>
        <v>0000</v>
      </c>
      <c r="I2068" t="s">
        <v>83</v>
      </c>
      <c r="J2068">
        <v>0</v>
      </c>
      <c r="K2068">
        <v>1</v>
      </c>
      <c r="L2068">
        <v>3</v>
      </c>
      <c r="M2068">
        <v>103</v>
      </c>
      <c r="N2068">
        <v>177</v>
      </c>
      <c r="O2068">
        <v>2</v>
      </c>
      <c r="P2068" t="s">
        <v>92</v>
      </c>
      <c r="Q2068">
        <v>21</v>
      </c>
      <c r="R2068">
        <v>8</v>
      </c>
      <c r="S2068">
        <v>1</v>
      </c>
      <c r="T2068" t="s">
        <v>95</v>
      </c>
      <c r="U2068">
        <v>1</v>
      </c>
      <c r="W2068">
        <v>1</v>
      </c>
      <c r="X2068">
        <v>58</v>
      </c>
      <c r="Y2068">
        <v>49</v>
      </c>
      <c r="Z2068" t="s">
        <v>95</v>
      </c>
      <c r="AC2068">
        <v>27</v>
      </c>
      <c r="AF2068">
        <v>1</v>
      </c>
      <c r="AG2068">
        <v>2</v>
      </c>
      <c r="AH2068" t="s">
        <v>95</v>
      </c>
      <c r="AI2068" t="s">
        <v>95</v>
      </c>
      <c r="AU2068" t="s">
        <v>95</v>
      </c>
      <c r="AW2068" t="s">
        <v>95</v>
      </c>
      <c r="AX2068">
        <v>8</v>
      </c>
      <c r="AY2068">
        <v>177</v>
      </c>
      <c r="AZ2068">
        <v>177</v>
      </c>
      <c r="BA2068">
        <v>234</v>
      </c>
      <c r="BB2068">
        <v>46</v>
      </c>
      <c r="BC2068" t="s">
        <v>96</v>
      </c>
      <c r="BD2068">
        <v>1</v>
      </c>
      <c r="BF2068" t="s">
        <v>2237</v>
      </c>
      <c r="BG2068" s="1">
        <v>44354.584722222222</v>
      </c>
      <c r="BH2068" s="1">
        <v>44354.586018518516</v>
      </c>
      <c r="BI2068" s="1">
        <v>44354.586493055554</v>
      </c>
      <c r="BJ2068" t="s">
        <v>85</v>
      </c>
      <c r="BK2068" t="s">
        <v>86</v>
      </c>
      <c r="BL2068" t="s">
        <v>87</v>
      </c>
    </row>
    <row r="2069" spans="1:64" x14ac:dyDescent="0.3">
      <c r="A2069" t="str">
        <f>"201313B0000"</f>
        <v>201313B0000</v>
      </c>
      <c r="B2069" t="str">
        <f>"201313B00003"</f>
        <v>201313B00003</v>
      </c>
      <c r="C2069" t="str">
        <f t="shared" si="124"/>
        <v>20</v>
      </c>
      <c r="D2069" t="s">
        <v>81</v>
      </c>
      <c r="E2069" t="str">
        <f t="shared" si="125"/>
        <v>252</v>
      </c>
      <c r="F2069" t="s">
        <v>2232</v>
      </c>
      <c r="G2069" t="str">
        <f>"1313"</f>
        <v>1313</v>
      </c>
      <c r="H2069" t="str">
        <f>"0000"</f>
        <v>0000</v>
      </c>
      <c r="I2069" t="s">
        <v>83</v>
      </c>
      <c r="J2069">
        <v>0</v>
      </c>
      <c r="K2069">
        <v>1</v>
      </c>
      <c r="L2069">
        <v>3</v>
      </c>
      <c r="M2069">
        <v>96</v>
      </c>
      <c r="N2069">
        <v>260</v>
      </c>
      <c r="O2069">
        <v>2</v>
      </c>
      <c r="P2069">
        <v>260</v>
      </c>
      <c r="Q2069">
        <v>22</v>
      </c>
      <c r="R2069">
        <v>15</v>
      </c>
      <c r="S2069">
        <v>0</v>
      </c>
      <c r="T2069">
        <v>2</v>
      </c>
      <c r="U2069">
        <v>0</v>
      </c>
      <c r="W2069">
        <v>4</v>
      </c>
      <c r="X2069">
        <v>102</v>
      </c>
      <c r="Y2069">
        <v>54</v>
      </c>
      <c r="Z2069">
        <v>4</v>
      </c>
      <c r="AC2069">
        <v>47</v>
      </c>
      <c r="AF2069">
        <v>0</v>
      </c>
      <c r="AG2069">
        <v>0</v>
      </c>
      <c r="AH2069">
        <v>0</v>
      </c>
      <c r="AI2069">
        <v>0</v>
      </c>
      <c r="AU2069">
        <v>0</v>
      </c>
      <c r="AW2069">
        <v>0</v>
      </c>
      <c r="AX2069">
        <v>10</v>
      </c>
      <c r="AY2069">
        <v>260</v>
      </c>
      <c r="AZ2069">
        <v>260</v>
      </c>
      <c r="BA2069">
        <v>310</v>
      </c>
      <c r="BB2069">
        <v>46</v>
      </c>
      <c r="BD2069">
        <v>1</v>
      </c>
      <c r="BF2069" t="s">
        <v>2238</v>
      </c>
      <c r="BG2069" s="1">
        <v>44354.584027777775</v>
      </c>
      <c r="BH2069" s="1">
        <v>44354.586261574077</v>
      </c>
      <c r="BI2069" s="1">
        <v>44354.586967592593</v>
      </c>
      <c r="BJ2069" t="s">
        <v>85</v>
      </c>
      <c r="BK2069" t="s">
        <v>86</v>
      </c>
      <c r="BL2069" t="s">
        <v>87</v>
      </c>
    </row>
    <row r="2070" spans="1:64" x14ac:dyDescent="0.3">
      <c r="A2070" t="str">
        <f>"201320B0000"</f>
        <v>201320B0000</v>
      </c>
      <c r="B2070" t="str">
        <f>"201320B00003"</f>
        <v>201320B00003</v>
      </c>
      <c r="C2070" t="str">
        <f t="shared" si="124"/>
        <v>20</v>
      </c>
      <c r="D2070" t="s">
        <v>81</v>
      </c>
      <c r="E2070" t="str">
        <f>"258"</f>
        <v>258</v>
      </c>
      <c r="F2070" t="s">
        <v>2239</v>
      </c>
      <c r="G2070" t="str">
        <f>"1320"</f>
        <v>1320</v>
      </c>
      <c r="H2070" t="str">
        <f>"0000"</f>
        <v>0000</v>
      </c>
      <c r="I2070" t="s">
        <v>83</v>
      </c>
      <c r="J2070">
        <v>0</v>
      </c>
      <c r="K2070">
        <v>1</v>
      </c>
      <c r="L2070">
        <v>3</v>
      </c>
      <c r="M2070">
        <v>315</v>
      </c>
      <c r="N2070">
        <v>465</v>
      </c>
      <c r="O2070">
        <v>0</v>
      </c>
      <c r="P2070">
        <v>465</v>
      </c>
      <c r="Q2070">
        <v>201</v>
      </c>
      <c r="R2070">
        <v>74</v>
      </c>
      <c r="U2070">
        <v>5</v>
      </c>
      <c r="X2070">
        <v>130</v>
      </c>
      <c r="Z2070">
        <v>6</v>
      </c>
      <c r="AB2070">
        <v>36</v>
      </c>
      <c r="AW2070">
        <v>0</v>
      </c>
      <c r="AX2070">
        <v>13</v>
      </c>
      <c r="AY2070">
        <v>465</v>
      </c>
      <c r="AZ2070">
        <v>465</v>
      </c>
      <c r="BA2070">
        <v>736</v>
      </c>
      <c r="BB2070">
        <v>44</v>
      </c>
      <c r="BD2070">
        <v>1</v>
      </c>
      <c r="BF2070" t="s">
        <v>2240</v>
      </c>
      <c r="BG2070" s="1">
        <v>44354.484027777777</v>
      </c>
      <c r="BH2070" s="1">
        <v>44354.486574074072</v>
      </c>
      <c r="BI2070" s="1">
        <v>44354.488275462965</v>
      </c>
      <c r="BJ2070" t="s">
        <v>85</v>
      </c>
      <c r="BK2070" t="s">
        <v>86</v>
      </c>
      <c r="BL2070" t="s">
        <v>87</v>
      </c>
    </row>
    <row r="2071" spans="1:64" x14ac:dyDescent="0.3">
      <c r="A2071" t="str">
        <f>"201320C0100"</f>
        <v>201320C0100</v>
      </c>
      <c r="B2071" t="str">
        <f>"201320C01003"</f>
        <v>201320C01003</v>
      </c>
      <c r="C2071" t="str">
        <f t="shared" si="124"/>
        <v>20</v>
      </c>
      <c r="D2071" t="s">
        <v>81</v>
      </c>
      <c r="E2071" t="str">
        <f>"258"</f>
        <v>258</v>
      </c>
      <c r="F2071" t="s">
        <v>2239</v>
      </c>
      <c r="G2071" t="str">
        <f>"1320"</f>
        <v>1320</v>
      </c>
      <c r="H2071" t="str">
        <f>"0001"</f>
        <v>0001</v>
      </c>
      <c r="I2071" t="s">
        <v>89</v>
      </c>
      <c r="J2071">
        <v>0</v>
      </c>
      <c r="K2071">
        <v>1</v>
      </c>
      <c r="L2071">
        <v>3</v>
      </c>
      <c r="M2071">
        <v>295</v>
      </c>
      <c r="N2071">
        <v>484</v>
      </c>
      <c r="O2071">
        <v>0</v>
      </c>
      <c r="P2071">
        <v>484</v>
      </c>
      <c r="Q2071">
        <v>153</v>
      </c>
      <c r="R2071">
        <v>115</v>
      </c>
      <c r="U2071">
        <v>3</v>
      </c>
      <c r="X2071">
        <v>171</v>
      </c>
      <c r="Z2071">
        <v>9</v>
      </c>
      <c r="AB2071">
        <v>21</v>
      </c>
      <c r="AW2071">
        <v>0</v>
      </c>
      <c r="AX2071">
        <v>12</v>
      </c>
      <c r="AY2071">
        <v>484</v>
      </c>
      <c r="AZ2071">
        <v>484</v>
      </c>
      <c r="BA2071">
        <v>735</v>
      </c>
      <c r="BB2071">
        <v>44</v>
      </c>
      <c r="BD2071">
        <v>1</v>
      </c>
      <c r="BF2071" t="s">
        <v>2241</v>
      </c>
      <c r="BG2071" s="1">
        <v>44354.486805555556</v>
      </c>
      <c r="BH2071" s="1">
        <v>44354.496666666666</v>
      </c>
      <c r="BI2071" s="1">
        <v>44354.49790509259</v>
      </c>
      <c r="BJ2071" t="s">
        <v>85</v>
      </c>
      <c r="BK2071" t="s">
        <v>86</v>
      </c>
      <c r="BL2071" t="s">
        <v>87</v>
      </c>
    </row>
    <row r="2072" spans="1:64" x14ac:dyDescent="0.3">
      <c r="A2072" t="str">
        <f>"201321B0000"</f>
        <v>201321B0000</v>
      </c>
      <c r="B2072" t="str">
        <f>"201321B00003"</f>
        <v>201321B00003</v>
      </c>
      <c r="C2072" t="str">
        <f t="shared" si="124"/>
        <v>20</v>
      </c>
      <c r="D2072" t="s">
        <v>81</v>
      </c>
      <c r="E2072" t="str">
        <f>"258"</f>
        <v>258</v>
      </c>
      <c r="F2072" t="s">
        <v>2239</v>
      </c>
      <c r="G2072" t="str">
        <f>"1321"</f>
        <v>1321</v>
      </c>
      <c r="H2072" t="str">
        <f>"0000"</f>
        <v>0000</v>
      </c>
      <c r="I2072" t="s">
        <v>83</v>
      </c>
      <c r="J2072">
        <v>0</v>
      </c>
      <c r="K2072">
        <v>1</v>
      </c>
      <c r="L2072">
        <v>3</v>
      </c>
      <c r="M2072">
        <v>165</v>
      </c>
      <c r="N2072">
        <v>142</v>
      </c>
      <c r="O2072">
        <v>10</v>
      </c>
      <c r="P2072">
        <v>142</v>
      </c>
      <c r="Q2072">
        <v>61</v>
      </c>
      <c r="R2072">
        <v>17</v>
      </c>
      <c r="U2072">
        <v>2</v>
      </c>
      <c r="X2072">
        <v>43</v>
      </c>
      <c r="Z2072">
        <v>0</v>
      </c>
      <c r="AB2072">
        <v>17</v>
      </c>
      <c r="AW2072">
        <v>0</v>
      </c>
      <c r="AX2072">
        <v>2</v>
      </c>
      <c r="AY2072">
        <v>142</v>
      </c>
      <c r="AZ2072">
        <v>142</v>
      </c>
      <c r="BA2072">
        <v>265</v>
      </c>
      <c r="BB2072">
        <v>44</v>
      </c>
      <c r="BD2072">
        <v>1</v>
      </c>
      <c r="BF2072" t="s">
        <v>2242</v>
      </c>
      <c r="BG2072" s="1">
        <v>44354.502083333333</v>
      </c>
      <c r="BH2072" s="1">
        <v>44354.505833333336</v>
      </c>
      <c r="BI2072" s="1">
        <v>44354.506284722222</v>
      </c>
      <c r="BJ2072" t="s">
        <v>85</v>
      </c>
      <c r="BK2072" t="s">
        <v>86</v>
      </c>
      <c r="BL2072" t="s">
        <v>87</v>
      </c>
    </row>
    <row r="2073" spans="1:64" x14ac:dyDescent="0.3">
      <c r="A2073" t="str">
        <f>"201324B0000"</f>
        <v>201324B0000</v>
      </c>
      <c r="B2073" t="str">
        <f>"201324B00003"</f>
        <v>201324B00003</v>
      </c>
      <c r="C2073" t="str">
        <f t="shared" si="124"/>
        <v>20</v>
      </c>
      <c r="D2073" t="s">
        <v>81</v>
      </c>
      <c r="E2073" t="str">
        <f t="shared" ref="E2073:E2085" si="126">"260"</f>
        <v>260</v>
      </c>
      <c r="F2073" t="s">
        <v>2243</v>
      </c>
      <c r="G2073" t="str">
        <f>"1324"</f>
        <v>1324</v>
      </c>
      <c r="H2073" t="str">
        <f>"0000"</f>
        <v>0000</v>
      </c>
      <c r="I2073" t="s">
        <v>83</v>
      </c>
      <c r="J2073">
        <v>0</v>
      </c>
      <c r="K2073">
        <v>1</v>
      </c>
      <c r="L2073">
        <v>3</v>
      </c>
      <c r="M2073">
        <v>197</v>
      </c>
      <c r="N2073">
        <v>537</v>
      </c>
      <c r="O2073">
        <v>7</v>
      </c>
      <c r="P2073">
        <v>537</v>
      </c>
      <c r="Q2073">
        <v>171</v>
      </c>
      <c r="R2073">
        <v>46</v>
      </c>
      <c r="S2073">
        <v>3</v>
      </c>
      <c r="T2073">
        <v>2</v>
      </c>
      <c r="U2073">
        <v>267</v>
      </c>
      <c r="V2073">
        <v>0</v>
      </c>
      <c r="W2073">
        <v>0</v>
      </c>
      <c r="X2073">
        <v>14</v>
      </c>
      <c r="Y2073">
        <v>15</v>
      </c>
      <c r="Z2073">
        <v>3</v>
      </c>
      <c r="AA2073">
        <v>0</v>
      </c>
      <c r="AR2073">
        <v>0</v>
      </c>
      <c r="AW2073">
        <v>0</v>
      </c>
      <c r="AX2073">
        <v>16</v>
      </c>
      <c r="AY2073">
        <v>537</v>
      </c>
      <c r="AZ2073">
        <v>537</v>
      </c>
      <c r="BA2073">
        <v>690</v>
      </c>
      <c r="BB2073">
        <v>44</v>
      </c>
      <c r="BD2073">
        <v>1</v>
      </c>
      <c r="BF2073" t="s">
        <v>2244</v>
      </c>
      <c r="BG2073" s="1">
        <v>44354.295138888891</v>
      </c>
      <c r="BH2073" s="1">
        <v>44354.298564814817</v>
      </c>
      <c r="BI2073" s="1">
        <v>44354.299062500002</v>
      </c>
      <c r="BJ2073" t="s">
        <v>85</v>
      </c>
      <c r="BK2073" t="s">
        <v>86</v>
      </c>
      <c r="BL2073" t="s">
        <v>87</v>
      </c>
    </row>
    <row r="2074" spans="1:64" x14ac:dyDescent="0.3">
      <c r="A2074" t="str">
        <f>"201324E0100"</f>
        <v>201324E0100</v>
      </c>
      <c r="B2074" t="str">
        <f>"201324E01003"</f>
        <v>201324E01003</v>
      </c>
      <c r="C2074" t="str">
        <f t="shared" si="124"/>
        <v>20</v>
      </c>
      <c r="D2074" t="s">
        <v>81</v>
      </c>
      <c r="E2074" t="str">
        <f t="shared" si="126"/>
        <v>260</v>
      </c>
      <c r="F2074" t="s">
        <v>2243</v>
      </c>
      <c r="G2074" t="str">
        <f>"1324"</f>
        <v>1324</v>
      </c>
      <c r="H2074" t="str">
        <f>"0001"</f>
        <v>0001</v>
      </c>
      <c r="I2074" t="s">
        <v>122</v>
      </c>
      <c r="J2074">
        <v>0</v>
      </c>
      <c r="K2074">
        <v>1</v>
      </c>
      <c r="L2074">
        <v>3</v>
      </c>
      <c r="M2074">
        <v>94</v>
      </c>
      <c r="N2074">
        <v>221</v>
      </c>
      <c r="O2074">
        <v>4</v>
      </c>
      <c r="P2074">
        <v>221</v>
      </c>
      <c r="Q2074">
        <v>126</v>
      </c>
      <c r="R2074">
        <v>2</v>
      </c>
      <c r="S2074" t="s">
        <v>95</v>
      </c>
      <c r="T2074" t="s">
        <v>95</v>
      </c>
      <c r="U2074">
        <v>81</v>
      </c>
      <c r="V2074" t="s">
        <v>95</v>
      </c>
      <c r="W2074" t="s">
        <v>95</v>
      </c>
      <c r="X2074" t="s">
        <v>95</v>
      </c>
      <c r="Y2074">
        <v>3</v>
      </c>
      <c r="Z2074" t="s">
        <v>95</v>
      </c>
      <c r="AA2074" t="s">
        <v>95</v>
      </c>
      <c r="AR2074" t="s">
        <v>95</v>
      </c>
      <c r="AW2074" t="s">
        <v>95</v>
      </c>
      <c r="AX2074">
        <v>9</v>
      </c>
      <c r="AY2074">
        <v>221</v>
      </c>
      <c r="AZ2074">
        <v>221</v>
      </c>
      <c r="BA2074">
        <v>271</v>
      </c>
      <c r="BB2074">
        <v>44</v>
      </c>
      <c r="BC2074" t="s">
        <v>96</v>
      </c>
      <c r="BD2074">
        <v>1</v>
      </c>
      <c r="BF2074" t="s">
        <v>2245</v>
      </c>
      <c r="BG2074" s="1">
        <v>44354.294444444444</v>
      </c>
      <c r="BH2074" s="1">
        <v>44354.299861111111</v>
      </c>
      <c r="BI2074" s="1">
        <v>44354.300428240742</v>
      </c>
      <c r="BJ2074" t="s">
        <v>85</v>
      </c>
      <c r="BK2074" t="s">
        <v>86</v>
      </c>
      <c r="BL2074" t="s">
        <v>87</v>
      </c>
    </row>
    <row r="2075" spans="1:64" x14ac:dyDescent="0.3">
      <c r="A2075" t="str">
        <f>"201325B0000"</f>
        <v>201325B0000</v>
      </c>
      <c r="B2075" t="str">
        <f>"201325B00003"</f>
        <v>201325B00003</v>
      </c>
      <c r="C2075" t="str">
        <f t="shared" si="124"/>
        <v>20</v>
      </c>
      <c r="D2075" t="s">
        <v>81</v>
      </c>
      <c r="E2075" t="str">
        <f t="shared" si="126"/>
        <v>260</v>
      </c>
      <c r="F2075" t="s">
        <v>2243</v>
      </c>
      <c r="G2075" t="str">
        <f>"1325"</f>
        <v>1325</v>
      </c>
      <c r="H2075" t="str">
        <f>"0000"</f>
        <v>0000</v>
      </c>
      <c r="I2075" t="s">
        <v>83</v>
      </c>
      <c r="J2075">
        <v>0</v>
      </c>
      <c r="K2075">
        <v>1</v>
      </c>
      <c r="L2075">
        <v>3</v>
      </c>
      <c r="BA2075">
        <v>489</v>
      </c>
      <c r="BB2075">
        <v>44</v>
      </c>
      <c r="BC2075" t="s">
        <v>161</v>
      </c>
      <c r="BD2075">
        <v>0</v>
      </c>
      <c r="BF2075" t="s">
        <v>2246</v>
      </c>
      <c r="BG2075" s="1">
        <v>44354.686805555553</v>
      </c>
      <c r="BH2075" s="1">
        <v>44354.689456018517</v>
      </c>
      <c r="BI2075" s="1">
        <v>44354.689456018517</v>
      </c>
      <c r="BJ2075" t="s">
        <v>85</v>
      </c>
      <c r="BK2075" t="s">
        <v>86</v>
      </c>
      <c r="BL2075" t="s">
        <v>87</v>
      </c>
    </row>
    <row r="2076" spans="1:64" x14ac:dyDescent="0.3">
      <c r="A2076" t="str">
        <f>"201325C0100"</f>
        <v>201325C0100</v>
      </c>
      <c r="B2076" t="str">
        <f>"201325C01003"</f>
        <v>201325C01003</v>
      </c>
      <c r="C2076" t="str">
        <f t="shared" si="124"/>
        <v>20</v>
      </c>
      <c r="D2076" t="s">
        <v>81</v>
      </c>
      <c r="E2076" t="str">
        <f t="shared" si="126"/>
        <v>260</v>
      </c>
      <c r="F2076" t="s">
        <v>2243</v>
      </c>
      <c r="G2076" t="str">
        <f>"1325"</f>
        <v>1325</v>
      </c>
      <c r="H2076" t="str">
        <f>"0001"</f>
        <v>0001</v>
      </c>
      <c r="I2076" t="s">
        <v>89</v>
      </c>
      <c r="J2076">
        <v>0</v>
      </c>
      <c r="K2076">
        <v>1</v>
      </c>
      <c r="L2076">
        <v>3</v>
      </c>
      <c r="M2076">
        <v>236</v>
      </c>
      <c r="N2076">
        <v>297</v>
      </c>
      <c r="O2076">
        <v>3</v>
      </c>
      <c r="P2076">
        <v>297</v>
      </c>
      <c r="Q2076">
        <v>80</v>
      </c>
      <c r="R2076">
        <v>59</v>
      </c>
      <c r="S2076">
        <v>8</v>
      </c>
      <c r="T2076">
        <v>1</v>
      </c>
      <c r="U2076">
        <v>129</v>
      </c>
      <c r="V2076">
        <v>0</v>
      </c>
      <c r="W2076">
        <v>0</v>
      </c>
      <c r="X2076">
        <v>8</v>
      </c>
      <c r="Y2076">
        <v>5</v>
      </c>
      <c r="Z2076">
        <v>1</v>
      </c>
      <c r="AA2076">
        <v>0</v>
      </c>
      <c r="AR2076">
        <v>0</v>
      </c>
      <c r="AW2076">
        <v>0</v>
      </c>
      <c r="AX2076">
        <v>6</v>
      </c>
      <c r="AY2076">
        <v>297</v>
      </c>
      <c r="AZ2076">
        <v>297</v>
      </c>
      <c r="BA2076">
        <v>489</v>
      </c>
      <c r="BB2076">
        <v>44</v>
      </c>
      <c r="BD2076">
        <v>1</v>
      </c>
      <c r="BF2076" t="s">
        <v>2247</v>
      </c>
      <c r="BG2076" s="1">
        <v>44354.294444444444</v>
      </c>
      <c r="BH2076" s="1">
        <v>44354.297638888886</v>
      </c>
      <c r="BI2076" s="1">
        <v>44354.298449074071</v>
      </c>
      <c r="BJ2076" t="s">
        <v>85</v>
      </c>
      <c r="BK2076" t="s">
        <v>86</v>
      </c>
      <c r="BL2076" t="s">
        <v>87</v>
      </c>
    </row>
    <row r="2077" spans="1:64" x14ac:dyDescent="0.3">
      <c r="A2077" t="str">
        <f>"201326B0000"</f>
        <v>201326B0000</v>
      </c>
      <c r="B2077" t="str">
        <f>"201326B00003"</f>
        <v>201326B00003</v>
      </c>
      <c r="C2077" t="str">
        <f t="shared" si="124"/>
        <v>20</v>
      </c>
      <c r="D2077" t="s">
        <v>81</v>
      </c>
      <c r="E2077" t="str">
        <f t="shared" si="126"/>
        <v>260</v>
      </c>
      <c r="F2077" t="s">
        <v>2243</v>
      </c>
      <c r="G2077" t="str">
        <f>"1326"</f>
        <v>1326</v>
      </c>
      <c r="H2077" t="str">
        <f>"0000"</f>
        <v>0000</v>
      </c>
      <c r="I2077" t="s">
        <v>83</v>
      </c>
      <c r="J2077">
        <v>0</v>
      </c>
      <c r="K2077">
        <v>1</v>
      </c>
      <c r="L2077">
        <v>3</v>
      </c>
      <c r="M2077">
        <v>166</v>
      </c>
      <c r="N2077">
        <v>649</v>
      </c>
      <c r="O2077">
        <v>330</v>
      </c>
      <c r="P2077">
        <v>330</v>
      </c>
      <c r="Q2077">
        <v>137</v>
      </c>
      <c r="R2077">
        <v>67</v>
      </c>
      <c r="S2077">
        <v>24</v>
      </c>
      <c r="T2077">
        <v>0</v>
      </c>
      <c r="U2077">
        <v>66</v>
      </c>
      <c r="V2077">
        <v>0</v>
      </c>
      <c r="W2077">
        <v>1</v>
      </c>
      <c r="X2077">
        <v>10</v>
      </c>
      <c r="Y2077">
        <v>18</v>
      </c>
      <c r="Z2077">
        <v>1</v>
      </c>
      <c r="AA2077">
        <v>1</v>
      </c>
      <c r="AR2077">
        <v>0</v>
      </c>
      <c r="AW2077">
        <v>0</v>
      </c>
      <c r="AX2077">
        <v>5</v>
      </c>
      <c r="AY2077">
        <v>330</v>
      </c>
      <c r="AZ2077">
        <v>330</v>
      </c>
      <c r="BA2077">
        <v>452</v>
      </c>
      <c r="BB2077">
        <v>44</v>
      </c>
      <c r="BD2077">
        <v>1</v>
      </c>
      <c r="BF2077" t="s">
        <v>2248</v>
      </c>
      <c r="BG2077" s="1">
        <v>44354.292361111111</v>
      </c>
      <c r="BH2077" s="1">
        <v>44354.294027777774</v>
      </c>
      <c r="BI2077" s="1">
        <v>44354.29446759259</v>
      </c>
      <c r="BJ2077" t="s">
        <v>85</v>
      </c>
      <c r="BK2077" t="s">
        <v>86</v>
      </c>
      <c r="BL2077" t="s">
        <v>87</v>
      </c>
    </row>
    <row r="2078" spans="1:64" x14ac:dyDescent="0.3">
      <c r="A2078" t="str">
        <f>"201326E0100"</f>
        <v>201326E0100</v>
      </c>
      <c r="B2078" t="str">
        <f>"201326E01003"</f>
        <v>201326E01003</v>
      </c>
      <c r="C2078" t="str">
        <f t="shared" si="124"/>
        <v>20</v>
      </c>
      <c r="D2078" t="s">
        <v>81</v>
      </c>
      <c r="E2078" t="str">
        <f t="shared" si="126"/>
        <v>260</v>
      </c>
      <c r="F2078" t="s">
        <v>2243</v>
      </c>
      <c r="G2078" t="str">
        <f>"1326"</f>
        <v>1326</v>
      </c>
      <c r="H2078" t="str">
        <f>"0001"</f>
        <v>0001</v>
      </c>
      <c r="I2078" t="s">
        <v>122</v>
      </c>
      <c r="J2078">
        <v>0</v>
      </c>
      <c r="K2078">
        <v>1</v>
      </c>
      <c r="L2078">
        <v>3</v>
      </c>
      <c r="M2078">
        <v>283</v>
      </c>
      <c r="N2078">
        <v>481</v>
      </c>
      <c r="O2078">
        <v>2</v>
      </c>
      <c r="P2078">
        <v>481</v>
      </c>
      <c r="Q2078">
        <v>159</v>
      </c>
      <c r="R2078">
        <v>98</v>
      </c>
      <c r="S2078">
        <v>5</v>
      </c>
      <c r="T2078">
        <v>4</v>
      </c>
      <c r="U2078">
        <v>144</v>
      </c>
      <c r="V2078">
        <v>0</v>
      </c>
      <c r="W2078">
        <v>2</v>
      </c>
      <c r="X2078">
        <v>7</v>
      </c>
      <c r="Y2078">
        <v>46</v>
      </c>
      <c r="Z2078">
        <v>2</v>
      </c>
      <c r="AA2078">
        <v>1</v>
      </c>
      <c r="AR2078">
        <v>0</v>
      </c>
      <c r="AW2078">
        <v>0</v>
      </c>
      <c r="AX2078">
        <v>13</v>
      </c>
      <c r="AY2078">
        <v>481</v>
      </c>
      <c r="AZ2078">
        <v>481</v>
      </c>
      <c r="BA2078">
        <v>720</v>
      </c>
      <c r="BB2078">
        <v>44</v>
      </c>
      <c r="BD2078">
        <v>1</v>
      </c>
      <c r="BF2078" t="s">
        <v>2249</v>
      </c>
      <c r="BG2078" s="1">
        <v>44354.293055555558</v>
      </c>
      <c r="BH2078" s="1">
        <v>44354.298993055556</v>
      </c>
      <c r="BI2078" s="1">
        <v>44354.299861111111</v>
      </c>
      <c r="BJ2078" t="s">
        <v>85</v>
      </c>
      <c r="BK2078" t="s">
        <v>86</v>
      </c>
      <c r="BL2078" t="s">
        <v>87</v>
      </c>
    </row>
    <row r="2079" spans="1:64" x14ac:dyDescent="0.3">
      <c r="A2079" t="str">
        <f>"201327B0000"</f>
        <v>201327B0000</v>
      </c>
      <c r="B2079" t="str">
        <f>"201327B00003"</f>
        <v>201327B00003</v>
      </c>
      <c r="C2079" t="str">
        <f t="shared" si="124"/>
        <v>20</v>
      </c>
      <c r="D2079" t="s">
        <v>81</v>
      </c>
      <c r="E2079" t="str">
        <f t="shared" si="126"/>
        <v>260</v>
      </c>
      <c r="F2079" t="s">
        <v>2243</v>
      </c>
      <c r="G2079" t="str">
        <f>"1327"</f>
        <v>1327</v>
      </c>
      <c r="H2079" t="str">
        <f>"0000"</f>
        <v>0000</v>
      </c>
      <c r="I2079" t="s">
        <v>83</v>
      </c>
      <c r="J2079">
        <v>0</v>
      </c>
      <c r="K2079">
        <v>1</v>
      </c>
      <c r="L2079">
        <v>3</v>
      </c>
      <c r="M2079">
        <v>166</v>
      </c>
      <c r="N2079">
        <v>345</v>
      </c>
      <c r="O2079">
        <v>5</v>
      </c>
      <c r="P2079">
        <v>345</v>
      </c>
      <c r="Q2079">
        <v>156</v>
      </c>
      <c r="R2079">
        <v>65</v>
      </c>
      <c r="S2079" t="s">
        <v>95</v>
      </c>
      <c r="T2079">
        <v>1</v>
      </c>
      <c r="U2079">
        <v>113</v>
      </c>
      <c r="V2079" t="s">
        <v>95</v>
      </c>
      <c r="W2079" t="s">
        <v>95</v>
      </c>
      <c r="X2079">
        <v>7</v>
      </c>
      <c r="Y2079">
        <v>2</v>
      </c>
      <c r="Z2079" t="s">
        <v>95</v>
      </c>
      <c r="AA2079" t="s">
        <v>95</v>
      </c>
      <c r="AR2079" t="s">
        <v>95</v>
      </c>
      <c r="AW2079" t="s">
        <v>95</v>
      </c>
      <c r="AX2079">
        <v>1</v>
      </c>
      <c r="AY2079">
        <v>345</v>
      </c>
      <c r="AZ2079">
        <v>345</v>
      </c>
      <c r="BA2079">
        <v>467</v>
      </c>
      <c r="BB2079">
        <v>44</v>
      </c>
      <c r="BC2079" t="s">
        <v>96</v>
      </c>
      <c r="BD2079">
        <v>1</v>
      </c>
      <c r="BF2079" t="s">
        <v>2250</v>
      </c>
      <c r="BG2079" s="1">
        <v>44354.293055555558</v>
      </c>
      <c r="BH2079" s="1">
        <v>44354.294988425929</v>
      </c>
      <c r="BI2079" s="1">
        <v>44354.29546296296</v>
      </c>
      <c r="BJ2079" t="s">
        <v>85</v>
      </c>
      <c r="BK2079" t="s">
        <v>86</v>
      </c>
      <c r="BL2079" t="s">
        <v>87</v>
      </c>
    </row>
    <row r="2080" spans="1:64" x14ac:dyDescent="0.3">
      <c r="A2080" t="str">
        <f>"201327E0100"</f>
        <v>201327E0100</v>
      </c>
      <c r="B2080" t="str">
        <f>"201327E01003"</f>
        <v>201327E01003</v>
      </c>
      <c r="C2080" t="str">
        <f t="shared" si="124"/>
        <v>20</v>
      </c>
      <c r="D2080" t="s">
        <v>81</v>
      </c>
      <c r="E2080" t="str">
        <f t="shared" si="126"/>
        <v>260</v>
      </c>
      <c r="F2080" t="s">
        <v>2243</v>
      </c>
      <c r="G2080" t="str">
        <f>"1327"</f>
        <v>1327</v>
      </c>
      <c r="H2080" t="str">
        <f>"0001"</f>
        <v>0001</v>
      </c>
      <c r="I2080" t="s">
        <v>122</v>
      </c>
      <c r="J2080">
        <v>0</v>
      </c>
      <c r="K2080">
        <v>1</v>
      </c>
      <c r="L2080">
        <v>3</v>
      </c>
      <c r="M2080">
        <v>94</v>
      </c>
      <c r="N2080">
        <v>160</v>
      </c>
      <c r="O2080">
        <v>7</v>
      </c>
      <c r="P2080">
        <v>160</v>
      </c>
      <c r="Q2080">
        <v>44</v>
      </c>
      <c r="R2080">
        <v>3</v>
      </c>
      <c r="S2080">
        <v>0</v>
      </c>
      <c r="T2080">
        <v>0</v>
      </c>
      <c r="U2080">
        <v>92</v>
      </c>
      <c r="V2080">
        <v>0</v>
      </c>
      <c r="W2080">
        <v>0</v>
      </c>
      <c r="X2080">
        <v>2</v>
      </c>
      <c r="Y2080">
        <v>14</v>
      </c>
      <c r="Z2080">
        <v>0</v>
      </c>
      <c r="AA2080">
        <v>0</v>
      </c>
      <c r="AR2080">
        <v>0</v>
      </c>
      <c r="AW2080">
        <v>0</v>
      </c>
      <c r="AX2080">
        <v>5</v>
      </c>
      <c r="AY2080">
        <v>160</v>
      </c>
      <c r="AZ2080">
        <v>160</v>
      </c>
      <c r="BA2080">
        <v>210</v>
      </c>
      <c r="BB2080">
        <v>44</v>
      </c>
      <c r="BD2080">
        <v>1</v>
      </c>
      <c r="BF2080" t="s">
        <v>2251</v>
      </c>
      <c r="BG2080" s="1">
        <v>44354.293055555558</v>
      </c>
      <c r="BH2080" s="1">
        <v>44354.298032407409</v>
      </c>
      <c r="BI2080" s="1">
        <v>44354.299363425926</v>
      </c>
      <c r="BJ2080" t="s">
        <v>85</v>
      </c>
      <c r="BK2080" t="s">
        <v>86</v>
      </c>
      <c r="BL2080" t="s">
        <v>87</v>
      </c>
    </row>
    <row r="2081" spans="1:64" x14ac:dyDescent="0.3">
      <c r="A2081" t="str">
        <f>"201328B0000"</f>
        <v>201328B0000</v>
      </c>
      <c r="B2081" t="str">
        <f>"201328B00003"</f>
        <v>201328B00003</v>
      </c>
      <c r="C2081" t="str">
        <f t="shared" si="124"/>
        <v>20</v>
      </c>
      <c r="D2081" t="s">
        <v>81</v>
      </c>
      <c r="E2081" t="str">
        <f t="shared" si="126"/>
        <v>260</v>
      </c>
      <c r="F2081" t="s">
        <v>2243</v>
      </c>
      <c r="G2081" t="str">
        <f>"1328"</f>
        <v>1328</v>
      </c>
      <c r="H2081" t="str">
        <f t="shared" ref="H2081:H2086" si="127">"0000"</f>
        <v>0000</v>
      </c>
      <c r="I2081" t="s">
        <v>83</v>
      </c>
      <c r="J2081">
        <v>0</v>
      </c>
      <c r="K2081">
        <v>1</v>
      </c>
      <c r="L2081">
        <v>3</v>
      </c>
      <c r="M2081">
        <v>76</v>
      </c>
      <c r="N2081">
        <v>114</v>
      </c>
      <c r="O2081">
        <v>5</v>
      </c>
      <c r="P2081">
        <v>114</v>
      </c>
      <c r="Q2081">
        <v>54</v>
      </c>
      <c r="R2081">
        <v>22</v>
      </c>
      <c r="S2081">
        <v>1</v>
      </c>
      <c r="T2081" t="s">
        <v>95</v>
      </c>
      <c r="U2081">
        <v>28</v>
      </c>
      <c r="V2081" t="s">
        <v>95</v>
      </c>
      <c r="W2081">
        <v>1</v>
      </c>
      <c r="X2081">
        <v>5</v>
      </c>
      <c r="Y2081" t="s">
        <v>95</v>
      </c>
      <c r="Z2081">
        <v>1</v>
      </c>
      <c r="AA2081" t="s">
        <v>95</v>
      </c>
      <c r="AR2081" t="s">
        <v>95</v>
      </c>
      <c r="AW2081" t="s">
        <v>95</v>
      </c>
      <c r="AX2081" t="s">
        <v>95</v>
      </c>
      <c r="AY2081">
        <v>114</v>
      </c>
      <c r="AZ2081">
        <v>112</v>
      </c>
      <c r="BA2081">
        <v>146</v>
      </c>
      <c r="BB2081">
        <v>44</v>
      </c>
      <c r="BC2081" t="s">
        <v>96</v>
      </c>
      <c r="BD2081">
        <v>1</v>
      </c>
      <c r="BF2081" t="s">
        <v>2252</v>
      </c>
      <c r="BG2081" s="1">
        <v>44354.294444444444</v>
      </c>
      <c r="BH2081" s="1">
        <v>44354.300081018519</v>
      </c>
      <c r="BI2081" s="1">
        <v>44354.300486111111</v>
      </c>
      <c r="BJ2081" t="s">
        <v>85</v>
      </c>
      <c r="BK2081" t="s">
        <v>86</v>
      </c>
      <c r="BL2081" t="s">
        <v>87</v>
      </c>
    </row>
    <row r="2082" spans="1:64" x14ac:dyDescent="0.3">
      <c r="A2082" t="str">
        <f>"201329B0000"</f>
        <v>201329B0000</v>
      </c>
      <c r="B2082" t="str">
        <f>"201329B00003"</f>
        <v>201329B00003</v>
      </c>
      <c r="C2082" t="str">
        <f t="shared" si="124"/>
        <v>20</v>
      </c>
      <c r="D2082" t="s">
        <v>81</v>
      </c>
      <c r="E2082" t="str">
        <f t="shared" si="126"/>
        <v>260</v>
      </c>
      <c r="F2082" t="s">
        <v>2243</v>
      </c>
      <c r="G2082" t="str">
        <f>"1329"</f>
        <v>1329</v>
      </c>
      <c r="H2082" t="str">
        <f t="shared" si="127"/>
        <v>0000</v>
      </c>
      <c r="I2082" t="s">
        <v>83</v>
      </c>
      <c r="J2082">
        <v>0</v>
      </c>
      <c r="K2082">
        <v>1</v>
      </c>
      <c r="L2082">
        <v>3</v>
      </c>
      <c r="M2082">
        <v>118</v>
      </c>
      <c r="N2082">
        <v>185</v>
      </c>
      <c r="O2082">
        <v>5</v>
      </c>
      <c r="P2082">
        <v>185</v>
      </c>
      <c r="Q2082">
        <v>50</v>
      </c>
      <c r="R2082">
        <v>60</v>
      </c>
      <c r="S2082">
        <v>2</v>
      </c>
      <c r="T2082">
        <v>0</v>
      </c>
      <c r="U2082">
        <v>65</v>
      </c>
      <c r="V2082">
        <v>0</v>
      </c>
      <c r="W2082">
        <v>0</v>
      </c>
      <c r="X2082">
        <v>0</v>
      </c>
      <c r="Y2082">
        <v>2</v>
      </c>
      <c r="Z2082">
        <v>0</v>
      </c>
      <c r="AA2082">
        <v>0</v>
      </c>
      <c r="AR2082">
        <v>0</v>
      </c>
      <c r="AW2082">
        <v>0</v>
      </c>
      <c r="AX2082">
        <v>6</v>
      </c>
      <c r="AY2082">
        <v>185</v>
      </c>
      <c r="AZ2082">
        <v>185</v>
      </c>
      <c r="BA2082">
        <v>259</v>
      </c>
      <c r="BB2082">
        <v>44</v>
      </c>
      <c r="BD2082">
        <v>1</v>
      </c>
      <c r="BF2082" t="s">
        <v>2253</v>
      </c>
      <c r="BG2082" s="1">
        <v>44354.294444444444</v>
      </c>
      <c r="BH2082" s="1">
        <v>44354.303101851852</v>
      </c>
      <c r="BI2082" s="1">
        <v>44354.303611111114</v>
      </c>
      <c r="BJ2082" t="s">
        <v>85</v>
      </c>
      <c r="BK2082" t="s">
        <v>86</v>
      </c>
      <c r="BL2082" t="s">
        <v>87</v>
      </c>
    </row>
    <row r="2083" spans="1:64" x14ac:dyDescent="0.3">
      <c r="A2083" t="str">
        <f>"201330B0000"</f>
        <v>201330B0000</v>
      </c>
      <c r="B2083" t="str">
        <f>"201330B00003"</f>
        <v>201330B00003</v>
      </c>
      <c r="C2083" t="str">
        <f t="shared" si="124"/>
        <v>20</v>
      </c>
      <c r="D2083" t="s">
        <v>81</v>
      </c>
      <c r="E2083" t="str">
        <f t="shared" si="126"/>
        <v>260</v>
      </c>
      <c r="F2083" t="s">
        <v>2243</v>
      </c>
      <c r="G2083" t="str">
        <f>"1330"</f>
        <v>1330</v>
      </c>
      <c r="H2083" t="str">
        <f t="shared" si="127"/>
        <v>0000</v>
      </c>
      <c r="I2083" t="s">
        <v>83</v>
      </c>
      <c r="J2083">
        <v>0</v>
      </c>
      <c r="K2083">
        <v>1</v>
      </c>
      <c r="L2083">
        <v>3</v>
      </c>
      <c r="M2083">
        <v>123</v>
      </c>
      <c r="N2083">
        <v>278</v>
      </c>
      <c r="O2083">
        <v>7</v>
      </c>
      <c r="P2083">
        <v>278</v>
      </c>
      <c r="Q2083">
        <v>134</v>
      </c>
      <c r="R2083">
        <v>61</v>
      </c>
      <c r="S2083">
        <v>1</v>
      </c>
      <c r="T2083" t="s">
        <v>95</v>
      </c>
      <c r="U2083">
        <v>65</v>
      </c>
      <c r="V2083">
        <v>2</v>
      </c>
      <c r="W2083" t="s">
        <v>95</v>
      </c>
      <c r="X2083">
        <v>2</v>
      </c>
      <c r="Y2083">
        <v>1</v>
      </c>
      <c r="Z2083" t="s">
        <v>95</v>
      </c>
      <c r="AA2083">
        <v>1</v>
      </c>
      <c r="AR2083" t="s">
        <v>95</v>
      </c>
      <c r="AW2083" t="s">
        <v>95</v>
      </c>
      <c r="AX2083">
        <v>11</v>
      </c>
      <c r="AY2083">
        <v>278</v>
      </c>
      <c r="AZ2083">
        <v>278</v>
      </c>
      <c r="BA2083">
        <v>357</v>
      </c>
      <c r="BB2083">
        <v>44</v>
      </c>
      <c r="BC2083" t="s">
        <v>96</v>
      </c>
      <c r="BD2083">
        <v>1</v>
      </c>
      <c r="BF2083" t="s">
        <v>2254</v>
      </c>
      <c r="BG2083" s="1">
        <v>44354.293749999997</v>
      </c>
      <c r="BH2083" s="1">
        <v>44354.298402777778</v>
      </c>
      <c r="BI2083" s="1">
        <v>44354.298900462964</v>
      </c>
      <c r="BJ2083" t="s">
        <v>85</v>
      </c>
      <c r="BK2083" t="s">
        <v>86</v>
      </c>
      <c r="BL2083" t="s">
        <v>87</v>
      </c>
    </row>
    <row r="2084" spans="1:64" x14ac:dyDescent="0.3">
      <c r="A2084" t="str">
        <f>"201331B0000"</f>
        <v>201331B0000</v>
      </c>
      <c r="B2084" t="str">
        <f>"201331B00003"</f>
        <v>201331B00003</v>
      </c>
      <c r="C2084" t="str">
        <f t="shared" si="124"/>
        <v>20</v>
      </c>
      <c r="D2084" t="s">
        <v>81</v>
      </c>
      <c r="E2084" t="str">
        <f t="shared" si="126"/>
        <v>260</v>
      </c>
      <c r="F2084" t="s">
        <v>2243</v>
      </c>
      <c r="G2084" t="str">
        <f>"1331"</f>
        <v>1331</v>
      </c>
      <c r="H2084" t="str">
        <f t="shared" si="127"/>
        <v>0000</v>
      </c>
      <c r="I2084" t="s">
        <v>83</v>
      </c>
      <c r="J2084">
        <v>0</v>
      </c>
      <c r="K2084">
        <v>1</v>
      </c>
      <c r="L2084">
        <v>3</v>
      </c>
      <c r="M2084">
        <v>200</v>
      </c>
      <c r="N2084">
        <v>453</v>
      </c>
      <c r="O2084">
        <v>6</v>
      </c>
      <c r="P2084">
        <v>453</v>
      </c>
      <c r="Q2084">
        <v>170</v>
      </c>
      <c r="R2084">
        <v>126</v>
      </c>
      <c r="S2084">
        <v>8</v>
      </c>
      <c r="T2084">
        <v>0</v>
      </c>
      <c r="U2084">
        <v>127</v>
      </c>
      <c r="V2084">
        <v>0</v>
      </c>
      <c r="W2084">
        <v>0</v>
      </c>
      <c r="X2084">
        <v>16</v>
      </c>
      <c r="Y2084">
        <v>2</v>
      </c>
      <c r="Z2084">
        <v>0</v>
      </c>
      <c r="AA2084">
        <v>2</v>
      </c>
      <c r="AR2084">
        <v>0</v>
      </c>
      <c r="AW2084">
        <v>0</v>
      </c>
      <c r="AX2084">
        <v>2</v>
      </c>
      <c r="AY2084">
        <v>453</v>
      </c>
      <c r="AZ2084">
        <v>453</v>
      </c>
      <c r="BA2084">
        <v>609</v>
      </c>
      <c r="BB2084">
        <v>44</v>
      </c>
      <c r="BD2084">
        <v>1</v>
      </c>
      <c r="BF2084" t="s">
        <v>2255</v>
      </c>
      <c r="BG2084" s="1">
        <v>44354.293749999997</v>
      </c>
      <c r="BH2084" s="1">
        <v>44354.295763888891</v>
      </c>
      <c r="BI2084" s="1">
        <v>44354.296261574076</v>
      </c>
      <c r="BJ2084" t="s">
        <v>85</v>
      </c>
      <c r="BK2084" t="s">
        <v>86</v>
      </c>
      <c r="BL2084" t="s">
        <v>87</v>
      </c>
    </row>
    <row r="2085" spans="1:64" x14ac:dyDescent="0.3">
      <c r="A2085" t="str">
        <f>"201332B0000"</f>
        <v>201332B0000</v>
      </c>
      <c r="B2085" t="str">
        <f>"201332B00003"</f>
        <v>201332B00003</v>
      </c>
      <c r="C2085" t="str">
        <f t="shared" si="124"/>
        <v>20</v>
      </c>
      <c r="D2085" t="s">
        <v>81</v>
      </c>
      <c r="E2085" t="str">
        <f t="shared" si="126"/>
        <v>260</v>
      </c>
      <c r="F2085" t="s">
        <v>2243</v>
      </c>
      <c r="G2085" t="str">
        <f>"1332"</f>
        <v>1332</v>
      </c>
      <c r="H2085" t="str">
        <f t="shared" si="127"/>
        <v>0000</v>
      </c>
      <c r="I2085" t="s">
        <v>83</v>
      </c>
      <c r="J2085">
        <v>0</v>
      </c>
      <c r="K2085">
        <v>1</v>
      </c>
      <c r="L2085">
        <v>3</v>
      </c>
      <c r="M2085">
        <v>90</v>
      </c>
      <c r="N2085">
        <v>93</v>
      </c>
      <c r="O2085">
        <v>6</v>
      </c>
      <c r="P2085">
        <v>93</v>
      </c>
      <c r="Q2085">
        <v>36</v>
      </c>
      <c r="R2085">
        <v>9</v>
      </c>
      <c r="S2085">
        <v>2</v>
      </c>
      <c r="T2085">
        <v>1</v>
      </c>
      <c r="U2085">
        <v>39</v>
      </c>
      <c r="V2085">
        <v>0</v>
      </c>
      <c r="W2085">
        <v>0</v>
      </c>
      <c r="X2085">
        <v>2</v>
      </c>
      <c r="Y2085">
        <v>0</v>
      </c>
      <c r="Z2085">
        <v>1</v>
      </c>
      <c r="AA2085">
        <v>0</v>
      </c>
      <c r="AR2085">
        <v>1</v>
      </c>
      <c r="AW2085">
        <v>0</v>
      </c>
      <c r="AX2085">
        <v>2</v>
      </c>
      <c r="AY2085">
        <v>93</v>
      </c>
      <c r="AZ2085">
        <v>93</v>
      </c>
      <c r="BA2085">
        <v>139</v>
      </c>
      <c r="BB2085">
        <v>44</v>
      </c>
      <c r="BD2085">
        <v>1</v>
      </c>
      <c r="BF2085" t="s">
        <v>2256</v>
      </c>
      <c r="BG2085" s="1">
        <v>44354.46875</v>
      </c>
      <c r="BH2085" s="1">
        <v>44354.471631944441</v>
      </c>
      <c r="BI2085" s="1">
        <v>44354.47210648148</v>
      </c>
      <c r="BJ2085" t="s">
        <v>85</v>
      </c>
      <c r="BK2085" t="s">
        <v>86</v>
      </c>
      <c r="BL2085" t="s">
        <v>87</v>
      </c>
    </row>
    <row r="2086" spans="1:64" x14ac:dyDescent="0.3">
      <c r="A2086" t="str">
        <f>"201372B0000"</f>
        <v>201372B0000</v>
      </c>
      <c r="B2086" t="str">
        <f>"201372B00003"</f>
        <v>201372B00003</v>
      </c>
      <c r="C2086" t="str">
        <f t="shared" si="124"/>
        <v>20</v>
      </c>
      <c r="D2086" t="s">
        <v>81</v>
      </c>
      <c r="E2086" t="str">
        <f t="shared" ref="E2086:E2117" si="128">"276"</f>
        <v>276</v>
      </c>
      <c r="F2086" t="s">
        <v>2257</v>
      </c>
      <c r="G2086" t="str">
        <f>"1372"</f>
        <v>1372</v>
      </c>
      <c r="H2086" t="str">
        <f t="shared" si="127"/>
        <v>0000</v>
      </c>
      <c r="I2086" t="s">
        <v>83</v>
      </c>
      <c r="J2086">
        <v>0</v>
      </c>
      <c r="K2086">
        <v>1</v>
      </c>
      <c r="L2086">
        <v>3</v>
      </c>
      <c r="M2086">
        <v>175</v>
      </c>
      <c r="N2086">
        <v>477</v>
      </c>
      <c r="O2086">
        <v>0</v>
      </c>
      <c r="P2086">
        <v>477</v>
      </c>
      <c r="Q2086">
        <v>3</v>
      </c>
      <c r="R2086">
        <v>162</v>
      </c>
      <c r="S2086">
        <v>1</v>
      </c>
      <c r="U2086">
        <v>2</v>
      </c>
      <c r="V2086">
        <v>4</v>
      </c>
      <c r="X2086">
        <v>272</v>
      </c>
      <c r="Y2086">
        <v>2</v>
      </c>
      <c r="Z2086">
        <v>5</v>
      </c>
      <c r="AA2086">
        <v>10</v>
      </c>
      <c r="AB2086">
        <v>4</v>
      </c>
      <c r="AF2086">
        <v>4</v>
      </c>
      <c r="AG2086">
        <v>1</v>
      </c>
      <c r="AH2086">
        <v>0</v>
      </c>
      <c r="AI2086">
        <v>1</v>
      </c>
      <c r="AW2086">
        <v>0</v>
      </c>
      <c r="AX2086">
        <v>6</v>
      </c>
      <c r="AY2086">
        <v>477</v>
      </c>
      <c r="AZ2086">
        <v>477</v>
      </c>
      <c r="BA2086">
        <v>608</v>
      </c>
      <c r="BB2086">
        <v>44</v>
      </c>
      <c r="BD2086">
        <v>1</v>
      </c>
      <c r="BF2086" t="s">
        <v>2258</v>
      </c>
      <c r="BG2086" s="1">
        <v>44353.993055555555</v>
      </c>
      <c r="BH2086" s="1">
        <v>44354.018275462964</v>
      </c>
      <c r="BI2086" s="1">
        <v>44354.018796296295</v>
      </c>
      <c r="BJ2086" t="s">
        <v>85</v>
      </c>
      <c r="BK2086" t="s">
        <v>86</v>
      </c>
      <c r="BL2086" t="s">
        <v>87</v>
      </c>
    </row>
    <row r="2087" spans="1:64" x14ac:dyDescent="0.3">
      <c r="A2087" t="str">
        <f>"201372C0100"</f>
        <v>201372C0100</v>
      </c>
      <c r="B2087" t="str">
        <f>"201372C01003"</f>
        <v>201372C01003</v>
      </c>
      <c r="C2087" t="str">
        <f t="shared" si="124"/>
        <v>20</v>
      </c>
      <c r="D2087" t="s">
        <v>81</v>
      </c>
      <c r="E2087" t="str">
        <f t="shared" si="128"/>
        <v>276</v>
      </c>
      <c r="F2087" t="s">
        <v>2257</v>
      </c>
      <c r="G2087" t="str">
        <f>"1372"</f>
        <v>1372</v>
      </c>
      <c r="H2087" t="str">
        <f>"0001"</f>
        <v>0001</v>
      </c>
      <c r="I2087" t="s">
        <v>89</v>
      </c>
      <c r="J2087">
        <v>0</v>
      </c>
      <c r="K2087">
        <v>1</v>
      </c>
      <c r="L2087">
        <v>3</v>
      </c>
      <c r="M2087">
        <v>181</v>
      </c>
      <c r="N2087">
        <v>470</v>
      </c>
      <c r="O2087">
        <v>3</v>
      </c>
      <c r="P2087">
        <v>468</v>
      </c>
      <c r="Q2087">
        <v>3</v>
      </c>
      <c r="R2087">
        <v>91</v>
      </c>
      <c r="S2087">
        <v>2</v>
      </c>
      <c r="U2087">
        <v>6</v>
      </c>
      <c r="V2087">
        <v>0</v>
      </c>
      <c r="X2087">
        <v>235</v>
      </c>
      <c r="Y2087">
        <v>0</v>
      </c>
      <c r="Z2087">
        <v>4</v>
      </c>
      <c r="AA2087">
        <v>10</v>
      </c>
      <c r="AB2087">
        <v>4</v>
      </c>
      <c r="AF2087">
        <v>7</v>
      </c>
      <c r="AG2087">
        <v>0</v>
      </c>
      <c r="AH2087">
        <v>0</v>
      </c>
      <c r="AI2087">
        <v>0</v>
      </c>
      <c r="AW2087">
        <v>0</v>
      </c>
      <c r="AX2087" t="s">
        <v>131</v>
      </c>
      <c r="AY2087">
        <v>468</v>
      </c>
      <c r="AZ2087">
        <v>362</v>
      </c>
      <c r="BA2087">
        <v>607</v>
      </c>
      <c r="BB2087">
        <v>44</v>
      </c>
      <c r="BC2087" t="s">
        <v>96</v>
      </c>
      <c r="BD2087">
        <v>1</v>
      </c>
      <c r="BF2087" t="s">
        <v>2259</v>
      </c>
      <c r="BG2087" s="1">
        <v>44353.98541666667</v>
      </c>
      <c r="BH2087" s="1">
        <v>44354.006342592591</v>
      </c>
      <c r="BI2087" s="1">
        <v>44354.007476851853</v>
      </c>
      <c r="BJ2087" t="s">
        <v>85</v>
      </c>
      <c r="BK2087" t="s">
        <v>86</v>
      </c>
      <c r="BL2087" t="s">
        <v>87</v>
      </c>
    </row>
    <row r="2088" spans="1:64" x14ac:dyDescent="0.3">
      <c r="A2088" t="str">
        <f>"201372C0200"</f>
        <v>201372C0200</v>
      </c>
      <c r="B2088" t="str">
        <f>"201372C02003"</f>
        <v>201372C02003</v>
      </c>
      <c r="C2088" t="str">
        <f t="shared" si="124"/>
        <v>20</v>
      </c>
      <c r="D2088" t="s">
        <v>81</v>
      </c>
      <c r="E2088" t="str">
        <f t="shared" si="128"/>
        <v>276</v>
      </c>
      <c r="F2088" t="s">
        <v>2257</v>
      </c>
      <c r="G2088" t="str">
        <f>"1372"</f>
        <v>1372</v>
      </c>
      <c r="H2088" t="str">
        <f>"0002"</f>
        <v>0002</v>
      </c>
      <c r="I2088" t="s">
        <v>89</v>
      </c>
      <c r="J2088">
        <v>0</v>
      </c>
      <c r="K2088">
        <v>1</v>
      </c>
      <c r="L2088">
        <v>3</v>
      </c>
      <c r="M2088" t="s">
        <v>92</v>
      </c>
      <c r="N2088" t="s">
        <v>92</v>
      </c>
      <c r="O2088" t="s">
        <v>92</v>
      </c>
      <c r="P2088" t="s">
        <v>92</v>
      </c>
      <c r="Q2088">
        <v>3</v>
      </c>
      <c r="R2088">
        <v>3</v>
      </c>
      <c r="S2088">
        <v>4</v>
      </c>
      <c r="U2088">
        <v>5</v>
      </c>
      <c r="V2088" t="s">
        <v>95</v>
      </c>
      <c r="X2088" t="s">
        <v>95</v>
      </c>
      <c r="Y2088" t="s">
        <v>95</v>
      </c>
      <c r="Z2088" t="s">
        <v>95</v>
      </c>
      <c r="AA2088" t="s">
        <v>95</v>
      </c>
      <c r="AB2088" t="s">
        <v>95</v>
      </c>
      <c r="AF2088" t="s">
        <v>95</v>
      </c>
      <c r="AG2088" t="s">
        <v>95</v>
      </c>
      <c r="AH2088" t="s">
        <v>95</v>
      </c>
      <c r="AI2088" t="s">
        <v>95</v>
      </c>
      <c r="AW2088" t="s">
        <v>95</v>
      </c>
      <c r="AX2088" t="s">
        <v>95</v>
      </c>
      <c r="AY2088" t="s">
        <v>95</v>
      </c>
      <c r="AZ2088">
        <v>15</v>
      </c>
      <c r="BA2088">
        <v>607</v>
      </c>
      <c r="BB2088">
        <v>44</v>
      </c>
      <c r="BC2088" t="s">
        <v>96</v>
      </c>
      <c r="BD2088">
        <v>1</v>
      </c>
      <c r="BF2088" t="s">
        <v>2260</v>
      </c>
      <c r="BG2088" s="1">
        <v>44353.994444444441</v>
      </c>
      <c r="BH2088" s="1">
        <v>44354.036759259259</v>
      </c>
      <c r="BI2088" s="1">
        <v>44354.052048611113</v>
      </c>
      <c r="BJ2088" t="s">
        <v>85</v>
      </c>
      <c r="BK2088" t="s">
        <v>86</v>
      </c>
      <c r="BL2088" t="s">
        <v>87</v>
      </c>
    </row>
    <row r="2089" spans="1:64" x14ac:dyDescent="0.3">
      <c r="A2089" t="str">
        <f>"201373B0000"</f>
        <v>201373B0000</v>
      </c>
      <c r="B2089" t="str">
        <f>"201373B00003"</f>
        <v>201373B00003</v>
      </c>
      <c r="C2089" t="str">
        <f t="shared" si="124"/>
        <v>20</v>
      </c>
      <c r="D2089" t="s">
        <v>81</v>
      </c>
      <c r="E2089" t="str">
        <f t="shared" si="128"/>
        <v>276</v>
      </c>
      <c r="F2089" t="s">
        <v>2257</v>
      </c>
      <c r="G2089" t="str">
        <f>"1373"</f>
        <v>1373</v>
      </c>
      <c r="H2089" t="str">
        <f>"0000"</f>
        <v>0000</v>
      </c>
      <c r="I2089" t="s">
        <v>83</v>
      </c>
      <c r="J2089">
        <v>0</v>
      </c>
      <c r="K2089">
        <v>1</v>
      </c>
      <c r="L2089">
        <v>3</v>
      </c>
      <c r="M2089">
        <v>149</v>
      </c>
      <c r="N2089">
        <v>383</v>
      </c>
      <c r="O2089">
        <v>0</v>
      </c>
      <c r="P2089">
        <v>383</v>
      </c>
      <c r="Q2089">
        <v>4</v>
      </c>
      <c r="R2089">
        <v>87</v>
      </c>
      <c r="S2089">
        <v>1</v>
      </c>
      <c r="U2089">
        <v>2</v>
      </c>
      <c r="V2089">
        <v>0</v>
      </c>
      <c r="X2089">
        <v>269</v>
      </c>
      <c r="Y2089">
        <v>1</v>
      </c>
      <c r="Z2089">
        <v>3</v>
      </c>
      <c r="AA2089">
        <v>7</v>
      </c>
      <c r="AB2089">
        <v>2</v>
      </c>
      <c r="AF2089">
        <v>2</v>
      </c>
      <c r="AG2089">
        <v>0</v>
      </c>
      <c r="AH2089">
        <v>0</v>
      </c>
      <c r="AI2089">
        <v>1</v>
      </c>
      <c r="AW2089">
        <v>0</v>
      </c>
      <c r="AX2089">
        <v>4</v>
      </c>
      <c r="AY2089">
        <v>383</v>
      </c>
      <c r="AZ2089">
        <v>383</v>
      </c>
      <c r="BA2089">
        <v>488</v>
      </c>
      <c r="BB2089">
        <v>44</v>
      </c>
      <c r="BD2089">
        <v>1</v>
      </c>
      <c r="BF2089" t="s">
        <v>2261</v>
      </c>
      <c r="BG2089" s="1">
        <v>44353.986111111109</v>
      </c>
      <c r="BH2089" s="1">
        <v>44354.006053240744</v>
      </c>
      <c r="BI2089" s="1">
        <v>44354.006631944445</v>
      </c>
      <c r="BJ2089" t="s">
        <v>85</v>
      </c>
      <c r="BK2089" t="s">
        <v>86</v>
      </c>
      <c r="BL2089" t="s">
        <v>87</v>
      </c>
    </row>
    <row r="2090" spans="1:64" x14ac:dyDescent="0.3">
      <c r="A2090" t="str">
        <f>"201373C0100"</f>
        <v>201373C0100</v>
      </c>
      <c r="B2090" t="str">
        <f>"201373C01003"</f>
        <v>201373C01003</v>
      </c>
      <c r="C2090" t="str">
        <f t="shared" si="124"/>
        <v>20</v>
      </c>
      <c r="D2090" t="s">
        <v>81</v>
      </c>
      <c r="E2090" t="str">
        <f t="shared" si="128"/>
        <v>276</v>
      </c>
      <c r="F2090" t="s">
        <v>2257</v>
      </c>
      <c r="G2090" t="str">
        <f>"1373"</f>
        <v>1373</v>
      </c>
      <c r="H2090" t="str">
        <f>"0001"</f>
        <v>0001</v>
      </c>
      <c r="I2090" t="s">
        <v>89</v>
      </c>
      <c r="J2090">
        <v>0</v>
      </c>
      <c r="K2090">
        <v>1</v>
      </c>
      <c r="L2090">
        <v>3</v>
      </c>
      <c r="M2090">
        <v>151</v>
      </c>
      <c r="N2090">
        <v>380</v>
      </c>
      <c r="O2090">
        <v>2</v>
      </c>
      <c r="P2090">
        <v>380</v>
      </c>
      <c r="Q2090">
        <v>5</v>
      </c>
      <c r="R2090">
        <v>79</v>
      </c>
      <c r="S2090">
        <v>3</v>
      </c>
      <c r="U2090">
        <v>3</v>
      </c>
      <c r="V2090">
        <v>3</v>
      </c>
      <c r="X2090">
        <v>261</v>
      </c>
      <c r="Y2090">
        <v>4</v>
      </c>
      <c r="Z2090">
        <v>1</v>
      </c>
      <c r="AA2090">
        <v>8</v>
      </c>
      <c r="AB2090">
        <v>2</v>
      </c>
      <c r="AF2090">
        <v>6</v>
      </c>
      <c r="AG2090">
        <v>1</v>
      </c>
      <c r="AH2090">
        <v>0</v>
      </c>
      <c r="AI2090">
        <v>0</v>
      </c>
      <c r="AW2090" t="s">
        <v>95</v>
      </c>
      <c r="AX2090">
        <v>4</v>
      </c>
      <c r="AY2090">
        <v>380</v>
      </c>
      <c r="AZ2090">
        <v>380</v>
      </c>
      <c r="BA2090">
        <v>487</v>
      </c>
      <c r="BB2090">
        <v>44</v>
      </c>
      <c r="BC2090" t="s">
        <v>96</v>
      </c>
      <c r="BD2090">
        <v>1</v>
      </c>
      <c r="BF2090" t="s">
        <v>2262</v>
      </c>
      <c r="BG2090" s="1">
        <v>44353.986805555556</v>
      </c>
      <c r="BH2090" s="1">
        <v>44354.010798611111</v>
      </c>
      <c r="BI2090" s="1">
        <v>44354.011678240742</v>
      </c>
      <c r="BJ2090" t="s">
        <v>85</v>
      </c>
      <c r="BK2090" t="s">
        <v>86</v>
      </c>
      <c r="BL2090" t="s">
        <v>87</v>
      </c>
    </row>
    <row r="2091" spans="1:64" x14ac:dyDescent="0.3">
      <c r="A2091" t="str">
        <f>"201374B0000"</f>
        <v>201374B0000</v>
      </c>
      <c r="B2091" t="str">
        <f>"201374B00003"</f>
        <v>201374B00003</v>
      </c>
      <c r="C2091" t="str">
        <f t="shared" si="124"/>
        <v>20</v>
      </c>
      <c r="D2091" t="s">
        <v>81</v>
      </c>
      <c r="E2091" t="str">
        <f t="shared" si="128"/>
        <v>276</v>
      </c>
      <c r="F2091" t="s">
        <v>2257</v>
      </c>
      <c r="G2091" t="str">
        <f>"1374"</f>
        <v>1374</v>
      </c>
      <c r="H2091" t="str">
        <f>"0000"</f>
        <v>0000</v>
      </c>
      <c r="I2091" t="s">
        <v>83</v>
      </c>
      <c r="J2091">
        <v>0</v>
      </c>
      <c r="K2091">
        <v>1</v>
      </c>
      <c r="L2091">
        <v>3</v>
      </c>
      <c r="M2091">
        <v>208</v>
      </c>
      <c r="N2091">
        <v>523</v>
      </c>
      <c r="O2091">
        <v>1</v>
      </c>
      <c r="P2091">
        <v>523</v>
      </c>
      <c r="Q2091">
        <v>3</v>
      </c>
      <c r="R2091">
        <v>145</v>
      </c>
      <c r="S2091">
        <v>1</v>
      </c>
      <c r="U2091">
        <v>0</v>
      </c>
      <c r="V2091">
        <v>4</v>
      </c>
      <c r="X2091">
        <v>338</v>
      </c>
      <c r="Y2091">
        <v>6</v>
      </c>
      <c r="Z2091">
        <v>3</v>
      </c>
      <c r="AA2091">
        <v>3</v>
      </c>
      <c r="AB2091">
        <v>5</v>
      </c>
      <c r="AF2091">
        <v>10</v>
      </c>
      <c r="AG2091">
        <v>0</v>
      </c>
      <c r="AH2091">
        <v>0</v>
      </c>
      <c r="AI2091">
        <v>0</v>
      </c>
      <c r="AW2091">
        <v>0</v>
      </c>
      <c r="AX2091">
        <v>5</v>
      </c>
      <c r="AY2091">
        <v>523</v>
      </c>
      <c r="AZ2091">
        <v>523</v>
      </c>
      <c r="BA2091">
        <v>687</v>
      </c>
      <c r="BB2091">
        <v>44</v>
      </c>
      <c r="BD2091">
        <v>1</v>
      </c>
      <c r="BF2091" t="s">
        <v>2263</v>
      </c>
      <c r="BG2091" s="1">
        <v>44354.097222222219</v>
      </c>
      <c r="BH2091" s="1">
        <v>44354.180694444447</v>
      </c>
      <c r="BI2091" s="1">
        <v>44354.181307870371</v>
      </c>
      <c r="BJ2091" t="s">
        <v>85</v>
      </c>
      <c r="BK2091" t="s">
        <v>86</v>
      </c>
      <c r="BL2091" t="s">
        <v>87</v>
      </c>
    </row>
    <row r="2092" spans="1:64" x14ac:dyDescent="0.3">
      <c r="A2092" t="str">
        <f>"201374C0100"</f>
        <v>201374C0100</v>
      </c>
      <c r="B2092" t="str">
        <f>"201374C01003"</f>
        <v>201374C01003</v>
      </c>
      <c r="C2092" t="str">
        <f t="shared" si="124"/>
        <v>20</v>
      </c>
      <c r="D2092" t="s">
        <v>81</v>
      </c>
      <c r="E2092" t="str">
        <f t="shared" si="128"/>
        <v>276</v>
      </c>
      <c r="F2092" t="s">
        <v>2257</v>
      </c>
      <c r="G2092" t="str">
        <f>"1374"</f>
        <v>1374</v>
      </c>
      <c r="H2092" t="str">
        <f>"0001"</f>
        <v>0001</v>
      </c>
      <c r="I2092" t="s">
        <v>89</v>
      </c>
      <c r="J2092">
        <v>0</v>
      </c>
      <c r="K2092">
        <v>1</v>
      </c>
      <c r="L2092">
        <v>3</v>
      </c>
      <c r="M2092">
        <v>194</v>
      </c>
      <c r="N2092">
        <v>537</v>
      </c>
      <c r="O2092">
        <v>0</v>
      </c>
      <c r="P2092">
        <v>537</v>
      </c>
      <c r="Q2092">
        <v>5</v>
      </c>
      <c r="R2092">
        <v>136</v>
      </c>
      <c r="S2092">
        <v>4</v>
      </c>
      <c r="U2092">
        <v>0</v>
      </c>
      <c r="V2092">
        <v>0</v>
      </c>
      <c r="X2092">
        <v>365</v>
      </c>
      <c r="Y2092">
        <v>3</v>
      </c>
      <c r="Z2092">
        <v>3</v>
      </c>
      <c r="AA2092">
        <v>6</v>
      </c>
      <c r="AB2092">
        <v>2</v>
      </c>
      <c r="AF2092">
        <v>4</v>
      </c>
      <c r="AG2092">
        <v>0</v>
      </c>
      <c r="AH2092">
        <v>0</v>
      </c>
      <c r="AI2092">
        <v>0</v>
      </c>
      <c r="AW2092" t="s">
        <v>95</v>
      </c>
      <c r="AX2092">
        <v>9</v>
      </c>
      <c r="AY2092">
        <v>537</v>
      </c>
      <c r="AZ2092">
        <v>537</v>
      </c>
      <c r="BA2092">
        <v>687</v>
      </c>
      <c r="BB2092">
        <v>44</v>
      </c>
      <c r="BC2092" t="s">
        <v>96</v>
      </c>
      <c r="BD2092">
        <v>1</v>
      </c>
      <c r="BF2092" t="s">
        <v>2264</v>
      </c>
      <c r="BG2092" s="1">
        <v>44354.097222222219</v>
      </c>
      <c r="BH2092" s="1">
        <v>44354.190555555557</v>
      </c>
      <c r="BI2092" s="1">
        <v>44354.191076388888</v>
      </c>
      <c r="BJ2092" t="s">
        <v>85</v>
      </c>
      <c r="BK2092" t="s">
        <v>86</v>
      </c>
      <c r="BL2092" t="s">
        <v>87</v>
      </c>
    </row>
    <row r="2093" spans="1:64" x14ac:dyDescent="0.3">
      <c r="A2093" t="str">
        <f>"201375B0000"</f>
        <v>201375B0000</v>
      </c>
      <c r="B2093" t="str">
        <f>"201375B00003"</f>
        <v>201375B00003</v>
      </c>
      <c r="C2093" t="str">
        <f t="shared" si="124"/>
        <v>20</v>
      </c>
      <c r="D2093" t="s">
        <v>81</v>
      </c>
      <c r="E2093" t="str">
        <f t="shared" si="128"/>
        <v>276</v>
      </c>
      <c r="F2093" t="s">
        <v>2257</v>
      </c>
      <c r="G2093" t="str">
        <f>"1375"</f>
        <v>1375</v>
      </c>
      <c r="H2093" t="str">
        <f>"0000"</f>
        <v>0000</v>
      </c>
      <c r="I2093" t="s">
        <v>83</v>
      </c>
      <c r="J2093">
        <v>0</v>
      </c>
      <c r="K2093">
        <v>1</v>
      </c>
      <c r="L2093">
        <v>3</v>
      </c>
      <c r="M2093">
        <v>161</v>
      </c>
      <c r="N2093">
        <v>382</v>
      </c>
      <c r="O2093">
        <v>0</v>
      </c>
      <c r="P2093">
        <v>382</v>
      </c>
      <c r="Q2093">
        <v>2</v>
      </c>
      <c r="R2093">
        <v>121</v>
      </c>
      <c r="S2093">
        <v>3</v>
      </c>
      <c r="U2093">
        <v>0</v>
      </c>
      <c r="V2093">
        <v>3</v>
      </c>
      <c r="X2093">
        <v>244</v>
      </c>
      <c r="Y2093">
        <v>0</v>
      </c>
      <c r="Z2093">
        <v>0</v>
      </c>
      <c r="AA2093">
        <v>4</v>
      </c>
      <c r="AB2093">
        <v>0</v>
      </c>
      <c r="AF2093">
        <v>5</v>
      </c>
      <c r="AG2093">
        <v>0</v>
      </c>
      <c r="AH2093">
        <v>0</v>
      </c>
      <c r="AI2093">
        <v>0</v>
      </c>
      <c r="AW2093">
        <v>0</v>
      </c>
      <c r="AX2093">
        <v>0</v>
      </c>
      <c r="AY2093">
        <v>382</v>
      </c>
      <c r="AZ2093">
        <v>382</v>
      </c>
      <c r="BA2093">
        <v>499</v>
      </c>
      <c r="BB2093">
        <v>44</v>
      </c>
      <c r="BD2093">
        <v>1</v>
      </c>
      <c r="BF2093" t="s">
        <v>2265</v>
      </c>
      <c r="BG2093" s="1">
        <v>44354.100694444445</v>
      </c>
      <c r="BH2093" s="1">
        <v>44354.198703703703</v>
      </c>
      <c r="BI2093" s="1">
        <v>44354.19908564815</v>
      </c>
      <c r="BJ2093" t="s">
        <v>85</v>
      </c>
      <c r="BK2093" t="s">
        <v>86</v>
      </c>
      <c r="BL2093" t="s">
        <v>87</v>
      </c>
    </row>
    <row r="2094" spans="1:64" x14ac:dyDescent="0.3">
      <c r="A2094" t="str">
        <f>"201375C0100"</f>
        <v>201375C0100</v>
      </c>
      <c r="B2094" t="str">
        <f>"201375C01003"</f>
        <v>201375C01003</v>
      </c>
      <c r="C2094" t="str">
        <f t="shared" si="124"/>
        <v>20</v>
      </c>
      <c r="D2094" t="s">
        <v>81</v>
      </c>
      <c r="E2094" t="str">
        <f t="shared" si="128"/>
        <v>276</v>
      </c>
      <c r="F2094" t="s">
        <v>2257</v>
      </c>
      <c r="G2094" t="str">
        <f>"1375"</f>
        <v>1375</v>
      </c>
      <c r="H2094" t="str">
        <f>"0001"</f>
        <v>0001</v>
      </c>
      <c r="I2094" t="s">
        <v>89</v>
      </c>
      <c r="J2094">
        <v>0</v>
      </c>
      <c r="K2094">
        <v>1</v>
      </c>
      <c r="L2094">
        <v>3</v>
      </c>
      <c r="M2094">
        <v>152</v>
      </c>
      <c r="N2094">
        <v>391</v>
      </c>
      <c r="O2094">
        <v>1</v>
      </c>
      <c r="P2094" t="s">
        <v>92</v>
      </c>
      <c r="Q2094">
        <v>2</v>
      </c>
      <c r="R2094">
        <v>97</v>
      </c>
      <c r="S2094">
        <v>1</v>
      </c>
      <c r="U2094">
        <v>3</v>
      </c>
      <c r="V2094">
        <v>0</v>
      </c>
      <c r="X2094">
        <v>264</v>
      </c>
      <c r="Y2094">
        <v>1</v>
      </c>
      <c r="Z2094">
        <v>1</v>
      </c>
      <c r="AA2094">
        <v>3</v>
      </c>
      <c r="AB2094">
        <v>3</v>
      </c>
      <c r="AF2094">
        <v>4</v>
      </c>
      <c r="AG2094">
        <v>3</v>
      </c>
      <c r="AH2094">
        <v>0</v>
      </c>
      <c r="AI2094">
        <v>0</v>
      </c>
      <c r="AW2094">
        <v>0</v>
      </c>
      <c r="AX2094">
        <v>9</v>
      </c>
      <c r="AY2094">
        <v>391</v>
      </c>
      <c r="AZ2094">
        <v>391</v>
      </c>
      <c r="BA2094">
        <v>499</v>
      </c>
      <c r="BB2094">
        <v>44</v>
      </c>
      <c r="BD2094">
        <v>1</v>
      </c>
      <c r="BF2094" t="s">
        <v>2266</v>
      </c>
      <c r="BG2094" s="1">
        <v>44354.102777777778</v>
      </c>
      <c r="BH2094" s="1">
        <v>44354.207986111112</v>
      </c>
      <c r="BI2094" s="1">
        <v>44354.208472222221</v>
      </c>
      <c r="BJ2094" t="s">
        <v>85</v>
      </c>
      <c r="BK2094" t="s">
        <v>86</v>
      </c>
      <c r="BL2094" t="s">
        <v>87</v>
      </c>
    </row>
    <row r="2095" spans="1:64" x14ac:dyDescent="0.3">
      <c r="A2095" t="str">
        <f>"201375S0100"</f>
        <v>201375S0100</v>
      </c>
      <c r="B2095" t="str">
        <f>"201375S01003E"</f>
        <v>201375S01003E</v>
      </c>
      <c r="C2095" t="str">
        <f t="shared" si="124"/>
        <v>20</v>
      </c>
      <c r="D2095" t="s">
        <v>81</v>
      </c>
      <c r="E2095" t="str">
        <f t="shared" si="128"/>
        <v>276</v>
      </c>
      <c r="F2095" t="s">
        <v>2257</v>
      </c>
      <c r="G2095" t="str">
        <f>"1375"</f>
        <v>1375</v>
      </c>
      <c r="H2095" t="str">
        <f>"0001"</f>
        <v>0001</v>
      </c>
      <c r="I2095" t="s">
        <v>99</v>
      </c>
      <c r="J2095">
        <v>0</v>
      </c>
      <c r="K2095">
        <v>1</v>
      </c>
      <c r="L2095" t="s">
        <v>100</v>
      </c>
      <c r="M2095">
        <v>965</v>
      </c>
      <c r="N2095">
        <v>35</v>
      </c>
      <c r="O2095">
        <v>0</v>
      </c>
      <c r="P2095">
        <v>35</v>
      </c>
      <c r="Q2095">
        <v>0</v>
      </c>
      <c r="R2095">
        <v>13</v>
      </c>
      <c r="S2095">
        <v>0</v>
      </c>
      <c r="U2095">
        <v>0</v>
      </c>
      <c r="V2095">
        <v>0</v>
      </c>
      <c r="X2095">
        <v>19</v>
      </c>
      <c r="Y2095">
        <v>0</v>
      </c>
      <c r="Z2095">
        <v>0</v>
      </c>
      <c r="AA2095">
        <v>0</v>
      </c>
      <c r="AB2095">
        <v>1</v>
      </c>
      <c r="AF2095">
        <v>0</v>
      </c>
      <c r="AG2095">
        <v>0</v>
      </c>
      <c r="AH2095">
        <v>0</v>
      </c>
      <c r="AI2095">
        <v>0</v>
      </c>
      <c r="AW2095">
        <v>0</v>
      </c>
      <c r="AX2095">
        <v>2</v>
      </c>
      <c r="AY2095">
        <v>35</v>
      </c>
      <c r="AZ2095">
        <v>35</v>
      </c>
      <c r="BA2095">
        <v>0</v>
      </c>
      <c r="BB2095">
        <v>44</v>
      </c>
      <c r="BD2095">
        <v>1</v>
      </c>
      <c r="BF2095" t="s">
        <v>2267</v>
      </c>
      <c r="BG2095" s="1">
        <v>44354.100694444445</v>
      </c>
      <c r="BH2095" s="1">
        <v>44354.166770833333</v>
      </c>
      <c r="BI2095" s="1">
        <v>44354.16746527778</v>
      </c>
      <c r="BJ2095" t="s">
        <v>85</v>
      </c>
      <c r="BK2095" t="s">
        <v>86</v>
      </c>
      <c r="BL2095" t="s">
        <v>87</v>
      </c>
    </row>
    <row r="2096" spans="1:64" x14ac:dyDescent="0.3">
      <c r="A2096" t="str">
        <f>"201376B0000"</f>
        <v>201376B0000</v>
      </c>
      <c r="B2096" t="str">
        <f>"201376B00003"</f>
        <v>201376B00003</v>
      </c>
      <c r="C2096" t="str">
        <f t="shared" si="124"/>
        <v>20</v>
      </c>
      <c r="D2096" t="s">
        <v>81</v>
      </c>
      <c r="E2096" t="str">
        <f t="shared" si="128"/>
        <v>276</v>
      </c>
      <c r="F2096" t="s">
        <v>2257</v>
      </c>
      <c r="G2096" t="str">
        <f>"1376"</f>
        <v>1376</v>
      </c>
      <c r="H2096" t="str">
        <f>"0000"</f>
        <v>0000</v>
      </c>
      <c r="I2096" t="s">
        <v>83</v>
      </c>
      <c r="J2096">
        <v>0</v>
      </c>
      <c r="K2096">
        <v>1</v>
      </c>
      <c r="L2096">
        <v>3</v>
      </c>
      <c r="M2096">
        <v>153</v>
      </c>
      <c r="N2096">
        <v>390</v>
      </c>
      <c r="O2096">
        <v>2</v>
      </c>
      <c r="P2096">
        <v>392</v>
      </c>
      <c r="Q2096">
        <v>2</v>
      </c>
      <c r="R2096">
        <v>91</v>
      </c>
      <c r="S2096">
        <v>1</v>
      </c>
      <c r="U2096">
        <v>3</v>
      </c>
      <c r="V2096">
        <v>3</v>
      </c>
      <c r="X2096">
        <v>267</v>
      </c>
      <c r="Y2096">
        <v>3</v>
      </c>
      <c r="Z2096">
        <v>5</v>
      </c>
      <c r="AA2096">
        <v>7</v>
      </c>
      <c r="AB2096">
        <v>1</v>
      </c>
      <c r="AF2096">
        <v>6</v>
      </c>
      <c r="AG2096" t="s">
        <v>95</v>
      </c>
      <c r="AH2096" t="s">
        <v>95</v>
      </c>
      <c r="AI2096" t="s">
        <v>95</v>
      </c>
      <c r="AW2096" t="s">
        <v>95</v>
      </c>
      <c r="AX2096">
        <v>3</v>
      </c>
      <c r="AY2096" t="s">
        <v>95</v>
      </c>
      <c r="AZ2096">
        <v>392</v>
      </c>
      <c r="BA2096">
        <v>501</v>
      </c>
      <c r="BB2096">
        <v>44</v>
      </c>
      <c r="BC2096" t="s">
        <v>96</v>
      </c>
      <c r="BD2096">
        <v>1</v>
      </c>
      <c r="BF2096" t="s">
        <v>2268</v>
      </c>
      <c r="BG2096" s="1">
        <v>44354.035416666666</v>
      </c>
      <c r="BH2096" s="1">
        <v>44354.067986111113</v>
      </c>
      <c r="BI2096" s="1">
        <v>44354.068425925929</v>
      </c>
      <c r="BJ2096" t="s">
        <v>85</v>
      </c>
      <c r="BK2096" t="s">
        <v>86</v>
      </c>
      <c r="BL2096" t="s">
        <v>87</v>
      </c>
    </row>
    <row r="2097" spans="1:64" x14ac:dyDescent="0.3">
      <c r="A2097" t="str">
        <f>"201376C0100"</f>
        <v>201376C0100</v>
      </c>
      <c r="B2097" t="str">
        <f>"201376C01003"</f>
        <v>201376C01003</v>
      </c>
      <c r="C2097" t="str">
        <f t="shared" si="124"/>
        <v>20</v>
      </c>
      <c r="D2097" t="s">
        <v>81</v>
      </c>
      <c r="E2097" t="str">
        <f t="shared" si="128"/>
        <v>276</v>
      </c>
      <c r="F2097" t="s">
        <v>2257</v>
      </c>
      <c r="G2097" t="str">
        <f>"1376"</f>
        <v>1376</v>
      </c>
      <c r="H2097" t="str">
        <f>"0001"</f>
        <v>0001</v>
      </c>
      <c r="I2097" t="s">
        <v>89</v>
      </c>
      <c r="J2097">
        <v>0</v>
      </c>
      <c r="K2097">
        <v>1</v>
      </c>
      <c r="L2097">
        <v>3</v>
      </c>
      <c r="M2097">
        <v>143</v>
      </c>
      <c r="N2097">
        <v>402</v>
      </c>
      <c r="O2097">
        <v>0</v>
      </c>
      <c r="P2097">
        <v>402</v>
      </c>
      <c r="Q2097">
        <v>2</v>
      </c>
      <c r="R2097">
        <v>109</v>
      </c>
      <c r="S2097">
        <v>0</v>
      </c>
      <c r="U2097">
        <v>1</v>
      </c>
      <c r="V2097">
        <v>2</v>
      </c>
      <c r="X2097">
        <v>274</v>
      </c>
      <c r="Y2097">
        <v>4</v>
      </c>
      <c r="Z2097">
        <v>1</v>
      </c>
      <c r="AA2097">
        <v>1</v>
      </c>
      <c r="AB2097">
        <v>1</v>
      </c>
      <c r="AF2097">
        <v>0</v>
      </c>
      <c r="AG2097">
        <v>0</v>
      </c>
      <c r="AH2097">
        <v>0</v>
      </c>
      <c r="AI2097">
        <v>0</v>
      </c>
      <c r="AW2097">
        <v>0</v>
      </c>
      <c r="AX2097">
        <v>7</v>
      </c>
      <c r="AY2097">
        <v>402</v>
      </c>
      <c r="AZ2097">
        <v>402</v>
      </c>
      <c r="BA2097">
        <v>501</v>
      </c>
      <c r="BB2097">
        <v>44</v>
      </c>
      <c r="BD2097">
        <v>1</v>
      </c>
      <c r="BF2097" t="s">
        <v>2269</v>
      </c>
      <c r="BG2097" s="1">
        <v>44354.038194444445</v>
      </c>
      <c r="BH2097" s="1">
        <v>44354.079212962963</v>
      </c>
      <c r="BI2097" s="1">
        <v>44354.079722222225</v>
      </c>
      <c r="BJ2097" t="s">
        <v>85</v>
      </c>
      <c r="BK2097" t="s">
        <v>86</v>
      </c>
      <c r="BL2097" t="s">
        <v>87</v>
      </c>
    </row>
    <row r="2098" spans="1:64" x14ac:dyDescent="0.3">
      <c r="A2098" t="str">
        <f>"201377B0000"</f>
        <v>201377B0000</v>
      </c>
      <c r="B2098" t="str">
        <f>"201377B00003"</f>
        <v>201377B00003</v>
      </c>
      <c r="C2098" t="str">
        <f t="shared" si="124"/>
        <v>20</v>
      </c>
      <c r="D2098" t="s">
        <v>81</v>
      </c>
      <c r="E2098" t="str">
        <f t="shared" si="128"/>
        <v>276</v>
      </c>
      <c r="F2098" t="s">
        <v>2257</v>
      </c>
      <c r="G2098" t="str">
        <f>"1377"</f>
        <v>1377</v>
      </c>
      <c r="H2098" t="str">
        <f>"0000"</f>
        <v>0000</v>
      </c>
      <c r="I2098" t="s">
        <v>83</v>
      </c>
      <c r="J2098">
        <v>0</v>
      </c>
      <c r="K2098">
        <v>1</v>
      </c>
      <c r="L2098">
        <v>3</v>
      </c>
      <c r="M2098">
        <v>179</v>
      </c>
      <c r="N2098">
        <v>520</v>
      </c>
      <c r="O2098">
        <v>0</v>
      </c>
      <c r="P2098">
        <v>520</v>
      </c>
      <c r="Q2098">
        <v>10</v>
      </c>
      <c r="R2098">
        <v>73</v>
      </c>
      <c r="S2098">
        <v>5</v>
      </c>
      <c r="U2098">
        <v>2</v>
      </c>
      <c r="V2098">
        <v>6</v>
      </c>
      <c r="X2098">
        <v>397</v>
      </c>
      <c r="Y2098">
        <v>0</v>
      </c>
      <c r="Z2098">
        <v>4</v>
      </c>
      <c r="AA2098">
        <v>14</v>
      </c>
      <c r="AB2098">
        <v>4</v>
      </c>
      <c r="AF2098">
        <v>0</v>
      </c>
      <c r="AG2098">
        <v>0</v>
      </c>
      <c r="AH2098">
        <v>0</v>
      </c>
      <c r="AI2098">
        <v>0</v>
      </c>
      <c r="AW2098">
        <v>0</v>
      </c>
      <c r="AX2098">
        <v>5</v>
      </c>
      <c r="AY2098">
        <v>520</v>
      </c>
      <c r="AZ2098">
        <v>520</v>
      </c>
      <c r="BA2098">
        <v>655</v>
      </c>
      <c r="BB2098">
        <v>44</v>
      </c>
      <c r="BD2098">
        <v>1</v>
      </c>
      <c r="BF2098" t="s">
        <v>2270</v>
      </c>
      <c r="BG2098" s="1">
        <v>44353.916666666664</v>
      </c>
      <c r="BH2098" s="1">
        <v>44354.178148148145</v>
      </c>
      <c r="BI2098" s="1">
        <v>44354.178460648145</v>
      </c>
      <c r="BJ2098" t="s">
        <v>85</v>
      </c>
      <c r="BK2098" t="s">
        <v>86</v>
      </c>
      <c r="BL2098" t="s">
        <v>87</v>
      </c>
    </row>
    <row r="2099" spans="1:64" x14ac:dyDescent="0.3">
      <c r="A2099" t="str">
        <f>"201377C0100"</f>
        <v>201377C0100</v>
      </c>
      <c r="B2099" t="str">
        <f>"201377C01003"</f>
        <v>201377C01003</v>
      </c>
      <c r="C2099" t="str">
        <f t="shared" si="124"/>
        <v>20</v>
      </c>
      <c r="D2099" t="s">
        <v>81</v>
      </c>
      <c r="E2099" t="str">
        <f t="shared" si="128"/>
        <v>276</v>
      </c>
      <c r="F2099" t="s">
        <v>2257</v>
      </c>
      <c r="G2099" t="str">
        <f>"1377"</f>
        <v>1377</v>
      </c>
      <c r="H2099" t="str">
        <f>"0001"</f>
        <v>0001</v>
      </c>
      <c r="I2099" t="s">
        <v>89</v>
      </c>
      <c r="J2099">
        <v>0</v>
      </c>
      <c r="K2099">
        <v>1</v>
      </c>
      <c r="L2099">
        <v>3</v>
      </c>
      <c r="M2099">
        <v>192</v>
      </c>
      <c r="N2099">
        <v>507</v>
      </c>
      <c r="O2099">
        <v>0</v>
      </c>
      <c r="P2099">
        <v>507</v>
      </c>
      <c r="Q2099">
        <v>6</v>
      </c>
      <c r="R2099">
        <v>92</v>
      </c>
      <c r="S2099">
        <v>1</v>
      </c>
      <c r="U2099">
        <v>1</v>
      </c>
      <c r="V2099">
        <v>4</v>
      </c>
      <c r="X2099">
        <v>372</v>
      </c>
      <c r="Y2099">
        <v>2</v>
      </c>
      <c r="Z2099">
        <v>3</v>
      </c>
      <c r="AA2099">
        <v>8</v>
      </c>
      <c r="AB2099">
        <v>3</v>
      </c>
      <c r="AF2099">
        <v>0</v>
      </c>
      <c r="AG2099">
        <v>0</v>
      </c>
      <c r="AH2099">
        <v>0</v>
      </c>
      <c r="AI2099">
        <v>0</v>
      </c>
      <c r="AW2099">
        <v>0</v>
      </c>
      <c r="AX2099">
        <v>0</v>
      </c>
      <c r="AY2099">
        <v>0</v>
      </c>
      <c r="AZ2099">
        <v>492</v>
      </c>
      <c r="BA2099">
        <v>655</v>
      </c>
      <c r="BB2099">
        <v>44</v>
      </c>
      <c r="BD2099">
        <v>1</v>
      </c>
      <c r="BF2099" t="s">
        <v>2271</v>
      </c>
      <c r="BG2099" s="1">
        <v>44353.958333333336</v>
      </c>
      <c r="BH2099" s="1">
        <v>44354.184606481482</v>
      </c>
      <c r="BI2099" s="1">
        <v>44354.185185185182</v>
      </c>
      <c r="BJ2099" t="s">
        <v>85</v>
      </c>
      <c r="BK2099" t="s">
        <v>86</v>
      </c>
      <c r="BL2099" t="s">
        <v>87</v>
      </c>
    </row>
    <row r="2100" spans="1:64" x14ac:dyDescent="0.3">
      <c r="A2100" t="str">
        <f>"201377E0100"</f>
        <v>201377E0100</v>
      </c>
      <c r="B2100" t="str">
        <f>"201377E01003"</f>
        <v>201377E01003</v>
      </c>
      <c r="C2100" t="str">
        <f t="shared" si="124"/>
        <v>20</v>
      </c>
      <c r="D2100" t="s">
        <v>81</v>
      </c>
      <c r="E2100" t="str">
        <f t="shared" si="128"/>
        <v>276</v>
      </c>
      <c r="F2100" t="s">
        <v>2257</v>
      </c>
      <c r="G2100" t="str">
        <f>"1377"</f>
        <v>1377</v>
      </c>
      <c r="H2100" t="str">
        <f>"0001"</f>
        <v>0001</v>
      </c>
      <c r="I2100" t="s">
        <v>122</v>
      </c>
      <c r="J2100">
        <v>0</v>
      </c>
      <c r="K2100">
        <v>1</v>
      </c>
      <c r="L2100">
        <v>3</v>
      </c>
      <c r="M2100">
        <v>135</v>
      </c>
      <c r="N2100">
        <v>265</v>
      </c>
      <c r="O2100">
        <v>0</v>
      </c>
      <c r="P2100">
        <v>265</v>
      </c>
      <c r="Q2100">
        <v>11</v>
      </c>
      <c r="R2100">
        <v>38</v>
      </c>
      <c r="S2100">
        <v>4</v>
      </c>
      <c r="U2100">
        <v>4</v>
      </c>
      <c r="V2100">
        <v>1</v>
      </c>
      <c r="X2100">
        <v>192</v>
      </c>
      <c r="Y2100">
        <v>0</v>
      </c>
      <c r="Z2100">
        <v>1</v>
      </c>
      <c r="AA2100">
        <v>7</v>
      </c>
      <c r="AB2100">
        <v>6</v>
      </c>
      <c r="AF2100">
        <v>0</v>
      </c>
      <c r="AG2100">
        <v>0</v>
      </c>
      <c r="AH2100">
        <v>0</v>
      </c>
      <c r="AI2100">
        <v>0</v>
      </c>
      <c r="AW2100">
        <v>0</v>
      </c>
      <c r="AX2100">
        <v>1</v>
      </c>
      <c r="AY2100">
        <v>265</v>
      </c>
      <c r="AZ2100">
        <v>265</v>
      </c>
      <c r="BA2100">
        <v>356</v>
      </c>
      <c r="BB2100">
        <v>44</v>
      </c>
      <c r="BD2100">
        <v>1</v>
      </c>
      <c r="BF2100" t="s">
        <v>2272</v>
      </c>
      <c r="BG2100" s="1">
        <v>44353.833333333336</v>
      </c>
      <c r="BH2100" s="1">
        <v>44354.156446759262</v>
      </c>
      <c r="BI2100" s="1">
        <v>44354.156770833331</v>
      </c>
      <c r="BJ2100" t="s">
        <v>85</v>
      </c>
      <c r="BK2100" t="s">
        <v>86</v>
      </c>
      <c r="BL2100" t="s">
        <v>87</v>
      </c>
    </row>
    <row r="2101" spans="1:64" x14ac:dyDescent="0.3">
      <c r="A2101" t="str">
        <f>"201378B0000"</f>
        <v>201378B0000</v>
      </c>
      <c r="B2101" t="str">
        <f>"201378B00003"</f>
        <v>201378B00003</v>
      </c>
      <c r="C2101" t="str">
        <f t="shared" si="124"/>
        <v>20</v>
      </c>
      <c r="D2101" t="s">
        <v>81</v>
      </c>
      <c r="E2101" t="str">
        <f t="shared" si="128"/>
        <v>276</v>
      </c>
      <c r="F2101" t="s">
        <v>2257</v>
      </c>
      <c r="G2101" t="str">
        <f>"1378"</f>
        <v>1378</v>
      </c>
      <c r="H2101" t="str">
        <f>"0000"</f>
        <v>0000</v>
      </c>
      <c r="I2101" t="s">
        <v>83</v>
      </c>
      <c r="J2101">
        <v>0</v>
      </c>
      <c r="K2101">
        <v>1</v>
      </c>
      <c r="L2101">
        <v>3</v>
      </c>
      <c r="M2101">
        <v>69</v>
      </c>
      <c r="N2101">
        <v>135</v>
      </c>
      <c r="O2101">
        <v>2</v>
      </c>
      <c r="P2101">
        <v>135</v>
      </c>
      <c r="Q2101">
        <v>1</v>
      </c>
      <c r="R2101">
        <v>30</v>
      </c>
      <c r="S2101">
        <v>1</v>
      </c>
      <c r="U2101">
        <v>2</v>
      </c>
      <c r="V2101">
        <v>1</v>
      </c>
      <c r="X2101">
        <v>92</v>
      </c>
      <c r="Y2101">
        <v>0</v>
      </c>
      <c r="Z2101">
        <v>1</v>
      </c>
      <c r="AA2101">
        <v>2</v>
      </c>
      <c r="AB2101">
        <v>2</v>
      </c>
      <c r="AF2101">
        <v>0</v>
      </c>
      <c r="AG2101">
        <v>0</v>
      </c>
      <c r="AH2101">
        <v>0</v>
      </c>
      <c r="AI2101">
        <v>0</v>
      </c>
      <c r="AW2101">
        <v>0</v>
      </c>
      <c r="AX2101">
        <v>3</v>
      </c>
      <c r="AY2101">
        <v>135</v>
      </c>
      <c r="AZ2101">
        <v>135</v>
      </c>
      <c r="BA2101">
        <v>160</v>
      </c>
      <c r="BB2101">
        <v>44</v>
      </c>
      <c r="BD2101">
        <v>1</v>
      </c>
      <c r="BF2101" t="s">
        <v>2273</v>
      </c>
      <c r="BG2101" s="1">
        <v>44354.038194444445</v>
      </c>
      <c r="BH2101" s="1">
        <v>44354.066296296296</v>
      </c>
      <c r="BI2101" s="1">
        <v>44354.066712962966</v>
      </c>
      <c r="BJ2101" t="s">
        <v>85</v>
      </c>
      <c r="BK2101" t="s">
        <v>86</v>
      </c>
      <c r="BL2101" t="s">
        <v>87</v>
      </c>
    </row>
    <row r="2102" spans="1:64" x14ac:dyDescent="0.3">
      <c r="A2102" t="str">
        <f>"201378E0100"</f>
        <v>201378E0100</v>
      </c>
      <c r="B2102" t="str">
        <f>"201378E01003"</f>
        <v>201378E01003</v>
      </c>
      <c r="C2102" t="str">
        <f t="shared" si="124"/>
        <v>20</v>
      </c>
      <c r="D2102" t="s">
        <v>81</v>
      </c>
      <c r="E2102" t="str">
        <f t="shared" si="128"/>
        <v>276</v>
      </c>
      <c r="F2102" t="s">
        <v>2257</v>
      </c>
      <c r="G2102" t="str">
        <f>"1378"</f>
        <v>1378</v>
      </c>
      <c r="H2102" t="str">
        <f>"0001"</f>
        <v>0001</v>
      </c>
      <c r="I2102" t="s">
        <v>122</v>
      </c>
      <c r="J2102">
        <v>0</v>
      </c>
      <c r="K2102">
        <v>1</v>
      </c>
      <c r="L2102">
        <v>3</v>
      </c>
      <c r="M2102">
        <v>100</v>
      </c>
      <c r="N2102">
        <v>244</v>
      </c>
      <c r="O2102">
        <v>5</v>
      </c>
      <c r="P2102">
        <v>244</v>
      </c>
      <c r="Q2102">
        <v>0</v>
      </c>
      <c r="R2102">
        <v>184</v>
      </c>
      <c r="S2102">
        <v>0</v>
      </c>
      <c r="U2102">
        <v>0</v>
      </c>
      <c r="V2102">
        <v>0</v>
      </c>
      <c r="X2102">
        <v>52</v>
      </c>
      <c r="Y2102">
        <v>1</v>
      </c>
      <c r="Z2102">
        <v>2</v>
      </c>
      <c r="AA2102">
        <v>2</v>
      </c>
      <c r="AB2102">
        <v>0</v>
      </c>
      <c r="AF2102">
        <v>0</v>
      </c>
      <c r="AG2102">
        <v>0</v>
      </c>
      <c r="AH2102">
        <v>0</v>
      </c>
      <c r="AI2102">
        <v>0</v>
      </c>
      <c r="AW2102">
        <v>0</v>
      </c>
      <c r="AX2102">
        <v>3</v>
      </c>
      <c r="AY2102">
        <v>244</v>
      </c>
      <c r="AZ2102">
        <v>244</v>
      </c>
      <c r="BA2102">
        <v>300</v>
      </c>
      <c r="BB2102">
        <v>44</v>
      </c>
      <c r="BD2102">
        <v>1</v>
      </c>
      <c r="BF2102" t="s">
        <v>2274</v>
      </c>
      <c r="BG2102" s="1">
        <v>44354.035416666666</v>
      </c>
      <c r="BH2102" s="1">
        <v>44354.080578703702</v>
      </c>
      <c r="BI2102" s="1">
        <v>44354.080983796295</v>
      </c>
      <c r="BJ2102" t="s">
        <v>85</v>
      </c>
      <c r="BK2102" t="s">
        <v>86</v>
      </c>
      <c r="BL2102" t="s">
        <v>87</v>
      </c>
    </row>
    <row r="2103" spans="1:64" x14ac:dyDescent="0.3">
      <c r="A2103" t="str">
        <f>"201379B0000"</f>
        <v>201379B0000</v>
      </c>
      <c r="B2103" t="str">
        <f>"201379B00003"</f>
        <v>201379B00003</v>
      </c>
      <c r="C2103" t="str">
        <f t="shared" si="124"/>
        <v>20</v>
      </c>
      <c r="D2103" t="s">
        <v>81</v>
      </c>
      <c r="E2103" t="str">
        <f t="shared" si="128"/>
        <v>276</v>
      </c>
      <c r="F2103" t="s">
        <v>2257</v>
      </c>
      <c r="G2103" t="str">
        <f>"1379"</f>
        <v>1379</v>
      </c>
      <c r="H2103" t="str">
        <f>"0000"</f>
        <v>0000</v>
      </c>
      <c r="I2103" t="s">
        <v>83</v>
      </c>
      <c r="J2103">
        <v>0</v>
      </c>
      <c r="K2103">
        <v>1</v>
      </c>
      <c r="L2103">
        <v>3</v>
      </c>
      <c r="M2103">
        <v>157</v>
      </c>
      <c r="N2103">
        <v>538</v>
      </c>
      <c r="O2103">
        <v>0</v>
      </c>
      <c r="P2103">
        <v>538</v>
      </c>
      <c r="Q2103">
        <v>0</v>
      </c>
      <c r="R2103">
        <v>262</v>
      </c>
      <c r="S2103">
        <v>0</v>
      </c>
      <c r="U2103">
        <v>1</v>
      </c>
      <c r="V2103">
        <v>3</v>
      </c>
      <c r="X2103">
        <v>240</v>
      </c>
      <c r="Y2103">
        <v>2</v>
      </c>
      <c r="Z2103">
        <v>3</v>
      </c>
      <c r="AA2103">
        <v>11</v>
      </c>
      <c r="AB2103">
        <v>2</v>
      </c>
      <c r="AF2103">
        <v>8</v>
      </c>
      <c r="AG2103">
        <v>2</v>
      </c>
      <c r="AH2103">
        <v>0</v>
      </c>
      <c r="AI2103">
        <v>0</v>
      </c>
      <c r="AW2103">
        <v>0</v>
      </c>
      <c r="AX2103">
        <v>4</v>
      </c>
      <c r="AY2103">
        <v>538</v>
      </c>
      <c r="AZ2103">
        <v>538</v>
      </c>
      <c r="BA2103">
        <v>651</v>
      </c>
      <c r="BB2103">
        <v>44</v>
      </c>
      <c r="BD2103">
        <v>1</v>
      </c>
      <c r="BF2103" t="s">
        <v>2275</v>
      </c>
      <c r="BG2103" s="1">
        <v>44354.070138888892</v>
      </c>
      <c r="BH2103" s="1">
        <v>44354.107037037036</v>
      </c>
      <c r="BI2103" s="1">
        <v>44354.107743055552</v>
      </c>
      <c r="BJ2103" t="s">
        <v>85</v>
      </c>
      <c r="BK2103" t="s">
        <v>86</v>
      </c>
      <c r="BL2103" t="s">
        <v>87</v>
      </c>
    </row>
    <row r="2104" spans="1:64" x14ac:dyDescent="0.3">
      <c r="A2104" t="str">
        <f>"201379E0100"</f>
        <v>201379E0100</v>
      </c>
      <c r="B2104" t="str">
        <f>"201379E01003"</f>
        <v>201379E01003</v>
      </c>
      <c r="C2104" t="str">
        <f t="shared" si="124"/>
        <v>20</v>
      </c>
      <c r="D2104" t="s">
        <v>81</v>
      </c>
      <c r="E2104" t="str">
        <f t="shared" si="128"/>
        <v>276</v>
      </c>
      <c r="F2104" t="s">
        <v>2257</v>
      </c>
      <c r="G2104" t="str">
        <f>"1379"</f>
        <v>1379</v>
      </c>
      <c r="H2104" t="str">
        <f>"0001"</f>
        <v>0001</v>
      </c>
      <c r="I2104" t="s">
        <v>122</v>
      </c>
      <c r="J2104">
        <v>0</v>
      </c>
      <c r="K2104">
        <v>1</v>
      </c>
      <c r="L2104">
        <v>3</v>
      </c>
      <c r="M2104">
        <v>124</v>
      </c>
      <c r="N2104">
        <v>493</v>
      </c>
      <c r="O2104">
        <v>0</v>
      </c>
      <c r="P2104">
        <v>493</v>
      </c>
      <c r="Q2104">
        <v>4</v>
      </c>
      <c r="R2104">
        <v>300</v>
      </c>
      <c r="S2104">
        <v>0</v>
      </c>
      <c r="U2104">
        <v>3</v>
      </c>
      <c r="V2104">
        <v>1</v>
      </c>
      <c r="X2104">
        <v>172</v>
      </c>
      <c r="Y2104">
        <v>0</v>
      </c>
      <c r="Z2104">
        <v>1</v>
      </c>
      <c r="AA2104">
        <v>6</v>
      </c>
      <c r="AB2104">
        <v>3</v>
      </c>
      <c r="AF2104">
        <v>2</v>
      </c>
      <c r="AG2104">
        <v>0</v>
      </c>
      <c r="AH2104">
        <v>0</v>
      </c>
      <c r="AI2104">
        <v>0</v>
      </c>
      <c r="AW2104">
        <v>0</v>
      </c>
      <c r="AX2104">
        <v>1</v>
      </c>
      <c r="AY2104">
        <v>493</v>
      </c>
      <c r="AZ2104">
        <v>493</v>
      </c>
      <c r="BA2104">
        <v>573</v>
      </c>
      <c r="BB2104">
        <v>44</v>
      </c>
      <c r="BD2104">
        <v>1</v>
      </c>
      <c r="BF2104" t="s">
        <v>2276</v>
      </c>
      <c r="BG2104" s="1">
        <v>44354.072916666664</v>
      </c>
      <c r="BH2104" s="1">
        <v>44354.185289351852</v>
      </c>
      <c r="BI2104" s="1">
        <v>44354.185740740744</v>
      </c>
      <c r="BJ2104" t="s">
        <v>85</v>
      </c>
      <c r="BK2104" t="s">
        <v>86</v>
      </c>
      <c r="BL2104" t="s">
        <v>87</v>
      </c>
    </row>
    <row r="2105" spans="1:64" x14ac:dyDescent="0.3">
      <c r="A2105" t="str">
        <f>"201379E0200"</f>
        <v>201379E0200</v>
      </c>
      <c r="B2105" t="str">
        <f>"201379E02003"</f>
        <v>201379E02003</v>
      </c>
      <c r="C2105" t="str">
        <f t="shared" si="124"/>
        <v>20</v>
      </c>
      <c r="D2105" t="s">
        <v>81</v>
      </c>
      <c r="E2105" t="str">
        <f t="shared" si="128"/>
        <v>276</v>
      </c>
      <c r="F2105" t="s">
        <v>2257</v>
      </c>
      <c r="G2105" t="str">
        <f>"1379"</f>
        <v>1379</v>
      </c>
      <c r="H2105" t="str">
        <f>"0002"</f>
        <v>0002</v>
      </c>
      <c r="I2105" t="s">
        <v>122</v>
      </c>
      <c r="J2105">
        <v>0</v>
      </c>
      <c r="K2105">
        <v>1</v>
      </c>
      <c r="L2105">
        <v>3</v>
      </c>
      <c r="M2105">
        <v>66</v>
      </c>
      <c r="N2105">
        <v>234</v>
      </c>
      <c r="O2105">
        <v>0</v>
      </c>
      <c r="P2105">
        <v>234</v>
      </c>
      <c r="Q2105">
        <v>2</v>
      </c>
      <c r="R2105">
        <v>136</v>
      </c>
      <c r="S2105">
        <v>0</v>
      </c>
      <c r="U2105">
        <v>1</v>
      </c>
      <c r="V2105">
        <v>1</v>
      </c>
      <c r="X2105">
        <v>87</v>
      </c>
      <c r="Y2105">
        <v>0</v>
      </c>
      <c r="Z2105">
        <v>0</v>
      </c>
      <c r="AA2105">
        <v>1</v>
      </c>
      <c r="AB2105">
        <v>1</v>
      </c>
      <c r="AF2105">
        <v>3</v>
      </c>
      <c r="AG2105">
        <v>1</v>
      </c>
      <c r="AH2105">
        <v>0</v>
      </c>
      <c r="AI2105">
        <v>0</v>
      </c>
      <c r="AW2105">
        <v>0</v>
      </c>
      <c r="AX2105">
        <v>1</v>
      </c>
      <c r="AY2105">
        <v>234</v>
      </c>
      <c r="AZ2105">
        <v>234</v>
      </c>
      <c r="BA2105">
        <v>256</v>
      </c>
      <c r="BB2105">
        <v>44</v>
      </c>
      <c r="BD2105">
        <v>1</v>
      </c>
      <c r="BF2105" t="s">
        <v>2277</v>
      </c>
      <c r="BG2105" s="1">
        <v>44354.070138888892</v>
      </c>
      <c r="BH2105" s="1">
        <v>44354.128321759257</v>
      </c>
      <c r="BI2105" s="1">
        <v>44354.128900462965</v>
      </c>
      <c r="BJ2105" t="s">
        <v>85</v>
      </c>
      <c r="BK2105" t="s">
        <v>86</v>
      </c>
      <c r="BL2105" t="s">
        <v>87</v>
      </c>
    </row>
    <row r="2106" spans="1:64" x14ac:dyDescent="0.3">
      <c r="A2106" t="str">
        <f>"201380B0000"</f>
        <v>201380B0000</v>
      </c>
      <c r="B2106" t="str">
        <f>"201380B00003"</f>
        <v>201380B00003</v>
      </c>
      <c r="C2106" t="str">
        <f t="shared" si="124"/>
        <v>20</v>
      </c>
      <c r="D2106" t="s">
        <v>81</v>
      </c>
      <c r="E2106" t="str">
        <f t="shared" si="128"/>
        <v>276</v>
      </c>
      <c r="F2106" t="s">
        <v>2257</v>
      </c>
      <c r="G2106" t="str">
        <f>"1380"</f>
        <v>1380</v>
      </c>
      <c r="H2106" t="str">
        <f>"0000"</f>
        <v>0000</v>
      </c>
      <c r="I2106" t="s">
        <v>83</v>
      </c>
      <c r="J2106">
        <v>0</v>
      </c>
      <c r="K2106">
        <v>1</v>
      </c>
      <c r="L2106">
        <v>3</v>
      </c>
      <c r="M2106">
        <v>178</v>
      </c>
      <c r="N2106">
        <v>645</v>
      </c>
      <c r="O2106">
        <v>4</v>
      </c>
      <c r="P2106">
        <v>467</v>
      </c>
      <c r="Q2106">
        <v>1</v>
      </c>
      <c r="R2106">
        <v>306</v>
      </c>
      <c r="S2106">
        <v>0</v>
      </c>
      <c r="U2106">
        <v>0</v>
      </c>
      <c r="V2106">
        <v>1</v>
      </c>
      <c r="X2106">
        <v>141</v>
      </c>
      <c r="Y2106">
        <v>0</v>
      </c>
      <c r="Z2106">
        <v>2</v>
      </c>
      <c r="AA2106">
        <v>4</v>
      </c>
      <c r="AB2106">
        <v>3</v>
      </c>
      <c r="AF2106">
        <v>1</v>
      </c>
      <c r="AG2106">
        <v>1</v>
      </c>
      <c r="AH2106">
        <v>0</v>
      </c>
      <c r="AI2106">
        <v>0</v>
      </c>
      <c r="AW2106">
        <v>0</v>
      </c>
      <c r="AX2106">
        <v>7</v>
      </c>
      <c r="AY2106">
        <v>467</v>
      </c>
      <c r="AZ2106">
        <v>467</v>
      </c>
      <c r="BA2106">
        <v>601</v>
      </c>
      <c r="BB2106">
        <v>44</v>
      </c>
      <c r="BD2106">
        <v>1</v>
      </c>
      <c r="BF2106" t="s">
        <v>2278</v>
      </c>
      <c r="BG2106" s="1">
        <v>44354.079861111109</v>
      </c>
      <c r="BH2106" s="1">
        <v>44354.197442129633</v>
      </c>
      <c r="BI2106" s="1">
        <v>44354.198298611111</v>
      </c>
      <c r="BJ2106" t="s">
        <v>85</v>
      </c>
      <c r="BK2106" t="s">
        <v>86</v>
      </c>
      <c r="BL2106" t="s">
        <v>87</v>
      </c>
    </row>
    <row r="2107" spans="1:64" x14ac:dyDescent="0.3">
      <c r="A2107" t="str">
        <f>"201380E0100"</f>
        <v>201380E0100</v>
      </c>
      <c r="B2107" t="str">
        <f>"201380E01003"</f>
        <v>201380E01003</v>
      </c>
      <c r="C2107" t="str">
        <f t="shared" si="124"/>
        <v>20</v>
      </c>
      <c r="D2107" t="s">
        <v>81</v>
      </c>
      <c r="E2107" t="str">
        <f t="shared" si="128"/>
        <v>276</v>
      </c>
      <c r="F2107" t="s">
        <v>2257</v>
      </c>
      <c r="G2107" t="str">
        <f>"1380"</f>
        <v>1380</v>
      </c>
      <c r="H2107" t="str">
        <f>"0001"</f>
        <v>0001</v>
      </c>
      <c r="I2107" t="s">
        <v>122</v>
      </c>
      <c r="J2107">
        <v>0</v>
      </c>
      <c r="K2107">
        <v>1</v>
      </c>
      <c r="L2107">
        <v>3</v>
      </c>
      <c r="M2107">
        <v>72</v>
      </c>
      <c r="N2107">
        <v>188</v>
      </c>
      <c r="O2107">
        <v>2</v>
      </c>
      <c r="P2107">
        <v>0</v>
      </c>
      <c r="Q2107">
        <v>0</v>
      </c>
      <c r="R2107">
        <v>147</v>
      </c>
      <c r="S2107">
        <v>0</v>
      </c>
      <c r="U2107">
        <v>0</v>
      </c>
      <c r="V2107">
        <v>0</v>
      </c>
      <c r="X2107">
        <v>38</v>
      </c>
      <c r="Y2107">
        <v>0</v>
      </c>
      <c r="Z2107">
        <v>0</v>
      </c>
      <c r="AA2107">
        <v>1</v>
      </c>
      <c r="AB2107">
        <v>0</v>
      </c>
      <c r="AF2107">
        <v>1</v>
      </c>
      <c r="AG2107">
        <v>0</v>
      </c>
      <c r="AH2107">
        <v>1</v>
      </c>
      <c r="AI2107">
        <v>0</v>
      </c>
      <c r="AW2107">
        <v>0</v>
      </c>
      <c r="AX2107">
        <v>0</v>
      </c>
      <c r="AY2107">
        <v>188</v>
      </c>
      <c r="AZ2107">
        <v>188</v>
      </c>
      <c r="BA2107">
        <v>216</v>
      </c>
      <c r="BB2107">
        <v>44</v>
      </c>
      <c r="BD2107">
        <v>1</v>
      </c>
      <c r="BF2107" t="s">
        <v>2279</v>
      </c>
      <c r="BG2107" s="1">
        <v>44354.081944444442</v>
      </c>
      <c r="BH2107" s="1">
        <v>44354.151909722219</v>
      </c>
      <c r="BI2107" s="1">
        <v>44354.15252314815</v>
      </c>
      <c r="BJ2107" t="s">
        <v>85</v>
      </c>
      <c r="BK2107" t="s">
        <v>86</v>
      </c>
      <c r="BL2107" t="s">
        <v>1390</v>
      </c>
    </row>
    <row r="2108" spans="1:64" x14ac:dyDescent="0.3">
      <c r="A2108" t="str">
        <f>"201381B0000"</f>
        <v>201381B0000</v>
      </c>
      <c r="B2108" t="str">
        <f>"201381B00003"</f>
        <v>201381B00003</v>
      </c>
      <c r="C2108" t="str">
        <f t="shared" si="124"/>
        <v>20</v>
      </c>
      <c r="D2108" t="s">
        <v>81</v>
      </c>
      <c r="E2108" t="str">
        <f t="shared" si="128"/>
        <v>276</v>
      </c>
      <c r="F2108" t="s">
        <v>2257</v>
      </c>
      <c r="G2108" t="str">
        <f>"1381"</f>
        <v>1381</v>
      </c>
      <c r="H2108" t="str">
        <f>"0000"</f>
        <v>0000</v>
      </c>
      <c r="I2108" t="s">
        <v>83</v>
      </c>
      <c r="J2108">
        <v>0</v>
      </c>
      <c r="K2108">
        <v>1</v>
      </c>
      <c r="L2108">
        <v>3</v>
      </c>
      <c r="M2108">
        <v>129</v>
      </c>
      <c r="N2108">
        <v>307</v>
      </c>
      <c r="O2108">
        <v>6</v>
      </c>
      <c r="P2108">
        <v>307</v>
      </c>
      <c r="Q2108">
        <v>1</v>
      </c>
      <c r="R2108">
        <v>214</v>
      </c>
      <c r="S2108">
        <v>0</v>
      </c>
      <c r="U2108">
        <v>1</v>
      </c>
      <c r="V2108">
        <v>2</v>
      </c>
      <c r="X2108">
        <v>81</v>
      </c>
      <c r="Y2108">
        <v>1</v>
      </c>
      <c r="Z2108">
        <v>1</v>
      </c>
      <c r="AA2108">
        <v>0</v>
      </c>
      <c r="AB2108">
        <v>0</v>
      </c>
      <c r="AF2108">
        <v>0</v>
      </c>
      <c r="AG2108">
        <v>0</v>
      </c>
      <c r="AH2108">
        <v>0</v>
      </c>
      <c r="AI2108">
        <v>0</v>
      </c>
      <c r="AW2108">
        <v>0</v>
      </c>
      <c r="AX2108">
        <v>6</v>
      </c>
      <c r="AY2108">
        <v>307</v>
      </c>
      <c r="AZ2108">
        <v>307</v>
      </c>
      <c r="BA2108">
        <v>392</v>
      </c>
      <c r="BB2108">
        <v>44</v>
      </c>
      <c r="BD2108">
        <v>1</v>
      </c>
      <c r="BF2108" t="s">
        <v>2280</v>
      </c>
      <c r="BG2108" s="1">
        <v>44354.079861111109</v>
      </c>
      <c r="BH2108" s="1">
        <v>44354.213159722225</v>
      </c>
      <c r="BI2108" s="1">
        <v>44354.213622685187</v>
      </c>
      <c r="BJ2108" t="s">
        <v>85</v>
      </c>
      <c r="BK2108" t="s">
        <v>86</v>
      </c>
      <c r="BL2108" t="s">
        <v>87</v>
      </c>
    </row>
    <row r="2109" spans="1:64" x14ac:dyDescent="0.3">
      <c r="A2109" t="str">
        <f>"201381E0100"</f>
        <v>201381E0100</v>
      </c>
      <c r="B2109" t="str">
        <f>"201381E01003"</f>
        <v>201381E01003</v>
      </c>
      <c r="C2109" t="str">
        <f t="shared" si="124"/>
        <v>20</v>
      </c>
      <c r="D2109" t="s">
        <v>81</v>
      </c>
      <c r="E2109" t="str">
        <f t="shared" si="128"/>
        <v>276</v>
      </c>
      <c r="F2109" t="s">
        <v>2257</v>
      </c>
      <c r="G2109" t="str">
        <f>"1381"</f>
        <v>1381</v>
      </c>
      <c r="H2109" t="str">
        <f>"0001"</f>
        <v>0001</v>
      </c>
      <c r="I2109" t="s">
        <v>122</v>
      </c>
      <c r="J2109">
        <v>0</v>
      </c>
      <c r="K2109">
        <v>1</v>
      </c>
      <c r="L2109">
        <v>3</v>
      </c>
      <c r="M2109">
        <v>169</v>
      </c>
      <c r="N2109">
        <v>463</v>
      </c>
      <c r="O2109">
        <v>1</v>
      </c>
      <c r="P2109">
        <v>463</v>
      </c>
      <c r="Q2109">
        <v>3</v>
      </c>
      <c r="R2109">
        <v>212</v>
      </c>
      <c r="S2109">
        <v>3</v>
      </c>
      <c r="U2109">
        <v>4</v>
      </c>
      <c r="V2109">
        <v>3</v>
      </c>
      <c r="X2109">
        <v>216</v>
      </c>
      <c r="Y2109">
        <v>6</v>
      </c>
      <c r="Z2109">
        <v>1</v>
      </c>
      <c r="AA2109">
        <v>5</v>
      </c>
      <c r="AB2109">
        <v>1</v>
      </c>
      <c r="AF2109">
        <v>2</v>
      </c>
      <c r="AG2109">
        <v>0</v>
      </c>
      <c r="AH2109">
        <v>0</v>
      </c>
      <c r="AI2109">
        <v>0</v>
      </c>
      <c r="AW2109">
        <v>0</v>
      </c>
      <c r="AX2109">
        <v>7</v>
      </c>
      <c r="AY2109">
        <v>463</v>
      </c>
      <c r="AZ2109">
        <v>463</v>
      </c>
      <c r="BA2109">
        <v>588</v>
      </c>
      <c r="BB2109">
        <v>44</v>
      </c>
      <c r="BD2109">
        <v>1</v>
      </c>
      <c r="BF2109" t="s">
        <v>2281</v>
      </c>
      <c r="BG2109" s="1">
        <v>44354.043055555558</v>
      </c>
      <c r="BH2109" s="1">
        <v>44354.096770833334</v>
      </c>
      <c r="BI2109" s="1">
        <v>44354.098020833335</v>
      </c>
      <c r="BJ2109" t="s">
        <v>85</v>
      </c>
      <c r="BK2109" t="s">
        <v>86</v>
      </c>
      <c r="BL2109" t="s">
        <v>87</v>
      </c>
    </row>
    <row r="2110" spans="1:64" x14ac:dyDescent="0.3">
      <c r="A2110" t="str">
        <f>"201382B0000"</f>
        <v>201382B0000</v>
      </c>
      <c r="B2110" t="str">
        <f>"201382B00003"</f>
        <v>201382B00003</v>
      </c>
      <c r="C2110" t="str">
        <f t="shared" si="124"/>
        <v>20</v>
      </c>
      <c r="D2110" t="s">
        <v>81</v>
      </c>
      <c r="E2110" t="str">
        <f t="shared" si="128"/>
        <v>276</v>
      </c>
      <c r="F2110" t="s">
        <v>2257</v>
      </c>
      <c r="G2110" t="str">
        <f>"1382"</f>
        <v>1382</v>
      </c>
      <c r="H2110" t="str">
        <f>"0000"</f>
        <v>0000</v>
      </c>
      <c r="I2110" t="s">
        <v>83</v>
      </c>
      <c r="J2110">
        <v>0</v>
      </c>
      <c r="K2110">
        <v>1</v>
      </c>
      <c r="L2110">
        <v>3</v>
      </c>
      <c r="M2110">
        <v>245</v>
      </c>
      <c r="N2110">
        <v>549</v>
      </c>
      <c r="O2110">
        <v>1</v>
      </c>
      <c r="P2110">
        <v>549</v>
      </c>
      <c r="Q2110">
        <v>3</v>
      </c>
      <c r="R2110">
        <v>248</v>
      </c>
      <c r="S2110">
        <v>2</v>
      </c>
      <c r="U2110">
        <v>1</v>
      </c>
      <c r="V2110">
        <v>5</v>
      </c>
      <c r="X2110">
        <v>269</v>
      </c>
      <c r="Y2110">
        <v>3</v>
      </c>
      <c r="Z2110">
        <v>1</v>
      </c>
      <c r="AA2110">
        <v>4</v>
      </c>
      <c r="AB2110">
        <v>4</v>
      </c>
      <c r="AF2110">
        <v>0</v>
      </c>
      <c r="AG2110">
        <v>0</v>
      </c>
      <c r="AH2110">
        <v>0</v>
      </c>
      <c r="AI2110">
        <v>0</v>
      </c>
      <c r="AW2110">
        <v>0</v>
      </c>
      <c r="AX2110">
        <v>9</v>
      </c>
      <c r="AY2110">
        <v>549</v>
      </c>
      <c r="AZ2110">
        <v>549</v>
      </c>
      <c r="BA2110">
        <v>750</v>
      </c>
      <c r="BB2110">
        <v>44</v>
      </c>
      <c r="BD2110">
        <v>1</v>
      </c>
      <c r="BF2110" t="s">
        <v>2282</v>
      </c>
      <c r="BG2110" s="1">
        <v>44354.074999999997</v>
      </c>
      <c r="BH2110" s="1">
        <v>44354.132928240739</v>
      </c>
      <c r="BI2110" s="1">
        <v>44354.133298611108</v>
      </c>
      <c r="BJ2110" t="s">
        <v>85</v>
      </c>
      <c r="BK2110" t="s">
        <v>86</v>
      </c>
      <c r="BL2110" t="s">
        <v>87</v>
      </c>
    </row>
    <row r="2111" spans="1:64" x14ac:dyDescent="0.3">
      <c r="A2111" t="str">
        <f>"201382E0100"</f>
        <v>201382E0100</v>
      </c>
      <c r="B2111" t="str">
        <f>"201382E01003"</f>
        <v>201382E01003</v>
      </c>
      <c r="C2111" t="str">
        <f t="shared" si="124"/>
        <v>20</v>
      </c>
      <c r="D2111" t="s">
        <v>81</v>
      </c>
      <c r="E2111" t="str">
        <f t="shared" si="128"/>
        <v>276</v>
      </c>
      <c r="F2111" t="s">
        <v>2257</v>
      </c>
      <c r="G2111" t="str">
        <f>"1382"</f>
        <v>1382</v>
      </c>
      <c r="H2111" t="str">
        <f>"0001"</f>
        <v>0001</v>
      </c>
      <c r="I2111" t="s">
        <v>122</v>
      </c>
      <c r="J2111">
        <v>0</v>
      </c>
      <c r="K2111">
        <v>1</v>
      </c>
      <c r="L2111">
        <v>3</v>
      </c>
      <c r="M2111">
        <v>90</v>
      </c>
      <c r="N2111">
        <v>177</v>
      </c>
      <c r="O2111">
        <v>2</v>
      </c>
      <c r="P2111">
        <v>177</v>
      </c>
      <c r="Q2111">
        <v>1</v>
      </c>
      <c r="R2111">
        <v>116</v>
      </c>
      <c r="S2111">
        <v>0</v>
      </c>
      <c r="U2111">
        <v>0</v>
      </c>
      <c r="V2111">
        <v>1</v>
      </c>
      <c r="X2111">
        <v>56</v>
      </c>
      <c r="Y2111">
        <v>0</v>
      </c>
      <c r="Z2111">
        <v>2</v>
      </c>
      <c r="AA2111">
        <v>0</v>
      </c>
      <c r="AB2111">
        <v>0</v>
      </c>
      <c r="AF2111">
        <v>0</v>
      </c>
      <c r="AG2111">
        <v>0</v>
      </c>
      <c r="AH2111">
        <v>0</v>
      </c>
      <c r="AI2111">
        <v>0</v>
      </c>
      <c r="AW2111">
        <v>0</v>
      </c>
      <c r="AX2111">
        <v>1</v>
      </c>
      <c r="AY2111">
        <v>177</v>
      </c>
      <c r="AZ2111">
        <v>177</v>
      </c>
      <c r="BA2111">
        <v>223</v>
      </c>
      <c r="BB2111">
        <v>44</v>
      </c>
      <c r="BD2111">
        <v>1</v>
      </c>
      <c r="BF2111" t="s">
        <v>2283</v>
      </c>
      <c r="BG2111" s="1">
        <v>44354.075694444444</v>
      </c>
      <c r="BH2111" s="1">
        <v>44354.117835648147</v>
      </c>
      <c r="BI2111" s="1">
        <v>44354.118472222224</v>
      </c>
      <c r="BJ2111" t="s">
        <v>85</v>
      </c>
      <c r="BK2111" t="s">
        <v>86</v>
      </c>
      <c r="BL2111" t="s">
        <v>87</v>
      </c>
    </row>
    <row r="2112" spans="1:64" x14ac:dyDescent="0.3">
      <c r="A2112" t="str">
        <f>"201383B0000"</f>
        <v>201383B0000</v>
      </c>
      <c r="B2112" t="str">
        <f>"201383B00003"</f>
        <v>201383B00003</v>
      </c>
      <c r="C2112" t="str">
        <f t="shared" si="124"/>
        <v>20</v>
      </c>
      <c r="D2112" t="s">
        <v>81</v>
      </c>
      <c r="E2112" t="str">
        <f t="shared" si="128"/>
        <v>276</v>
      </c>
      <c r="F2112" t="s">
        <v>2257</v>
      </c>
      <c r="G2112" t="str">
        <f>"1383"</f>
        <v>1383</v>
      </c>
      <c r="H2112" t="str">
        <f>"0000"</f>
        <v>0000</v>
      </c>
      <c r="I2112" t="s">
        <v>83</v>
      </c>
      <c r="J2112">
        <v>0</v>
      </c>
      <c r="K2112">
        <v>1</v>
      </c>
      <c r="L2112">
        <v>3</v>
      </c>
      <c r="M2112">
        <v>168</v>
      </c>
      <c r="N2112">
        <v>398</v>
      </c>
      <c r="O2112">
        <v>1</v>
      </c>
      <c r="P2112">
        <v>398</v>
      </c>
      <c r="Q2112">
        <v>4</v>
      </c>
      <c r="R2112">
        <v>221</v>
      </c>
      <c r="S2112">
        <v>2</v>
      </c>
      <c r="U2112">
        <v>1</v>
      </c>
      <c r="V2112">
        <v>3</v>
      </c>
      <c r="X2112">
        <v>147</v>
      </c>
      <c r="Y2112">
        <v>1</v>
      </c>
      <c r="Z2112">
        <v>2</v>
      </c>
      <c r="AA2112">
        <v>7</v>
      </c>
      <c r="AB2112">
        <v>2</v>
      </c>
      <c r="AF2112">
        <v>3</v>
      </c>
      <c r="AG2112">
        <v>0</v>
      </c>
      <c r="AH2112">
        <v>0</v>
      </c>
      <c r="AI2112">
        <v>0</v>
      </c>
      <c r="AW2112">
        <v>0</v>
      </c>
      <c r="AX2112">
        <v>4</v>
      </c>
      <c r="AY2112">
        <v>398</v>
      </c>
      <c r="AZ2112">
        <v>397</v>
      </c>
      <c r="BA2112">
        <v>522</v>
      </c>
      <c r="BB2112">
        <v>44</v>
      </c>
      <c r="BD2112">
        <v>1</v>
      </c>
      <c r="BF2112" t="s">
        <v>2284</v>
      </c>
      <c r="BG2112" s="1">
        <v>44354.043749999997</v>
      </c>
      <c r="BH2112" s="1">
        <v>44354.104733796295</v>
      </c>
      <c r="BI2112" s="1">
        <v>44354.105370370373</v>
      </c>
      <c r="BJ2112" t="s">
        <v>85</v>
      </c>
      <c r="BK2112" t="s">
        <v>86</v>
      </c>
      <c r="BL2112" t="s">
        <v>87</v>
      </c>
    </row>
    <row r="2113" spans="1:64" x14ac:dyDescent="0.3">
      <c r="A2113" t="str">
        <f>"201383C0100"</f>
        <v>201383C0100</v>
      </c>
      <c r="B2113" t="str">
        <f>"201383C01003"</f>
        <v>201383C01003</v>
      </c>
      <c r="C2113" t="str">
        <f t="shared" si="124"/>
        <v>20</v>
      </c>
      <c r="D2113" t="s">
        <v>81</v>
      </c>
      <c r="E2113" t="str">
        <f t="shared" si="128"/>
        <v>276</v>
      </c>
      <c r="F2113" t="s">
        <v>2257</v>
      </c>
      <c r="G2113" t="str">
        <f>"1383"</f>
        <v>1383</v>
      </c>
      <c r="H2113" t="str">
        <f>"0001"</f>
        <v>0001</v>
      </c>
      <c r="I2113" t="s">
        <v>89</v>
      </c>
      <c r="J2113">
        <v>0</v>
      </c>
      <c r="K2113">
        <v>1</v>
      </c>
      <c r="L2113">
        <v>3</v>
      </c>
      <c r="M2113">
        <v>166</v>
      </c>
      <c r="N2113">
        <v>399</v>
      </c>
      <c r="O2113">
        <v>1</v>
      </c>
      <c r="P2113">
        <v>399</v>
      </c>
      <c r="Q2113">
        <v>3</v>
      </c>
      <c r="R2113">
        <v>248</v>
      </c>
      <c r="S2113">
        <v>1</v>
      </c>
      <c r="U2113">
        <v>1</v>
      </c>
      <c r="V2113">
        <v>4</v>
      </c>
      <c r="X2113">
        <v>125</v>
      </c>
      <c r="Y2113">
        <v>0</v>
      </c>
      <c r="Z2113">
        <v>1</v>
      </c>
      <c r="AA2113">
        <v>5</v>
      </c>
      <c r="AB2113">
        <v>0</v>
      </c>
      <c r="AF2113">
        <v>5</v>
      </c>
      <c r="AG2113">
        <v>1</v>
      </c>
      <c r="AH2113">
        <v>0</v>
      </c>
      <c r="AI2113">
        <v>0</v>
      </c>
      <c r="AW2113">
        <v>0</v>
      </c>
      <c r="AX2113">
        <v>5</v>
      </c>
      <c r="AY2113">
        <v>399</v>
      </c>
      <c r="AZ2113">
        <v>399</v>
      </c>
      <c r="BA2113">
        <v>521</v>
      </c>
      <c r="BB2113">
        <v>44</v>
      </c>
      <c r="BD2113">
        <v>1</v>
      </c>
      <c r="BF2113" t="s">
        <v>2285</v>
      </c>
      <c r="BG2113" s="1">
        <v>44354.040972222225</v>
      </c>
      <c r="BH2113" s="1">
        <v>44354.087638888886</v>
      </c>
      <c r="BI2113" s="1">
        <v>44354.088252314818</v>
      </c>
      <c r="BJ2113" t="s">
        <v>85</v>
      </c>
      <c r="BK2113" t="s">
        <v>86</v>
      </c>
      <c r="BL2113" t="s">
        <v>87</v>
      </c>
    </row>
    <row r="2114" spans="1:64" x14ac:dyDescent="0.3">
      <c r="A2114" t="str">
        <f>"201383C0200"</f>
        <v>201383C0200</v>
      </c>
      <c r="B2114" t="str">
        <f>"201383C02003"</f>
        <v>201383C02003</v>
      </c>
      <c r="C2114" t="str">
        <f t="shared" si="124"/>
        <v>20</v>
      </c>
      <c r="D2114" t="s">
        <v>81</v>
      </c>
      <c r="E2114" t="str">
        <f t="shared" si="128"/>
        <v>276</v>
      </c>
      <c r="F2114" t="s">
        <v>2257</v>
      </c>
      <c r="G2114" t="str">
        <f>"1383"</f>
        <v>1383</v>
      </c>
      <c r="H2114" t="str">
        <f>"0002"</f>
        <v>0002</v>
      </c>
      <c r="I2114" t="s">
        <v>89</v>
      </c>
      <c r="J2114">
        <v>0</v>
      </c>
      <c r="K2114">
        <v>1</v>
      </c>
      <c r="L2114">
        <v>3</v>
      </c>
      <c r="M2114">
        <v>166</v>
      </c>
      <c r="N2114">
        <v>399</v>
      </c>
      <c r="O2114">
        <v>1</v>
      </c>
      <c r="P2114">
        <v>399</v>
      </c>
      <c r="Q2114">
        <v>1</v>
      </c>
      <c r="R2114">
        <v>259</v>
      </c>
      <c r="S2114">
        <v>2</v>
      </c>
      <c r="U2114">
        <v>0</v>
      </c>
      <c r="V2114">
        <v>2</v>
      </c>
      <c r="X2114">
        <v>114</v>
      </c>
      <c r="Y2114">
        <v>3</v>
      </c>
      <c r="Z2114">
        <v>1</v>
      </c>
      <c r="AA2114">
        <v>6</v>
      </c>
      <c r="AB2114">
        <v>1</v>
      </c>
      <c r="AF2114">
        <v>6</v>
      </c>
      <c r="AG2114">
        <v>1</v>
      </c>
      <c r="AH2114">
        <v>0</v>
      </c>
      <c r="AI2114">
        <v>0</v>
      </c>
      <c r="AW2114">
        <v>0</v>
      </c>
      <c r="AX2114">
        <v>3</v>
      </c>
      <c r="AY2114">
        <v>399</v>
      </c>
      <c r="AZ2114">
        <v>399</v>
      </c>
      <c r="BA2114">
        <v>521</v>
      </c>
      <c r="BB2114">
        <v>44</v>
      </c>
      <c r="BD2114">
        <v>1</v>
      </c>
      <c r="BF2114" t="s">
        <v>2286</v>
      </c>
      <c r="BG2114" s="1">
        <v>44354.040972222225</v>
      </c>
      <c r="BH2114" s="1">
        <v>44354.085798611108</v>
      </c>
      <c r="BI2114" s="1">
        <v>44354.086111111108</v>
      </c>
      <c r="BJ2114" t="s">
        <v>85</v>
      </c>
      <c r="BK2114" t="s">
        <v>86</v>
      </c>
      <c r="BL2114" t="s">
        <v>87</v>
      </c>
    </row>
    <row r="2115" spans="1:64" x14ac:dyDescent="0.3">
      <c r="A2115" t="str">
        <f>"201384B0000"</f>
        <v>201384B0000</v>
      </c>
      <c r="B2115" t="str">
        <f>"201384B00003"</f>
        <v>201384B00003</v>
      </c>
      <c r="C2115" t="str">
        <f t="shared" si="124"/>
        <v>20</v>
      </c>
      <c r="D2115" t="s">
        <v>81</v>
      </c>
      <c r="E2115" t="str">
        <f t="shared" si="128"/>
        <v>276</v>
      </c>
      <c r="F2115" t="s">
        <v>2257</v>
      </c>
      <c r="G2115" t="str">
        <f>"1384"</f>
        <v>1384</v>
      </c>
      <c r="H2115" t="str">
        <f>"0000"</f>
        <v>0000</v>
      </c>
      <c r="I2115" t="s">
        <v>83</v>
      </c>
      <c r="J2115">
        <v>0</v>
      </c>
      <c r="K2115">
        <v>1</v>
      </c>
      <c r="L2115">
        <v>3</v>
      </c>
      <c r="M2115">
        <v>145</v>
      </c>
      <c r="N2115">
        <v>431</v>
      </c>
      <c r="O2115">
        <v>2</v>
      </c>
      <c r="P2115">
        <v>431</v>
      </c>
      <c r="Q2115">
        <v>3</v>
      </c>
      <c r="R2115">
        <v>146</v>
      </c>
      <c r="S2115">
        <v>1</v>
      </c>
      <c r="U2115">
        <v>1</v>
      </c>
      <c r="V2115">
        <v>2</v>
      </c>
      <c r="X2115">
        <v>253</v>
      </c>
      <c r="Y2115">
        <v>0</v>
      </c>
      <c r="Z2115">
        <v>4</v>
      </c>
      <c r="AA2115">
        <v>6</v>
      </c>
      <c r="AB2115">
        <v>2</v>
      </c>
      <c r="AF2115">
        <v>4</v>
      </c>
      <c r="AG2115">
        <v>1</v>
      </c>
      <c r="AH2115">
        <v>0</v>
      </c>
      <c r="AI2115">
        <v>0</v>
      </c>
      <c r="AW2115">
        <v>0</v>
      </c>
      <c r="AX2115">
        <v>8</v>
      </c>
      <c r="AY2115">
        <v>431</v>
      </c>
      <c r="AZ2115">
        <v>431</v>
      </c>
      <c r="BA2115">
        <v>532</v>
      </c>
      <c r="BB2115">
        <v>44</v>
      </c>
      <c r="BD2115">
        <v>1</v>
      </c>
      <c r="BF2115" t="s">
        <v>2287</v>
      </c>
      <c r="BG2115" s="1">
        <v>44354.018750000003</v>
      </c>
      <c r="BH2115" s="1">
        <v>44354.035277777781</v>
      </c>
      <c r="BI2115" s="1">
        <v>44354.035891203705</v>
      </c>
      <c r="BJ2115" t="s">
        <v>85</v>
      </c>
      <c r="BK2115" t="s">
        <v>86</v>
      </c>
      <c r="BL2115" t="s">
        <v>87</v>
      </c>
    </row>
    <row r="2116" spans="1:64" x14ac:dyDescent="0.3">
      <c r="A2116" t="str">
        <f>"201384E0100"</f>
        <v>201384E0100</v>
      </c>
      <c r="B2116" t="str">
        <f>"201384E01003"</f>
        <v>201384E01003</v>
      </c>
      <c r="C2116" t="str">
        <f t="shared" si="124"/>
        <v>20</v>
      </c>
      <c r="D2116" t="s">
        <v>81</v>
      </c>
      <c r="E2116" t="str">
        <f t="shared" si="128"/>
        <v>276</v>
      </c>
      <c r="F2116" t="s">
        <v>2257</v>
      </c>
      <c r="G2116" t="str">
        <f>"1384"</f>
        <v>1384</v>
      </c>
      <c r="H2116" t="str">
        <f>"0001"</f>
        <v>0001</v>
      </c>
      <c r="I2116" t="s">
        <v>122</v>
      </c>
      <c r="J2116">
        <v>0</v>
      </c>
      <c r="K2116">
        <v>1</v>
      </c>
      <c r="L2116">
        <v>3</v>
      </c>
      <c r="M2116">
        <v>114</v>
      </c>
      <c r="N2116">
        <v>412</v>
      </c>
      <c r="O2116">
        <v>1</v>
      </c>
      <c r="P2116">
        <v>412</v>
      </c>
      <c r="Q2116">
        <v>1</v>
      </c>
      <c r="R2116">
        <v>221</v>
      </c>
      <c r="S2116">
        <v>0</v>
      </c>
      <c r="U2116">
        <v>2</v>
      </c>
      <c r="V2116">
        <v>1</v>
      </c>
      <c r="X2116">
        <v>173</v>
      </c>
      <c r="Y2116">
        <v>0</v>
      </c>
      <c r="Z2116">
        <v>2</v>
      </c>
      <c r="AA2116">
        <v>4</v>
      </c>
      <c r="AB2116">
        <v>2</v>
      </c>
      <c r="AF2116">
        <v>4</v>
      </c>
      <c r="AG2116">
        <v>0</v>
      </c>
      <c r="AH2116">
        <v>0</v>
      </c>
      <c r="AI2116">
        <v>0</v>
      </c>
      <c r="AW2116">
        <v>0</v>
      </c>
      <c r="AX2116">
        <v>2</v>
      </c>
      <c r="AY2116">
        <v>412</v>
      </c>
      <c r="AZ2116">
        <v>412</v>
      </c>
      <c r="BA2116">
        <v>482</v>
      </c>
      <c r="BB2116">
        <v>44</v>
      </c>
      <c r="BD2116">
        <v>1</v>
      </c>
      <c r="BF2116" t="s">
        <v>2288</v>
      </c>
      <c r="BG2116" s="1">
        <v>44354.019444444442</v>
      </c>
      <c r="BH2116" s="1">
        <v>44354.048958333333</v>
      </c>
      <c r="BI2116" s="1">
        <v>44354.049375000002</v>
      </c>
      <c r="BJ2116" t="s">
        <v>85</v>
      </c>
      <c r="BK2116" t="s">
        <v>86</v>
      </c>
      <c r="BL2116" t="s">
        <v>87</v>
      </c>
    </row>
    <row r="2117" spans="1:64" x14ac:dyDescent="0.3">
      <c r="A2117" t="str">
        <f>"201385B0000"</f>
        <v>201385B0000</v>
      </c>
      <c r="B2117" t="str">
        <f>"201385B00003"</f>
        <v>201385B00003</v>
      </c>
      <c r="C2117" t="str">
        <f t="shared" si="124"/>
        <v>20</v>
      </c>
      <c r="D2117" t="s">
        <v>81</v>
      </c>
      <c r="E2117" t="str">
        <f t="shared" si="128"/>
        <v>276</v>
      </c>
      <c r="F2117" t="s">
        <v>2257</v>
      </c>
      <c r="G2117" t="str">
        <f>"1385"</f>
        <v>1385</v>
      </c>
      <c r="H2117" t="str">
        <f>"0000"</f>
        <v>0000</v>
      </c>
      <c r="I2117" t="s">
        <v>83</v>
      </c>
      <c r="J2117">
        <v>0</v>
      </c>
      <c r="K2117">
        <v>1</v>
      </c>
      <c r="L2117">
        <v>3</v>
      </c>
      <c r="M2117">
        <v>89</v>
      </c>
      <c r="N2117">
        <v>281</v>
      </c>
      <c r="O2117">
        <v>0</v>
      </c>
      <c r="P2117">
        <v>281</v>
      </c>
      <c r="Q2117">
        <v>2</v>
      </c>
      <c r="R2117">
        <v>127</v>
      </c>
      <c r="S2117">
        <v>1</v>
      </c>
      <c r="U2117">
        <v>0</v>
      </c>
      <c r="V2117">
        <v>2</v>
      </c>
      <c r="X2117">
        <v>125</v>
      </c>
      <c r="Y2117">
        <v>13</v>
      </c>
      <c r="Z2117">
        <v>3</v>
      </c>
      <c r="AA2117">
        <v>4</v>
      </c>
      <c r="AB2117">
        <v>1</v>
      </c>
      <c r="AF2117">
        <v>0</v>
      </c>
      <c r="AG2117">
        <v>1</v>
      </c>
      <c r="AH2117">
        <v>0</v>
      </c>
      <c r="AI2117">
        <v>0</v>
      </c>
      <c r="AW2117">
        <v>0</v>
      </c>
      <c r="AX2117">
        <v>2</v>
      </c>
      <c r="AY2117">
        <v>281</v>
      </c>
      <c r="AZ2117">
        <v>281</v>
      </c>
      <c r="BA2117">
        <v>326</v>
      </c>
      <c r="BB2117">
        <v>44</v>
      </c>
      <c r="BD2117">
        <v>1</v>
      </c>
      <c r="BF2117" t="s">
        <v>2289</v>
      </c>
      <c r="BG2117" s="1">
        <v>44354.023611111108</v>
      </c>
      <c r="BH2117" s="1">
        <v>44354.052118055559</v>
      </c>
      <c r="BI2117" s="1">
        <v>44354.052673611113</v>
      </c>
      <c r="BJ2117" t="s">
        <v>85</v>
      </c>
      <c r="BK2117" t="s">
        <v>86</v>
      </c>
      <c r="BL2117" t="s">
        <v>87</v>
      </c>
    </row>
    <row r="2118" spans="1:64" x14ac:dyDescent="0.3">
      <c r="A2118" t="str">
        <f>"201385E0100"</f>
        <v>201385E0100</v>
      </c>
      <c r="B2118" t="str">
        <f>"201385E01003"</f>
        <v>201385E01003</v>
      </c>
      <c r="C2118" t="str">
        <f t="shared" si="124"/>
        <v>20</v>
      </c>
      <c r="D2118" t="s">
        <v>81</v>
      </c>
      <c r="E2118" t="str">
        <f t="shared" ref="E2118:E2142" si="129">"276"</f>
        <v>276</v>
      </c>
      <c r="F2118" t="s">
        <v>2257</v>
      </c>
      <c r="G2118" t="str">
        <f>"1385"</f>
        <v>1385</v>
      </c>
      <c r="H2118" t="str">
        <f>"0001"</f>
        <v>0001</v>
      </c>
      <c r="I2118" t="s">
        <v>122</v>
      </c>
      <c r="J2118">
        <v>0</v>
      </c>
      <c r="K2118">
        <v>1</v>
      </c>
      <c r="L2118">
        <v>3</v>
      </c>
      <c r="M2118">
        <v>123</v>
      </c>
      <c r="N2118">
        <v>386</v>
      </c>
      <c r="O2118">
        <v>2</v>
      </c>
      <c r="P2118">
        <v>386</v>
      </c>
      <c r="Q2118">
        <v>5</v>
      </c>
      <c r="R2118">
        <v>125</v>
      </c>
      <c r="S2118">
        <v>2</v>
      </c>
      <c r="U2118">
        <v>2</v>
      </c>
      <c r="V2118">
        <v>3</v>
      </c>
      <c r="X2118">
        <v>217</v>
      </c>
      <c r="Y2118">
        <v>3</v>
      </c>
      <c r="Z2118">
        <v>1</v>
      </c>
      <c r="AA2118">
        <v>5</v>
      </c>
      <c r="AB2118">
        <v>10</v>
      </c>
      <c r="AF2118">
        <v>7</v>
      </c>
      <c r="AG2118">
        <v>0</v>
      </c>
      <c r="AH2118">
        <v>0</v>
      </c>
      <c r="AI2118">
        <v>0</v>
      </c>
      <c r="AW2118">
        <v>0</v>
      </c>
      <c r="AX2118">
        <v>6</v>
      </c>
      <c r="AY2118">
        <v>386</v>
      </c>
      <c r="AZ2118">
        <v>386</v>
      </c>
      <c r="BA2118">
        <v>465</v>
      </c>
      <c r="BB2118">
        <v>44</v>
      </c>
      <c r="BD2118">
        <v>1</v>
      </c>
      <c r="BF2118" t="s">
        <v>2290</v>
      </c>
      <c r="BG2118" s="1">
        <v>44354.025694444441</v>
      </c>
      <c r="BH2118" s="1">
        <v>44354.059050925927</v>
      </c>
      <c r="BI2118" s="1">
        <v>44354.059513888889</v>
      </c>
      <c r="BJ2118" t="s">
        <v>85</v>
      </c>
      <c r="BK2118" t="s">
        <v>86</v>
      </c>
      <c r="BL2118" t="s">
        <v>87</v>
      </c>
    </row>
    <row r="2119" spans="1:64" x14ac:dyDescent="0.3">
      <c r="A2119" t="str">
        <f>"201385E0200"</f>
        <v>201385E0200</v>
      </c>
      <c r="B2119" t="str">
        <f>"201385E02003"</f>
        <v>201385E02003</v>
      </c>
      <c r="C2119" t="str">
        <f t="shared" ref="C2119:C2182" si="130">"20"</f>
        <v>20</v>
      </c>
      <c r="D2119" t="s">
        <v>81</v>
      </c>
      <c r="E2119" t="str">
        <f t="shared" si="129"/>
        <v>276</v>
      </c>
      <c r="F2119" t="s">
        <v>2257</v>
      </c>
      <c r="G2119" t="str">
        <f>"1385"</f>
        <v>1385</v>
      </c>
      <c r="H2119" t="str">
        <f>"0002"</f>
        <v>0002</v>
      </c>
      <c r="I2119" t="s">
        <v>122</v>
      </c>
      <c r="J2119">
        <v>0</v>
      </c>
      <c r="K2119">
        <v>1</v>
      </c>
      <c r="L2119">
        <v>3</v>
      </c>
      <c r="M2119">
        <v>104</v>
      </c>
      <c r="N2119">
        <v>436</v>
      </c>
      <c r="O2119">
        <v>0</v>
      </c>
      <c r="P2119">
        <v>436</v>
      </c>
      <c r="Q2119">
        <v>29</v>
      </c>
      <c r="R2119">
        <v>204</v>
      </c>
      <c r="S2119">
        <v>3</v>
      </c>
      <c r="U2119" t="s">
        <v>95</v>
      </c>
      <c r="V2119">
        <v>3</v>
      </c>
      <c r="X2119">
        <v>167</v>
      </c>
      <c r="Y2119">
        <v>6</v>
      </c>
      <c r="Z2119">
        <v>3</v>
      </c>
      <c r="AA2119">
        <v>5</v>
      </c>
      <c r="AB2119">
        <v>4</v>
      </c>
      <c r="AF2119">
        <v>10</v>
      </c>
      <c r="AG2119" t="s">
        <v>95</v>
      </c>
      <c r="AH2119" t="s">
        <v>95</v>
      </c>
      <c r="AI2119" t="s">
        <v>95</v>
      </c>
      <c r="AW2119" t="s">
        <v>95</v>
      </c>
      <c r="AX2119">
        <v>2</v>
      </c>
      <c r="AY2119">
        <v>436</v>
      </c>
      <c r="AZ2119">
        <v>436</v>
      </c>
      <c r="BA2119">
        <v>496</v>
      </c>
      <c r="BB2119">
        <v>44</v>
      </c>
      <c r="BC2119" t="s">
        <v>96</v>
      </c>
      <c r="BD2119">
        <v>1</v>
      </c>
      <c r="BF2119" t="s">
        <v>2291</v>
      </c>
      <c r="BG2119" s="1">
        <v>44353.847916666666</v>
      </c>
      <c r="BH2119" s="1">
        <v>44354.085405092592</v>
      </c>
      <c r="BI2119" s="1">
        <v>44354.086076388892</v>
      </c>
      <c r="BJ2119" t="s">
        <v>85</v>
      </c>
      <c r="BK2119" t="s">
        <v>86</v>
      </c>
      <c r="BL2119" t="s">
        <v>87</v>
      </c>
    </row>
    <row r="2120" spans="1:64" x14ac:dyDescent="0.3">
      <c r="A2120" t="str">
        <f>"201386B0000"</f>
        <v>201386B0000</v>
      </c>
      <c r="B2120" t="str">
        <f>"201386B00003"</f>
        <v>201386B00003</v>
      </c>
      <c r="C2120" t="str">
        <f t="shared" si="130"/>
        <v>20</v>
      </c>
      <c r="D2120" t="s">
        <v>81</v>
      </c>
      <c r="E2120" t="str">
        <f t="shared" si="129"/>
        <v>276</v>
      </c>
      <c r="F2120" t="s">
        <v>2257</v>
      </c>
      <c r="G2120" t="str">
        <f>"1386"</f>
        <v>1386</v>
      </c>
      <c r="H2120" t="str">
        <f>"0000"</f>
        <v>0000</v>
      </c>
      <c r="I2120" t="s">
        <v>83</v>
      </c>
      <c r="J2120">
        <v>0</v>
      </c>
      <c r="K2120">
        <v>1</v>
      </c>
      <c r="L2120">
        <v>3</v>
      </c>
      <c r="M2120">
        <v>224</v>
      </c>
      <c r="N2120">
        <v>560</v>
      </c>
      <c r="O2120">
        <v>4</v>
      </c>
      <c r="P2120">
        <v>556</v>
      </c>
      <c r="Q2120">
        <v>35</v>
      </c>
      <c r="R2120">
        <v>279</v>
      </c>
      <c r="S2120" t="s">
        <v>95</v>
      </c>
      <c r="U2120">
        <v>2</v>
      </c>
      <c r="V2120">
        <v>3</v>
      </c>
      <c r="X2120">
        <v>179</v>
      </c>
      <c r="Y2120" t="s">
        <v>95</v>
      </c>
      <c r="Z2120">
        <v>3</v>
      </c>
      <c r="AA2120">
        <v>6</v>
      </c>
      <c r="AB2120">
        <v>3</v>
      </c>
      <c r="AF2120">
        <v>4</v>
      </c>
      <c r="AG2120">
        <v>32</v>
      </c>
      <c r="AH2120">
        <v>0</v>
      </c>
      <c r="AI2120">
        <v>4</v>
      </c>
      <c r="AW2120" t="s">
        <v>95</v>
      </c>
      <c r="AX2120">
        <v>6</v>
      </c>
      <c r="AY2120">
        <v>556</v>
      </c>
      <c r="AZ2120">
        <v>556</v>
      </c>
      <c r="BA2120">
        <v>736</v>
      </c>
      <c r="BB2120">
        <v>44</v>
      </c>
      <c r="BC2120" t="s">
        <v>96</v>
      </c>
      <c r="BD2120">
        <v>1</v>
      </c>
      <c r="BF2120" t="s">
        <v>2292</v>
      </c>
      <c r="BG2120" s="1">
        <v>44354.10833333333</v>
      </c>
      <c r="BH2120" s="1">
        <v>44354.191250000003</v>
      </c>
      <c r="BI2120" s="1">
        <v>44354.191990740743</v>
      </c>
      <c r="BJ2120" t="s">
        <v>85</v>
      </c>
      <c r="BK2120" t="s">
        <v>86</v>
      </c>
      <c r="BL2120" t="s">
        <v>87</v>
      </c>
    </row>
    <row r="2121" spans="1:64" x14ac:dyDescent="0.3">
      <c r="A2121" t="str">
        <f>"201386C0100"</f>
        <v>201386C0100</v>
      </c>
      <c r="B2121" t="str">
        <f>"201386C01003"</f>
        <v>201386C01003</v>
      </c>
      <c r="C2121" t="str">
        <f t="shared" si="130"/>
        <v>20</v>
      </c>
      <c r="D2121" t="s">
        <v>81</v>
      </c>
      <c r="E2121" t="str">
        <f t="shared" si="129"/>
        <v>276</v>
      </c>
      <c r="F2121" t="s">
        <v>2257</v>
      </c>
      <c r="G2121" t="str">
        <f>"1386"</f>
        <v>1386</v>
      </c>
      <c r="H2121" t="str">
        <f>"0001"</f>
        <v>0001</v>
      </c>
      <c r="I2121" t="s">
        <v>89</v>
      </c>
      <c r="J2121">
        <v>0</v>
      </c>
      <c r="K2121">
        <v>1</v>
      </c>
      <c r="L2121">
        <v>3</v>
      </c>
      <c r="M2121">
        <v>198</v>
      </c>
      <c r="N2121">
        <v>585</v>
      </c>
      <c r="O2121">
        <v>4</v>
      </c>
      <c r="P2121">
        <v>581</v>
      </c>
      <c r="Q2121">
        <v>45</v>
      </c>
      <c r="R2121">
        <v>195</v>
      </c>
      <c r="S2121">
        <v>4</v>
      </c>
      <c r="U2121">
        <v>3</v>
      </c>
      <c r="V2121">
        <v>4</v>
      </c>
      <c r="X2121">
        <v>177</v>
      </c>
      <c r="Y2121">
        <v>4</v>
      </c>
      <c r="Z2121" t="s">
        <v>95</v>
      </c>
      <c r="AA2121">
        <v>2</v>
      </c>
      <c r="AB2121" t="s">
        <v>95</v>
      </c>
      <c r="AF2121">
        <v>3</v>
      </c>
      <c r="AG2121">
        <v>37</v>
      </c>
      <c r="AH2121" t="s">
        <v>95</v>
      </c>
      <c r="AI2121">
        <v>6</v>
      </c>
      <c r="AW2121" t="s">
        <v>95</v>
      </c>
      <c r="AX2121">
        <v>3</v>
      </c>
      <c r="AY2121">
        <v>581</v>
      </c>
      <c r="AZ2121">
        <v>483</v>
      </c>
      <c r="BA2121">
        <v>735</v>
      </c>
      <c r="BB2121">
        <v>44</v>
      </c>
      <c r="BC2121" t="s">
        <v>96</v>
      </c>
      <c r="BD2121">
        <v>1</v>
      </c>
      <c r="BF2121" t="s">
        <v>2293</v>
      </c>
      <c r="BG2121" s="1">
        <v>44354.10833333333</v>
      </c>
      <c r="BH2121" s="1">
        <v>44354.206990740742</v>
      </c>
      <c r="BI2121" s="1">
        <v>44354.207719907405</v>
      </c>
      <c r="BJ2121" t="s">
        <v>85</v>
      </c>
      <c r="BK2121" t="s">
        <v>86</v>
      </c>
      <c r="BL2121" t="s">
        <v>87</v>
      </c>
    </row>
    <row r="2122" spans="1:64" x14ac:dyDescent="0.3">
      <c r="A2122" t="str">
        <f>"201387B0000"</f>
        <v>201387B0000</v>
      </c>
      <c r="B2122" t="str">
        <f>"201387B00003"</f>
        <v>201387B00003</v>
      </c>
      <c r="C2122" t="str">
        <f t="shared" si="130"/>
        <v>20</v>
      </c>
      <c r="D2122" t="s">
        <v>81</v>
      </c>
      <c r="E2122" t="str">
        <f t="shared" si="129"/>
        <v>276</v>
      </c>
      <c r="F2122" t="s">
        <v>2257</v>
      </c>
      <c r="G2122" t="str">
        <f>"1387"</f>
        <v>1387</v>
      </c>
      <c r="H2122" t="str">
        <f>"0000"</f>
        <v>0000</v>
      </c>
      <c r="I2122" t="s">
        <v>83</v>
      </c>
      <c r="J2122">
        <v>0</v>
      </c>
      <c r="K2122">
        <v>1</v>
      </c>
      <c r="L2122">
        <v>3</v>
      </c>
      <c r="M2122">
        <v>119</v>
      </c>
      <c r="N2122">
        <v>319</v>
      </c>
      <c r="O2122">
        <v>2</v>
      </c>
      <c r="P2122">
        <v>319</v>
      </c>
      <c r="Q2122">
        <v>2</v>
      </c>
      <c r="R2122">
        <v>196</v>
      </c>
      <c r="S2122">
        <v>0</v>
      </c>
      <c r="U2122">
        <v>1</v>
      </c>
      <c r="V2122">
        <v>0</v>
      </c>
      <c r="X2122">
        <v>68</v>
      </c>
      <c r="Y2122">
        <v>1</v>
      </c>
      <c r="Z2122">
        <v>0</v>
      </c>
      <c r="AA2122">
        <v>0</v>
      </c>
      <c r="AB2122">
        <v>1</v>
      </c>
      <c r="AF2122">
        <v>9</v>
      </c>
      <c r="AG2122">
        <v>35</v>
      </c>
      <c r="AH2122">
        <v>0</v>
      </c>
      <c r="AI2122">
        <v>4</v>
      </c>
      <c r="AW2122">
        <v>0</v>
      </c>
      <c r="AX2122">
        <v>2</v>
      </c>
      <c r="AY2122">
        <v>319</v>
      </c>
      <c r="AZ2122">
        <v>319</v>
      </c>
      <c r="BA2122">
        <v>394</v>
      </c>
      <c r="BB2122">
        <v>44</v>
      </c>
      <c r="BD2122">
        <v>1</v>
      </c>
      <c r="BF2122" t="s">
        <v>2294</v>
      </c>
      <c r="BG2122" s="1">
        <v>44354.105555555558</v>
      </c>
      <c r="BH2122" s="1">
        <v>44354.172175925924</v>
      </c>
      <c r="BI2122" s="1">
        <v>44354.172731481478</v>
      </c>
      <c r="BJ2122" t="s">
        <v>85</v>
      </c>
      <c r="BK2122" t="s">
        <v>86</v>
      </c>
      <c r="BL2122" t="s">
        <v>87</v>
      </c>
    </row>
    <row r="2123" spans="1:64" x14ac:dyDescent="0.3">
      <c r="A2123" t="str">
        <f>"201387C0100"</f>
        <v>201387C0100</v>
      </c>
      <c r="B2123" t="str">
        <f>"201387C01003"</f>
        <v>201387C01003</v>
      </c>
      <c r="C2123" t="str">
        <f t="shared" si="130"/>
        <v>20</v>
      </c>
      <c r="D2123" t="s">
        <v>81</v>
      </c>
      <c r="E2123" t="str">
        <f t="shared" si="129"/>
        <v>276</v>
      </c>
      <c r="F2123" t="s">
        <v>2257</v>
      </c>
      <c r="G2123" t="str">
        <f>"1387"</f>
        <v>1387</v>
      </c>
      <c r="H2123" t="str">
        <f>"0001"</f>
        <v>0001</v>
      </c>
      <c r="I2123" t="s">
        <v>89</v>
      </c>
      <c r="J2123">
        <v>0</v>
      </c>
      <c r="K2123">
        <v>1</v>
      </c>
      <c r="L2123">
        <v>3</v>
      </c>
      <c r="M2123">
        <v>116</v>
      </c>
      <c r="N2123">
        <v>321</v>
      </c>
      <c r="O2123">
        <v>0</v>
      </c>
      <c r="P2123">
        <v>321</v>
      </c>
      <c r="Q2123">
        <v>4</v>
      </c>
      <c r="R2123">
        <v>206</v>
      </c>
      <c r="S2123">
        <v>0</v>
      </c>
      <c r="U2123">
        <v>0</v>
      </c>
      <c r="V2123">
        <v>0</v>
      </c>
      <c r="X2123">
        <v>66</v>
      </c>
      <c r="Y2123">
        <v>0</v>
      </c>
      <c r="Z2123">
        <v>0</v>
      </c>
      <c r="AA2123">
        <v>2</v>
      </c>
      <c r="AB2123">
        <v>3</v>
      </c>
      <c r="AF2123">
        <v>4</v>
      </c>
      <c r="AG2123">
        <v>25</v>
      </c>
      <c r="AH2123">
        <v>0</v>
      </c>
      <c r="AI2123">
        <v>11</v>
      </c>
      <c r="AW2123">
        <v>0</v>
      </c>
      <c r="AX2123">
        <v>0</v>
      </c>
      <c r="AY2123">
        <v>321</v>
      </c>
      <c r="AZ2123">
        <v>321</v>
      </c>
      <c r="BA2123">
        <v>393</v>
      </c>
      <c r="BB2123">
        <v>44</v>
      </c>
      <c r="BD2123">
        <v>1</v>
      </c>
      <c r="BF2123" t="s">
        <v>2295</v>
      </c>
      <c r="BG2123" s="1">
        <v>44354.105555555558</v>
      </c>
      <c r="BH2123" s="1">
        <v>44354.162789351853</v>
      </c>
      <c r="BI2123" s="1">
        <v>44354.163356481484</v>
      </c>
      <c r="BJ2123" t="s">
        <v>85</v>
      </c>
      <c r="BK2123" t="s">
        <v>86</v>
      </c>
      <c r="BL2123" t="s">
        <v>87</v>
      </c>
    </row>
    <row r="2124" spans="1:64" x14ac:dyDescent="0.3">
      <c r="A2124" t="str">
        <f>"201388B0000"</f>
        <v>201388B0000</v>
      </c>
      <c r="B2124" t="str">
        <f>"201388B00003"</f>
        <v>201388B00003</v>
      </c>
      <c r="C2124" t="str">
        <f t="shared" si="130"/>
        <v>20</v>
      </c>
      <c r="D2124" t="s">
        <v>81</v>
      </c>
      <c r="E2124" t="str">
        <f t="shared" si="129"/>
        <v>276</v>
      </c>
      <c r="F2124" t="s">
        <v>2257</v>
      </c>
      <c r="G2124" t="str">
        <f>"1388"</f>
        <v>1388</v>
      </c>
      <c r="H2124" t="str">
        <f>"0000"</f>
        <v>0000</v>
      </c>
      <c r="I2124" t="s">
        <v>83</v>
      </c>
      <c r="J2124">
        <v>0</v>
      </c>
      <c r="K2124">
        <v>1</v>
      </c>
      <c r="L2124">
        <v>3</v>
      </c>
      <c r="M2124">
        <v>122</v>
      </c>
      <c r="N2124">
        <v>321</v>
      </c>
      <c r="O2124">
        <v>0</v>
      </c>
      <c r="P2124">
        <v>321</v>
      </c>
      <c r="Q2124">
        <v>3</v>
      </c>
      <c r="R2124">
        <v>223</v>
      </c>
      <c r="S2124">
        <v>2</v>
      </c>
      <c r="U2124">
        <v>3</v>
      </c>
      <c r="V2124">
        <v>1</v>
      </c>
      <c r="X2124">
        <v>60</v>
      </c>
      <c r="Y2124">
        <v>0</v>
      </c>
      <c r="Z2124">
        <v>1</v>
      </c>
      <c r="AA2124">
        <v>7</v>
      </c>
      <c r="AB2124">
        <v>4</v>
      </c>
      <c r="AF2124">
        <v>0</v>
      </c>
      <c r="AG2124">
        <v>12</v>
      </c>
      <c r="AH2124">
        <v>0</v>
      </c>
      <c r="AI2124">
        <v>0</v>
      </c>
      <c r="AW2124">
        <v>0</v>
      </c>
      <c r="AX2124">
        <v>5</v>
      </c>
      <c r="AY2124">
        <v>321</v>
      </c>
      <c r="AZ2124">
        <v>321</v>
      </c>
      <c r="BA2124">
        <v>399</v>
      </c>
      <c r="BB2124">
        <v>44</v>
      </c>
      <c r="BD2124">
        <v>1</v>
      </c>
      <c r="BF2124" t="s">
        <v>2296</v>
      </c>
      <c r="BG2124" s="1">
        <v>44354.032638888886</v>
      </c>
      <c r="BH2124" s="1">
        <v>44354.379548611112</v>
      </c>
      <c r="BI2124" s="1">
        <v>44354.380023148151</v>
      </c>
      <c r="BJ2124" t="s">
        <v>85</v>
      </c>
      <c r="BK2124" t="s">
        <v>86</v>
      </c>
      <c r="BL2124" t="s">
        <v>87</v>
      </c>
    </row>
    <row r="2125" spans="1:64" x14ac:dyDescent="0.3">
      <c r="A2125" t="str">
        <f>"201388C0100"</f>
        <v>201388C0100</v>
      </c>
      <c r="B2125" t="str">
        <f>"201388C01003"</f>
        <v>201388C01003</v>
      </c>
      <c r="C2125" t="str">
        <f t="shared" si="130"/>
        <v>20</v>
      </c>
      <c r="D2125" t="s">
        <v>81</v>
      </c>
      <c r="E2125" t="str">
        <f t="shared" si="129"/>
        <v>276</v>
      </c>
      <c r="F2125" t="s">
        <v>2257</v>
      </c>
      <c r="G2125" t="str">
        <f>"1388"</f>
        <v>1388</v>
      </c>
      <c r="H2125" t="str">
        <f>"0001"</f>
        <v>0001</v>
      </c>
      <c r="I2125" t="s">
        <v>89</v>
      </c>
      <c r="J2125">
        <v>0</v>
      </c>
      <c r="K2125">
        <v>1</v>
      </c>
      <c r="L2125">
        <v>3</v>
      </c>
      <c r="M2125">
        <v>122</v>
      </c>
      <c r="N2125">
        <v>321</v>
      </c>
      <c r="O2125">
        <v>0</v>
      </c>
      <c r="P2125">
        <v>321</v>
      </c>
      <c r="Q2125">
        <v>3</v>
      </c>
      <c r="R2125">
        <v>223</v>
      </c>
      <c r="S2125">
        <v>2</v>
      </c>
      <c r="U2125">
        <v>3</v>
      </c>
      <c r="V2125">
        <v>1</v>
      </c>
      <c r="X2125">
        <v>60</v>
      </c>
      <c r="Y2125">
        <v>0</v>
      </c>
      <c r="Z2125">
        <v>1</v>
      </c>
      <c r="AA2125">
        <v>7</v>
      </c>
      <c r="AB2125">
        <v>4</v>
      </c>
      <c r="AF2125">
        <v>0</v>
      </c>
      <c r="AG2125">
        <v>12</v>
      </c>
      <c r="AH2125">
        <v>0</v>
      </c>
      <c r="AI2125">
        <v>0</v>
      </c>
      <c r="AW2125">
        <v>0</v>
      </c>
      <c r="AX2125">
        <v>5</v>
      </c>
      <c r="AY2125">
        <v>321</v>
      </c>
      <c r="AZ2125">
        <v>321</v>
      </c>
      <c r="BA2125">
        <v>399</v>
      </c>
      <c r="BB2125">
        <v>44</v>
      </c>
      <c r="BD2125">
        <v>1</v>
      </c>
      <c r="BF2125" t="s">
        <v>2297</v>
      </c>
      <c r="BG2125" s="1">
        <v>44354.032638888886</v>
      </c>
      <c r="BH2125" s="1">
        <v>44354.067893518521</v>
      </c>
      <c r="BI2125" s="1">
        <v>44354.068425925929</v>
      </c>
      <c r="BJ2125" t="s">
        <v>85</v>
      </c>
      <c r="BK2125" t="s">
        <v>86</v>
      </c>
      <c r="BL2125" t="s">
        <v>87</v>
      </c>
    </row>
    <row r="2126" spans="1:64" x14ac:dyDescent="0.3">
      <c r="A2126" t="str">
        <f>"201388E0100"</f>
        <v>201388E0100</v>
      </c>
      <c r="B2126" t="str">
        <f>"201388E01003"</f>
        <v>201388E01003</v>
      </c>
      <c r="C2126" t="str">
        <f t="shared" si="130"/>
        <v>20</v>
      </c>
      <c r="D2126" t="s">
        <v>81</v>
      </c>
      <c r="E2126" t="str">
        <f t="shared" si="129"/>
        <v>276</v>
      </c>
      <c r="F2126" t="s">
        <v>2257</v>
      </c>
      <c r="G2126" t="str">
        <f>"1388"</f>
        <v>1388</v>
      </c>
      <c r="H2126" t="str">
        <f>"0001"</f>
        <v>0001</v>
      </c>
      <c r="I2126" t="s">
        <v>122</v>
      </c>
      <c r="J2126">
        <v>0</v>
      </c>
      <c r="K2126">
        <v>1</v>
      </c>
      <c r="L2126">
        <v>3</v>
      </c>
      <c r="M2126">
        <v>120</v>
      </c>
      <c r="N2126">
        <v>372</v>
      </c>
      <c r="O2126">
        <v>5</v>
      </c>
      <c r="P2126">
        <v>372</v>
      </c>
      <c r="Q2126">
        <v>5</v>
      </c>
      <c r="R2126">
        <v>212</v>
      </c>
      <c r="S2126">
        <v>19</v>
      </c>
      <c r="U2126">
        <v>1</v>
      </c>
      <c r="V2126">
        <v>1</v>
      </c>
      <c r="X2126">
        <v>68</v>
      </c>
      <c r="Y2126">
        <v>0</v>
      </c>
      <c r="Z2126">
        <v>1</v>
      </c>
      <c r="AA2126">
        <v>0</v>
      </c>
      <c r="AB2126">
        <v>0</v>
      </c>
      <c r="AF2126">
        <v>2</v>
      </c>
      <c r="AG2126">
        <v>57</v>
      </c>
      <c r="AH2126">
        <v>0</v>
      </c>
      <c r="AI2126">
        <v>0</v>
      </c>
      <c r="AW2126">
        <v>0</v>
      </c>
      <c r="AX2126">
        <v>6</v>
      </c>
      <c r="AY2126">
        <v>372</v>
      </c>
      <c r="AZ2126">
        <v>372</v>
      </c>
      <c r="BA2126">
        <v>448</v>
      </c>
      <c r="BB2126">
        <v>44</v>
      </c>
      <c r="BD2126">
        <v>1</v>
      </c>
      <c r="BF2126" t="s">
        <v>2298</v>
      </c>
      <c r="BG2126" s="1">
        <v>44354.029166666667</v>
      </c>
      <c r="BH2126" s="1">
        <v>44354.054756944446</v>
      </c>
      <c r="BI2126" s="1">
        <v>44354.055312500001</v>
      </c>
      <c r="BJ2126" t="s">
        <v>85</v>
      </c>
      <c r="BK2126" t="s">
        <v>86</v>
      </c>
      <c r="BL2126" t="s">
        <v>87</v>
      </c>
    </row>
    <row r="2127" spans="1:64" x14ac:dyDescent="0.3">
      <c r="A2127" t="str">
        <f>"201389B0000"</f>
        <v>201389B0000</v>
      </c>
      <c r="B2127" t="str">
        <f>"201389B00003"</f>
        <v>201389B00003</v>
      </c>
      <c r="C2127" t="str">
        <f t="shared" si="130"/>
        <v>20</v>
      </c>
      <c r="D2127" t="s">
        <v>81</v>
      </c>
      <c r="E2127" t="str">
        <f t="shared" si="129"/>
        <v>276</v>
      </c>
      <c r="F2127" t="s">
        <v>2257</v>
      </c>
      <c r="G2127" t="str">
        <f>"1389"</f>
        <v>1389</v>
      </c>
      <c r="H2127" t="str">
        <f>"0000"</f>
        <v>0000</v>
      </c>
      <c r="I2127" t="s">
        <v>83</v>
      </c>
      <c r="J2127">
        <v>0</v>
      </c>
      <c r="K2127">
        <v>1</v>
      </c>
      <c r="L2127">
        <v>3</v>
      </c>
      <c r="M2127">
        <v>112</v>
      </c>
      <c r="N2127">
        <v>541</v>
      </c>
      <c r="O2127">
        <v>0</v>
      </c>
      <c r="P2127" t="s">
        <v>92</v>
      </c>
      <c r="Q2127">
        <v>6</v>
      </c>
      <c r="R2127">
        <v>277</v>
      </c>
      <c r="S2127">
        <v>2</v>
      </c>
      <c r="U2127">
        <v>3</v>
      </c>
      <c r="V2127">
        <v>1</v>
      </c>
      <c r="X2127">
        <v>106</v>
      </c>
      <c r="Y2127">
        <v>0</v>
      </c>
      <c r="Z2127">
        <v>1</v>
      </c>
      <c r="AA2127">
        <v>4</v>
      </c>
      <c r="AB2127">
        <v>14</v>
      </c>
      <c r="AF2127">
        <v>8</v>
      </c>
      <c r="AG2127">
        <v>0</v>
      </c>
      <c r="AH2127">
        <v>0</v>
      </c>
      <c r="AI2127">
        <v>0</v>
      </c>
      <c r="AW2127">
        <v>0</v>
      </c>
      <c r="AX2127">
        <v>7</v>
      </c>
      <c r="AY2127">
        <v>429</v>
      </c>
      <c r="AZ2127">
        <v>429</v>
      </c>
      <c r="BA2127">
        <v>497</v>
      </c>
      <c r="BB2127">
        <v>44</v>
      </c>
      <c r="BD2127">
        <v>1</v>
      </c>
      <c r="BF2127" t="s">
        <v>2299</v>
      </c>
      <c r="BG2127" s="1">
        <v>44354.119444444441</v>
      </c>
      <c r="BH2127" s="1">
        <v>44354.157951388886</v>
      </c>
      <c r="BI2127" s="1">
        <v>44354.158414351848</v>
      </c>
      <c r="BJ2127" t="s">
        <v>85</v>
      </c>
      <c r="BK2127" t="s">
        <v>86</v>
      </c>
      <c r="BL2127" t="s">
        <v>87</v>
      </c>
    </row>
    <row r="2128" spans="1:64" x14ac:dyDescent="0.3">
      <c r="A2128" t="str">
        <f>"201389C0100"</f>
        <v>201389C0100</v>
      </c>
      <c r="B2128" t="str">
        <f>"201389C01003"</f>
        <v>201389C01003</v>
      </c>
      <c r="C2128" t="str">
        <f t="shared" si="130"/>
        <v>20</v>
      </c>
      <c r="D2128" t="s">
        <v>81</v>
      </c>
      <c r="E2128" t="str">
        <f t="shared" si="129"/>
        <v>276</v>
      </c>
      <c r="F2128" t="s">
        <v>2257</v>
      </c>
      <c r="G2128" t="str">
        <f>"1389"</f>
        <v>1389</v>
      </c>
      <c r="H2128" t="str">
        <f>"0001"</f>
        <v>0001</v>
      </c>
      <c r="I2128" t="s">
        <v>89</v>
      </c>
      <c r="J2128">
        <v>0</v>
      </c>
      <c r="K2128">
        <v>1</v>
      </c>
      <c r="L2128">
        <v>3</v>
      </c>
      <c r="M2128">
        <v>114</v>
      </c>
      <c r="N2128">
        <v>426</v>
      </c>
      <c r="O2128">
        <v>426</v>
      </c>
      <c r="P2128">
        <v>426</v>
      </c>
      <c r="Q2128">
        <v>3</v>
      </c>
      <c r="R2128">
        <v>282</v>
      </c>
      <c r="S2128">
        <v>0</v>
      </c>
      <c r="U2128">
        <v>1</v>
      </c>
      <c r="V2128">
        <v>0</v>
      </c>
      <c r="X2128">
        <v>100</v>
      </c>
      <c r="Y2128">
        <v>2</v>
      </c>
      <c r="Z2128">
        <v>1</v>
      </c>
      <c r="AA2128">
        <v>2</v>
      </c>
      <c r="AB2128">
        <v>26</v>
      </c>
      <c r="AF2128">
        <v>5</v>
      </c>
      <c r="AG2128">
        <v>1</v>
      </c>
      <c r="AH2128">
        <v>0</v>
      </c>
      <c r="AI2128">
        <v>0</v>
      </c>
      <c r="AW2128">
        <v>0</v>
      </c>
      <c r="AX2128">
        <v>3</v>
      </c>
      <c r="AY2128">
        <v>426</v>
      </c>
      <c r="AZ2128">
        <v>426</v>
      </c>
      <c r="BA2128">
        <v>496</v>
      </c>
      <c r="BB2128">
        <v>44</v>
      </c>
      <c r="BD2128">
        <v>1</v>
      </c>
      <c r="BF2128" t="s">
        <v>2300</v>
      </c>
      <c r="BG2128" s="1">
        <v>44354.121527777781</v>
      </c>
      <c r="BH2128" s="1">
        <v>44354.143182870372</v>
      </c>
      <c r="BI2128" s="1">
        <v>44354.144097222219</v>
      </c>
      <c r="BJ2128" t="s">
        <v>85</v>
      </c>
      <c r="BK2128" t="s">
        <v>86</v>
      </c>
      <c r="BL2128" t="s">
        <v>87</v>
      </c>
    </row>
    <row r="2129" spans="1:64" x14ac:dyDescent="0.3">
      <c r="A2129" t="str">
        <f>"201390B0000"</f>
        <v>201390B0000</v>
      </c>
      <c r="B2129" t="str">
        <f>"201390B00003"</f>
        <v>201390B00003</v>
      </c>
      <c r="C2129" t="str">
        <f t="shared" si="130"/>
        <v>20</v>
      </c>
      <c r="D2129" t="s">
        <v>81</v>
      </c>
      <c r="E2129" t="str">
        <f t="shared" si="129"/>
        <v>276</v>
      </c>
      <c r="F2129" t="s">
        <v>2257</v>
      </c>
      <c r="G2129" t="str">
        <f>"1390"</f>
        <v>1390</v>
      </c>
      <c r="H2129" t="str">
        <f>"0000"</f>
        <v>0000</v>
      </c>
      <c r="I2129" t="s">
        <v>83</v>
      </c>
      <c r="J2129">
        <v>0</v>
      </c>
      <c r="K2129">
        <v>1</v>
      </c>
      <c r="L2129">
        <v>3</v>
      </c>
      <c r="M2129">
        <v>111</v>
      </c>
      <c r="N2129">
        <v>296</v>
      </c>
      <c r="O2129">
        <v>6</v>
      </c>
      <c r="P2129" t="s">
        <v>92</v>
      </c>
      <c r="Q2129">
        <v>2</v>
      </c>
      <c r="R2129">
        <v>96</v>
      </c>
      <c r="S2129">
        <v>0</v>
      </c>
      <c r="U2129">
        <v>2</v>
      </c>
      <c r="V2129">
        <v>1</v>
      </c>
      <c r="X2129">
        <v>173</v>
      </c>
      <c r="Y2129">
        <v>8</v>
      </c>
      <c r="Z2129">
        <v>1</v>
      </c>
      <c r="AA2129">
        <v>3</v>
      </c>
      <c r="AB2129">
        <v>5</v>
      </c>
      <c r="AF2129">
        <v>0</v>
      </c>
      <c r="AG2129">
        <v>1</v>
      </c>
      <c r="AH2129">
        <v>0</v>
      </c>
      <c r="AI2129">
        <v>0</v>
      </c>
      <c r="AW2129">
        <v>0</v>
      </c>
      <c r="AX2129">
        <v>4</v>
      </c>
      <c r="AY2129">
        <v>296</v>
      </c>
      <c r="AZ2129">
        <v>296</v>
      </c>
      <c r="BA2129">
        <v>363</v>
      </c>
      <c r="BB2129">
        <v>44</v>
      </c>
      <c r="BD2129">
        <v>1</v>
      </c>
      <c r="BF2129" t="s">
        <v>2301</v>
      </c>
      <c r="BG2129" s="1">
        <v>44354.119444444441</v>
      </c>
      <c r="BH2129" s="1">
        <v>44354.142060185186</v>
      </c>
      <c r="BI2129" s="1">
        <v>44354.143217592595</v>
      </c>
      <c r="BJ2129" t="s">
        <v>85</v>
      </c>
      <c r="BK2129" t="s">
        <v>86</v>
      </c>
      <c r="BL2129" t="s">
        <v>87</v>
      </c>
    </row>
    <row r="2130" spans="1:64" x14ac:dyDescent="0.3">
      <c r="A2130" t="str">
        <f>"201390E0100"</f>
        <v>201390E0100</v>
      </c>
      <c r="B2130" t="str">
        <f>"201390E01003"</f>
        <v>201390E01003</v>
      </c>
      <c r="C2130" t="str">
        <f t="shared" si="130"/>
        <v>20</v>
      </c>
      <c r="D2130" t="s">
        <v>81</v>
      </c>
      <c r="E2130" t="str">
        <f t="shared" si="129"/>
        <v>276</v>
      </c>
      <c r="F2130" t="s">
        <v>2257</v>
      </c>
      <c r="G2130" t="str">
        <f>"1390"</f>
        <v>1390</v>
      </c>
      <c r="H2130" t="str">
        <f>"0001"</f>
        <v>0001</v>
      </c>
      <c r="I2130" t="s">
        <v>122</v>
      </c>
      <c r="J2130">
        <v>0</v>
      </c>
      <c r="K2130">
        <v>1</v>
      </c>
      <c r="L2130">
        <v>3</v>
      </c>
      <c r="M2130">
        <v>127</v>
      </c>
      <c r="N2130">
        <v>545</v>
      </c>
      <c r="O2130">
        <v>0</v>
      </c>
      <c r="P2130">
        <v>545</v>
      </c>
      <c r="Q2130">
        <v>3</v>
      </c>
      <c r="R2130">
        <v>411</v>
      </c>
      <c r="S2130">
        <v>1</v>
      </c>
      <c r="U2130">
        <v>3</v>
      </c>
      <c r="V2130">
        <v>0</v>
      </c>
      <c r="X2130">
        <v>113</v>
      </c>
      <c r="Y2130">
        <v>0</v>
      </c>
      <c r="Z2130">
        <v>0</v>
      </c>
      <c r="AA2130">
        <v>4</v>
      </c>
      <c r="AB2130">
        <v>0</v>
      </c>
      <c r="AF2130">
        <v>0</v>
      </c>
      <c r="AG2130">
        <v>0</v>
      </c>
      <c r="AH2130">
        <v>0</v>
      </c>
      <c r="AI2130">
        <v>0</v>
      </c>
      <c r="AW2130">
        <v>0</v>
      </c>
      <c r="AX2130">
        <v>10</v>
      </c>
      <c r="AY2130">
        <v>545</v>
      </c>
      <c r="AZ2130">
        <v>545</v>
      </c>
      <c r="BA2130">
        <v>628</v>
      </c>
      <c r="BB2130">
        <v>44</v>
      </c>
      <c r="BD2130">
        <v>1</v>
      </c>
      <c r="BF2130" t="s">
        <v>2302</v>
      </c>
      <c r="BG2130" s="1">
        <v>44354.121527777781</v>
      </c>
      <c r="BH2130" s="1">
        <v>44354.193645833337</v>
      </c>
      <c r="BI2130" s="1">
        <v>44354.193958333337</v>
      </c>
      <c r="BJ2130" t="s">
        <v>85</v>
      </c>
      <c r="BK2130" t="s">
        <v>86</v>
      </c>
      <c r="BL2130" t="s">
        <v>87</v>
      </c>
    </row>
    <row r="2131" spans="1:64" x14ac:dyDescent="0.3">
      <c r="A2131" t="str">
        <f>"201391B0000"</f>
        <v>201391B0000</v>
      </c>
      <c r="B2131" t="str">
        <f>"201391B00003"</f>
        <v>201391B00003</v>
      </c>
      <c r="C2131" t="str">
        <f t="shared" si="130"/>
        <v>20</v>
      </c>
      <c r="D2131" t="s">
        <v>81</v>
      </c>
      <c r="E2131" t="str">
        <f t="shared" si="129"/>
        <v>276</v>
      </c>
      <c r="F2131" t="s">
        <v>2257</v>
      </c>
      <c r="G2131" t="str">
        <f>"1391"</f>
        <v>1391</v>
      </c>
      <c r="H2131" t="str">
        <f>"0000"</f>
        <v>0000</v>
      </c>
      <c r="I2131" t="s">
        <v>83</v>
      </c>
      <c r="J2131">
        <v>0</v>
      </c>
      <c r="K2131">
        <v>1</v>
      </c>
      <c r="L2131">
        <v>3</v>
      </c>
      <c r="M2131">
        <v>118</v>
      </c>
      <c r="N2131">
        <v>315</v>
      </c>
      <c r="O2131">
        <v>0</v>
      </c>
      <c r="P2131">
        <v>315</v>
      </c>
      <c r="Q2131">
        <v>1</v>
      </c>
      <c r="R2131">
        <v>187</v>
      </c>
      <c r="S2131">
        <v>2</v>
      </c>
      <c r="U2131">
        <v>6</v>
      </c>
      <c r="V2131">
        <v>0</v>
      </c>
      <c r="X2131">
        <v>96</v>
      </c>
      <c r="Y2131">
        <v>1</v>
      </c>
      <c r="Z2131">
        <v>2</v>
      </c>
      <c r="AA2131">
        <v>9</v>
      </c>
      <c r="AB2131">
        <v>6</v>
      </c>
      <c r="AF2131">
        <v>4</v>
      </c>
      <c r="AG2131">
        <v>1</v>
      </c>
      <c r="AH2131">
        <v>0</v>
      </c>
      <c r="AI2131">
        <v>0</v>
      </c>
      <c r="AW2131">
        <v>0</v>
      </c>
      <c r="AX2131">
        <v>0</v>
      </c>
      <c r="AY2131">
        <v>315</v>
      </c>
      <c r="AZ2131">
        <v>315</v>
      </c>
      <c r="BA2131">
        <v>389</v>
      </c>
      <c r="BB2131">
        <v>44</v>
      </c>
      <c r="BD2131">
        <v>1</v>
      </c>
      <c r="BF2131" t="s">
        <v>2303</v>
      </c>
      <c r="BG2131" s="1">
        <v>44354.011805555558</v>
      </c>
      <c r="BH2131" s="1">
        <v>44354.027314814812</v>
      </c>
      <c r="BI2131" s="1">
        <v>44354.028043981481</v>
      </c>
      <c r="BJ2131" t="s">
        <v>85</v>
      </c>
      <c r="BK2131" t="s">
        <v>86</v>
      </c>
      <c r="BL2131" t="s">
        <v>87</v>
      </c>
    </row>
    <row r="2132" spans="1:64" x14ac:dyDescent="0.3">
      <c r="A2132" t="str">
        <f>"201391C0100"</f>
        <v>201391C0100</v>
      </c>
      <c r="B2132" t="str">
        <f>"201391C01003"</f>
        <v>201391C01003</v>
      </c>
      <c r="C2132" t="str">
        <f t="shared" si="130"/>
        <v>20</v>
      </c>
      <c r="D2132" t="s">
        <v>81</v>
      </c>
      <c r="E2132" t="str">
        <f t="shared" si="129"/>
        <v>276</v>
      </c>
      <c r="F2132" t="s">
        <v>2257</v>
      </c>
      <c r="G2132" t="str">
        <f>"1391"</f>
        <v>1391</v>
      </c>
      <c r="H2132" t="str">
        <f>"0001"</f>
        <v>0001</v>
      </c>
      <c r="I2132" t="s">
        <v>89</v>
      </c>
      <c r="J2132">
        <v>0</v>
      </c>
      <c r="K2132">
        <v>1</v>
      </c>
      <c r="L2132">
        <v>3</v>
      </c>
      <c r="M2132">
        <v>120</v>
      </c>
      <c r="N2132">
        <v>312</v>
      </c>
      <c r="O2132">
        <v>0</v>
      </c>
      <c r="P2132">
        <v>312</v>
      </c>
      <c r="Q2132">
        <v>3</v>
      </c>
      <c r="R2132">
        <v>185</v>
      </c>
      <c r="S2132">
        <v>2</v>
      </c>
      <c r="U2132">
        <v>6</v>
      </c>
      <c r="V2132">
        <v>3</v>
      </c>
      <c r="X2132">
        <v>93</v>
      </c>
      <c r="Y2132">
        <v>2</v>
      </c>
      <c r="Z2132">
        <v>1</v>
      </c>
      <c r="AA2132">
        <v>6</v>
      </c>
      <c r="AB2132">
        <v>4</v>
      </c>
      <c r="AF2132">
        <v>191</v>
      </c>
      <c r="AG2132">
        <v>0</v>
      </c>
      <c r="AH2132">
        <v>0</v>
      </c>
      <c r="AI2132">
        <v>0</v>
      </c>
      <c r="AW2132" t="s">
        <v>95</v>
      </c>
      <c r="AX2132">
        <v>6</v>
      </c>
      <c r="AY2132">
        <v>312</v>
      </c>
      <c r="AZ2132">
        <v>502</v>
      </c>
      <c r="BA2132">
        <v>388</v>
      </c>
      <c r="BB2132">
        <v>44</v>
      </c>
      <c r="BC2132" t="s">
        <v>346</v>
      </c>
      <c r="BD2132">
        <v>0</v>
      </c>
      <c r="BF2132" t="s">
        <v>2304</v>
      </c>
      <c r="BG2132" s="1">
        <v>44354.013194444444</v>
      </c>
      <c r="BH2132" s="1">
        <v>44354.034675925926</v>
      </c>
      <c r="BI2132" s="1">
        <v>44354.035231481481</v>
      </c>
      <c r="BJ2132" t="s">
        <v>85</v>
      </c>
      <c r="BK2132" t="s">
        <v>86</v>
      </c>
      <c r="BL2132" t="s">
        <v>87</v>
      </c>
    </row>
    <row r="2133" spans="1:64" x14ac:dyDescent="0.3">
      <c r="A2133" t="str">
        <f>"201391E0100"</f>
        <v>201391E0100</v>
      </c>
      <c r="B2133" t="str">
        <f>"201391E01003"</f>
        <v>201391E01003</v>
      </c>
      <c r="C2133" t="str">
        <f t="shared" si="130"/>
        <v>20</v>
      </c>
      <c r="D2133" t="s">
        <v>81</v>
      </c>
      <c r="E2133" t="str">
        <f t="shared" si="129"/>
        <v>276</v>
      </c>
      <c r="F2133" t="s">
        <v>2257</v>
      </c>
      <c r="G2133" t="str">
        <f>"1391"</f>
        <v>1391</v>
      </c>
      <c r="H2133" t="str">
        <f>"0001"</f>
        <v>0001</v>
      </c>
      <c r="I2133" t="s">
        <v>122</v>
      </c>
      <c r="J2133">
        <v>0</v>
      </c>
      <c r="K2133">
        <v>1</v>
      </c>
      <c r="L2133">
        <v>3</v>
      </c>
      <c r="M2133">
        <v>62</v>
      </c>
      <c r="N2133">
        <v>122</v>
      </c>
      <c r="O2133">
        <v>2</v>
      </c>
      <c r="P2133">
        <v>122</v>
      </c>
      <c r="Q2133">
        <v>2</v>
      </c>
      <c r="R2133">
        <v>63</v>
      </c>
      <c r="S2133">
        <v>0</v>
      </c>
      <c r="U2133">
        <v>3</v>
      </c>
      <c r="V2133">
        <v>2</v>
      </c>
      <c r="X2133">
        <v>45</v>
      </c>
      <c r="Y2133">
        <v>1</v>
      </c>
      <c r="Z2133">
        <v>0</v>
      </c>
      <c r="AA2133">
        <v>1</v>
      </c>
      <c r="AB2133">
        <v>1</v>
      </c>
      <c r="AF2133">
        <v>1</v>
      </c>
      <c r="AG2133">
        <v>0</v>
      </c>
      <c r="AH2133">
        <v>0</v>
      </c>
      <c r="AI2133">
        <v>0</v>
      </c>
      <c r="AW2133">
        <v>0</v>
      </c>
      <c r="AX2133">
        <v>3</v>
      </c>
      <c r="AY2133">
        <v>122</v>
      </c>
      <c r="AZ2133">
        <v>122</v>
      </c>
      <c r="BA2133">
        <v>140</v>
      </c>
      <c r="BB2133">
        <v>44</v>
      </c>
      <c r="BD2133">
        <v>1</v>
      </c>
      <c r="BF2133" t="s">
        <v>2305</v>
      </c>
      <c r="BG2133" s="1">
        <v>44354.009722222225</v>
      </c>
      <c r="BH2133" s="1">
        <v>44354.032037037039</v>
      </c>
      <c r="BI2133" s="1">
        <v>44354.032511574071</v>
      </c>
      <c r="BJ2133" t="s">
        <v>85</v>
      </c>
      <c r="BK2133" t="s">
        <v>86</v>
      </c>
      <c r="BL2133" t="s">
        <v>87</v>
      </c>
    </row>
    <row r="2134" spans="1:64" x14ac:dyDescent="0.3">
      <c r="A2134" t="str">
        <f>"201392B0000"</f>
        <v>201392B0000</v>
      </c>
      <c r="B2134" t="str">
        <f>"201392B00003"</f>
        <v>201392B00003</v>
      </c>
      <c r="C2134" t="str">
        <f t="shared" si="130"/>
        <v>20</v>
      </c>
      <c r="D2134" t="s">
        <v>81</v>
      </c>
      <c r="E2134" t="str">
        <f t="shared" si="129"/>
        <v>276</v>
      </c>
      <c r="F2134" t="s">
        <v>2257</v>
      </c>
      <c r="G2134" t="str">
        <f>"1392"</f>
        <v>1392</v>
      </c>
      <c r="H2134" t="str">
        <f>"0000"</f>
        <v>0000</v>
      </c>
      <c r="I2134" t="s">
        <v>83</v>
      </c>
      <c r="J2134">
        <v>0</v>
      </c>
      <c r="K2134">
        <v>1</v>
      </c>
      <c r="L2134">
        <v>3</v>
      </c>
      <c r="M2134">
        <v>295</v>
      </c>
      <c r="N2134">
        <v>469</v>
      </c>
      <c r="O2134">
        <v>1</v>
      </c>
      <c r="P2134">
        <v>469</v>
      </c>
      <c r="Q2134">
        <v>3</v>
      </c>
      <c r="R2134">
        <v>295</v>
      </c>
      <c r="S2134">
        <v>1</v>
      </c>
      <c r="U2134">
        <v>8</v>
      </c>
      <c r="V2134">
        <v>1</v>
      </c>
      <c r="X2134">
        <v>137</v>
      </c>
      <c r="Y2134">
        <v>0</v>
      </c>
      <c r="Z2134">
        <v>1</v>
      </c>
      <c r="AA2134">
        <v>8</v>
      </c>
      <c r="AB2134">
        <v>4</v>
      </c>
      <c r="AF2134">
        <v>2</v>
      </c>
      <c r="AG2134">
        <v>0</v>
      </c>
      <c r="AH2134">
        <v>0</v>
      </c>
      <c r="AI2134">
        <v>0</v>
      </c>
      <c r="AW2134">
        <v>0</v>
      </c>
      <c r="AX2134">
        <v>9</v>
      </c>
      <c r="AY2134">
        <v>466</v>
      </c>
      <c r="AZ2134">
        <v>469</v>
      </c>
      <c r="BA2134">
        <v>720</v>
      </c>
      <c r="BB2134">
        <v>44</v>
      </c>
      <c r="BD2134">
        <v>1</v>
      </c>
      <c r="BF2134" t="s">
        <v>2306</v>
      </c>
      <c r="BG2134" s="1">
        <v>44354.072916666664</v>
      </c>
      <c r="BH2134" s="1">
        <v>44354.240324074075</v>
      </c>
      <c r="BI2134" s="1">
        <v>44354.282500000001</v>
      </c>
      <c r="BJ2134" t="s">
        <v>85</v>
      </c>
      <c r="BK2134" t="s">
        <v>86</v>
      </c>
      <c r="BL2134" t="s">
        <v>87</v>
      </c>
    </row>
    <row r="2135" spans="1:64" x14ac:dyDescent="0.3">
      <c r="A2135" t="str">
        <f>"201392C0100"</f>
        <v>201392C0100</v>
      </c>
      <c r="B2135" t="str">
        <f>"201392C01003"</f>
        <v>201392C01003</v>
      </c>
      <c r="C2135" t="str">
        <f t="shared" si="130"/>
        <v>20</v>
      </c>
      <c r="D2135" t="s">
        <v>81</v>
      </c>
      <c r="E2135" t="str">
        <f t="shared" si="129"/>
        <v>276</v>
      </c>
      <c r="F2135" t="s">
        <v>2257</v>
      </c>
      <c r="G2135" t="str">
        <f>"1392"</f>
        <v>1392</v>
      </c>
      <c r="H2135" t="str">
        <f>"0001"</f>
        <v>0001</v>
      </c>
      <c r="I2135" t="s">
        <v>89</v>
      </c>
      <c r="J2135">
        <v>0</v>
      </c>
      <c r="K2135">
        <v>1</v>
      </c>
      <c r="L2135">
        <v>3</v>
      </c>
      <c r="M2135">
        <v>322</v>
      </c>
      <c r="N2135">
        <v>441</v>
      </c>
      <c r="O2135">
        <v>0</v>
      </c>
      <c r="P2135">
        <v>441</v>
      </c>
      <c r="Q2135">
        <v>4</v>
      </c>
      <c r="R2135">
        <v>253</v>
      </c>
      <c r="S2135">
        <v>3</v>
      </c>
      <c r="U2135">
        <v>2</v>
      </c>
      <c r="V2135">
        <v>1</v>
      </c>
      <c r="X2135">
        <v>157</v>
      </c>
      <c r="Y2135">
        <v>2</v>
      </c>
      <c r="Z2135">
        <v>4</v>
      </c>
      <c r="AA2135">
        <v>5</v>
      </c>
      <c r="AB2135">
        <v>2</v>
      </c>
      <c r="AF2135">
        <v>1</v>
      </c>
      <c r="AG2135">
        <v>1</v>
      </c>
      <c r="AH2135">
        <v>0</v>
      </c>
      <c r="AI2135">
        <v>0</v>
      </c>
      <c r="AW2135">
        <v>0</v>
      </c>
      <c r="AX2135">
        <v>6</v>
      </c>
      <c r="AY2135">
        <v>441</v>
      </c>
      <c r="AZ2135">
        <v>441</v>
      </c>
      <c r="BA2135">
        <v>719</v>
      </c>
      <c r="BB2135">
        <v>44</v>
      </c>
      <c r="BD2135">
        <v>1</v>
      </c>
      <c r="BF2135" t="s">
        <v>2307</v>
      </c>
      <c r="BG2135" s="1">
        <v>44354.115277777775</v>
      </c>
      <c r="BH2135" s="1">
        <v>44354.168958333335</v>
      </c>
      <c r="BI2135" s="1">
        <v>44354.169548611113</v>
      </c>
      <c r="BJ2135" t="s">
        <v>85</v>
      </c>
      <c r="BK2135" t="s">
        <v>86</v>
      </c>
      <c r="BL2135" t="s">
        <v>87</v>
      </c>
    </row>
    <row r="2136" spans="1:64" x14ac:dyDescent="0.3">
      <c r="A2136" t="str">
        <f>"201392E0100"</f>
        <v>201392E0100</v>
      </c>
      <c r="B2136" t="str">
        <f>"201392E01003"</f>
        <v>201392E01003</v>
      </c>
      <c r="C2136" t="str">
        <f t="shared" si="130"/>
        <v>20</v>
      </c>
      <c r="D2136" t="s">
        <v>81</v>
      </c>
      <c r="E2136" t="str">
        <f t="shared" si="129"/>
        <v>276</v>
      </c>
      <c r="F2136" t="s">
        <v>2257</v>
      </c>
      <c r="G2136" t="str">
        <f>"1392"</f>
        <v>1392</v>
      </c>
      <c r="H2136" t="str">
        <f>"0001"</f>
        <v>0001</v>
      </c>
      <c r="I2136" t="s">
        <v>122</v>
      </c>
      <c r="J2136">
        <v>0</v>
      </c>
      <c r="K2136">
        <v>1</v>
      </c>
      <c r="L2136">
        <v>3</v>
      </c>
      <c r="M2136">
        <v>127</v>
      </c>
      <c r="N2136">
        <v>259</v>
      </c>
      <c r="O2136">
        <v>3</v>
      </c>
      <c r="P2136">
        <v>259</v>
      </c>
      <c r="Q2136">
        <v>5</v>
      </c>
      <c r="R2136">
        <v>145</v>
      </c>
      <c r="S2136">
        <v>3</v>
      </c>
      <c r="U2136">
        <v>3</v>
      </c>
      <c r="V2136">
        <v>1</v>
      </c>
      <c r="X2136">
        <v>84</v>
      </c>
      <c r="Y2136">
        <v>0</v>
      </c>
      <c r="Z2136">
        <v>1</v>
      </c>
      <c r="AA2136">
        <v>5</v>
      </c>
      <c r="AB2136">
        <v>1</v>
      </c>
      <c r="AF2136">
        <v>2</v>
      </c>
      <c r="AG2136">
        <v>1</v>
      </c>
      <c r="AH2136">
        <v>0</v>
      </c>
      <c r="AI2136">
        <v>0</v>
      </c>
      <c r="AW2136">
        <v>0</v>
      </c>
      <c r="AX2136">
        <v>8</v>
      </c>
      <c r="AY2136">
        <v>259</v>
      </c>
      <c r="AZ2136">
        <v>259</v>
      </c>
      <c r="BA2136">
        <v>342</v>
      </c>
      <c r="BB2136">
        <v>44</v>
      </c>
      <c r="BD2136">
        <v>1</v>
      </c>
      <c r="BF2136" t="s">
        <v>2308</v>
      </c>
      <c r="BG2136" s="1">
        <v>44354.116666666669</v>
      </c>
      <c r="BH2136" s="1">
        <v>44354.174942129626</v>
      </c>
      <c r="BI2136" s="1">
        <v>44354.175752314812</v>
      </c>
      <c r="BJ2136" t="s">
        <v>85</v>
      </c>
      <c r="BK2136" t="s">
        <v>86</v>
      </c>
      <c r="BL2136" t="s">
        <v>87</v>
      </c>
    </row>
    <row r="2137" spans="1:64" x14ac:dyDescent="0.3">
      <c r="A2137" t="str">
        <f>"201393B0000"</f>
        <v>201393B0000</v>
      </c>
      <c r="B2137" t="str">
        <f>"201393B00003"</f>
        <v>201393B00003</v>
      </c>
      <c r="C2137" t="str">
        <f t="shared" si="130"/>
        <v>20</v>
      </c>
      <c r="D2137" t="s">
        <v>81</v>
      </c>
      <c r="E2137" t="str">
        <f t="shared" si="129"/>
        <v>276</v>
      </c>
      <c r="F2137" t="s">
        <v>2257</v>
      </c>
      <c r="G2137" t="str">
        <f>"1393"</f>
        <v>1393</v>
      </c>
      <c r="H2137" t="str">
        <f>"0000"</f>
        <v>0000</v>
      </c>
      <c r="I2137" t="s">
        <v>83</v>
      </c>
      <c r="J2137">
        <v>0</v>
      </c>
      <c r="K2137">
        <v>1</v>
      </c>
      <c r="L2137">
        <v>3</v>
      </c>
      <c r="M2137" t="s">
        <v>92</v>
      </c>
      <c r="N2137" t="s">
        <v>92</v>
      </c>
      <c r="O2137" t="s">
        <v>92</v>
      </c>
      <c r="P2137">
        <v>483</v>
      </c>
      <c r="Q2137">
        <v>42</v>
      </c>
      <c r="R2137">
        <v>256</v>
      </c>
      <c r="S2137">
        <v>3</v>
      </c>
      <c r="U2137">
        <v>3</v>
      </c>
      <c r="V2137">
        <v>3</v>
      </c>
      <c r="X2137">
        <v>156</v>
      </c>
      <c r="Y2137">
        <v>2</v>
      </c>
      <c r="Z2137">
        <v>2</v>
      </c>
      <c r="AA2137">
        <v>11</v>
      </c>
      <c r="AB2137">
        <v>0</v>
      </c>
      <c r="AF2137">
        <v>1</v>
      </c>
      <c r="AG2137">
        <v>0</v>
      </c>
      <c r="AH2137">
        <v>0</v>
      </c>
      <c r="AI2137">
        <v>0</v>
      </c>
      <c r="AW2137">
        <v>0</v>
      </c>
      <c r="AX2137">
        <v>4</v>
      </c>
      <c r="AY2137">
        <v>483</v>
      </c>
      <c r="AZ2137">
        <v>483</v>
      </c>
      <c r="BA2137">
        <v>647</v>
      </c>
      <c r="BB2137">
        <v>44</v>
      </c>
      <c r="BD2137">
        <v>1</v>
      </c>
      <c r="BF2137" t="s">
        <v>2309</v>
      </c>
      <c r="BG2137" s="1">
        <v>44354.06527777778</v>
      </c>
      <c r="BH2137" s="1">
        <v>44354.098240740743</v>
      </c>
      <c r="BI2137" s="1">
        <v>44354.099189814813</v>
      </c>
      <c r="BJ2137" t="s">
        <v>85</v>
      </c>
      <c r="BK2137" t="s">
        <v>86</v>
      </c>
      <c r="BL2137" t="s">
        <v>87</v>
      </c>
    </row>
    <row r="2138" spans="1:64" x14ac:dyDescent="0.3">
      <c r="A2138" t="str">
        <f>"201393C0100"</f>
        <v>201393C0100</v>
      </c>
      <c r="B2138" t="str">
        <f>"201393C01003"</f>
        <v>201393C01003</v>
      </c>
      <c r="C2138" t="str">
        <f t="shared" si="130"/>
        <v>20</v>
      </c>
      <c r="D2138" t="s">
        <v>81</v>
      </c>
      <c r="E2138" t="str">
        <f t="shared" si="129"/>
        <v>276</v>
      </c>
      <c r="F2138" t="s">
        <v>2257</v>
      </c>
      <c r="G2138" t="str">
        <f>"1393"</f>
        <v>1393</v>
      </c>
      <c r="H2138" t="str">
        <f>"0001"</f>
        <v>0001</v>
      </c>
      <c r="I2138" t="s">
        <v>89</v>
      </c>
      <c r="J2138">
        <v>0</v>
      </c>
      <c r="K2138">
        <v>1</v>
      </c>
      <c r="L2138">
        <v>3</v>
      </c>
      <c r="M2138">
        <v>209</v>
      </c>
      <c r="N2138">
        <v>482</v>
      </c>
      <c r="O2138">
        <v>1</v>
      </c>
      <c r="P2138">
        <v>482</v>
      </c>
      <c r="Q2138">
        <v>43</v>
      </c>
      <c r="R2138">
        <v>281</v>
      </c>
      <c r="S2138">
        <v>3</v>
      </c>
      <c r="U2138">
        <v>3</v>
      </c>
      <c r="V2138">
        <v>2</v>
      </c>
      <c r="X2138">
        <v>133</v>
      </c>
      <c r="Y2138">
        <v>1</v>
      </c>
      <c r="Z2138">
        <v>4</v>
      </c>
      <c r="AA2138">
        <v>6</v>
      </c>
      <c r="AB2138">
        <v>1</v>
      </c>
      <c r="AF2138">
        <v>0</v>
      </c>
      <c r="AG2138">
        <v>0</v>
      </c>
      <c r="AH2138">
        <v>0</v>
      </c>
      <c r="AI2138">
        <v>0</v>
      </c>
      <c r="AW2138">
        <v>0</v>
      </c>
      <c r="AX2138">
        <v>5</v>
      </c>
      <c r="AY2138">
        <v>482</v>
      </c>
      <c r="AZ2138">
        <v>482</v>
      </c>
      <c r="BA2138">
        <v>647</v>
      </c>
      <c r="BB2138">
        <v>44</v>
      </c>
      <c r="BD2138">
        <v>1</v>
      </c>
      <c r="BF2138" t="s">
        <v>2310</v>
      </c>
      <c r="BG2138" s="1">
        <v>44354.064583333333</v>
      </c>
      <c r="BH2138" s="1">
        <v>44354.100173611114</v>
      </c>
      <c r="BI2138" s="1">
        <v>44354.100821759261</v>
      </c>
      <c r="BJ2138" t="s">
        <v>85</v>
      </c>
      <c r="BK2138" t="s">
        <v>86</v>
      </c>
      <c r="BL2138" t="s">
        <v>87</v>
      </c>
    </row>
    <row r="2139" spans="1:64" x14ac:dyDescent="0.3">
      <c r="A2139" t="str">
        <f>"201394B0000"</f>
        <v>201394B0000</v>
      </c>
      <c r="B2139" t="str">
        <f>"201394B00003"</f>
        <v>201394B00003</v>
      </c>
      <c r="C2139" t="str">
        <f t="shared" si="130"/>
        <v>20</v>
      </c>
      <c r="D2139" t="s">
        <v>81</v>
      </c>
      <c r="E2139" t="str">
        <f t="shared" si="129"/>
        <v>276</v>
      </c>
      <c r="F2139" t="s">
        <v>2257</v>
      </c>
      <c r="G2139" t="str">
        <f>"1394"</f>
        <v>1394</v>
      </c>
      <c r="H2139" t="str">
        <f>"0000"</f>
        <v>0000</v>
      </c>
      <c r="I2139" t="s">
        <v>83</v>
      </c>
      <c r="J2139">
        <v>0</v>
      </c>
      <c r="K2139">
        <v>1</v>
      </c>
      <c r="L2139">
        <v>3</v>
      </c>
      <c r="M2139">
        <v>142</v>
      </c>
      <c r="N2139">
        <v>367</v>
      </c>
      <c r="O2139">
        <v>0</v>
      </c>
      <c r="P2139">
        <v>367</v>
      </c>
      <c r="Q2139">
        <v>13</v>
      </c>
      <c r="R2139">
        <v>232</v>
      </c>
      <c r="S2139">
        <v>11</v>
      </c>
      <c r="U2139">
        <v>2</v>
      </c>
      <c r="V2139">
        <v>2</v>
      </c>
      <c r="X2139">
        <v>97</v>
      </c>
      <c r="Y2139">
        <v>0</v>
      </c>
      <c r="Z2139">
        <v>0</v>
      </c>
      <c r="AA2139">
        <v>4</v>
      </c>
      <c r="AB2139">
        <v>1</v>
      </c>
      <c r="AF2139">
        <v>1</v>
      </c>
      <c r="AG2139">
        <v>0</v>
      </c>
      <c r="AH2139">
        <v>0</v>
      </c>
      <c r="AI2139">
        <v>0</v>
      </c>
      <c r="AW2139">
        <v>0</v>
      </c>
      <c r="AX2139">
        <v>4</v>
      </c>
      <c r="AY2139">
        <v>367</v>
      </c>
      <c r="AZ2139">
        <v>367</v>
      </c>
      <c r="BA2139">
        <v>465</v>
      </c>
      <c r="BB2139">
        <v>44</v>
      </c>
      <c r="BD2139">
        <v>1</v>
      </c>
      <c r="BF2139" t="s">
        <v>2311</v>
      </c>
      <c r="BG2139" s="1">
        <v>44354.068055555559</v>
      </c>
      <c r="BH2139" s="1">
        <v>44354.102013888885</v>
      </c>
      <c r="BI2139" s="1">
        <v>44354.102442129632</v>
      </c>
      <c r="BJ2139" t="s">
        <v>85</v>
      </c>
      <c r="BK2139" t="s">
        <v>86</v>
      </c>
      <c r="BL2139" t="s">
        <v>87</v>
      </c>
    </row>
    <row r="2140" spans="1:64" x14ac:dyDescent="0.3">
      <c r="A2140" t="str">
        <f>"201394E0100"</f>
        <v>201394E0100</v>
      </c>
      <c r="B2140" t="str">
        <f>"201394E01003"</f>
        <v>201394E01003</v>
      </c>
      <c r="C2140" t="str">
        <f t="shared" si="130"/>
        <v>20</v>
      </c>
      <c r="D2140" t="s">
        <v>81</v>
      </c>
      <c r="E2140" t="str">
        <f t="shared" si="129"/>
        <v>276</v>
      </c>
      <c r="F2140" t="s">
        <v>2257</v>
      </c>
      <c r="G2140" t="str">
        <f>"1394"</f>
        <v>1394</v>
      </c>
      <c r="H2140" t="str">
        <f>"0001"</f>
        <v>0001</v>
      </c>
      <c r="I2140" t="s">
        <v>122</v>
      </c>
      <c r="J2140">
        <v>0</v>
      </c>
      <c r="K2140">
        <v>1</v>
      </c>
      <c r="L2140">
        <v>3</v>
      </c>
      <c r="M2140">
        <v>111</v>
      </c>
      <c r="N2140">
        <v>220</v>
      </c>
      <c r="O2140">
        <v>0</v>
      </c>
      <c r="P2140">
        <v>220</v>
      </c>
      <c r="Q2140">
        <v>1</v>
      </c>
      <c r="R2140">
        <v>166</v>
      </c>
      <c r="S2140">
        <v>2</v>
      </c>
      <c r="U2140">
        <v>0</v>
      </c>
      <c r="V2140">
        <v>0</v>
      </c>
      <c r="X2140">
        <v>44</v>
      </c>
      <c r="Y2140">
        <v>0</v>
      </c>
      <c r="Z2140">
        <v>0</v>
      </c>
      <c r="AA2140">
        <v>1</v>
      </c>
      <c r="AB2140">
        <v>1</v>
      </c>
      <c r="AF2140">
        <v>2</v>
      </c>
      <c r="AG2140">
        <v>0</v>
      </c>
      <c r="AH2140">
        <v>0</v>
      </c>
      <c r="AI2140">
        <v>0</v>
      </c>
      <c r="AW2140">
        <v>0</v>
      </c>
      <c r="AX2140">
        <v>3</v>
      </c>
      <c r="AY2140">
        <v>220</v>
      </c>
      <c r="AZ2140">
        <v>220</v>
      </c>
      <c r="BA2140">
        <v>287</v>
      </c>
      <c r="BB2140">
        <v>44</v>
      </c>
      <c r="BD2140">
        <v>1</v>
      </c>
      <c r="BF2140" t="s">
        <v>2312</v>
      </c>
      <c r="BG2140" s="1">
        <v>44354.066666666666</v>
      </c>
      <c r="BH2140" s="1">
        <v>44354.116932870369</v>
      </c>
      <c r="BI2140" s="1">
        <v>44354.11755787037</v>
      </c>
      <c r="BJ2140" t="s">
        <v>85</v>
      </c>
      <c r="BK2140" t="s">
        <v>86</v>
      </c>
      <c r="BL2140" t="s">
        <v>87</v>
      </c>
    </row>
    <row r="2141" spans="1:64" x14ac:dyDescent="0.3">
      <c r="A2141" t="str">
        <f>"201395B0000"</f>
        <v>201395B0000</v>
      </c>
      <c r="B2141" t="str">
        <f>"201395B00003"</f>
        <v>201395B00003</v>
      </c>
      <c r="C2141" t="str">
        <f t="shared" si="130"/>
        <v>20</v>
      </c>
      <c r="D2141" t="s">
        <v>81</v>
      </c>
      <c r="E2141" t="str">
        <f t="shared" si="129"/>
        <v>276</v>
      </c>
      <c r="F2141" t="s">
        <v>2257</v>
      </c>
      <c r="G2141" t="str">
        <f>"1395"</f>
        <v>1395</v>
      </c>
      <c r="H2141" t="str">
        <f>"0000"</f>
        <v>0000</v>
      </c>
      <c r="I2141" t="s">
        <v>83</v>
      </c>
      <c r="J2141">
        <v>0</v>
      </c>
      <c r="K2141">
        <v>1</v>
      </c>
      <c r="L2141">
        <v>3</v>
      </c>
      <c r="M2141">
        <v>210</v>
      </c>
      <c r="N2141">
        <v>460</v>
      </c>
      <c r="O2141">
        <v>0</v>
      </c>
      <c r="P2141">
        <v>460</v>
      </c>
      <c r="Q2141">
        <v>4</v>
      </c>
      <c r="R2141">
        <v>318</v>
      </c>
      <c r="S2141">
        <v>1</v>
      </c>
      <c r="U2141">
        <v>0</v>
      </c>
      <c r="V2141">
        <v>1</v>
      </c>
      <c r="X2141">
        <v>123</v>
      </c>
      <c r="Y2141">
        <v>0</v>
      </c>
      <c r="Z2141">
        <v>1</v>
      </c>
      <c r="AA2141">
        <v>2</v>
      </c>
      <c r="AB2141">
        <v>4</v>
      </c>
      <c r="AF2141">
        <v>0</v>
      </c>
      <c r="AG2141">
        <v>0</v>
      </c>
      <c r="AH2141">
        <v>0</v>
      </c>
      <c r="AI2141">
        <v>0</v>
      </c>
      <c r="AW2141">
        <v>0</v>
      </c>
      <c r="AX2141">
        <v>6</v>
      </c>
      <c r="AY2141">
        <v>460</v>
      </c>
      <c r="AZ2141">
        <v>460</v>
      </c>
      <c r="BA2141">
        <v>626</v>
      </c>
      <c r="BB2141">
        <v>44</v>
      </c>
      <c r="BD2141">
        <v>1</v>
      </c>
      <c r="BF2141" s="2" t="s">
        <v>2313</v>
      </c>
      <c r="BG2141" s="1">
        <v>44354.077777777777</v>
      </c>
      <c r="BH2141" s="1">
        <v>44354.14640046296</v>
      </c>
      <c r="BI2141" s="1">
        <v>44354.146724537037</v>
      </c>
      <c r="BJ2141" t="s">
        <v>85</v>
      </c>
      <c r="BK2141" t="s">
        <v>86</v>
      </c>
      <c r="BL2141" t="s">
        <v>87</v>
      </c>
    </row>
    <row r="2142" spans="1:64" x14ac:dyDescent="0.3">
      <c r="A2142" t="str">
        <f>"201395E0100"</f>
        <v>201395E0100</v>
      </c>
      <c r="B2142" t="str">
        <f>"201395E01003"</f>
        <v>201395E01003</v>
      </c>
      <c r="C2142" t="str">
        <f t="shared" si="130"/>
        <v>20</v>
      </c>
      <c r="D2142" t="s">
        <v>81</v>
      </c>
      <c r="E2142" t="str">
        <f t="shared" si="129"/>
        <v>276</v>
      </c>
      <c r="F2142" t="s">
        <v>2257</v>
      </c>
      <c r="G2142" t="str">
        <f>"1395"</f>
        <v>1395</v>
      </c>
      <c r="H2142" t="str">
        <f>"0001"</f>
        <v>0001</v>
      </c>
      <c r="I2142" t="s">
        <v>122</v>
      </c>
      <c r="J2142">
        <v>0</v>
      </c>
      <c r="K2142">
        <v>1</v>
      </c>
      <c r="L2142">
        <v>3</v>
      </c>
      <c r="BA2142">
        <v>661</v>
      </c>
      <c r="BB2142">
        <v>44</v>
      </c>
      <c r="BC2142" t="s">
        <v>381</v>
      </c>
      <c r="BD2142">
        <v>0</v>
      </c>
      <c r="BF2142" t="s">
        <v>2314</v>
      </c>
      <c r="BG2142" s="1">
        <v>44354.077777777777</v>
      </c>
      <c r="BH2142" s="1">
        <v>44354.493252314816</v>
      </c>
      <c r="BI2142" s="1">
        <v>44354.493252314816</v>
      </c>
      <c r="BJ2142" t="s">
        <v>85</v>
      </c>
      <c r="BK2142" t="s">
        <v>86</v>
      </c>
      <c r="BL2142" t="s">
        <v>87</v>
      </c>
    </row>
    <row r="2143" spans="1:64" x14ac:dyDescent="0.3">
      <c r="A2143" t="str">
        <f>"201409B0000"</f>
        <v>201409B0000</v>
      </c>
      <c r="B2143" t="str">
        <f>"201409B00003"</f>
        <v>201409B00003</v>
      </c>
      <c r="C2143" t="str">
        <f t="shared" si="130"/>
        <v>20</v>
      </c>
      <c r="D2143" t="s">
        <v>81</v>
      </c>
      <c r="E2143" t="str">
        <f t="shared" ref="E2143:E2148" si="131">"283"</f>
        <v>283</v>
      </c>
      <c r="F2143" t="s">
        <v>2315</v>
      </c>
      <c r="G2143" t="str">
        <f>"1409"</f>
        <v>1409</v>
      </c>
      <c r="H2143" t="str">
        <f>"0000"</f>
        <v>0000</v>
      </c>
      <c r="I2143" t="s">
        <v>83</v>
      </c>
      <c r="J2143">
        <v>0</v>
      </c>
      <c r="K2143">
        <v>1</v>
      </c>
      <c r="L2143">
        <v>3</v>
      </c>
      <c r="M2143">
        <v>130</v>
      </c>
      <c r="N2143">
        <v>482</v>
      </c>
      <c r="O2143">
        <v>0</v>
      </c>
      <c r="P2143">
        <v>482</v>
      </c>
      <c r="Q2143">
        <v>3</v>
      </c>
      <c r="R2143">
        <v>184</v>
      </c>
      <c r="S2143">
        <v>7</v>
      </c>
      <c r="T2143">
        <v>0</v>
      </c>
      <c r="U2143">
        <v>1</v>
      </c>
      <c r="W2143">
        <v>1</v>
      </c>
      <c r="X2143">
        <v>92</v>
      </c>
      <c r="Z2143">
        <v>5</v>
      </c>
      <c r="AA2143">
        <v>173</v>
      </c>
      <c r="AB2143">
        <v>1</v>
      </c>
      <c r="AF2143">
        <v>3</v>
      </c>
      <c r="AG2143">
        <v>0</v>
      </c>
      <c r="AH2143">
        <v>0</v>
      </c>
      <c r="AI2143">
        <v>0</v>
      </c>
      <c r="AW2143">
        <v>0</v>
      </c>
      <c r="AX2143">
        <v>11</v>
      </c>
      <c r="AY2143">
        <v>482</v>
      </c>
      <c r="AZ2143">
        <v>481</v>
      </c>
      <c r="BA2143">
        <v>568</v>
      </c>
      <c r="BB2143">
        <v>44</v>
      </c>
      <c r="BD2143">
        <v>1</v>
      </c>
      <c r="BF2143" t="s">
        <v>2316</v>
      </c>
      <c r="BG2143" s="1">
        <v>44354.031944444447</v>
      </c>
      <c r="BH2143" s="1">
        <v>44354.045185185183</v>
      </c>
      <c r="BI2143" s="1">
        <v>44354.045798611114</v>
      </c>
      <c r="BJ2143" t="s">
        <v>85</v>
      </c>
      <c r="BK2143" t="s">
        <v>86</v>
      </c>
      <c r="BL2143" t="s">
        <v>87</v>
      </c>
    </row>
    <row r="2144" spans="1:64" x14ac:dyDescent="0.3">
      <c r="A2144" t="str">
        <f>"201409C0100"</f>
        <v>201409C0100</v>
      </c>
      <c r="B2144" t="str">
        <f>"201409C01003"</f>
        <v>201409C01003</v>
      </c>
      <c r="C2144" t="str">
        <f t="shared" si="130"/>
        <v>20</v>
      </c>
      <c r="D2144" t="s">
        <v>81</v>
      </c>
      <c r="E2144" t="str">
        <f t="shared" si="131"/>
        <v>283</v>
      </c>
      <c r="F2144" t="s">
        <v>2315</v>
      </c>
      <c r="G2144" t="str">
        <f>"1409"</f>
        <v>1409</v>
      </c>
      <c r="H2144" t="str">
        <f>"0001"</f>
        <v>0001</v>
      </c>
      <c r="I2144" t="s">
        <v>89</v>
      </c>
      <c r="J2144">
        <v>0</v>
      </c>
      <c r="K2144">
        <v>1</v>
      </c>
      <c r="L2144">
        <v>3</v>
      </c>
      <c r="M2144">
        <v>170</v>
      </c>
      <c r="N2144" t="s">
        <v>92</v>
      </c>
      <c r="O2144" t="s">
        <v>92</v>
      </c>
      <c r="P2144">
        <v>611</v>
      </c>
      <c r="Q2144">
        <v>4</v>
      </c>
      <c r="R2144">
        <v>162</v>
      </c>
      <c r="S2144">
        <v>5</v>
      </c>
      <c r="T2144">
        <v>1</v>
      </c>
      <c r="U2144">
        <v>4</v>
      </c>
      <c r="W2144">
        <v>1</v>
      </c>
      <c r="X2144">
        <v>100</v>
      </c>
      <c r="Z2144">
        <v>2</v>
      </c>
      <c r="AA2144">
        <v>141</v>
      </c>
      <c r="AB2144">
        <v>0</v>
      </c>
      <c r="AF2144">
        <v>4</v>
      </c>
      <c r="AG2144">
        <v>0</v>
      </c>
      <c r="AH2144">
        <v>0</v>
      </c>
      <c r="AI2144">
        <v>2</v>
      </c>
      <c r="AW2144">
        <v>2</v>
      </c>
      <c r="AX2144">
        <v>13</v>
      </c>
      <c r="AY2144">
        <v>611</v>
      </c>
      <c r="AZ2144">
        <v>441</v>
      </c>
      <c r="BA2144">
        <v>567</v>
      </c>
      <c r="BB2144">
        <v>44</v>
      </c>
      <c r="BD2144">
        <v>1</v>
      </c>
      <c r="BF2144" t="s">
        <v>2317</v>
      </c>
      <c r="BG2144" s="1">
        <v>44354.031944444447</v>
      </c>
      <c r="BH2144" s="1">
        <v>44354.040578703702</v>
      </c>
      <c r="BI2144" s="1">
        <v>44354.041122685187</v>
      </c>
      <c r="BJ2144" t="s">
        <v>85</v>
      </c>
      <c r="BK2144" t="s">
        <v>86</v>
      </c>
      <c r="BL2144" t="s">
        <v>87</v>
      </c>
    </row>
    <row r="2145" spans="1:64" x14ac:dyDescent="0.3">
      <c r="A2145" t="str">
        <f>"201409C0200"</f>
        <v>201409C0200</v>
      </c>
      <c r="B2145" t="str">
        <f>"201409C02003"</f>
        <v>201409C02003</v>
      </c>
      <c r="C2145" t="str">
        <f t="shared" si="130"/>
        <v>20</v>
      </c>
      <c r="D2145" t="s">
        <v>81</v>
      </c>
      <c r="E2145" t="str">
        <f t="shared" si="131"/>
        <v>283</v>
      </c>
      <c r="F2145" t="s">
        <v>2315</v>
      </c>
      <c r="G2145" t="str">
        <f>"1409"</f>
        <v>1409</v>
      </c>
      <c r="H2145" t="str">
        <f>"0002"</f>
        <v>0002</v>
      </c>
      <c r="I2145" t="s">
        <v>89</v>
      </c>
      <c r="J2145">
        <v>0</v>
      </c>
      <c r="K2145">
        <v>1</v>
      </c>
      <c r="L2145">
        <v>3</v>
      </c>
      <c r="M2145">
        <v>158</v>
      </c>
      <c r="N2145">
        <v>453</v>
      </c>
      <c r="O2145">
        <v>0</v>
      </c>
      <c r="P2145">
        <v>453</v>
      </c>
      <c r="Q2145">
        <v>1</v>
      </c>
      <c r="R2145">
        <v>207</v>
      </c>
      <c r="S2145">
        <v>5</v>
      </c>
      <c r="T2145">
        <v>2</v>
      </c>
      <c r="U2145">
        <v>2</v>
      </c>
      <c r="W2145">
        <v>1</v>
      </c>
      <c r="X2145">
        <v>74</v>
      </c>
      <c r="Z2145">
        <v>1</v>
      </c>
      <c r="AA2145">
        <v>137</v>
      </c>
      <c r="AB2145">
        <v>0</v>
      </c>
      <c r="AF2145">
        <v>4</v>
      </c>
      <c r="AG2145">
        <v>0</v>
      </c>
      <c r="AH2145">
        <v>0</v>
      </c>
      <c r="AI2145">
        <v>3</v>
      </c>
      <c r="AW2145">
        <v>16</v>
      </c>
      <c r="AX2145">
        <v>16</v>
      </c>
      <c r="AY2145">
        <v>453</v>
      </c>
      <c r="AZ2145">
        <v>469</v>
      </c>
      <c r="BA2145">
        <v>567</v>
      </c>
      <c r="BB2145">
        <v>44</v>
      </c>
      <c r="BD2145">
        <v>1</v>
      </c>
      <c r="BF2145" t="s">
        <v>2318</v>
      </c>
      <c r="BG2145" s="1">
        <v>44354.033333333333</v>
      </c>
      <c r="BH2145" s="1">
        <v>44354.048067129632</v>
      </c>
      <c r="BI2145" s="1">
        <v>44354.049907407411</v>
      </c>
      <c r="BJ2145" t="s">
        <v>85</v>
      </c>
      <c r="BK2145" t="s">
        <v>86</v>
      </c>
      <c r="BL2145" t="s">
        <v>87</v>
      </c>
    </row>
    <row r="2146" spans="1:64" x14ac:dyDescent="0.3">
      <c r="A2146" t="str">
        <f>"201410B0000"</f>
        <v>201410B0000</v>
      </c>
      <c r="B2146" t="str">
        <f>"201410B00003"</f>
        <v>201410B00003</v>
      </c>
      <c r="C2146" t="str">
        <f t="shared" si="130"/>
        <v>20</v>
      </c>
      <c r="D2146" t="s">
        <v>81</v>
      </c>
      <c r="E2146" t="str">
        <f t="shared" si="131"/>
        <v>283</v>
      </c>
      <c r="F2146" t="s">
        <v>2315</v>
      </c>
      <c r="G2146" t="str">
        <f>"1410"</f>
        <v>1410</v>
      </c>
      <c r="H2146" t="str">
        <f>"0000"</f>
        <v>0000</v>
      </c>
      <c r="I2146" t="s">
        <v>83</v>
      </c>
      <c r="J2146">
        <v>0</v>
      </c>
      <c r="K2146">
        <v>1</v>
      </c>
      <c r="L2146">
        <v>3</v>
      </c>
      <c r="M2146">
        <v>132</v>
      </c>
      <c r="N2146">
        <v>308</v>
      </c>
      <c r="O2146">
        <v>3</v>
      </c>
      <c r="P2146">
        <v>308</v>
      </c>
      <c r="Q2146">
        <v>0</v>
      </c>
      <c r="R2146">
        <v>149</v>
      </c>
      <c r="S2146">
        <v>3</v>
      </c>
      <c r="T2146">
        <v>2</v>
      </c>
      <c r="U2146">
        <v>1</v>
      </c>
      <c r="W2146">
        <v>2</v>
      </c>
      <c r="X2146">
        <v>56</v>
      </c>
      <c r="Z2146">
        <v>3</v>
      </c>
      <c r="AA2146">
        <v>77</v>
      </c>
      <c r="AB2146">
        <v>1</v>
      </c>
      <c r="AF2146">
        <v>6</v>
      </c>
      <c r="AG2146">
        <v>0</v>
      </c>
      <c r="AH2146">
        <v>0</v>
      </c>
      <c r="AI2146">
        <v>1</v>
      </c>
      <c r="AW2146">
        <v>0</v>
      </c>
      <c r="AX2146">
        <v>7</v>
      </c>
      <c r="AY2146">
        <v>308</v>
      </c>
      <c r="AZ2146">
        <v>308</v>
      </c>
      <c r="BA2146">
        <v>396</v>
      </c>
      <c r="BB2146">
        <v>44</v>
      </c>
      <c r="BD2146">
        <v>1</v>
      </c>
      <c r="BF2146" t="s">
        <v>2319</v>
      </c>
      <c r="BG2146" s="1">
        <v>44354.054861111108</v>
      </c>
      <c r="BH2146" s="1">
        <v>44354.06144675926</v>
      </c>
      <c r="BI2146" s="1">
        <v>44354.06181712963</v>
      </c>
      <c r="BJ2146" t="s">
        <v>85</v>
      </c>
      <c r="BK2146" t="s">
        <v>86</v>
      </c>
      <c r="BL2146" t="s">
        <v>87</v>
      </c>
    </row>
    <row r="2147" spans="1:64" x14ac:dyDescent="0.3">
      <c r="A2147" t="str">
        <f>"201410C0100"</f>
        <v>201410C0100</v>
      </c>
      <c r="B2147" t="str">
        <f>"201410C01003"</f>
        <v>201410C01003</v>
      </c>
      <c r="C2147" t="str">
        <f t="shared" si="130"/>
        <v>20</v>
      </c>
      <c r="D2147" t="s">
        <v>81</v>
      </c>
      <c r="E2147" t="str">
        <f t="shared" si="131"/>
        <v>283</v>
      </c>
      <c r="F2147" t="s">
        <v>2315</v>
      </c>
      <c r="G2147" t="str">
        <f>"1410"</f>
        <v>1410</v>
      </c>
      <c r="H2147" t="str">
        <f>"0001"</f>
        <v>0001</v>
      </c>
      <c r="I2147" t="s">
        <v>89</v>
      </c>
      <c r="J2147">
        <v>0</v>
      </c>
      <c r="K2147">
        <v>1</v>
      </c>
      <c r="L2147">
        <v>3</v>
      </c>
      <c r="M2147">
        <v>185</v>
      </c>
      <c r="N2147">
        <v>298</v>
      </c>
      <c r="O2147">
        <v>6</v>
      </c>
      <c r="P2147">
        <v>294</v>
      </c>
      <c r="Q2147">
        <v>2</v>
      </c>
      <c r="R2147">
        <v>164</v>
      </c>
      <c r="S2147">
        <v>5</v>
      </c>
      <c r="T2147">
        <v>1</v>
      </c>
      <c r="U2147">
        <v>0</v>
      </c>
      <c r="W2147">
        <v>0</v>
      </c>
      <c r="X2147">
        <v>26</v>
      </c>
      <c r="Z2147">
        <v>6</v>
      </c>
      <c r="AA2147">
        <v>68</v>
      </c>
      <c r="AB2147">
        <v>2</v>
      </c>
      <c r="AF2147">
        <v>7</v>
      </c>
      <c r="AG2147">
        <v>1</v>
      </c>
      <c r="AH2147">
        <v>0</v>
      </c>
      <c r="AI2147">
        <v>2</v>
      </c>
      <c r="AW2147">
        <v>0</v>
      </c>
      <c r="AX2147">
        <v>10</v>
      </c>
      <c r="AY2147">
        <v>294</v>
      </c>
      <c r="AZ2147">
        <v>294</v>
      </c>
      <c r="BA2147">
        <v>395</v>
      </c>
      <c r="BB2147">
        <v>44</v>
      </c>
      <c r="BD2147">
        <v>1</v>
      </c>
      <c r="BF2147" t="s">
        <v>2320</v>
      </c>
      <c r="BG2147" s="1">
        <v>44354.056944444441</v>
      </c>
      <c r="BH2147" s="1">
        <v>44354.062731481485</v>
      </c>
      <c r="BI2147" s="1">
        <v>44354.063379629632</v>
      </c>
      <c r="BJ2147" t="s">
        <v>85</v>
      </c>
      <c r="BK2147" t="s">
        <v>86</v>
      </c>
      <c r="BL2147" t="s">
        <v>87</v>
      </c>
    </row>
    <row r="2148" spans="1:64" x14ac:dyDescent="0.3">
      <c r="A2148" t="str">
        <f>"201410E0100"</f>
        <v>201410E0100</v>
      </c>
      <c r="B2148" t="str">
        <f>"201410E01003"</f>
        <v>201410E01003</v>
      </c>
      <c r="C2148" t="str">
        <f t="shared" si="130"/>
        <v>20</v>
      </c>
      <c r="D2148" t="s">
        <v>81</v>
      </c>
      <c r="E2148" t="str">
        <f t="shared" si="131"/>
        <v>283</v>
      </c>
      <c r="F2148" t="s">
        <v>2315</v>
      </c>
      <c r="G2148" t="str">
        <f>"1410"</f>
        <v>1410</v>
      </c>
      <c r="H2148" t="str">
        <f>"0001"</f>
        <v>0001</v>
      </c>
      <c r="I2148" t="s">
        <v>122</v>
      </c>
      <c r="J2148">
        <v>0</v>
      </c>
      <c r="K2148">
        <v>1</v>
      </c>
      <c r="L2148">
        <v>3</v>
      </c>
      <c r="M2148">
        <v>95</v>
      </c>
      <c r="N2148">
        <v>182</v>
      </c>
      <c r="O2148">
        <v>3</v>
      </c>
      <c r="P2148">
        <v>182</v>
      </c>
      <c r="Q2148">
        <v>3</v>
      </c>
      <c r="R2148">
        <v>85</v>
      </c>
      <c r="S2148">
        <v>5</v>
      </c>
      <c r="T2148">
        <v>2</v>
      </c>
      <c r="U2148">
        <v>2</v>
      </c>
      <c r="W2148">
        <v>1</v>
      </c>
      <c r="X2148">
        <v>22</v>
      </c>
      <c r="Z2148">
        <v>3</v>
      </c>
      <c r="AA2148">
        <v>47</v>
      </c>
      <c r="AB2148">
        <v>0</v>
      </c>
      <c r="AF2148">
        <v>4</v>
      </c>
      <c r="AG2148">
        <v>0</v>
      </c>
      <c r="AH2148">
        <v>0</v>
      </c>
      <c r="AI2148">
        <v>3</v>
      </c>
      <c r="AW2148">
        <v>0</v>
      </c>
      <c r="AX2148">
        <v>5</v>
      </c>
      <c r="AY2148">
        <v>182</v>
      </c>
      <c r="AZ2148">
        <v>182</v>
      </c>
      <c r="BA2148">
        <v>233</v>
      </c>
      <c r="BB2148">
        <v>44</v>
      </c>
      <c r="BD2148">
        <v>1</v>
      </c>
      <c r="BF2148" t="s">
        <v>2321</v>
      </c>
      <c r="BG2148" s="1">
        <v>44354.054861111108</v>
      </c>
      <c r="BH2148" s="1">
        <v>44354.061666666668</v>
      </c>
      <c r="BI2148" s="1">
        <v>44354.062175925923</v>
      </c>
      <c r="BJ2148" t="s">
        <v>85</v>
      </c>
      <c r="BK2148" t="s">
        <v>86</v>
      </c>
      <c r="BL2148" t="s">
        <v>87</v>
      </c>
    </row>
    <row r="2149" spans="1:64" x14ac:dyDescent="0.3">
      <c r="A2149" t="str">
        <f>"201418B0000"</f>
        <v>201418B0000</v>
      </c>
      <c r="B2149" t="str">
        <f>"201418B00003"</f>
        <v>201418B00003</v>
      </c>
      <c r="C2149" t="str">
        <f t="shared" si="130"/>
        <v>20</v>
      </c>
      <c r="D2149" t="s">
        <v>81</v>
      </c>
      <c r="E2149" t="str">
        <f>"288"</f>
        <v>288</v>
      </c>
      <c r="F2149" t="s">
        <v>2322</v>
      </c>
      <c r="G2149" t="str">
        <f>"1418"</f>
        <v>1418</v>
      </c>
      <c r="H2149" t="str">
        <f>"0000"</f>
        <v>0000</v>
      </c>
      <c r="I2149" t="s">
        <v>83</v>
      </c>
      <c r="J2149">
        <v>0</v>
      </c>
      <c r="K2149">
        <v>1</v>
      </c>
      <c r="L2149">
        <v>3</v>
      </c>
      <c r="BA2149">
        <v>413</v>
      </c>
      <c r="BB2149">
        <v>44</v>
      </c>
      <c r="BC2149" t="s">
        <v>381</v>
      </c>
      <c r="BD2149">
        <v>0</v>
      </c>
      <c r="BF2149" t="s">
        <v>2323</v>
      </c>
      <c r="BG2149" s="1">
        <v>44354.600694444445</v>
      </c>
      <c r="BH2149" s="1">
        <v>44354.602939814817</v>
      </c>
      <c r="BI2149" s="1">
        <v>44354.602939814817</v>
      </c>
      <c r="BJ2149" t="s">
        <v>85</v>
      </c>
      <c r="BK2149" t="s">
        <v>86</v>
      </c>
      <c r="BL2149" t="s">
        <v>87</v>
      </c>
    </row>
    <row r="2150" spans="1:64" x14ac:dyDescent="0.3">
      <c r="A2150" t="str">
        <f>"201418C0100"</f>
        <v>201418C0100</v>
      </c>
      <c r="B2150" t="str">
        <f>"201418C01003"</f>
        <v>201418C01003</v>
      </c>
      <c r="C2150" t="str">
        <f t="shared" si="130"/>
        <v>20</v>
      </c>
      <c r="D2150" t="s">
        <v>81</v>
      </c>
      <c r="E2150" t="str">
        <f>"288"</f>
        <v>288</v>
      </c>
      <c r="F2150" t="s">
        <v>2322</v>
      </c>
      <c r="G2150" t="str">
        <f>"1418"</f>
        <v>1418</v>
      </c>
      <c r="H2150" t="str">
        <f>"0001"</f>
        <v>0001</v>
      </c>
      <c r="I2150" t="s">
        <v>89</v>
      </c>
      <c r="J2150">
        <v>0</v>
      </c>
      <c r="K2150">
        <v>1</v>
      </c>
      <c r="L2150">
        <v>3</v>
      </c>
      <c r="M2150">
        <v>150</v>
      </c>
      <c r="N2150">
        <v>306</v>
      </c>
      <c r="O2150">
        <v>0</v>
      </c>
      <c r="P2150">
        <v>306</v>
      </c>
      <c r="Q2150">
        <v>1</v>
      </c>
      <c r="R2150">
        <v>10</v>
      </c>
      <c r="S2150">
        <v>96</v>
      </c>
      <c r="U2150">
        <v>2</v>
      </c>
      <c r="X2150">
        <v>115</v>
      </c>
      <c r="Z2150">
        <v>7</v>
      </c>
      <c r="AB2150">
        <v>71</v>
      </c>
      <c r="AF2150">
        <v>2</v>
      </c>
      <c r="AG2150">
        <v>0</v>
      </c>
      <c r="AH2150">
        <v>0</v>
      </c>
      <c r="AI2150">
        <v>0</v>
      </c>
      <c r="AW2150">
        <v>0</v>
      </c>
      <c r="AX2150">
        <v>2</v>
      </c>
      <c r="AY2150">
        <v>306</v>
      </c>
      <c r="AZ2150">
        <v>306</v>
      </c>
      <c r="BA2150">
        <v>412</v>
      </c>
      <c r="BB2150">
        <v>44</v>
      </c>
      <c r="BD2150">
        <v>1</v>
      </c>
      <c r="BF2150" t="s">
        <v>2324</v>
      </c>
      <c r="BG2150" s="1">
        <v>44354.51458333333</v>
      </c>
      <c r="BH2150" s="1">
        <v>44354.52815972222</v>
      </c>
      <c r="BI2150" s="1">
        <v>44354.528379629628</v>
      </c>
      <c r="BJ2150" t="s">
        <v>85</v>
      </c>
      <c r="BK2150" t="s">
        <v>86</v>
      </c>
      <c r="BL2150" t="s">
        <v>87</v>
      </c>
    </row>
    <row r="2151" spans="1:64" x14ac:dyDescent="0.3">
      <c r="A2151" t="str">
        <f>"201426B0000"</f>
        <v>201426B0000</v>
      </c>
      <c r="B2151" t="str">
        <f>"201426B00003"</f>
        <v>201426B00003</v>
      </c>
      <c r="C2151" t="str">
        <f t="shared" si="130"/>
        <v>20</v>
      </c>
      <c r="D2151" t="s">
        <v>81</v>
      </c>
      <c r="E2151" t="str">
        <f t="shared" ref="E2151:E2160" si="132">"292"</f>
        <v>292</v>
      </c>
      <c r="F2151" t="s">
        <v>2325</v>
      </c>
      <c r="G2151" t="str">
        <f>"1426"</f>
        <v>1426</v>
      </c>
      <c r="H2151" t="str">
        <f>"0000"</f>
        <v>0000</v>
      </c>
      <c r="I2151" t="s">
        <v>83</v>
      </c>
      <c r="J2151">
        <v>0</v>
      </c>
      <c r="K2151">
        <v>1</v>
      </c>
      <c r="L2151">
        <v>3</v>
      </c>
      <c r="M2151">
        <v>189</v>
      </c>
      <c r="N2151">
        <v>452</v>
      </c>
      <c r="O2151">
        <v>5</v>
      </c>
      <c r="P2151">
        <v>452</v>
      </c>
      <c r="Q2151">
        <v>1</v>
      </c>
      <c r="R2151">
        <v>5</v>
      </c>
      <c r="S2151">
        <v>0</v>
      </c>
      <c r="T2151">
        <v>7</v>
      </c>
      <c r="U2151">
        <v>66</v>
      </c>
      <c r="V2151">
        <v>77</v>
      </c>
      <c r="X2151">
        <v>216</v>
      </c>
      <c r="Y2151">
        <v>0</v>
      </c>
      <c r="Z2151">
        <v>0</v>
      </c>
      <c r="AA2151">
        <v>72</v>
      </c>
      <c r="AR2151">
        <v>0</v>
      </c>
      <c r="AV2151">
        <v>0</v>
      </c>
      <c r="AW2151">
        <v>0</v>
      </c>
      <c r="AX2151">
        <v>8</v>
      </c>
      <c r="AY2151">
        <v>452</v>
      </c>
      <c r="AZ2151">
        <v>452</v>
      </c>
      <c r="BA2151">
        <v>597</v>
      </c>
      <c r="BB2151">
        <v>44</v>
      </c>
      <c r="BD2151">
        <v>1</v>
      </c>
      <c r="BF2151" t="s">
        <v>2326</v>
      </c>
      <c r="BG2151" s="1">
        <v>44353.951168981483</v>
      </c>
      <c r="BH2151" s="1">
        <v>44353.953032407408</v>
      </c>
      <c r="BI2151" s="1">
        <v>44353.953831018516</v>
      </c>
      <c r="BJ2151" t="s">
        <v>197</v>
      </c>
      <c r="BK2151" t="s">
        <v>198</v>
      </c>
      <c r="BL2151" t="s">
        <v>87</v>
      </c>
    </row>
    <row r="2152" spans="1:64" x14ac:dyDescent="0.3">
      <c r="A2152" t="str">
        <f>"201426C0100"</f>
        <v>201426C0100</v>
      </c>
      <c r="B2152" t="str">
        <f>"201426C01003"</f>
        <v>201426C01003</v>
      </c>
      <c r="C2152" t="str">
        <f t="shared" si="130"/>
        <v>20</v>
      </c>
      <c r="D2152" t="s">
        <v>81</v>
      </c>
      <c r="E2152" t="str">
        <f t="shared" si="132"/>
        <v>292</v>
      </c>
      <c r="F2152" t="s">
        <v>2325</v>
      </c>
      <c r="G2152" t="str">
        <f>"1426"</f>
        <v>1426</v>
      </c>
      <c r="H2152" t="str">
        <f>"0001"</f>
        <v>0001</v>
      </c>
      <c r="I2152" t="s">
        <v>89</v>
      </c>
      <c r="J2152">
        <v>0</v>
      </c>
      <c r="K2152">
        <v>1</v>
      </c>
      <c r="L2152">
        <v>3</v>
      </c>
      <c r="M2152">
        <v>215</v>
      </c>
      <c r="N2152">
        <v>426</v>
      </c>
      <c r="O2152">
        <v>0</v>
      </c>
      <c r="P2152">
        <v>426</v>
      </c>
      <c r="Q2152">
        <v>2</v>
      </c>
      <c r="R2152">
        <v>6</v>
      </c>
      <c r="S2152">
        <v>3</v>
      </c>
      <c r="T2152">
        <v>10</v>
      </c>
      <c r="U2152">
        <v>76</v>
      </c>
      <c r="V2152">
        <v>89</v>
      </c>
      <c r="X2152">
        <v>169</v>
      </c>
      <c r="Y2152">
        <v>2</v>
      </c>
      <c r="Z2152">
        <v>1</v>
      </c>
      <c r="AA2152">
        <v>58</v>
      </c>
      <c r="AR2152" t="s">
        <v>95</v>
      </c>
      <c r="AV2152" t="s">
        <v>95</v>
      </c>
      <c r="AW2152">
        <v>1</v>
      </c>
      <c r="AX2152">
        <v>9</v>
      </c>
      <c r="AY2152">
        <v>426</v>
      </c>
      <c r="AZ2152">
        <v>426</v>
      </c>
      <c r="BA2152">
        <v>597</v>
      </c>
      <c r="BB2152">
        <v>44</v>
      </c>
      <c r="BC2152" t="s">
        <v>96</v>
      </c>
      <c r="BD2152">
        <v>1</v>
      </c>
      <c r="BF2152" t="s">
        <v>2327</v>
      </c>
      <c r="BG2152" s="1">
        <v>44353.965949074074</v>
      </c>
      <c r="BH2152" s="1">
        <v>44353.967106481483</v>
      </c>
      <c r="BI2152" s="1">
        <v>44353.967476851853</v>
      </c>
      <c r="BJ2152" t="s">
        <v>197</v>
      </c>
      <c r="BK2152" t="s">
        <v>198</v>
      </c>
      <c r="BL2152" t="s">
        <v>87</v>
      </c>
    </row>
    <row r="2153" spans="1:64" x14ac:dyDescent="0.3">
      <c r="A2153" t="str">
        <f>"201427B0000"</f>
        <v>201427B0000</v>
      </c>
      <c r="B2153" t="str">
        <f>"201427B00003"</f>
        <v>201427B00003</v>
      </c>
      <c r="C2153" t="str">
        <f t="shared" si="130"/>
        <v>20</v>
      </c>
      <c r="D2153" t="s">
        <v>81</v>
      </c>
      <c r="E2153" t="str">
        <f t="shared" si="132"/>
        <v>292</v>
      </c>
      <c r="F2153" t="s">
        <v>2325</v>
      </c>
      <c r="G2153" t="str">
        <f>"1427"</f>
        <v>1427</v>
      </c>
      <c r="H2153" t="str">
        <f>"0000"</f>
        <v>0000</v>
      </c>
      <c r="I2153" t="s">
        <v>83</v>
      </c>
      <c r="J2153">
        <v>0</v>
      </c>
      <c r="K2153">
        <v>1</v>
      </c>
      <c r="L2153">
        <v>3</v>
      </c>
      <c r="M2153">
        <v>223</v>
      </c>
      <c r="N2153">
        <v>354</v>
      </c>
      <c r="O2153">
        <v>5</v>
      </c>
      <c r="P2153">
        <v>354</v>
      </c>
      <c r="Q2153">
        <v>3</v>
      </c>
      <c r="R2153">
        <v>16</v>
      </c>
      <c r="S2153">
        <v>1</v>
      </c>
      <c r="T2153">
        <v>4</v>
      </c>
      <c r="U2153">
        <v>40</v>
      </c>
      <c r="V2153">
        <v>98</v>
      </c>
      <c r="X2153">
        <v>114</v>
      </c>
      <c r="Y2153">
        <v>1</v>
      </c>
      <c r="Z2153">
        <v>1</v>
      </c>
      <c r="AA2153">
        <v>68</v>
      </c>
      <c r="AR2153" t="s">
        <v>95</v>
      </c>
      <c r="AV2153" t="s">
        <v>95</v>
      </c>
      <c r="AW2153" t="s">
        <v>95</v>
      </c>
      <c r="AX2153">
        <v>8</v>
      </c>
      <c r="AY2153">
        <v>354</v>
      </c>
      <c r="AZ2153">
        <v>354</v>
      </c>
      <c r="BA2153">
        <v>533</v>
      </c>
      <c r="BB2153">
        <v>44</v>
      </c>
      <c r="BC2153" t="s">
        <v>96</v>
      </c>
      <c r="BD2153">
        <v>1</v>
      </c>
      <c r="BF2153" t="s">
        <v>2328</v>
      </c>
      <c r="BG2153" s="1">
        <v>44353.878738425927</v>
      </c>
      <c r="BH2153" s="1">
        <v>44353.880659722221</v>
      </c>
      <c r="BI2153" s="1">
        <v>44353.881365740737</v>
      </c>
      <c r="BJ2153" t="s">
        <v>197</v>
      </c>
      <c r="BK2153" t="s">
        <v>198</v>
      </c>
      <c r="BL2153" t="s">
        <v>87</v>
      </c>
    </row>
    <row r="2154" spans="1:64" x14ac:dyDescent="0.3">
      <c r="A2154" t="str">
        <f>"201427C0100"</f>
        <v>201427C0100</v>
      </c>
      <c r="B2154" t="str">
        <f>"201427C01003"</f>
        <v>201427C01003</v>
      </c>
      <c r="C2154" t="str">
        <f t="shared" si="130"/>
        <v>20</v>
      </c>
      <c r="D2154" t="s">
        <v>81</v>
      </c>
      <c r="E2154" t="str">
        <f t="shared" si="132"/>
        <v>292</v>
      </c>
      <c r="F2154" t="s">
        <v>2325</v>
      </c>
      <c r="G2154" t="str">
        <f>"1427"</f>
        <v>1427</v>
      </c>
      <c r="H2154" t="str">
        <f>"0001"</f>
        <v>0001</v>
      </c>
      <c r="I2154" t="s">
        <v>89</v>
      </c>
      <c r="J2154">
        <v>0</v>
      </c>
      <c r="K2154">
        <v>1</v>
      </c>
      <c r="L2154">
        <v>3</v>
      </c>
      <c r="M2154">
        <v>189</v>
      </c>
      <c r="N2154" t="s">
        <v>92</v>
      </c>
      <c r="O2154" t="s">
        <v>92</v>
      </c>
      <c r="P2154" t="s">
        <v>92</v>
      </c>
      <c r="Q2154">
        <v>1</v>
      </c>
      <c r="R2154">
        <v>16</v>
      </c>
      <c r="S2154">
        <v>0</v>
      </c>
      <c r="T2154">
        <v>1</v>
      </c>
      <c r="U2154">
        <v>27</v>
      </c>
      <c r="V2154">
        <v>136</v>
      </c>
      <c r="X2154">
        <v>118</v>
      </c>
      <c r="Y2154">
        <v>1</v>
      </c>
      <c r="Z2154">
        <v>3</v>
      </c>
      <c r="AA2154">
        <v>77</v>
      </c>
      <c r="AR2154" t="s">
        <v>95</v>
      </c>
      <c r="AV2154" t="s">
        <v>95</v>
      </c>
      <c r="AW2154" t="s">
        <v>95</v>
      </c>
      <c r="AX2154">
        <v>8</v>
      </c>
      <c r="AY2154">
        <v>388</v>
      </c>
      <c r="AZ2154">
        <v>388</v>
      </c>
      <c r="BA2154">
        <v>533</v>
      </c>
      <c r="BB2154">
        <v>44</v>
      </c>
      <c r="BC2154" t="s">
        <v>96</v>
      </c>
      <c r="BD2154">
        <v>1</v>
      </c>
      <c r="BF2154" t="s">
        <v>2329</v>
      </c>
      <c r="BG2154" s="1">
        <v>44354.1</v>
      </c>
      <c r="BH2154" s="1">
        <v>44354.106724537036</v>
      </c>
      <c r="BI2154" s="1">
        <v>44354.10738425926</v>
      </c>
      <c r="BJ2154" t="s">
        <v>85</v>
      </c>
      <c r="BK2154" t="s">
        <v>86</v>
      </c>
      <c r="BL2154" t="s">
        <v>87</v>
      </c>
    </row>
    <row r="2155" spans="1:64" x14ac:dyDescent="0.3">
      <c r="A2155" t="str">
        <f>"201427C0200"</f>
        <v>201427C0200</v>
      </c>
      <c r="B2155" t="str">
        <f>"201427C02003"</f>
        <v>201427C02003</v>
      </c>
      <c r="C2155" t="str">
        <f t="shared" si="130"/>
        <v>20</v>
      </c>
      <c r="D2155" t="s">
        <v>81</v>
      </c>
      <c r="E2155" t="str">
        <f t="shared" si="132"/>
        <v>292</v>
      </c>
      <c r="F2155" t="s">
        <v>2325</v>
      </c>
      <c r="G2155" t="str">
        <f>"1427"</f>
        <v>1427</v>
      </c>
      <c r="H2155" t="str">
        <f>"0002"</f>
        <v>0002</v>
      </c>
      <c r="I2155" t="s">
        <v>89</v>
      </c>
      <c r="J2155">
        <v>0</v>
      </c>
      <c r="K2155">
        <v>1</v>
      </c>
      <c r="L2155">
        <v>3</v>
      </c>
      <c r="M2155">
        <v>204</v>
      </c>
      <c r="N2155">
        <v>373</v>
      </c>
      <c r="O2155">
        <v>2</v>
      </c>
      <c r="P2155" t="s">
        <v>92</v>
      </c>
      <c r="Q2155">
        <v>2</v>
      </c>
      <c r="R2155">
        <v>14</v>
      </c>
      <c r="S2155">
        <v>2</v>
      </c>
      <c r="T2155">
        <v>6</v>
      </c>
      <c r="U2155">
        <v>26</v>
      </c>
      <c r="V2155">
        <v>92</v>
      </c>
      <c r="X2155">
        <v>161</v>
      </c>
      <c r="Y2155">
        <v>0</v>
      </c>
      <c r="Z2155">
        <v>1</v>
      </c>
      <c r="AA2155">
        <v>66</v>
      </c>
      <c r="AR2155">
        <v>0</v>
      </c>
      <c r="AV2155">
        <v>0</v>
      </c>
      <c r="AW2155">
        <v>0</v>
      </c>
      <c r="AX2155">
        <v>3</v>
      </c>
      <c r="AY2155">
        <v>373</v>
      </c>
      <c r="AZ2155">
        <v>373</v>
      </c>
      <c r="BA2155">
        <v>533</v>
      </c>
      <c r="BB2155">
        <v>44</v>
      </c>
      <c r="BD2155">
        <v>1</v>
      </c>
      <c r="BF2155" t="s">
        <v>2330</v>
      </c>
      <c r="BG2155" s="1">
        <v>44354.099305555559</v>
      </c>
      <c r="BH2155" s="1">
        <v>44354.104039351849</v>
      </c>
      <c r="BI2155" s="1">
        <v>44354.104791666665</v>
      </c>
      <c r="BJ2155" t="s">
        <v>85</v>
      </c>
      <c r="BK2155" t="s">
        <v>86</v>
      </c>
      <c r="BL2155" t="s">
        <v>87</v>
      </c>
    </row>
    <row r="2156" spans="1:64" x14ac:dyDescent="0.3">
      <c r="A2156" t="str">
        <f>"201428B0000"</f>
        <v>201428B0000</v>
      </c>
      <c r="B2156" t="str">
        <f>"201428B00003"</f>
        <v>201428B00003</v>
      </c>
      <c r="C2156" t="str">
        <f t="shared" si="130"/>
        <v>20</v>
      </c>
      <c r="D2156" t="s">
        <v>81</v>
      </c>
      <c r="E2156" t="str">
        <f t="shared" si="132"/>
        <v>292</v>
      </c>
      <c r="F2156" t="s">
        <v>2325</v>
      </c>
      <c r="G2156" t="str">
        <f>"1428"</f>
        <v>1428</v>
      </c>
      <c r="H2156" t="str">
        <f>"0000"</f>
        <v>0000</v>
      </c>
      <c r="I2156" t="s">
        <v>83</v>
      </c>
      <c r="J2156">
        <v>0</v>
      </c>
      <c r="K2156">
        <v>1</v>
      </c>
      <c r="L2156">
        <v>3</v>
      </c>
      <c r="M2156">
        <v>146</v>
      </c>
      <c r="N2156">
        <v>415</v>
      </c>
      <c r="O2156">
        <v>4</v>
      </c>
      <c r="P2156">
        <v>415</v>
      </c>
      <c r="Q2156">
        <v>1</v>
      </c>
      <c r="R2156">
        <v>9</v>
      </c>
      <c r="S2156">
        <v>1</v>
      </c>
      <c r="T2156">
        <v>1</v>
      </c>
      <c r="U2156">
        <v>58</v>
      </c>
      <c r="V2156">
        <v>78</v>
      </c>
      <c r="X2156">
        <v>160</v>
      </c>
      <c r="Y2156">
        <v>2</v>
      </c>
      <c r="Z2156">
        <v>1</v>
      </c>
      <c r="AA2156">
        <v>100</v>
      </c>
      <c r="AR2156">
        <v>0</v>
      </c>
      <c r="AV2156">
        <v>0</v>
      </c>
      <c r="AW2156">
        <v>0</v>
      </c>
      <c r="AX2156">
        <v>4</v>
      </c>
      <c r="AY2156">
        <v>415</v>
      </c>
      <c r="AZ2156">
        <v>415</v>
      </c>
      <c r="BA2156">
        <v>517</v>
      </c>
      <c r="BB2156">
        <v>44</v>
      </c>
      <c r="BD2156">
        <v>1</v>
      </c>
      <c r="BF2156" t="s">
        <v>2331</v>
      </c>
      <c r="BG2156" s="1">
        <v>44354.099305555559</v>
      </c>
      <c r="BH2156" s="1">
        <v>44354.104444444441</v>
      </c>
      <c r="BI2156" s="1">
        <v>44354.105254629627</v>
      </c>
      <c r="BJ2156" t="s">
        <v>85</v>
      </c>
      <c r="BK2156" t="s">
        <v>86</v>
      </c>
      <c r="BL2156" t="s">
        <v>87</v>
      </c>
    </row>
    <row r="2157" spans="1:64" x14ac:dyDescent="0.3">
      <c r="A2157" t="str">
        <f>"201428C0100"</f>
        <v>201428C0100</v>
      </c>
      <c r="B2157" t="str">
        <f>"201428C01003"</f>
        <v>201428C01003</v>
      </c>
      <c r="C2157" t="str">
        <f t="shared" si="130"/>
        <v>20</v>
      </c>
      <c r="D2157" t="s">
        <v>81</v>
      </c>
      <c r="E2157" t="str">
        <f t="shared" si="132"/>
        <v>292</v>
      </c>
      <c r="F2157" t="s">
        <v>2325</v>
      </c>
      <c r="G2157" t="str">
        <f>"1428"</f>
        <v>1428</v>
      </c>
      <c r="H2157" t="str">
        <f>"0001"</f>
        <v>0001</v>
      </c>
      <c r="I2157" t="s">
        <v>89</v>
      </c>
      <c r="J2157">
        <v>0</v>
      </c>
      <c r="K2157">
        <v>1</v>
      </c>
      <c r="L2157">
        <v>3</v>
      </c>
      <c r="M2157">
        <v>168</v>
      </c>
      <c r="N2157">
        <v>392</v>
      </c>
      <c r="O2157">
        <v>2</v>
      </c>
      <c r="P2157">
        <v>392</v>
      </c>
      <c r="Q2157">
        <v>2</v>
      </c>
      <c r="R2157">
        <v>7</v>
      </c>
      <c r="S2157">
        <v>2</v>
      </c>
      <c r="T2157">
        <v>1</v>
      </c>
      <c r="U2157">
        <v>91</v>
      </c>
      <c r="V2157">
        <v>72</v>
      </c>
      <c r="X2157">
        <v>122</v>
      </c>
      <c r="Y2157">
        <v>0</v>
      </c>
      <c r="Z2157">
        <v>0</v>
      </c>
      <c r="AA2157">
        <v>92</v>
      </c>
      <c r="AR2157">
        <v>0</v>
      </c>
      <c r="AV2157">
        <v>0</v>
      </c>
      <c r="AW2157">
        <v>0</v>
      </c>
      <c r="AX2157">
        <v>3</v>
      </c>
      <c r="AY2157">
        <v>392</v>
      </c>
      <c r="AZ2157">
        <v>392</v>
      </c>
      <c r="BA2157">
        <v>517</v>
      </c>
      <c r="BB2157">
        <v>44</v>
      </c>
      <c r="BD2157">
        <v>1</v>
      </c>
      <c r="BF2157" t="s">
        <v>2332</v>
      </c>
      <c r="BG2157" s="1">
        <v>44354.1</v>
      </c>
      <c r="BH2157" s="1">
        <v>44354.106863425928</v>
      </c>
      <c r="BI2157" s="1">
        <v>44354.107314814813</v>
      </c>
      <c r="BJ2157" t="s">
        <v>85</v>
      </c>
      <c r="BK2157" t="s">
        <v>86</v>
      </c>
      <c r="BL2157" t="s">
        <v>87</v>
      </c>
    </row>
    <row r="2158" spans="1:64" x14ac:dyDescent="0.3">
      <c r="A2158" t="str">
        <f>"201429B0000"</f>
        <v>201429B0000</v>
      </c>
      <c r="B2158" t="str">
        <f>"201429B00003"</f>
        <v>201429B00003</v>
      </c>
      <c r="C2158" t="str">
        <f t="shared" si="130"/>
        <v>20</v>
      </c>
      <c r="D2158" t="s">
        <v>81</v>
      </c>
      <c r="E2158" t="str">
        <f t="shared" si="132"/>
        <v>292</v>
      </c>
      <c r="F2158" t="s">
        <v>2325</v>
      </c>
      <c r="G2158" t="str">
        <f>"1429"</f>
        <v>1429</v>
      </c>
      <c r="H2158" t="str">
        <f>"0000"</f>
        <v>0000</v>
      </c>
      <c r="I2158" t="s">
        <v>83</v>
      </c>
      <c r="J2158">
        <v>0</v>
      </c>
      <c r="K2158">
        <v>1</v>
      </c>
      <c r="L2158">
        <v>3</v>
      </c>
      <c r="M2158">
        <v>229</v>
      </c>
      <c r="N2158">
        <v>449</v>
      </c>
      <c r="O2158">
        <v>1</v>
      </c>
      <c r="P2158">
        <v>449</v>
      </c>
      <c r="Q2158">
        <v>3</v>
      </c>
      <c r="R2158">
        <v>11</v>
      </c>
      <c r="S2158">
        <v>1</v>
      </c>
      <c r="T2158">
        <v>3</v>
      </c>
      <c r="U2158">
        <v>57</v>
      </c>
      <c r="V2158">
        <v>145</v>
      </c>
      <c r="X2158">
        <v>155</v>
      </c>
      <c r="Y2158">
        <v>0</v>
      </c>
      <c r="Z2158">
        <v>1</v>
      </c>
      <c r="AA2158">
        <v>67</v>
      </c>
      <c r="AR2158">
        <v>0</v>
      </c>
      <c r="AV2158">
        <v>0</v>
      </c>
      <c r="AW2158">
        <v>0</v>
      </c>
      <c r="AX2158">
        <v>6</v>
      </c>
      <c r="AY2158">
        <v>449</v>
      </c>
      <c r="AZ2158">
        <v>449</v>
      </c>
      <c r="BA2158">
        <v>634</v>
      </c>
      <c r="BB2158">
        <v>44</v>
      </c>
      <c r="BD2158">
        <v>1</v>
      </c>
      <c r="BF2158" t="s">
        <v>2333</v>
      </c>
      <c r="BG2158" s="1">
        <v>44353.937974537039</v>
      </c>
      <c r="BH2158" s="1">
        <v>44353.939745370371</v>
      </c>
      <c r="BI2158" s="1">
        <v>44353.940358796295</v>
      </c>
      <c r="BJ2158" t="s">
        <v>197</v>
      </c>
      <c r="BK2158" t="s">
        <v>198</v>
      </c>
      <c r="BL2158" t="s">
        <v>87</v>
      </c>
    </row>
    <row r="2159" spans="1:64" x14ac:dyDescent="0.3">
      <c r="A2159" t="str">
        <f>"201429C0100"</f>
        <v>201429C0100</v>
      </c>
      <c r="B2159" t="str">
        <f>"201429C01003"</f>
        <v>201429C01003</v>
      </c>
      <c r="C2159" t="str">
        <f t="shared" si="130"/>
        <v>20</v>
      </c>
      <c r="D2159" t="s">
        <v>81</v>
      </c>
      <c r="E2159" t="str">
        <f t="shared" si="132"/>
        <v>292</v>
      </c>
      <c r="F2159" t="s">
        <v>2325</v>
      </c>
      <c r="G2159" t="str">
        <f>"1429"</f>
        <v>1429</v>
      </c>
      <c r="H2159" t="str">
        <f>"0001"</f>
        <v>0001</v>
      </c>
      <c r="I2159" t="s">
        <v>89</v>
      </c>
      <c r="J2159">
        <v>0</v>
      </c>
      <c r="K2159">
        <v>1</v>
      </c>
      <c r="L2159">
        <v>3</v>
      </c>
      <c r="M2159">
        <v>223</v>
      </c>
      <c r="N2159">
        <v>455</v>
      </c>
      <c r="O2159">
        <v>5</v>
      </c>
      <c r="P2159">
        <v>455</v>
      </c>
      <c r="Q2159">
        <v>2</v>
      </c>
      <c r="R2159">
        <v>5</v>
      </c>
      <c r="S2159">
        <v>1</v>
      </c>
      <c r="T2159">
        <v>7</v>
      </c>
      <c r="U2159">
        <v>69</v>
      </c>
      <c r="V2159">
        <v>130</v>
      </c>
      <c r="X2159">
        <v>138</v>
      </c>
      <c r="Y2159">
        <v>0</v>
      </c>
      <c r="Z2159">
        <v>4</v>
      </c>
      <c r="AA2159">
        <v>84</v>
      </c>
      <c r="AR2159">
        <v>1</v>
      </c>
      <c r="AV2159">
        <v>0</v>
      </c>
      <c r="AW2159">
        <v>1</v>
      </c>
      <c r="AX2159">
        <v>13</v>
      </c>
      <c r="AY2159">
        <v>455</v>
      </c>
      <c r="AZ2159">
        <v>455</v>
      </c>
      <c r="BA2159">
        <v>634</v>
      </c>
      <c r="BB2159">
        <v>44</v>
      </c>
      <c r="BD2159">
        <v>1</v>
      </c>
      <c r="BF2159" t="s">
        <v>2334</v>
      </c>
      <c r="BG2159" s="1">
        <v>44354.1</v>
      </c>
      <c r="BH2159" s="1">
        <v>44354.107349537036</v>
      </c>
      <c r="BI2159" s="1">
        <v>44354.107766203706</v>
      </c>
      <c r="BJ2159" t="s">
        <v>85</v>
      </c>
      <c r="BK2159" t="s">
        <v>86</v>
      </c>
      <c r="BL2159" t="s">
        <v>87</v>
      </c>
    </row>
    <row r="2160" spans="1:64" x14ac:dyDescent="0.3">
      <c r="A2160" t="str">
        <f>"201430B0000"</f>
        <v>201430B0000</v>
      </c>
      <c r="B2160" t="str">
        <f>"201430B00003"</f>
        <v>201430B00003</v>
      </c>
      <c r="C2160" t="str">
        <f t="shared" si="130"/>
        <v>20</v>
      </c>
      <c r="D2160" t="s">
        <v>81</v>
      </c>
      <c r="E2160" t="str">
        <f t="shared" si="132"/>
        <v>292</v>
      </c>
      <c r="F2160" t="s">
        <v>2325</v>
      </c>
      <c r="G2160" t="str">
        <f>"1430"</f>
        <v>1430</v>
      </c>
      <c r="H2160" t="str">
        <f>"0000"</f>
        <v>0000</v>
      </c>
      <c r="I2160" t="s">
        <v>83</v>
      </c>
      <c r="J2160">
        <v>0</v>
      </c>
      <c r="K2160">
        <v>1</v>
      </c>
      <c r="L2160">
        <v>3</v>
      </c>
      <c r="M2160">
        <v>95</v>
      </c>
      <c r="N2160">
        <v>218</v>
      </c>
      <c r="O2160">
        <v>3</v>
      </c>
      <c r="P2160">
        <v>218</v>
      </c>
      <c r="Q2160">
        <v>0</v>
      </c>
      <c r="R2160">
        <v>6</v>
      </c>
      <c r="S2160">
        <v>0</v>
      </c>
      <c r="T2160">
        <v>0</v>
      </c>
      <c r="U2160">
        <v>9</v>
      </c>
      <c r="V2160">
        <v>105</v>
      </c>
      <c r="X2160">
        <v>83</v>
      </c>
      <c r="Y2160">
        <v>0</v>
      </c>
      <c r="Z2160">
        <v>0</v>
      </c>
      <c r="AA2160">
        <v>11</v>
      </c>
      <c r="AR2160">
        <v>0</v>
      </c>
      <c r="AV2160">
        <v>0</v>
      </c>
      <c r="AW2160">
        <v>0</v>
      </c>
      <c r="AX2160">
        <v>4</v>
      </c>
      <c r="AY2160">
        <v>218</v>
      </c>
      <c r="AZ2160">
        <v>218</v>
      </c>
      <c r="BA2160">
        <v>269</v>
      </c>
      <c r="BB2160">
        <v>44</v>
      </c>
      <c r="BD2160">
        <v>1</v>
      </c>
      <c r="BF2160" t="s">
        <v>2335</v>
      </c>
      <c r="BG2160" s="1">
        <v>44354.098611111112</v>
      </c>
      <c r="BH2160" s="1">
        <v>44354.102465277778</v>
      </c>
      <c r="BI2160" s="1">
        <v>44354.102847222224</v>
      </c>
      <c r="BJ2160" t="s">
        <v>85</v>
      </c>
      <c r="BK2160" t="s">
        <v>86</v>
      </c>
      <c r="BL2160" t="s">
        <v>87</v>
      </c>
    </row>
    <row r="2161" spans="1:64" x14ac:dyDescent="0.3">
      <c r="A2161" t="str">
        <f>"201431B0000"</f>
        <v>201431B0000</v>
      </c>
      <c r="B2161" t="str">
        <f>"201431B00003"</f>
        <v>201431B00003</v>
      </c>
      <c r="C2161" t="str">
        <f t="shared" si="130"/>
        <v>20</v>
      </c>
      <c r="D2161" t="s">
        <v>81</v>
      </c>
      <c r="E2161" t="str">
        <f t="shared" ref="E2161:E2173" si="133">"293"</f>
        <v>293</v>
      </c>
      <c r="F2161" t="s">
        <v>2336</v>
      </c>
      <c r="G2161" t="str">
        <f>"1431"</f>
        <v>1431</v>
      </c>
      <c r="H2161" t="str">
        <f>"0000"</f>
        <v>0000</v>
      </c>
      <c r="I2161" t="s">
        <v>83</v>
      </c>
      <c r="J2161">
        <v>0</v>
      </c>
      <c r="K2161">
        <v>1</v>
      </c>
      <c r="L2161">
        <v>3</v>
      </c>
      <c r="M2161">
        <v>175</v>
      </c>
      <c r="N2161">
        <v>382</v>
      </c>
      <c r="O2161">
        <v>8</v>
      </c>
      <c r="P2161">
        <v>382</v>
      </c>
      <c r="Q2161">
        <v>10</v>
      </c>
      <c r="R2161">
        <v>53</v>
      </c>
      <c r="T2161">
        <v>91</v>
      </c>
      <c r="U2161">
        <v>37</v>
      </c>
      <c r="W2161">
        <v>31</v>
      </c>
      <c r="X2161">
        <v>49</v>
      </c>
      <c r="Z2161">
        <v>0</v>
      </c>
      <c r="AB2161">
        <v>0</v>
      </c>
      <c r="AC2161">
        <v>94</v>
      </c>
      <c r="AW2161">
        <v>1</v>
      </c>
      <c r="AX2161">
        <v>16</v>
      </c>
      <c r="AY2161">
        <v>382</v>
      </c>
      <c r="AZ2161">
        <v>382</v>
      </c>
      <c r="BA2161">
        <v>511</v>
      </c>
      <c r="BB2161">
        <v>46</v>
      </c>
      <c r="BD2161">
        <v>1</v>
      </c>
      <c r="BF2161" t="s">
        <v>2337</v>
      </c>
      <c r="BG2161" s="1">
        <v>44354.114583333336</v>
      </c>
      <c r="BH2161" s="1">
        <v>44354.116597222222</v>
      </c>
      <c r="BI2161" s="1">
        <v>44354.117013888892</v>
      </c>
      <c r="BJ2161" t="s">
        <v>85</v>
      </c>
      <c r="BK2161" t="s">
        <v>86</v>
      </c>
      <c r="BL2161" t="s">
        <v>87</v>
      </c>
    </row>
    <row r="2162" spans="1:64" x14ac:dyDescent="0.3">
      <c r="A2162" t="str">
        <f>"201431C0100"</f>
        <v>201431C0100</v>
      </c>
      <c r="B2162" t="str">
        <f>"201431C01003"</f>
        <v>201431C01003</v>
      </c>
      <c r="C2162" t="str">
        <f t="shared" si="130"/>
        <v>20</v>
      </c>
      <c r="D2162" t="s">
        <v>81</v>
      </c>
      <c r="E2162" t="str">
        <f t="shared" si="133"/>
        <v>293</v>
      </c>
      <c r="F2162" t="s">
        <v>2336</v>
      </c>
      <c r="G2162" t="str">
        <f>"1431"</f>
        <v>1431</v>
      </c>
      <c r="H2162" t="str">
        <f>"0001"</f>
        <v>0001</v>
      </c>
      <c r="I2162" t="s">
        <v>89</v>
      </c>
      <c r="J2162">
        <v>0</v>
      </c>
      <c r="K2162">
        <v>1</v>
      </c>
      <c r="L2162">
        <v>3</v>
      </c>
      <c r="M2162">
        <v>167</v>
      </c>
      <c r="N2162">
        <v>389</v>
      </c>
      <c r="O2162">
        <v>10</v>
      </c>
      <c r="P2162">
        <v>389</v>
      </c>
      <c r="Q2162">
        <v>10</v>
      </c>
      <c r="R2162">
        <v>35</v>
      </c>
      <c r="T2162">
        <v>128</v>
      </c>
      <c r="U2162">
        <v>46</v>
      </c>
      <c r="W2162">
        <v>11</v>
      </c>
      <c r="X2162">
        <v>39</v>
      </c>
      <c r="Z2162">
        <v>0</v>
      </c>
      <c r="AB2162">
        <v>2</v>
      </c>
      <c r="AC2162">
        <v>105</v>
      </c>
      <c r="AW2162">
        <v>0</v>
      </c>
      <c r="AX2162">
        <v>13</v>
      </c>
      <c r="AY2162">
        <v>389</v>
      </c>
      <c r="AZ2162">
        <v>389</v>
      </c>
      <c r="BA2162">
        <v>510</v>
      </c>
      <c r="BB2162">
        <v>46</v>
      </c>
      <c r="BD2162">
        <v>1</v>
      </c>
      <c r="BF2162" t="s">
        <v>2338</v>
      </c>
      <c r="BG2162" s="1">
        <v>44354.131249999999</v>
      </c>
      <c r="BH2162" s="1">
        <v>44354.132962962962</v>
      </c>
      <c r="BI2162" s="1">
        <v>44354.133483796293</v>
      </c>
      <c r="BJ2162" t="s">
        <v>85</v>
      </c>
      <c r="BK2162" t="s">
        <v>86</v>
      </c>
      <c r="BL2162" t="s">
        <v>87</v>
      </c>
    </row>
    <row r="2163" spans="1:64" x14ac:dyDescent="0.3">
      <c r="A2163" t="str">
        <f>"201431C0200"</f>
        <v>201431C0200</v>
      </c>
      <c r="B2163" t="str">
        <f>"201431C02003"</f>
        <v>201431C02003</v>
      </c>
      <c r="C2163" t="str">
        <f t="shared" si="130"/>
        <v>20</v>
      </c>
      <c r="D2163" t="s">
        <v>81</v>
      </c>
      <c r="E2163" t="str">
        <f t="shared" si="133"/>
        <v>293</v>
      </c>
      <c r="F2163" t="s">
        <v>2336</v>
      </c>
      <c r="G2163" t="str">
        <f>"1431"</f>
        <v>1431</v>
      </c>
      <c r="H2163" t="str">
        <f>"0002"</f>
        <v>0002</v>
      </c>
      <c r="I2163" t="s">
        <v>89</v>
      </c>
      <c r="J2163">
        <v>0</v>
      </c>
      <c r="K2163">
        <v>1</v>
      </c>
      <c r="L2163">
        <v>3</v>
      </c>
      <c r="M2163">
        <v>173</v>
      </c>
      <c r="N2163">
        <v>383</v>
      </c>
      <c r="O2163">
        <v>8</v>
      </c>
      <c r="P2163">
        <v>383</v>
      </c>
      <c r="Q2163">
        <v>11</v>
      </c>
      <c r="R2163">
        <v>52</v>
      </c>
      <c r="T2163">
        <v>109</v>
      </c>
      <c r="U2163">
        <v>43</v>
      </c>
      <c r="W2163">
        <v>19</v>
      </c>
      <c r="X2163">
        <v>32</v>
      </c>
      <c r="Z2163">
        <v>0</v>
      </c>
      <c r="AB2163">
        <v>2</v>
      </c>
      <c r="AC2163">
        <v>107</v>
      </c>
      <c r="AW2163">
        <v>0</v>
      </c>
      <c r="AX2163">
        <v>8</v>
      </c>
      <c r="AY2163">
        <v>383</v>
      </c>
      <c r="AZ2163">
        <v>383</v>
      </c>
      <c r="BA2163">
        <v>510</v>
      </c>
      <c r="BB2163">
        <v>46</v>
      </c>
      <c r="BD2163">
        <v>1</v>
      </c>
      <c r="BF2163" t="s">
        <v>2339</v>
      </c>
      <c r="BG2163" s="1">
        <v>44354.128472222219</v>
      </c>
      <c r="BH2163" s="1">
        <v>44354.129224537035</v>
      </c>
      <c r="BI2163" s="1">
        <v>44354.129652777781</v>
      </c>
      <c r="BJ2163" t="s">
        <v>85</v>
      </c>
      <c r="BK2163" t="s">
        <v>86</v>
      </c>
      <c r="BL2163" t="s">
        <v>87</v>
      </c>
    </row>
    <row r="2164" spans="1:64" x14ac:dyDescent="0.3">
      <c r="A2164" t="str">
        <f>"201432B0000"</f>
        <v>201432B0000</v>
      </c>
      <c r="B2164" t="str">
        <f>"201432B00003"</f>
        <v>201432B00003</v>
      </c>
      <c r="C2164" t="str">
        <f t="shared" si="130"/>
        <v>20</v>
      </c>
      <c r="D2164" t="s">
        <v>81</v>
      </c>
      <c r="E2164" t="str">
        <f t="shared" si="133"/>
        <v>293</v>
      </c>
      <c r="F2164" t="s">
        <v>2336</v>
      </c>
      <c r="G2164" t="str">
        <f>"1432"</f>
        <v>1432</v>
      </c>
      <c r="H2164" t="str">
        <f>"0000"</f>
        <v>0000</v>
      </c>
      <c r="I2164" t="s">
        <v>83</v>
      </c>
      <c r="J2164">
        <v>0</v>
      </c>
      <c r="K2164">
        <v>1</v>
      </c>
      <c r="L2164">
        <v>3</v>
      </c>
      <c r="M2164">
        <v>217</v>
      </c>
      <c r="N2164">
        <v>525</v>
      </c>
      <c r="O2164">
        <v>10</v>
      </c>
      <c r="P2164">
        <v>525</v>
      </c>
      <c r="Q2164">
        <v>20</v>
      </c>
      <c r="R2164">
        <v>51</v>
      </c>
      <c r="T2164">
        <v>164</v>
      </c>
      <c r="U2164">
        <v>92</v>
      </c>
      <c r="W2164">
        <v>26</v>
      </c>
      <c r="X2164">
        <v>43</v>
      </c>
      <c r="Z2164">
        <v>1</v>
      </c>
      <c r="AB2164">
        <v>0</v>
      </c>
      <c r="AC2164">
        <v>111</v>
      </c>
      <c r="AW2164">
        <v>0</v>
      </c>
      <c r="AX2164">
        <v>17</v>
      </c>
      <c r="AY2164">
        <v>525</v>
      </c>
      <c r="AZ2164">
        <v>525</v>
      </c>
      <c r="BA2164">
        <v>696</v>
      </c>
      <c r="BB2164">
        <v>46</v>
      </c>
      <c r="BD2164">
        <v>1</v>
      </c>
      <c r="BF2164" t="s">
        <v>2340</v>
      </c>
      <c r="BG2164" s="1">
        <v>44354.12222222222</v>
      </c>
      <c r="BH2164" s="1">
        <v>44354.123692129629</v>
      </c>
      <c r="BI2164" s="1">
        <v>44354.124016203707</v>
      </c>
      <c r="BJ2164" t="s">
        <v>85</v>
      </c>
      <c r="BK2164" t="s">
        <v>86</v>
      </c>
      <c r="BL2164" t="s">
        <v>87</v>
      </c>
    </row>
    <row r="2165" spans="1:64" x14ac:dyDescent="0.3">
      <c r="A2165" t="str">
        <f>"201432C0100"</f>
        <v>201432C0100</v>
      </c>
      <c r="B2165" t="str">
        <f>"201432C01003"</f>
        <v>201432C01003</v>
      </c>
      <c r="C2165" t="str">
        <f t="shared" si="130"/>
        <v>20</v>
      </c>
      <c r="D2165" t="s">
        <v>81</v>
      </c>
      <c r="E2165" t="str">
        <f t="shared" si="133"/>
        <v>293</v>
      </c>
      <c r="F2165" t="s">
        <v>2336</v>
      </c>
      <c r="G2165" t="str">
        <f>"1432"</f>
        <v>1432</v>
      </c>
      <c r="H2165" t="str">
        <f>"0001"</f>
        <v>0001</v>
      </c>
      <c r="I2165" t="s">
        <v>89</v>
      </c>
      <c r="J2165">
        <v>0</v>
      </c>
      <c r="K2165">
        <v>1</v>
      </c>
      <c r="L2165">
        <v>3</v>
      </c>
      <c r="M2165">
        <v>223</v>
      </c>
      <c r="N2165">
        <v>508</v>
      </c>
      <c r="O2165">
        <v>5</v>
      </c>
      <c r="P2165">
        <v>508</v>
      </c>
      <c r="Q2165">
        <v>12</v>
      </c>
      <c r="R2165">
        <v>77</v>
      </c>
      <c r="T2165">
        <v>156</v>
      </c>
      <c r="U2165">
        <v>88</v>
      </c>
      <c r="W2165">
        <v>38</v>
      </c>
      <c r="X2165">
        <v>41</v>
      </c>
      <c r="Z2165">
        <v>3</v>
      </c>
      <c r="AB2165">
        <v>0</v>
      </c>
      <c r="AC2165">
        <v>85</v>
      </c>
      <c r="AW2165">
        <v>0</v>
      </c>
      <c r="AX2165">
        <v>8</v>
      </c>
      <c r="AY2165">
        <v>508</v>
      </c>
      <c r="AZ2165">
        <v>508</v>
      </c>
      <c r="BA2165">
        <v>695</v>
      </c>
      <c r="BB2165">
        <v>46</v>
      </c>
      <c r="BD2165">
        <v>1</v>
      </c>
      <c r="BF2165" t="s">
        <v>2341</v>
      </c>
      <c r="BG2165" s="1">
        <v>44354.118750000001</v>
      </c>
      <c r="BH2165" s="1">
        <v>44354.120636574073</v>
      </c>
      <c r="BI2165" s="1">
        <v>44354.121388888889</v>
      </c>
      <c r="BJ2165" t="s">
        <v>85</v>
      </c>
      <c r="BK2165" t="s">
        <v>86</v>
      </c>
      <c r="BL2165" t="s">
        <v>87</v>
      </c>
    </row>
    <row r="2166" spans="1:64" x14ac:dyDescent="0.3">
      <c r="A2166" t="str">
        <f>"201433B0000"</f>
        <v>201433B0000</v>
      </c>
      <c r="B2166" t="str">
        <f>"201433B00003"</f>
        <v>201433B00003</v>
      </c>
      <c r="C2166" t="str">
        <f t="shared" si="130"/>
        <v>20</v>
      </c>
      <c r="D2166" t="s">
        <v>81</v>
      </c>
      <c r="E2166" t="str">
        <f t="shared" si="133"/>
        <v>293</v>
      </c>
      <c r="F2166" t="s">
        <v>2336</v>
      </c>
      <c r="G2166" t="str">
        <f>"1433"</f>
        <v>1433</v>
      </c>
      <c r="H2166" t="str">
        <f>"0000"</f>
        <v>0000</v>
      </c>
      <c r="I2166" t="s">
        <v>83</v>
      </c>
      <c r="J2166">
        <v>0</v>
      </c>
      <c r="K2166">
        <v>1</v>
      </c>
      <c r="L2166">
        <v>3</v>
      </c>
      <c r="M2166">
        <v>202</v>
      </c>
      <c r="N2166">
        <v>497</v>
      </c>
      <c r="O2166">
        <v>9</v>
      </c>
      <c r="P2166">
        <v>3</v>
      </c>
      <c r="Q2166">
        <v>18</v>
      </c>
      <c r="R2166">
        <v>53</v>
      </c>
      <c r="T2166">
        <v>123</v>
      </c>
      <c r="U2166">
        <v>68</v>
      </c>
      <c r="W2166">
        <v>17</v>
      </c>
      <c r="X2166">
        <v>54</v>
      </c>
      <c r="Z2166">
        <v>2</v>
      </c>
      <c r="AB2166">
        <v>2</v>
      </c>
      <c r="AC2166">
        <v>153</v>
      </c>
      <c r="AW2166">
        <v>1</v>
      </c>
      <c r="AX2166">
        <v>6</v>
      </c>
      <c r="AY2166">
        <v>497</v>
      </c>
      <c r="AZ2166">
        <v>497</v>
      </c>
      <c r="BA2166">
        <v>653</v>
      </c>
      <c r="BB2166">
        <v>46</v>
      </c>
      <c r="BD2166">
        <v>1</v>
      </c>
      <c r="BF2166" t="s">
        <v>2342</v>
      </c>
      <c r="BG2166" s="1">
        <v>44354.054861111108</v>
      </c>
      <c r="BH2166" s="1">
        <v>44354.086539351854</v>
      </c>
      <c r="BI2166" s="1">
        <v>44354.090243055558</v>
      </c>
      <c r="BJ2166" t="s">
        <v>85</v>
      </c>
      <c r="BK2166" t="s">
        <v>86</v>
      </c>
      <c r="BL2166" t="s">
        <v>87</v>
      </c>
    </row>
    <row r="2167" spans="1:64" x14ac:dyDescent="0.3">
      <c r="A2167" t="str">
        <f>"201433C0100"</f>
        <v>201433C0100</v>
      </c>
      <c r="B2167" t="str">
        <f>"201433C01003"</f>
        <v>201433C01003</v>
      </c>
      <c r="C2167" t="str">
        <f t="shared" si="130"/>
        <v>20</v>
      </c>
      <c r="D2167" t="s">
        <v>81</v>
      </c>
      <c r="E2167" t="str">
        <f t="shared" si="133"/>
        <v>293</v>
      </c>
      <c r="F2167" t="s">
        <v>2336</v>
      </c>
      <c r="G2167" t="str">
        <f>"1433"</f>
        <v>1433</v>
      </c>
      <c r="H2167" t="str">
        <f>"0001"</f>
        <v>0001</v>
      </c>
      <c r="I2167" t="s">
        <v>89</v>
      </c>
      <c r="J2167">
        <v>0</v>
      </c>
      <c r="K2167">
        <v>1</v>
      </c>
      <c r="L2167">
        <v>3</v>
      </c>
      <c r="M2167">
        <v>181</v>
      </c>
      <c r="N2167">
        <v>517</v>
      </c>
      <c r="O2167">
        <v>0</v>
      </c>
      <c r="P2167">
        <v>1</v>
      </c>
      <c r="Q2167">
        <v>17</v>
      </c>
      <c r="R2167">
        <v>62</v>
      </c>
      <c r="T2167">
        <v>138</v>
      </c>
      <c r="U2167">
        <v>82</v>
      </c>
      <c r="W2167">
        <v>9</v>
      </c>
      <c r="X2167">
        <v>46</v>
      </c>
      <c r="Z2167">
        <v>3</v>
      </c>
      <c r="AB2167">
        <v>1</v>
      </c>
      <c r="AC2167">
        <v>146</v>
      </c>
      <c r="AW2167">
        <v>0</v>
      </c>
      <c r="AX2167">
        <v>12</v>
      </c>
      <c r="AY2167">
        <v>516</v>
      </c>
      <c r="AZ2167">
        <v>516</v>
      </c>
      <c r="BA2167">
        <v>652</v>
      </c>
      <c r="BB2167">
        <v>46</v>
      </c>
      <c r="BD2167">
        <v>1</v>
      </c>
      <c r="BF2167" t="s">
        <v>2343</v>
      </c>
      <c r="BG2167" s="1">
        <v>44354.058333333334</v>
      </c>
      <c r="BH2167" s="1">
        <v>44354.063449074078</v>
      </c>
      <c r="BI2167" s="1">
        <v>44354.064259259256</v>
      </c>
      <c r="BJ2167" t="s">
        <v>85</v>
      </c>
      <c r="BK2167" t="s">
        <v>86</v>
      </c>
      <c r="BL2167" t="s">
        <v>87</v>
      </c>
    </row>
    <row r="2168" spans="1:64" x14ac:dyDescent="0.3">
      <c r="A2168" t="str">
        <f>"201434B0000"</f>
        <v>201434B0000</v>
      </c>
      <c r="B2168" t="str">
        <f>"201434B00003"</f>
        <v>201434B00003</v>
      </c>
      <c r="C2168" t="str">
        <f t="shared" si="130"/>
        <v>20</v>
      </c>
      <c r="D2168" t="s">
        <v>81</v>
      </c>
      <c r="E2168" t="str">
        <f t="shared" si="133"/>
        <v>293</v>
      </c>
      <c r="F2168" t="s">
        <v>2336</v>
      </c>
      <c r="G2168" t="str">
        <f>"1434"</f>
        <v>1434</v>
      </c>
      <c r="H2168" t="str">
        <f>"0000"</f>
        <v>0000</v>
      </c>
      <c r="I2168" t="s">
        <v>83</v>
      </c>
      <c r="J2168">
        <v>0</v>
      </c>
      <c r="K2168">
        <v>1</v>
      </c>
      <c r="L2168">
        <v>3</v>
      </c>
      <c r="M2168">
        <v>187</v>
      </c>
      <c r="N2168">
        <v>453</v>
      </c>
      <c r="O2168">
        <v>7</v>
      </c>
      <c r="P2168">
        <v>453</v>
      </c>
      <c r="Q2168">
        <v>12</v>
      </c>
      <c r="R2168">
        <v>103</v>
      </c>
      <c r="T2168">
        <v>127</v>
      </c>
      <c r="U2168">
        <v>58</v>
      </c>
      <c r="W2168">
        <v>21</v>
      </c>
      <c r="X2168">
        <v>36</v>
      </c>
      <c r="Z2168">
        <v>0</v>
      </c>
      <c r="AB2168">
        <v>1</v>
      </c>
      <c r="AC2168">
        <v>87</v>
      </c>
      <c r="AW2168">
        <v>0</v>
      </c>
      <c r="AX2168">
        <v>8</v>
      </c>
      <c r="AY2168">
        <v>453</v>
      </c>
      <c r="AZ2168">
        <v>453</v>
      </c>
      <c r="BA2168">
        <v>594</v>
      </c>
      <c r="BB2168">
        <v>46</v>
      </c>
      <c r="BD2168">
        <v>1</v>
      </c>
      <c r="BF2168" t="s">
        <v>2344</v>
      </c>
      <c r="BG2168" s="1">
        <v>44354.047222222223</v>
      </c>
      <c r="BH2168" s="1">
        <v>44354.053761574076</v>
      </c>
      <c r="BI2168" s="1">
        <v>44354.054224537038</v>
      </c>
      <c r="BJ2168" t="s">
        <v>85</v>
      </c>
      <c r="BK2168" t="s">
        <v>86</v>
      </c>
      <c r="BL2168" t="s">
        <v>87</v>
      </c>
    </row>
    <row r="2169" spans="1:64" x14ac:dyDescent="0.3">
      <c r="A2169" t="str">
        <f>"201434C0100"</f>
        <v>201434C0100</v>
      </c>
      <c r="B2169" t="str">
        <f>"201434C01003"</f>
        <v>201434C01003</v>
      </c>
      <c r="C2169" t="str">
        <f t="shared" si="130"/>
        <v>20</v>
      </c>
      <c r="D2169" t="s">
        <v>81</v>
      </c>
      <c r="E2169" t="str">
        <f t="shared" si="133"/>
        <v>293</v>
      </c>
      <c r="F2169" t="s">
        <v>2336</v>
      </c>
      <c r="G2169" t="str">
        <f>"1434"</f>
        <v>1434</v>
      </c>
      <c r="H2169" t="str">
        <f>"0001"</f>
        <v>0001</v>
      </c>
      <c r="I2169" t="s">
        <v>89</v>
      </c>
      <c r="J2169">
        <v>0</v>
      </c>
      <c r="K2169">
        <v>1</v>
      </c>
      <c r="L2169">
        <v>3</v>
      </c>
      <c r="M2169">
        <v>174</v>
      </c>
      <c r="N2169">
        <v>466</v>
      </c>
      <c r="O2169">
        <v>5</v>
      </c>
      <c r="P2169">
        <v>466</v>
      </c>
      <c r="Q2169">
        <v>11</v>
      </c>
      <c r="R2169">
        <v>110</v>
      </c>
      <c r="T2169">
        <v>108</v>
      </c>
      <c r="U2169">
        <v>75</v>
      </c>
      <c r="W2169">
        <v>21</v>
      </c>
      <c r="X2169">
        <v>19</v>
      </c>
      <c r="Z2169">
        <v>5</v>
      </c>
      <c r="AB2169">
        <v>0</v>
      </c>
      <c r="AC2169">
        <v>103</v>
      </c>
      <c r="AW2169">
        <v>0</v>
      </c>
      <c r="AX2169">
        <v>14</v>
      </c>
      <c r="AY2169">
        <v>466</v>
      </c>
      <c r="AZ2169">
        <v>466</v>
      </c>
      <c r="BA2169">
        <v>594</v>
      </c>
      <c r="BB2169">
        <v>46</v>
      </c>
      <c r="BD2169">
        <v>1</v>
      </c>
      <c r="BF2169" t="s">
        <v>2345</v>
      </c>
      <c r="BG2169" s="1">
        <v>44354.049305555556</v>
      </c>
      <c r="BH2169" s="1">
        <v>44354.054699074077</v>
      </c>
      <c r="BI2169" s="1">
        <v>44354.055104166669</v>
      </c>
      <c r="BJ2169" t="s">
        <v>85</v>
      </c>
      <c r="BK2169" t="s">
        <v>86</v>
      </c>
      <c r="BL2169" t="s">
        <v>87</v>
      </c>
    </row>
    <row r="2170" spans="1:64" x14ac:dyDescent="0.3">
      <c r="A2170" t="str">
        <f>"201435B0000"</f>
        <v>201435B0000</v>
      </c>
      <c r="B2170" t="str">
        <f>"201435B00003"</f>
        <v>201435B00003</v>
      </c>
      <c r="C2170" t="str">
        <f t="shared" si="130"/>
        <v>20</v>
      </c>
      <c r="D2170" t="s">
        <v>81</v>
      </c>
      <c r="E2170" t="str">
        <f t="shared" si="133"/>
        <v>293</v>
      </c>
      <c r="F2170" t="s">
        <v>2336</v>
      </c>
      <c r="G2170" t="str">
        <f>"1435"</f>
        <v>1435</v>
      </c>
      <c r="H2170" t="str">
        <f>"0000"</f>
        <v>0000</v>
      </c>
      <c r="I2170" t="s">
        <v>83</v>
      </c>
      <c r="J2170">
        <v>0</v>
      </c>
      <c r="K2170">
        <v>1</v>
      </c>
      <c r="L2170">
        <v>3</v>
      </c>
      <c r="M2170">
        <v>165</v>
      </c>
      <c r="N2170">
        <v>392</v>
      </c>
      <c r="O2170">
        <v>13</v>
      </c>
      <c r="P2170">
        <v>392</v>
      </c>
      <c r="Q2170">
        <v>18</v>
      </c>
      <c r="R2170">
        <v>76</v>
      </c>
      <c r="T2170">
        <v>85</v>
      </c>
      <c r="U2170">
        <v>44</v>
      </c>
      <c r="W2170">
        <v>18</v>
      </c>
      <c r="X2170">
        <v>44</v>
      </c>
      <c r="Z2170">
        <v>2</v>
      </c>
      <c r="AB2170">
        <v>1</v>
      </c>
      <c r="AC2170">
        <v>80</v>
      </c>
      <c r="AW2170">
        <v>0</v>
      </c>
      <c r="AX2170">
        <v>24</v>
      </c>
      <c r="AY2170">
        <v>392</v>
      </c>
      <c r="AZ2170">
        <v>392</v>
      </c>
      <c r="BA2170">
        <v>511</v>
      </c>
      <c r="BB2170">
        <v>46</v>
      </c>
      <c r="BD2170">
        <v>1</v>
      </c>
      <c r="BF2170" t="s">
        <v>2346</v>
      </c>
      <c r="BG2170" s="1">
        <v>44354.054166666669</v>
      </c>
      <c r="BH2170" s="1">
        <v>44354.059803240743</v>
      </c>
      <c r="BI2170" s="1">
        <v>44354.060254629629</v>
      </c>
      <c r="BJ2170" t="s">
        <v>85</v>
      </c>
      <c r="BK2170" t="s">
        <v>86</v>
      </c>
      <c r="BL2170" t="s">
        <v>87</v>
      </c>
    </row>
    <row r="2171" spans="1:64" x14ac:dyDescent="0.3">
      <c r="A2171" t="str">
        <f>"201435C0100"</f>
        <v>201435C0100</v>
      </c>
      <c r="B2171" t="str">
        <f>"201435C01003"</f>
        <v>201435C01003</v>
      </c>
      <c r="C2171" t="str">
        <f t="shared" si="130"/>
        <v>20</v>
      </c>
      <c r="D2171" t="s">
        <v>81</v>
      </c>
      <c r="E2171" t="str">
        <f t="shared" si="133"/>
        <v>293</v>
      </c>
      <c r="F2171" t="s">
        <v>2336</v>
      </c>
      <c r="G2171" t="str">
        <f>"1435"</f>
        <v>1435</v>
      </c>
      <c r="H2171" t="str">
        <f>"0001"</f>
        <v>0001</v>
      </c>
      <c r="I2171" t="s">
        <v>89</v>
      </c>
      <c r="J2171">
        <v>0</v>
      </c>
      <c r="K2171">
        <v>1</v>
      </c>
      <c r="L2171">
        <v>3</v>
      </c>
      <c r="M2171">
        <v>168</v>
      </c>
      <c r="N2171">
        <v>388</v>
      </c>
      <c r="O2171">
        <v>7</v>
      </c>
      <c r="P2171">
        <v>376</v>
      </c>
      <c r="Q2171">
        <v>22</v>
      </c>
      <c r="R2171">
        <v>69</v>
      </c>
      <c r="T2171">
        <v>95</v>
      </c>
      <c r="U2171">
        <v>51</v>
      </c>
      <c r="W2171">
        <v>27</v>
      </c>
      <c r="X2171">
        <v>37</v>
      </c>
      <c r="Z2171">
        <v>0</v>
      </c>
      <c r="AB2171">
        <v>3</v>
      </c>
      <c r="AC2171">
        <v>72</v>
      </c>
      <c r="AW2171">
        <v>0</v>
      </c>
      <c r="AX2171">
        <v>12</v>
      </c>
      <c r="AY2171">
        <v>388</v>
      </c>
      <c r="AZ2171">
        <v>388</v>
      </c>
      <c r="BA2171">
        <v>510</v>
      </c>
      <c r="BB2171">
        <v>46</v>
      </c>
      <c r="BD2171">
        <v>1</v>
      </c>
      <c r="BF2171" t="s">
        <v>2347</v>
      </c>
      <c r="BG2171" s="1">
        <v>44354.050694444442</v>
      </c>
      <c r="BH2171" s="1">
        <v>44354.055925925924</v>
      </c>
      <c r="BI2171" s="1">
        <v>44354.056886574072</v>
      </c>
      <c r="BJ2171" t="s">
        <v>85</v>
      </c>
      <c r="BK2171" t="s">
        <v>86</v>
      </c>
      <c r="BL2171" t="s">
        <v>87</v>
      </c>
    </row>
    <row r="2172" spans="1:64" x14ac:dyDescent="0.3">
      <c r="A2172" t="str">
        <f>"201436B0000"</f>
        <v>201436B0000</v>
      </c>
      <c r="B2172" t="str">
        <f>"201436B00003"</f>
        <v>201436B00003</v>
      </c>
      <c r="C2172" t="str">
        <f t="shared" si="130"/>
        <v>20</v>
      </c>
      <c r="D2172" t="s">
        <v>81</v>
      </c>
      <c r="E2172" t="str">
        <f t="shared" si="133"/>
        <v>293</v>
      </c>
      <c r="F2172" t="s">
        <v>2336</v>
      </c>
      <c r="G2172" t="str">
        <f>"1436"</f>
        <v>1436</v>
      </c>
      <c r="H2172" t="str">
        <f>"0000"</f>
        <v>0000</v>
      </c>
      <c r="I2172" t="s">
        <v>83</v>
      </c>
      <c r="J2172">
        <v>0</v>
      </c>
      <c r="K2172">
        <v>1</v>
      </c>
      <c r="L2172">
        <v>3</v>
      </c>
      <c r="M2172">
        <v>219</v>
      </c>
      <c r="N2172">
        <v>474</v>
      </c>
      <c r="O2172">
        <v>6</v>
      </c>
      <c r="P2172">
        <v>474</v>
      </c>
      <c r="Q2172">
        <v>9</v>
      </c>
      <c r="R2172">
        <v>101</v>
      </c>
      <c r="T2172">
        <v>149</v>
      </c>
      <c r="U2172">
        <v>42</v>
      </c>
      <c r="W2172">
        <v>34</v>
      </c>
      <c r="X2172">
        <v>18</v>
      </c>
      <c r="Z2172">
        <v>0</v>
      </c>
      <c r="AB2172">
        <v>2</v>
      </c>
      <c r="AC2172">
        <v>89</v>
      </c>
      <c r="AW2172">
        <v>0</v>
      </c>
      <c r="AX2172">
        <v>30</v>
      </c>
      <c r="AY2172">
        <v>474</v>
      </c>
      <c r="AZ2172">
        <v>474</v>
      </c>
      <c r="BA2172">
        <v>647</v>
      </c>
      <c r="BB2172">
        <v>46</v>
      </c>
      <c r="BD2172">
        <v>1</v>
      </c>
      <c r="BF2172" t="s">
        <v>2348</v>
      </c>
      <c r="BG2172" s="1">
        <v>44354.063888888886</v>
      </c>
      <c r="BH2172" s="1">
        <v>44354.068969907406</v>
      </c>
      <c r="BI2172" s="1">
        <v>44354.069224537037</v>
      </c>
      <c r="BJ2172" t="s">
        <v>85</v>
      </c>
      <c r="BK2172" t="s">
        <v>86</v>
      </c>
      <c r="BL2172" t="s">
        <v>87</v>
      </c>
    </row>
    <row r="2173" spans="1:64" x14ac:dyDescent="0.3">
      <c r="A2173" t="str">
        <f>"201436C0100"</f>
        <v>201436C0100</v>
      </c>
      <c r="B2173" t="str">
        <f>"201436C01003"</f>
        <v>201436C01003</v>
      </c>
      <c r="C2173" t="str">
        <f t="shared" si="130"/>
        <v>20</v>
      </c>
      <c r="D2173" t="s">
        <v>81</v>
      </c>
      <c r="E2173" t="str">
        <f t="shared" si="133"/>
        <v>293</v>
      </c>
      <c r="F2173" t="s">
        <v>2336</v>
      </c>
      <c r="G2173" t="str">
        <f>"1436"</f>
        <v>1436</v>
      </c>
      <c r="H2173" t="str">
        <f>"0001"</f>
        <v>0001</v>
      </c>
      <c r="I2173" t="s">
        <v>89</v>
      </c>
      <c r="J2173">
        <v>0</v>
      </c>
      <c r="K2173">
        <v>1</v>
      </c>
      <c r="L2173">
        <v>3</v>
      </c>
      <c r="M2173">
        <v>226</v>
      </c>
      <c r="N2173">
        <v>466</v>
      </c>
      <c r="O2173">
        <v>4</v>
      </c>
      <c r="P2173">
        <v>466</v>
      </c>
      <c r="Q2173">
        <v>7</v>
      </c>
      <c r="R2173">
        <v>87</v>
      </c>
      <c r="T2173">
        <v>115</v>
      </c>
      <c r="U2173">
        <v>83</v>
      </c>
      <c r="W2173">
        <v>34</v>
      </c>
      <c r="X2173">
        <v>22</v>
      </c>
      <c r="Z2173">
        <v>3</v>
      </c>
      <c r="AB2173">
        <v>2</v>
      </c>
      <c r="AC2173">
        <v>92</v>
      </c>
      <c r="AW2173">
        <v>0</v>
      </c>
      <c r="AX2173">
        <v>21</v>
      </c>
      <c r="AY2173">
        <v>466</v>
      </c>
      <c r="AZ2173">
        <v>466</v>
      </c>
      <c r="BA2173">
        <v>646</v>
      </c>
      <c r="BB2173">
        <v>46</v>
      </c>
      <c r="BD2173">
        <v>1</v>
      </c>
      <c r="BF2173" t="s">
        <v>2349</v>
      </c>
      <c r="BG2173" s="1">
        <v>44354.066666666666</v>
      </c>
      <c r="BH2173" s="1">
        <v>44354.071608796294</v>
      </c>
      <c r="BI2173" s="1">
        <v>44354.07203703704</v>
      </c>
      <c r="BJ2173" t="s">
        <v>85</v>
      </c>
      <c r="BK2173" t="s">
        <v>86</v>
      </c>
      <c r="BL2173" t="s">
        <v>87</v>
      </c>
    </row>
    <row r="2174" spans="1:64" x14ac:dyDescent="0.3">
      <c r="A2174" t="str">
        <f>"201440B0000"</f>
        <v>201440B0000</v>
      </c>
      <c r="B2174" t="str">
        <f>"201440B00003"</f>
        <v>201440B00003</v>
      </c>
      <c r="C2174" t="str">
        <f t="shared" si="130"/>
        <v>20</v>
      </c>
      <c r="D2174" t="s">
        <v>81</v>
      </c>
      <c r="E2174" t="str">
        <f t="shared" ref="E2174:E2191" si="134">"296"</f>
        <v>296</v>
      </c>
      <c r="F2174" t="s">
        <v>2350</v>
      </c>
      <c r="G2174" t="str">
        <f>"1440"</f>
        <v>1440</v>
      </c>
      <c r="H2174" t="str">
        <f>"0000"</f>
        <v>0000</v>
      </c>
      <c r="I2174" t="s">
        <v>83</v>
      </c>
      <c r="J2174">
        <v>0</v>
      </c>
      <c r="K2174">
        <v>1</v>
      </c>
      <c r="L2174">
        <v>3</v>
      </c>
      <c r="M2174">
        <v>224</v>
      </c>
      <c r="N2174">
        <v>496</v>
      </c>
      <c r="O2174">
        <v>4</v>
      </c>
      <c r="P2174">
        <v>496</v>
      </c>
      <c r="Q2174">
        <v>200</v>
      </c>
      <c r="R2174">
        <v>204</v>
      </c>
      <c r="S2174">
        <v>1</v>
      </c>
      <c r="T2174">
        <v>0</v>
      </c>
      <c r="U2174">
        <v>16</v>
      </c>
      <c r="X2174">
        <v>62</v>
      </c>
      <c r="Y2174">
        <v>2</v>
      </c>
      <c r="Z2174">
        <v>2</v>
      </c>
      <c r="AQ2174">
        <v>0</v>
      </c>
      <c r="AR2174">
        <v>2</v>
      </c>
      <c r="AU2174">
        <v>0</v>
      </c>
      <c r="AW2174">
        <v>0</v>
      </c>
      <c r="AX2174">
        <v>7</v>
      </c>
      <c r="AY2174">
        <v>496</v>
      </c>
      <c r="AZ2174">
        <v>496</v>
      </c>
      <c r="BA2174">
        <v>677</v>
      </c>
      <c r="BB2174">
        <v>44</v>
      </c>
      <c r="BD2174">
        <v>1</v>
      </c>
      <c r="BF2174" t="s">
        <v>2351</v>
      </c>
      <c r="BG2174" s="1">
        <v>44354.038194444445</v>
      </c>
      <c r="BH2174" s="1">
        <v>44354.052407407406</v>
      </c>
      <c r="BI2174" s="1">
        <v>44354.053159722222</v>
      </c>
      <c r="BJ2174" t="s">
        <v>85</v>
      </c>
      <c r="BK2174" t="s">
        <v>86</v>
      </c>
      <c r="BL2174" t="s">
        <v>87</v>
      </c>
    </row>
    <row r="2175" spans="1:64" x14ac:dyDescent="0.3">
      <c r="A2175" t="str">
        <f>"201440C0100"</f>
        <v>201440C0100</v>
      </c>
      <c r="B2175" t="str">
        <f>"201440C01003"</f>
        <v>201440C01003</v>
      </c>
      <c r="C2175" t="str">
        <f t="shared" si="130"/>
        <v>20</v>
      </c>
      <c r="D2175" t="s">
        <v>81</v>
      </c>
      <c r="E2175" t="str">
        <f t="shared" si="134"/>
        <v>296</v>
      </c>
      <c r="F2175" t="s">
        <v>2350</v>
      </c>
      <c r="G2175" t="str">
        <f>"1440"</f>
        <v>1440</v>
      </c>
      <c r="H2175" t="str">
        <f>"0001"</f>
        <v>0001</v>
      </c>
      <c r="I2175" t="s">
        <v>89</v>
      </c>
      <c r="J2175">
        <v>0</v>
      </c>
      <c r="K2175">
        <v>1</v>
      </c>
      <c r="L2175">
        <v>3</v>
      </c>
      <c r="M2175">
        <v>190</v>
      </c>
      <c r="N2175">
        <v>531</v>
      </c>
      <c r="O2175">
        <v>8</v>
      </c>
      <c r="P2175" t="s">
        <v>92</v>
      </c>
      <c r="Q2175">
        <v>230</v>
      </c>
      <c r="R2175">
        <v>202</v>
      </c>
      <c r="S2175">
        <v>0</v>
      </c>
      <c r="T2175">
        <v>1</v>
      </c>
      <c r="U2175">
        <v>22</v>
      </c>
      <c r="X2175">
        <v>57</v>
      </c>
      <c r="Y2175">
        <v>1</v>
      </c>
      <c r="Z2175">
        <v>0</v>
      </c>
      <c r="AQ2175">
        <v>3</v>
      </c>
      <c r="AR2175">
        <v>1</v>
      </c>
      <c r="AU2175">
        <v>0</v>
      </c>
      <c r="AW2175">
        <v>0</v>
      </c>
      <c r="AX2175">
        <v>14</v>
      </c>
      <c r="AY2175">
        <v>531</v>
      </c>
      <c r="AZ2175">
        <v>531</v>
      </c>
      <c r="BA2175">
        <v>677</v>
      </c>
      <c r="BB2175">
        <v>44</v>
      </c>
      <c r="BD2175">
        <v>1</v>
      </c>
      <c r="BF2175" t="s">
        <v>2352</v>
      </c>
      <c r="BG2175" s="1">
        <v>44354.040277777778</v>
      </c>
      <c r="BH2175" s="1">
        <v>44354.053657407407</v>
      </c>
      <c r="BI2175" s="1">
        <v>44354.054016203707</v>
      </c>
      <c r="BJ2175" t="s">
        <v>85</v>
      </c>
      <c r="BK2175" t="s">
        <v>86</v>
      </c>
      <c r="BL2175" t="s">
        <v>87</v>
      </c>
    </row>
    <row r="2176" spans="1:64" x14ac:dyDescent="0.3">
      <c r="A2176" t="str">
        <f>"201441B0000"</f>
        <v>201441B0000</v>
      </c>
      <c r="B2176" t="str">
        <f>"201441B00003"</f>
        <v>201441B00003</v>
      </c>
      <c r="C2176" t="str">
        <f t="shared" si="130"/>
        <v>20</v>
      </c>
      <c r="D2176" t="s">
        <v>81</v>
      </c>
      <c r="E2176" t="str">
        <f t="shared" si="134"/>
        <v>296</v>
      </c>
      <c r="F2176" t="s">
        <v>2350</v>
      </c>
      <c r="G2176" t="str">
        <f>"1441"</f>
        <v>1441</v>
      </c>
      <c r="H2176" t="str">
        <f>"0000"</f>
        <v>0000</v>
      </c>
      <c r="I2176" t="s">
        <v>83</v>
      </c>
      <c r="J2176">
        <v>0</v>
      </c>
      <c r="K2176">
        <v>1</v>
      </c>
      <c r="L2176">
        <v>3</v>
      </c>
      <c r="M2176">
        <v>184</v>
      </c>
      <c r="N2176">
        <v>401</v>
      </c>
      <c r="O2176">
        <v>9</v>
      </c>
      <c r="P2176" t="s">
        <v>92</v>
      </c>
      <c r="Q2176">
        <v>143</v>
      </c>
      <c r="R2176">
        <v>160</v>
      </c>
      <c r="S2176">
        <v>2</v>
      </c>
      <c r="T2176">
        <v>2</v>
      </c>
      <c r="U2176">
        <v>16</v>
      </c>
      <c r="X2176">
        <v>67</v>
      </c>
      <c r="Y2176">
        <v>0</v>
      </c>
      <c r="Z2176">
        <v>1</v>
      </c>
      <c r="AQ2176">
        <v>1</v>
      </c>
      <c r="AR2176">
        <v>1</v>
      </c>
      <c r="AU2176">
        <v>0</v>
      </c>
      <c r="AW2176">
        <v>0</v>
      </c>
      <c r="AX2176">
        <v>9</v>
      </c>
      <c r="AY2176">
        <v>402</v>
      </c>
      <c r="AZ2176">
        <v>402</v>
      </c>
      <c r="BA2176">
        <v>542</v>
      </c>
      <c r="BB2176">
        <v>44</v>
      </c>
      <c r="BD2176">
        <v>1</v>
      </c>
      <c r="BF2176" t="s">
        <v>2353</v>
      </c>
      <c r="BG2176" s="1">
        <v>44354.004166666666</v>
      </c>
      <c r="BH2176" s="1">
        <v>44354.010717592595</v>
      </c>
      <c r="BI2176" s="1">
        <v>44354.011111111111</v>
      </c>
      <c r="BJ2176" t="s">
        <v>85</v>
      </c>
      <c r="BK2176" t="s">
        <v>86</v>
      </c>
      <c r="BL2176" t="s">
        <v>87</v>
      </c>
    </row>
    <row r="2177" spans="1:64" x14ac:dyDescent="0.3">
      <c r="A2177" t="str">
        <f>"201441C0100"</f>
        <v>201441C0100</v>
      </c>
      <c r="B2177" t="str">
        <f>"201441C01003"</f>
        <v>201441C01003</v>
      </c>
      <c r="C2177" t="str">
        <f t="shared" si="130"/>
        <v>20</v>
      </c>
      <c r="D2177" t="s">
        <v>81</v>
      </c>
      <c r="E2177" t="str">
        <f t="shared" si="134"/>
        <v>296</v>
      </c>
      <c r="F2177" t="s">
        <v>2350</v>
      </c>
      <c r="G2177" t="str">
        <f>"1441"</f>
        <v>1441</v>
      </c>
      <c r="H2177" t="str">
        <f>"0001"</f>
        <v>0001</v>
      </c>
      <c r="I2177" t="s">
        <v>89</v>
      </c>
      <c r="J2177">
        <v>0</v>
      </c>
      <c r="K2177">
        <v>1</v>
      </c>
      <c r="L2177">
        <v>3</v>
      </c>
      <c r="M2177">
        <v>177</v>
      </c>
      <c r="N2177">
        <v>409</v>
      </c>
      <c r="O2177">
        <v>10</v>
      </c>
      <c r="P2177">
        <v>409</v>
      </c>
      <c r="Q2177">
        <v>150</v>
      </c>
      <c r="R2177">
        <v>152</v>
      </c>
      <c r="S2177">
        <v>2</v>
      </c>
      <c r="T2177">
        <v>3</v>
      </c>
      <c r="U2177">
        <v>23</v>
      </c>
      <c r="X2177">
        <v>69</v>
      </c>
      <c r="Y2177">
        <v>1</v>
      </c>
      <c r="Z2177">
        <v>0</v>
      </c>
      <c r="AQ2177">
        <v>4</v>
      </c>
      <c r="AR2177">
        <v>1</v>
      </c>
      <c r="AU2177">
        <v>0</v>
      </c>
      <c r="AW2177">
        <v>0</v>
      </c>
      <c r="AX2177">
        <v>4</v>
      </c>
      <c r="AY2177">
        <v>409</v>
      </c>
      <c r="AZ2177">
        <v>409</v>
      </c>
      <c r="BA2177">
        <v>542</v>
      </c>
      <c r="BB2177">
        <v>44</v>
      </c>
      <c r="BD2177">
        <v>1</v>
      </c>
      <c r="BF2177" t="s">
        <v>2354</v>
      </c>
      <c r="BG2177" s="1">
        <v>44354.003472222219</v>
      </c>
      <c r="BH2177" s="1">
        <v>44354.009895833333</v>
      </c>
      <c r="BI2177" s="1">
        <v>44354.010462962964</v>
      </c>
      <c r="BJ2177" t="s">
        <v>85</v>
      </c>
      <c r="BK2177" t="s">
        <v>86</v>
      </c>
      <c r="BL2177" t="s">
        <v>87</v>
      </c>
    </row>
    <row r="2178" spans="1:64" x14ac:dyDescent="0.3">
      <c r="A2178" t="str">
        <f>"201441S0100"</f>
        <v>201441S0100</v>
      </c>
      <c r="B2178" t="str">
        <f>"201441S01003E"</f>
        <v>201441S01003E</v>
      </c>
      <c r="C2178" t="str">
        <f t="shared" si="130"/>
        <v>20</v>
      </c>
      <c r="D2178" t="s">
        <v>81</v>
      </c>
      <c r="E2178" t="str">
        <f t="shared" si="134"/>
        <v>296</v>
      </c>
      <c r="F2178" t="s">
        <v>2350</v>
      </c>
      <c r="G2178" t="str">
        <f>"1441"</f>
        <v>1441</v>
      </c>
      <c r="H2178" t="str">
        <f>"0001"</f>
        <v>0001</v>
      </c>
      <c r="I2178" t="s">
        <v>99</v>
      </c>
      <c r="J2178">
        <v>0</v>
      </c>
      <c r="K2178">
        <v>1</v>
      </c>
      <c r="L2178" t="s">
        <v>100</v>
      </c>
      <c r="M2178">
        <v>985</v>
      </c>
      <c r="N2178">
        <v>15</v>
      </c>
      <c r="O2178">
        <v>0</v>
      </c>
      <c r="P2178">
        <v>15</v>
      </c>
      <c r="Q2178">
        <v>7</v>
      </c>
      <c r="R2178">
        <v>2</v>
      </c>
      <c r="S2178">
        <v>0</v>
      </c>
      <c r="T2178">
        <v>0</v>
      </c>
      <c r="U2178">
        <v>0</v>
      </c>
      <c r="X2178">
        <v>5</v>
      </c>
      <c r="Y2178">
        <v>0</v>
      </c>
      <c r="Z2178">
        <v>0</v>
      </c>
      <c r="AQ2178">
        <v>0</v>
      </c>
      <c r="AR2178">
        <v>0</v>
      </c>
      <c r="AU2178">
        <v>0</v>
      </c>
      <c r="AW2178">
        <v>0</v>
      </c>
      <c r="AX2178">
        <v>1</v>
      </c>
      <c r="AY2178">
        <v>15</v>
      </c>
      <c r="AZ2178">
        <v>15</v>
      </c>
      <c r="BA2178">
        <v>0</v>
      </c>
      <c r="BB2178">
        <v>44</v>
      </c>
      <c r="BD2178">
        <v>1</v>
      </c>
      <c r="BF2178" t="s">
        <v>2355</v>
      </c>
      <c r="BG2178" s="1">
        <v>44353.99722222222</v>
      </c>
      <c r="BH2178" s="1">
        <v>44354.002847222226</v>
      </c>
      <c r="BI2178" s="1">
        <v>44354.003229166665</v>
      </c>
      <c r="BJ2178" t="s">
        <v>85</v>
      </c>
      <c r="BK2178" t="s">
        <v>86</v>
      </c>
      <c r="BL2178" t="s">
        <v>87</v>
      </c>
    </row>
    <row r="2179" spans="1:64" x14ac:dyDescent="0.3">
      <c r="A2179" t="str">
        <f>"201442B0000"</f>
        <v>201442B0000</v>
      </c>
      <c r="B2179" t="str">
        <f>"201442B00003"</f>
        <v>201442B00003</v>
      </c>
      <c r="C2179" t="str">
        <f t="shared" si="130"/>
        <v>20</v>
      </c>
      <c r="D2179" t="s">
        <v>81</v>
      </c>
      <c r="E2179" t="str">
        <f t="shared" si="134"/>
        <v>296</v>
      </c>
      <c r="F2179" t="s">
        <v>2350</v>
      </c>
      <c r="G2179" t="str">
        <f>"1442"</f>
        <v>1442</v>
      </c>
      <c r="H2179" t="str">
        <f>"0000"</f>
        <v>0000</v>
      </c>
      <c r="I2179" t="s">
        <v>83</v>
      </c>
      <c r="J2179">
        <v>0</v>
      </c>
      <c r="K2179">
        <v>1</v>
      </c>
      <c r="L2179">
        <v>3</v>
      </c>
      <c r="M2179">
        <v>250</v>
      </c>
      <c r="N2179">
        <v>504</v>
      </c>
      <c r="O2179">
        <v>8</v>
      </c>
      <c r="P2179">
        <v>505</v>
      </c>
      <c r="Q2179">
        <v>191</v>
      </c>
      <c r="R2179">
        <v>198</v>
      </c>
      <c r="S2179">
        <v>1</v>
      </c>
      <c r="T2179">
        <v>3</v>
      </c>
      <c r="U2179">
        <v>15</v>
      </c>
      <c r="X2179">
        <v>81</v>
      </c>
      <c r="Y2179">
        <v>0</v>
      </c>
      <c r="Z2179">
        <v>0</v>
      </c>
      <c r="AQ2179">
        <v>2</v>
      </c>
      <c r="AR2179">
        <v>2</v>
      </c>
      <c r="AU2179">
        <v>1</v>
      </c>
      <c r="AW2179">
        <v>0</v>
      </c>
      <c r="AX2179">
        <v>11</v>
      </c>
      <c r="AY2179">
        <v>505</v>
      </c>
      <c r="AZ2179">
        <v>505</v>
      </c>
      <c r="BA2179">
        <v>710</v>
      </c>
      <c r="BB2179">
        <v>44</v>
      </c>
      <c r="BD2179">
        <v>1</v>
      </c>
      <c r="BF2179" t="s">
        <v>2356</v>
      </c>
      <c r="BG2179" s="1">
        <v>44354.027083333334</v>
      </c>
      <c r="BH2179" s="1">
        <v>44354.03565972222</v>
      </c>
      <c r="BI2179" s="1">
        <v>44354.036238425928</v>
      </c>
      <c r="BJ2179" t="s">
        <v>85</v>
      </c>
      <c r="BK2179" t="s">
        <v>86</v>
      </c>
      <c r="BL2179" t="s">
        <v>87</v>
      </c>
    </row>
    <row r="2180" spans="1:64" x14ac:dyDescent="0.3">
      <c r="A2180" t="str">
        <f>"201442C0100"</f>
        <v>201442C0100</v>
      </c>
      <c r="B2180" t="str">
        <f>"201442C01003"</f>
        <v>201442C01003</v>
      </c>
      <c r="C2180" t="str">
        <f t="shared" si="130"/>
        <v>20</v>
      </c>
      <c r="D2180" t="s">
        <v>81</v>
      </c>
      <c r="E2180" t="str">
        <f t="shared" si="134"/>
        <v>296</v>
      </c>
      <c r="F2180" t="s">
        <v>2350</v>
      </c>
      <c r="G2180" t="str">
        <f>"1442"</f>
        <v>1442</v>
      </c>
      <c r="H2180" t="str">
        <f>"0001"</f>
        <v>0001</v>
      </c>
      <c r="I2180" t="s">
        <v>89</v>
      </c>
      <c r="J2180">
        <v>0</v>
      </c>
      <c r="K2180">
        <v>1</v>
      </c>
      <c r="L2180">
        <v>3</v>
      </c>
      <c r="M2180">
        <v>262</v>
      </c>
      <c r="N2180">
        <v>491</v>
      </c>
      <c r="O2180">
        <v>11</v>
      </c>
      <c r="P2180">
        <v>491</v>
      </c>
      <c r="Q2180">
        <v>193</v>
      </c>
      <c r="R2180">
        <v>168</v>
      </c>
      <c r="S2180">
        <v>2</v>
      </c>
      <c r="T2180">
        <v>3</v>
      </c>
      <c r="U2180">
        <v>20</v>
      </c>
      <c r="X2180">
        <v>86</v>
      </c>
      <c r="Y2180">
        <v>3</v>
      </c>
      <c r="Z2180">
        <v>0</v>
      </c>
      <c r="AQ2180">
        <v>1</v>
      </c>
      <c r="AR2180">
        <v>1</v>
      </c>
      <c r="AU2180">
        <v>0</v>
      </c>
      <c r="AW2180">
        <v>0</v>
      </c>
      <c r="AX2180">
        <v>14</v>
      </c>
      <c r="AY2180">
        <v>491</v>
      </c>
      <c r="AZ2180">
        <v>491</v>
      </c>
      <c r="BA2180">
        <v>710</v>
      </c>
      <c r="BB2180">
        <v>44</v>
      </c>
      <c r="BD2180">
        <v>1</v>
      </c>
      <c r="BF2180" t="s">
        <v>2357</v>
      </c>
      <c r="BG2180" s="1">
        <v>44354.030555555553</v>
      </c>
      <c r="BH2180" s="1">
        <v>44354.041550925926</v>
      </c>
      <c r="BI2180" s="1">
        <v>44354.042384259257</v>
      </c>
      <c r="BJ2180" t="s">
        <v>85</v>
      </c>
      <c r="BK2180" t="s">
        <v>86</v>
      </c>
      <c r="BL2180" t="s">
        <v>87</v>
      </c>
    </row>
    <row r="2181" spans="1:64" x14ac:dyDescent="0.3">
      <c r="A2181" t="str">
        <f>"201442E0100"</f>
        <v>201442E0100</v>
      </c>
      <c r="B2181" t="str">
        <f>"201442E01003"</f>
        <v>201442E01003</v>
      </c>
      <c r="C2181" t="str">
        <f t="shared" si="130"/>
        <v>20</v>
      </c>
      <c r="D2181" t="s">
        <v>81</v>
      </c>
      <c r="E2181" t="str">
        <f t="shared" si="134"/>
        <v>296</v>
      </c>
      <c r="F2181" t="s">
        <v>2350</v>
      </c>
      <c r="G2181" t="str">
        <f>"1442"</f>
        <v>1442</v>
      </c>
      <c r="H2181" t="str">
        <f>"0001"</f>
        <v>0001</v>
      </c>
      <c r="I2181" t="s">
        <v>122</v>
      </c>
      <c r="J2181">
        <v>0</v>
      </c>
      <c r="K2181">
        <v>1</v>
      </c>
      <c r="L2181">
        <v>3</v>
      </c>
      <c r="M2181">
        <v>66</v>
      </c>
      <c r="N2181">
        <v>137</v>
      </c>
      <c r="O2181">
        <v>8</v>
      </c>
      <c r="P2181">
        <v>137</v>
      </c>
      <c r="Q2181">
        <v>77</v>
      </c>
      <c r="R2181">
        <v>47</v>
      </c>
      <c r="S2181">
        <v>0</v>
      </c>
      <c r="T2181">
        <v>1</v>
      </c>
      <c r="U2181">
        <v>3</v>
      </c>
      <c r="X2181">
        <v>4</v>
      </c>
      <c r="Y2181">
        <v>1</v>
      </c>
      <c r="Z2181">
        <v>0</v>
      </c>
      <c r="AQ2181">
        <v>0</v>
      </c>
      <c r="AR2181">
        <v>0</v>
      </c>
      <c r="AU2181">
        <v>0</v>
      </c>
      <c r="AW2181">
        <v>0</v>
      </c>
      <c r="AX2181">
        <v>4</v>
      </c>
      <c r="AY2181">
        <v>137</v>
      </c>
      <c r="AZ2181">
        <v>137</v>
      </c>
      <c r="BA2181">
        <v>159</v>
      </c>
      <c r="BB2181">
        <v>44</v>
      </c>
      <c r="BD2181">
        <v>1</v>
      </c>
      <c r="BF2181" t="s">
        <v>2358</v>
      </c>
      <c r="BG2181" s="1">
        <v>44354.034722222219</v>
      </c>
      <c r="BH2181" s="1">
        <v>44354.05127314815</v>
      </c>
      <c r="BI2181" s="1">
        <v>44354.051724537036</v>
      </c>
      <c r="BJ2181" t="s">
        <v>85</v>
      </c>
      <c r="BK2181" t="s">
        <v>86</v>
      </c>
      <c r="BL2181" t="s">
        <v>87</v>
      </c>
    </row>
    <row r="2182" spans="1:64" x14ac:dyDescent="0.3">
      <c r="A2182" t="str">
        <f>"201443B0000"</f>
        <v>201443B0000</v>
      </c>
      <c r="B2182" t="str">
        <f>"201443B00003"</f>
        <v>201443B00003</v>
      </c>
      <c r="C2182" t="str">
        <f t="shared" si="130"/>
        <v>20</v>
      </c>
      <c r="D2182" t="s">
        <v>81</v>
      </c>
      <c r="E2182" t="str">
        <f t="shared" si="134"/>
        <v>296</v>
      </c>
      <c r="F2182" t="s">
        <v>2350</v>
      </c>
      <c r="G2182" t="str">
        <f>"1443"</f>
        <v>1443</v>
      </c>
      <c r="H2182" t="str">
        <f>"0000"</f>
        <v>0000</v>
      </c>
      <c r="I2182" t="s">
        <v>83</v>
      </c>
      <c r="J2182">
        <v>0</v>
      </c>
      <c r="K2182">
        <v>1</v>
      </c>
      <c r="L2182">
        <v>3</v>
      </c>
      <c r="M2182">
        <v>197</v>
      </c>
      <c r="N2182">
        <v>413</v>
      </c>
      <c r="O2182">
        <v>4</v>
      </c>
      <c r="P2182">
        <v>413</v>
      </c>
      <c r="Q2182">
        <v>174</v>
      </c>
      <c r="R2182">
        <v>158</v>
      </c>
      <c r="S2182">
        <v>1</v>
      </c>
      <c r="T2182">
        <v>0</v>
      </c>
      <c r="U2182">
        <v>17</v>
      </c>
      <c r="X2182">
        <v>54</v>
      </c>
      <c r="Y2182">
        <v>3</v>
      </c>
      <c r="Z2182">
        <v>1</v>
      </c>
      <c r="AQ2182">
        <v>0</v>
      </c>
      <c r="AR2182">
        <v>0</v>
      </c>
      <c r="AU2182">
        <v>0</v>
      </c>
      <c r="AW2182">
        <v>0</v>
      </c>
      <c r="AX2182">
        <v>5</v>
      </c>
      <c r="AY2182">
        <v>413</v>
      </c>
      <c r="AZ2182">
        <v>413</v>
      </c>
      <c r="BA2182">
        <v>566</v>
      </c>
      <c r="BB2182">
        <v>44</v>
      </c>
      <c r="BD2182">
        <v>1</v>
      </c>
      <c r="BF2182" t="s">
        <v>2359</v>
      </c>
      <c r="BG2182" s="1">
        <v>44354.074305555558</v>
      </c>
      <c r="BH2182" s="1">
        <v>44354.081331018519</v>
      </c>
      <c r="BI2182" s="1">
        <v>44354.081909722219</v>
      </c>
      <c r="BJ2182" t="s">
        <v>85</v>
      </c>
      <c r="BK2182" t="s">
        <v>86</v>
      </c>
      <c r="BL2182" t="s">
        <v>87</v>
      </c>
    </row>
    <row r="2183" spans="1:64" x14ac:dyDescent="0.3">
      <c r="A2183" t="str">
        <f>"201443C0100"</f>
        <v>201443C0100</v>
      </c>
      <c r="B2183" t="str">
        <f>"201443C01003"</f>
        <v>201443C01003</v>
      </c>
      <c r="C2183" t="str">
        <f t="shared" ref="C2183:C2246" si="135">"20"</f>
        <v>20</v>
      </c>
      <c r="D2183" t="s">
        <v>81</v>
      </c>
      <c r="E2183" t="str">
        <f t="shared" si="134"/>
        <v>296</v>
      </c>
      <c r="F2183" t="s">
        <v>2350</v>
      </c>
      <c r="G2183" t="str">
        <f>"1443"</f>
        <v>1443</v>
      </c>
      <c r="H2183" t="str">
        <f>"0001"</f>
        <v>0001</v>
      </c>
      <c r="I2183" t="s">
        <v>89</v>
      </c>
      <c r="J2183">
        <v>0</v>
      </c>
      <c r="K2183">
        <v>1</v>
      </c>
      <c r="L2183">
        <v>3</v>
      </c>
      <c r="M2183">
        <v>175</v>
      </c>
      <c r="N2183">
        <v>435</v>
      </c>
      <c r="O2183">
        <v>6</v>
      </c>
      <c r="P2183">
        <v>435</v>
      </c>
      <c r="Q2183">
        <v>181</v>
      </c>
      <c r="R2183">
        <v>177</v>
      </c>
      <c r="S2183">
        <v>0</v>
      </c>
      <c r="T2183">
        <v>0</v>
      </c>
      <c r="U2183">
        <v>16</v>
      </c>
      <c r="X2183">
        <v>46</v>
      </c>
      <c r="Y2183">
        <v>0</v>
      </c>
      <c r="Z2183">
        <v>0</v>
      </c>
      <c r="AQ2183">
        <v>4</v>
      </c>
      <c r="AR2183">
        <v>1</v>
      </c>
      <c r="AU2183">
        <v>1</v>
      </c>
      <c r="AW2183">
        <v>0</v>
      </c>
      <c r="AX2183">
        <v>9</v>
      </c>
      <c r="AY2183">
        <v>435</v>
      </c>
      <c r="AZ2183">
        <v>435</v>
      </c>
      <c r="BA2183">
        <v>566</v>
      </c>
      <c r="BB2183">
        <v>44</v>
      </c>
      <c r="BD2183">
        <v>1</v>
      </c>
      <c r="BF2183" t="s">
        <v>2360</v>
      </c>
      <c r="BG2183" s="1">
        <v>44354.076388888891</v>
      </c>
      <c r="BH2183" s="1">
        <v>44354.082361111112</v>
      </c>
      <c r="BI2183" s="1">
        <v>44354.08289351852</v>
      </c>
      <c r="BJ2183" t="s">
        <v>85</v>
      </c>
      <c r="BK2183" t="s">
        <v>86</v>
      </c>
      <c r="BL2183" t="s">
        <v>87</v>
      </c>
    </row>
    <row r="2184" spans="1:64" x14ac:dyDescent="0.3">
      <c r="A2184" t="str">
        <f>"201443C0200"</f>
        <v>201443C0200</v>
      </c>
      <c r="B2184" t="str">
        <f>"201443C02003"</f>
        <v>201443C02003</v>
      </c>
      <c r="C2184" t="str">
        <f t="shared" si="135"/>
        <v>20</v>
      </c>
      <c r="D2184" t="s">
        <v>81</v>
      </c>
      <c r="E2184" t="str">
        <f t="shared" si="134"/>
        <v>296</v>
      </c>
      <c r="F2184" t="s">
        <v>2350</v>
      </c>
      <c r="G2184" t="str">
        <f>"1443"</f>
        <v>1443</v>
      </c>
      <c r="H2184" t="str">
        <f>"0002"</f>
        <v>0002</v>
      </c>
      <c r="I2184" t="s">
        <v>89</v>
      </c>
      <c r="J2184">
        <v>0</v>
      </c>
      <c r="K2184">
        <v>1</v>
      </c>
      <c r="L2184">
        <v>3</v>
      </c>
      <c r="M2184">
        <v>206</v>
      </c>
      <c r="N2184">
        <v>404</v>
      </c>
      <c r="O2184">
        <v>10</v>
      </c>
      <c r="P2184">
        <v>404</v>
      </c>
      <c r="Q2184">
        <v>132</v>
      </c>
      <c r="R2184">
        <v>159</v>
      </c>
      <c r="S2184">
        <v>2</v>
      </c>
      <c r="T2184">
        <v>4</v>
      </c>
      <c r="U2184">
        <v>31</v>
      </c>
      <c r="X2184">
        <v>62</v>
      </c>
      <c r="Y2184">
        <v>1</v>
      </c>
      <c r="Z2184">
        <v>1</v>
      </c>
      <c r="AQ2184">
        <v>0</v>
      </c>
      <c r="AR2184">
        <v>3</v>
      </c>
      <c r="AU2184">
        <v>0</v>
      </c>
      <c r="AW2184">
        <v>1</v>
      </c>
      <c r="AX2184">
        <v>8</v>
      </c>
      <c r="AY2184">
        <v>404</v>
      </c>
      <c r="AZ2184">
        <v>404</v>
      </c>
      <c r="BA2184">
        <v>566</v>
      </c>
      <c r="BB2184">
        <v>44</v>
      </c>
      <c r="BD2184">
        <v>1</v>
      </c>
      <c r="BF2184" t="s">
        <v>2361</v>
      </c>
      <c r="BG2184" s="1">
        <v>44354.077777777777</v>
      </c>
      <c r="BH2184" s="1">
        <v>44354.087129629632</v>
      </c>
      <c r="BI2184" s="1">
        <v>44354.087627314817</v>
      </c>
      <c r="BJ2184" t="s">
        <v>85</v>
      </c>
      <c r="BK2184" t="s">
        <v>86</v>
      </c>
      <c r="BL2184" t="s">
        <v>87</v>
      </c>
    </row>
    <row r="2185" spans="1:64" x14ac:dyDescent="0.3">
      <c r="A2185" t="str">
        <f>"201444B0000"</f>
        <v>201444B0000</v>
      </c>
      <c r="B2185" t="str">
        <f>"201444B00003"</f>
        <v>201444B00003</v>
      </c>
      <c r="C2185" t="str">
        <f t="shared" si="135"/>
        <v>20</v>
      </c>
      <c r="D2185" t="s">
        <v>81</v>
      </c>
      <c r="E2185" t="str">
        <f t="shared" si="134"/>
        <v>296</v>
      </c>
      <c r="F2185" t="s">
        <v>2350</v>
      </c>
      <c r="G2185" t="str">
        <f>"1444"</f>
        <v>1444</v>
      </c>
      <c r="H2185" t="str">
        <f>"0000"</f>
        <v>0000</v>
      </c>
      <c r="I2185" t="s">
        <v>83</v>
      </c>
      <c r="J2185">
        <v>0</v>
      </c>
      <c r="K2185">
        <v>1</v>
      </c>
      <c r="L2185">
        <v>3</v>
      </c>
      <c r="M2185">
        <v>217</v>
      </c>
      <c r="N2185">
        <v>569</v>
      </c>
      <c r="O2185">
        <v>10</v>
      </c>
      <c r="P2185" t="s">
        <v>92</v>
      </c>
      <c r="Q2185">
        <v>234</v>
      </c>
      <c r="R2185">
        <v>225</v>
      </c>
      <c r="S2185">
        <v>3</v>
      </c>
      <c r="T2185">
        <v>2</v>
      </c>
      <c r="U2185">
        <v>25</v>
      </c>
      <c r="X2185">
        <v>64</v>
      </c>
      <c r="Y2185">
        <v>1</v>
      </c>
      <c r="Z2185">
        <v>0</v>
      </c>
      <c r="AQ2185">
        <v>1</v>
      </c>
      <c r="AR2185">
        <v>1</v>
      </c>
      <c r="AU2185">
        <v>0</v>
      </c>
      <c r="AW2185">
        <v>0</v>
      </c>
      <c r="AX2185">
        <v>13</v>
      </c>
      <c r="AY2185">
        <v>569</v>
      </c>
      <c r="AZ2185">
        <v>569</v>
      </c>
      <c r="BA2185">
        <v>742</v>
      </c>
      <c r="BB2185">
        <v>44</v>
      </c>
      <c r="BD2185">
        <v>1</v>
      </c>
      <c r="BF2185" t="s">
        <v>2362</v>
      </c>
      <c r="BG2185" s="1">
        <v>44354.043749999997</v>
      </c>
      <c r="BH2185" s="1">
        <v>44354.053599537037</v>
      </c>
      <c r="BI2185" s="1">
        <v>44354.054050925923</v>
      </c>
      <c r="BJ2185" t="s">
        <v>85</v>
      </c>
      <c r="BK2185" t="s">
        <v>86</v>
      </c>
      <c r="BL2185" t="s">
        <v>87</v>
      </c>
    </row>
    <row r="2186" spans="1:64" x14ac:dyDescent="0.3">
      <c r="A2186" t="str">
        <f>"201444C0100"</f>
        <v>201444C0100</v>
      </c>
      <c r="B2186" t="str">
        <f>"201444C01003"</f>
        <v>201444C01003</v>
      </c>
      <c r="C2186" t="str">
        <f t="shared" si="135"/>
        <v>20</v>
      </c>
      <c r="D2186" t="s">
        <v>81</v>
      </c>
      <c r="E2186" t="str">
        <f t="shared" si="134"/>
        <v>296</v>
      </c>
      <c r="F2186" t="s">
        <v>2350</v>
      </c>
      <c r="G2186" t="str">
        <f>"1444"</f>
        <v>1444</v>
      </c>
      <c r="H2186" t="str">
        <f>"0001"</f>
        <v>0001</v>
      </c>
      <c r="I2186" t="s">
        <v>89</v>
      </c>
      <c r="J2186">
        <v>0</v>
      </c>
      <c r="K2186">
        <v>1</v>
      </c>
      <c r="L2186">
        <v>3</v>
      </c>
      <c r="M2186">
        <v>250</v>
      </c>
      <c r="N2186">
        <v>536</v>
      </c>
      <c r="O2186">
        <v>2</v>
      </c>
      <c r="P2186" t="s">
        <v>92</v>
      </c>
      <c r="Q2186">
        <v>233</v>
      </c>
      <c r="R2186">
        <v>218</v>
      </c>
      <c r="S2186">
        <v>0</v>
      </c>
      <c r="T2186">
        <v>0</v>
      </c>
      <c r="U2186">
        <v>20</v>
      </c>
      <c r="X2186">
        <v>58</v>
      </c>
      <c r="Y2186">
        <v>0</v>
      </c>
      <c r="Z2186">
        <v>0</v>
      </c>
      <c r="AQ2186">
        <v>1</v>
      </c>
      <c r="AR2186">
        <v>0</v>
      </c>
      <c r="AU2186">
        <v>0</v>
      </c>
      <c r="AW2186">
        <v>0</v>
      </c>
      <c r="AX2186">
        <v>6</v>
      </c>
      <c r="AY2186">
        <v>536</v>
      </c>
      <c r="AZ2186">
        <v>536</v>
      </c>
      <c r="BA2186">
        <v>742</v>
      </c>
      <c r="BB2186">
        <v>44</v>
      </c>
      <c r="BD2186">
        <v>1</v>
      </c>
      <c r="BF2186" t="s">
        <v>2363</v>
      </c>
      <c r="BG2186" s="1">
        <v>44354.045138888891</v>
      </c>
      <c r="BH2186" s="1">
        <v>44354.053981481484</v>
      </c>
      <c r="BI2186" s="1">
        <v>44354.054560185185</v>
      </c>
      <c r="BJ2186" t="s">
        <v>85</v>
      </c>
      <c r="BK2186" t="s">
        <v>86</v>
      </c>
      <c r="BL2186" t="s">
        <v>87</v>
      </c>
    </row>
    <row r="2187" spans="1:64" x14ac:dyDescent="0.3">
      <c r="A2187" t="str">
        <f>"201444E0100"</f>
        <v>201444E0100</v>
      </c>
      <c r="B2187" t="str">
        <f>"201444E01003"</f>
        <v>201444E01003</v>
      </c>
      <c r="C2187" t="str">
        <f t="shared" si="135"/>
        <v>20</v>
      </c>
      <c r="D2187" t="s">
        <v>81</v>
      </c>
      <c r="E2187" t="str">
        <f t="shared" si="134"/>
        <v>296</v>
      </c>
      <c r="F2187" t="s">
        <v>2350</v>
      </c>
      <c r="G2187" t="str">
        <f>"1444"</f>
        <v>1444</v>
      </c>
      <c r="H2187" t="str">
        <f>"0001"</f>
        <v>0001</v>
      </c>
      <c r="I2187" t="s">
        <v>122</v>
      </c>
      <c r="J2187">
        <v>0</v>
      </c>
      <c r="K2187">
        <v>1</v>
      </c>
      <c r="L2187">
        <v>3</v>
      </c>
      <c r="M2187">
        <v>126</v>
      </c>
      <c r="N2187">
        <v>448</v>
      </c>
      <c r="O2187">
        <v>11</v>
      </c>
      <c r="P2187">
        <v>448</v>
      </c>
      <c r="Q2187">
        <v>177</v>
      </c>
      <c r="R2187">
        <v>214</v>
      </c>
      <c r="S2187">
        <v>5</v>
      </c>
      <c r="T2187">
        <v>2</v>
      </c>
      <c r="U2187">
        <v>16</v>
      </c>
      <c r="X2187">
        <v>18</v>
      </c>
      <c r="Y2187">
        <v>1</v>
      </c>
      <c r="Z2187">
        <v>0</v>
      </c>
      <c r="AQ2187">
        <v>1</v>
      </c>
      <c r="AR2187">
        <v>0</v>
      </c>
      <c r="AU2187">
        <v>0</v>
      </c>
      <c r="AW2187">
        <v>0</v>
      </c>
      <c r="AX2187">
        <v>14</v>
      </c>
      <c r="AY2187">
        <v>448</v>
      </c>
      <c r="AZ2187">
        <v>448</v>
      </c>
      <c r="BA2187">
        <v>530</v>
      </c>
      <c r="BB2187">
        <v>44</v>
      </c>
      <c r="BD2187">
        <v>1</v>
      </c>
      <c r="BF2187" t="s">
        <v>2364</v>
      </c>
      <c r="BG2187" s="1">
        <v>44353.982638888891</v>
      </c>
      <c r="BH2187" s="1">
        <v>44353.985960648148</v>
      </c>
      <c r="BI2187" s="1">
        <v>44353.986678240741</v>
      </c>
      <c r="BJ2187" t="s">
        <v>85</v>
      </c>
      <c r="BK2187" t="s">
        <v>86</v>
      </c>
      <c r="BL2187" t="s">
        <v>87</v>
      </c>
    </row>
    <row r="2188" spans="1:64" x14ac:dyDescent="0.3">
      <c r="A2188" t="str">
        <f>"201445B0000"</f>
        <v>201445B0000</v>
      </c>
      <c r="B2188" t="str">
        <f>"201445B00003"</f>
        <v>201445B00003</v>
      </c>
      <c r="C2188" t="str">
        <f t="shared" si="135"/>
        <v>20</v>
      </c>
      <c r="D2188" t="s">
        <v>81</v>
      </c>
      <c r="E2188" t="str">
        <f t="shared" si="134"/>
        <v>296</v>
      </c>
      <c r="F2188" t="s">
        <v>2350</v>
      </c>
      <c r="G2188" t="str">
        <f>"1445"</f>
        <v>1445</v>
      </c>
      <c r="H2188" t="str">
        <f>"0000"</f>
        <v>0000</v>
      </c>
      <c r="I2188" t="s">
        <v>83</v>
      </c>
      <c r="J2188">
        <v>0</v>
      </c>
      <c r="K2188">
        <v>1</v>
      </c>
      <c r="L2188">
        <v>3</v>
      </c>
      <c r="M2188">
        <v>154</v>
      </c>
      <c r="N2188">
        <v>218</v>
      </c>
      <c r="O2188">
        <v>7</v>
      </c>
      <c r="P2188">
        <v>220</v>
      </c>
      <c r="Q2188">
        <v>70</v>
      </c>
      <c r="R2188">
        <v>95</v>
      </c>
      <c r="S2188">
        <v>1</v>
      </c>
      <c r="T2188">
        <v>2</v>
      </c>
      <c r="U2188">
        <v>22</v>
      </c>
      <c r="X2188">
        <v>16</v>
      </c>
      <c r="Y2188">
        <v>3</v>
      </c>
      <c r="Z2188">
        <v>0</v>
      </c>
      <c r="AQ2188">
        <v>0</v>
      </c>
      <c r="AR2188">
        <v>0</v>
      </c>
      <c r="AU2188">
        <v>1</v>
      </c>
      <c r="AW2188">
        <v>0</v>
      </c>
      <c r="AX2188">
        <v>10</v>
      </c>
      <c r="AY2188">
        <v>220</v>
      </c>
      <c r="AZ2188">
        <v>220</v>
      </c>
      <c r="BA2188">
        <v>330</v>
      </c>
      <c r="BB2188">
        <v>44</v>
      </c>
      <c r="BD2188">
        <v>1</v>
      </c>
      <c r="BF2188" t="s">
        <v>2365</v>
      </c>
      <c r="BG2188" s="1">
        <v>44354.094444444447</v>
      </c>
      <c r="BH2188" s="1">
        <v>44354.099189814813</v>
      </c>
      <c r="BI2188" s="1">
        <v>44354.099918981483</v>
      </c>
      <c r="BJ2188" t="s">
        <v>85</v>
      </c>
      <c r="BK2188" t="s">
        <v>86</v>
      </c>
      <c r="BL2188" t="s">
        <v>87</v>
      </c>
    </row>
    <row r="2189" spans="1:64" x14ac:dyDescent="0.3">
      <c r="A2189" t="str">
        <f>"201446B0000"</f>
        <v>201446B0000</v>
      </c>
      <c r="B2189" t="str">
        <f>"201446B00003"</f>
        <v>201446B00003</v>
      </c>
      <c r="C2189" t="str">
        <f t="shared" si="135"/>
        <v>20</v>
      </c>
      <c r="D2189" t="s">
        <v>81</v>
      </c>
      <c r="E2189" t="str">
        <f t="shared" si="134"/>
        <v>296</v>
      </c>
      <c r="F2189" t="s">
        <v>2350</v>
      </c>
      <c r="G2189" t="str">
        <f>"1446"</f>
        <v>1446</v>
      </c>
      <c r="H2189" t="str">
        <f>"0000"</f>
        <v>0000</v>
      </c>
      <c r="I2189" t="s">
        <v>83</v>
      </c>
      <c r="J2189">
        <v>0</v>
      </c>
      <c r="K2189">
        <v>1</v>
      </c>
      <c r="L2189">
        <v>3</v>
      </c>
      <c r="M2189">
        <v>227</v>
      </c>
      <c r="N2189">
        <v>303</v>
      </c>
      <c r="O2189">
        <v>9</v>
      </c>
      <c r="P2189">
        <v>303</v>
      </c>
      <c r="Q2189">
        <v>114</v>
      </c>
      <c r="R2189">
        <v>79</v>
      </c>
      <c r="S2189">
        <v>3</v>
      </c>
      <c r="T2189">
        <v>2</v>
      </c>
      <c r="U2189">
        <v>28</v>
      </c>
      <c r="X2189">
        <v>59</v>
      </c>
      <c r="Y2189">
        <v>0</v>
      </c>
      <c r="Z2189">
        <v>2</v>
      </c>
      <c r="AQ2189">
        <v>0</v>
      </c>
      <c r="AR2189">
        <v>0</v>
      </c>
      <c r="AU2189">
        <v>0</v>
      </c>
      <c r="AW2189">
        <v>0</v>
      </c>
      <c r="AX2189">
        <v>16</v>
      </c>
      <c r="AY2189">
        <v>303</v>
      </c>
      <c r="AZ2189">
        <v>303</v>
      </c>
      <c r="BA2189">
        <v>486</v>
      </c>
      <c r="BB2189">
        <v>44</v>
      </c>
      <c r="BD2189">
        <v>1</v>
      </c>
      <c r="BF2189" s="2" t="s">
        <v>2366</v>
      </c>
      <c r="BG2189" s="1">
        <v>44354.097222222219</v>
      </c>
      <c r="BH2189" s="1">
        <v>44354.099930555552</v>
      </c>
      <c r="BI2189" s="1">
        <v>44354.10052083333</v>
      </c>
      <c r="BJ2189" t="s">
        <v>85</v>
      </c>
      <c r="BK2189" t="s">
        <v>86</v>
      </c>
      <c r="BL2189" t="s">
        <v>87</v>
      </c>
    </row>
    <row r="2190" spans="1:64" x14ac:dyDescent="0.3">
      <c r="A2190" t="str">
        <f>"201447B0000"</f>
        <v>201447B0000</v>
      </c>
      <c r="B2190" t="str">
        <f>"201447B00003"</f>
        <v>201447B00003</v>
      </c>
      <c r="C2190" t="str">
        <f t="shared" si="135"/>
        <v>20</v>
      </c>
      <c r="D2190" t="s">
        <v>81</v>
      </c>
      <c r="E2190" t="str">
        <f t="shared" si="134"/>
        <v>296</v>
      </c>
      <c r="F2190" t="s">
        <v>2350</v>
      </c>
      <c r="G2190" t="str">
        <f>"1447"</f>
        <v>1447</v>
      </c>
      <c r="H2190" t="str">
        <f>"0000"</f>
        <v>0000</v>
      </c>
      <c r="I2190" t="s">
        <v>83</v>
      </c>
      <c r="J2190">
        <v>0</v>
      </c>
      <c r="K2190">
        <v>1</v>
      </c>
      <c r="L2190">
        <v>3</v>
      </c>
      <c r="M2190">
        <v>105</v>
      </c>
      <c r="N2190">
        <v>514</v>
      </c>
      <c r="O2190">
        <v>9</v>
      </c>
      <c r="P2190">
        <v>514</v>
      </c>
      <c r="Q2190">
        <v>221</v>
      </c>
      <c r="R2190">
        <v>242</v>
      </c>
      <c r="S2190">
        <v>2</v>
      </c>
      <c r="T2190">
        <v>4</v>
      </c>
      <c r="U2190">
        <v>20</v>
      </c>
      <c r="X2190">
        <v>13</v>
      </c>
      <c r="Y2190">
        <v>1</v>
      </c>
      <c r="Z2190">
        <v>1</v>
      </c>
      <c r="AQ2190">
        <v>1</v>
      </c>
      <c r="AR2190">
        <v>0</v>
      </c>
      <c r="AU2190">
        <v>0</v>
      </c>
      <c r="AW2190">
        <v>0</v>
      </c>
      <c r="AX2190">
        <v>9</v>
      </c>
      <c r="AY2190">
        <v>514</v>
      </c>
      <c r="AZ2190">
        <v>514</v>
      </c>
      <c r="BA2190">
        <v>575</v>
      </c>
      <c r="BB2190">
        <v>44</v>
      </c>
      <c r="BD2190">
        <v>1</v>
      </c>
      <c r="BF2190" t="s">
        <v>2367</v>
      </c>
      <c r="BG2190" s="1">
        <v>44354.080555555556</v>
      </c>
      <c r="BH2190" s="1">
        <v>44354.087858796294</v>
      </c>
      <c r="BI2190" s="1">
        <v>44354.08861111111</v>
      </c>
      <c r="BJ2190" t="s">
        <v>85</v>
      </c>
      <c r="BK2190" t="s">
        <v>86</v>
      </c>
      <c r="BL2190" t="s">
        <v>87</v>
      </c>
    </row>
    <row r="2191" spans="1:64" x14ac:dyDescent="0.3">
      <c r="A2191" t="str">
        <f>"201447C0100"</f>
        <v>201447C0100</v>
      </c>
      <c r="B2191" t="str">
        <f>"201447C01003"</f>
        <v>201447C01003</v>
      </c>
      <c r="C2191" t="str">
        <f t="shared" si="135"/>
        <v>20</v>
      </c>
      <c r="D2191" t="s">
        <v>81</v>
      </c>
      <c r="E2191" t="str">
        <f t="shared" si="134"/>
        <v>296</v>
      </c>
      <c r="F2191" t="s">
        <v>2350</v>
      </c>
      <c r="G2191" t="str">
        <f>"1447"</f>
        <v>1447</v>
      </c>
      <c r="H2191" t="str">
        <f>"0001"</f>
        <v>0001</v>
      </c>
      <c r="I2191" t="s">
        <v>89</v>
      </c>
      <c r="J2191">
        <v>0</v>
      </c>
      <c r="K2191">
        <v>1</v>
      </c>
      <c r="L2191">
        <v>3</v>
      </c>
      <c r="M2191">
        <v>110</v>
      </c>
      <c r="N2191">
        <v>509</v>
      </c>
      <c r="O2191">
        <v>8</v>
      </c>
      <c r="P2191">
        <v>509</v>
      </c>
      <c r="Q2191">
        <v>207</v>
      </c>
      <c r="R2191">
        <v>252</v>
      </c>
      <c r="S2191">
        <v>0</v>
      </c>
      <c r="T2191">
        <v>0</v>
      </c>
      <c r="U2191">
        <v>15</v>
      </c>
      <c r="X2191">
        <v>10</v>
      </c>
      <c r="Y2191">
        <v>2</v>
      </c>
      <c r="Z2191">
        <v>0</v>
      </c>
      <c r="AQ2191">
        <v>0</v>
      </c>
      <c r="AR2191">
        <v>0</v>
      </c>
      <c r="AU2191">
        <v>1</v>
      </c>
      <c r="AW2191">
        <v>0</v>
      </c>
      <c r="AX2191">
        <v>22</v>
      </c>
      <c r="AY2191">
        <v>509</v>
      </c>
      <c r="AZ2191">
        <v>509</v>
      </c>
      <c r="BA2191">
        <v>575</v>
      </c>
      <c r="BB2191">
        <v>44</v>
      </c>
      <c r="BD2191">
        <v>1</v>
      </c>
      <c r="BF2191" t="s">
        <v>2368</v>
      </c>
      <c r="BG2191" s="1">
        <v>44354.085416666669</v>
      </c>
      <c r="BH2191" s="1">
        <v>44354.093391203707</v>
      </c>
      <c r="BI2191" s="1">
        <v>44354.094097222223</v>
      </c>
      <c r="BJ2191" t="s">
        <v>85</v>
      </c>
      <c r="BK2191" t="s">
        <v>86</v>
      </c>
      <c r="BL2191" t="s">
        <v>1390</v>
      </c>
    </row>
    <row r="2192" spans="1:64" x14ac:dyDescent="0.3">
      <c r="A2192" t="str">
        <f>"201449B0000"</f>
        <v>201449B0000</v>
      </c>
      <c r="B2192" t="str">
        <f>"201449B00003"</f>
        <v>201449B00003</v>
      </c>
      <c r="C2192" t="str">
        <f t="shared" si="135"/>
        <v>20</v>
      </c>
      <c r="D2192" t="s">
        <v>81</v>
      </c>
      <c r="E2192" t="str">
        <f t="shared" ref="E2192:E2200" si="136">"298"</f>
        <v>298</v>
      </c>
      <c r="F2192" t="s">
        <v>2369</v>
      </c>
      <c r="G2192" t="str">
        <f>"1449"</f>
        <v>1449</v>
      </c>
      <c r="H2192" t="str">
        <f>"0000"</f>
        <v>0000</v>
      </c>
      <c r="I2192" t="s">
        <v>83</v>
      </c>
      <c r="J2192">
        <v>0</v>
      </c>
      <c r="K2192">
        <v>1</v>
      </c>
      <c r="L2192">
        <v>3</v>
      </c>
      <c r="M2192">
        <v>183</v>
      </c>
      <c r="N2192">
        <v>373</v>
      </c>
      <c r="O2192">
        <v>0</v>
      </c>
      <c r="P2192">
        <v>373</v>
      </c>
      <c r="Q2192">
        <v>0</v>
      </c>
      <c r="R2192">
        <v>95</v>
      </c>
      <c r="S2192">
        <v>163</v>
      </c>
      <c r="T2192">
        <v>0</v>
      </c>
      <c r="U2192">
        <v>1</v>
      </c>
      <c r="X2192">
        <v>108</v>
      </c>
      <c r="Z2192">
        <v>2</v>
      </c>
      <c r="AO2192" t="s">
        <v>95</v>
      </c>
      <c r="AW2192" t="s">
        <v>95</v>
      </c>
      <c r="AX2192">
        <v>4</v>
      </c>
      <c r="AY2192">
        <v>373</v>
      </c>
      <c r="AZ2192">
        <v>373</v>
      </c>
      <c r="BA2192">
        <v>510</v>
      </c>
      <c r="BB2192">
        <v>46</v>
      </c>
      <c r="BC2192" t="s">
        <v>96</v>
      </c>
      <c r="BD2192">
        <v>1</v>
      </c>
      <c r="BF2192" t="s">
        <v>2370</v>
      </c>
      <c r="BG2192" s="1">
        <v>44354.003020833334</v>
      </c>
      <c r="BH2192" s="1">
        <v>44354.007673611108</v>
      </c>
      <c r="BI2192" s="1">
        <v>44354.008761574078</v>
      </c>
      <c r="BJ2192" t="s">
        <v>197</v>
      </c>
      <c r="BK2192" t="s">
        <v>198</v>
      </c>
      <c r="BL2192" t="s">
        <v>87</v>
      </c>
    </row>
    <row r="2193" spans="1:64" x14ac:dyDescent="0.3">
      <c r="A2193" t="str">
        <f>"201449C0100"</f>
        <v>201449C0100</v>
      </c>
      <c r="B2193" t="str">
        <f>"201449C01003"</f>
        <v>201449C01003</v>
      </c>
      <c r="C2193" t="str">
        <f t="shared" si="135"/>
        <v>20</v>
      </c>
      <c r="D2193" t="s">
        <v>81</v>
      </c>
      <c r="E2193" t="str">
        <f t="shared" si="136"/>
        <v>298</v>
      </c>
      <c r="F2193" t="s">
        <v>2369</v>
      </c>
      <c r="G2193" t="str">
        <f>"1449"</f>
        <v>1449</v>
      </c>
      <c r="H2193" t="str">
        <f>"0001"</f>
        <v>0001</v>
      </c>
      <c r="I2193" t="s">
        <v>89</v>
      </c>
      <c r="J2193">
        <v>0</v>
      </c>
      <c r="K2193">
        <v>1</v>
      </c>
      <c r="L2193">
        <v>3</v>
      </c>
      <c r="M2193">
        <v>178</v>
      </c>
      <c r="N2193">
        <v>378</v>
      </c>
      <c r="O2193">
        <v>0</v>
      </c>
      <c r="P2193">
        <v>378</v>
      </c>
      <c r="Q2193">
        <v>1</v>
      </c>
      <c r="R2193">
        <v>103</v>
      </c>
      <c r="S2193">
        <v>146</v>
      </c>
      <c r="T2193">
        <v>2</v>
      </c>
      <c r="U2193">
        <v>0</v>
      </c>
      <c r="X2193">
        <v>117</v>
      </c>
      <c r="Z2193">
        <v>3</v>
      </c>
      <c r="AO2193">
        <v>0</v>
      </c>
      <c r="AW2193">
        <v>0</v>
      </c>
      <c r="AX2193">
        <v>6</v>
      </c>
      <c r="AY2193">
        <v>378</v>
      </c>
      <c r="AZ2193">
        <v>378</v>
      </c>
      <c r="BA2193">
        <v>510</v>
      </c>
      <c r="BB2193">
        <v>46</v>
      </c>
      <c r="BD2193">
        <v>1</v>
      </c>
      <c r="BF2193" t="s">
        <v>2371</v>
      </c>
      <c r="BG2193" s="1">
        <v>44354.010879629626</v>
      </c>
      <c r="BH2193" s="1">
        <v>44354.016655092593</v>
      </c>
      <c r="BI2193" s="1">
        <v>44354.01730324074</v>
      </c>
      <c r="BJ2193" t="s">
        <v>197</v>
      </c>
      <c r="BK2193" t="s">
        <v>198</v>
      </c>
      <c r="BL2193" t="s">
        <v>87</v>
      </c>
    </row>
    <row r="2194" spans="1:64" x14ac:dyDescent="0.3">
      <c r="A2194" t="str">
        <f>"201449C0200"</f>
        <v>201449C0200</v>
      </c>
      <c r="B2194" t="str">
        <f>"201449C02003"</f>
        <v>201449C02003</v>
      </c>
      <c r="C2194" t="str">
        <f t="shared" si="135"/>
        <v>20</v>
      </c>
      <c r="D2194" t="s">
        <v>81</v>
      </c>
      <c r="E2194" t="str">
        <f t="shared" si="136"/>
        <v>298</v>
      </c>
      <c r="F2194" t="s">
        <v>2369</v>
      </c>
      <c r="G2194" t="str">
        <f>"1449"</f>
        <v>1449</v>
      </c>
      <c r="H2194" t="str">
        <f>"0002"</f>
        <v>0002</v>
      </c>
      <c r="I2194" t="s">
        <v>89</v>
      </c>
      <c r="J2194">
        <v>0</v>
      </c>
      <c r="K2194">
        <v>1</v>
      </c>
      <c r="L2194">
        <v>3</v>
      </c>
      <c r="M2194">
        <v>166</v>
      </c>
      <c r="N2194">
        <v>389</v>
      </c>
      <c r="O2194">
        <v>0</v>
      </c>
      <c r="P2194">
        <v>389</v>
      </c>
      <c r="Q2194">
        <v>0</v>
      </c>
      <c r="R2194">
        <v>99</v>
      </c>
      <c r="S2194">
        <v>163</v>
      </c>
      <c r="T2194">
        <v>0</v>
      </c>
      <c r="U2194">
        <v>0</v>
      </c>
      <c r="X2194">
        <v>119</v>
      </c>
      <c r="Z2194">
        <v>0</v>
      </c>
      <c r="AO2194">
        <v>0</v>
      </c>
      <c r="AW2194">
        <v>0</v>
      </c>
      <c r="AX2194">
        <v>8</v>
      </c>
      <c r="AY2194">
        <v>389</v>
      </c>
      <c r="AZ2194">
        <v>389</v>
      </c>
      <c r="BA2194">
        <v>509</v>
      </c>
      <c r="BB2194">
        <v>46</v>
      </c>
      <c r="BD2194">
        <v>1</v>
      </c>
      <c r="BF2194" t="s">
        <v>2372</v>
      </c>
      <c r="BG2194" s="1">
        <v>44354.013379629629</v>
      </c>
      <c r="BH2194" s="1">
        <v>44354.023888888885</v>
      </c>
      <c r="BI2194" s="1">
        <v>44354.024293981478</v>
      </c>
      <c r="BJ2194" t="s">
        <v>197</v>
      </c>
      <c r="BK2194" t="s">
        <v>198</v>
      </c>
      <c r="BL2194" t="s">
        <v>87</v>
      </c>
    </row>
    <row r="2195" spans="1:64" x14ac:dyDescent="0.3">
      <c r="A2195" t="str">
        <f>"201449E0100"</f>
        <v>201449E0100</v>
      </c>
      <c r="B2195" t="str">
        <f>"201449E01003"</f>
        <v>201449E01003</v>
      </c>
      <c r="C2195" t="str">
        <f t="shared" si="135"/>
        <v>20</v>
      </c>
      <c r="D2195" t="s">
        <v>81</v>
      </c>
      <c r="E2195" t="str">
        <f t="shared" si="136"/>
        <v>298</v>
      </c>
      <c r="F2195" t="s">
        <v>2369</v>
      </c>
      <c r="G2195" t="str">
        <f>"1449"</f>
        <v>1449</v>
      </c>
      <c r="H2195" t="str">
        <f>"0001"</f>
        <v>0001</v>
      </c>
      <c r="I2195" t="s">
        <v>122</v>
      </c>
      <c r="J2195">
        <v>0</v>
      </c>
      <c r="K2195">
        <v>1</v>
      </c>
      <c r="L2195">
        <v>3</v>
      </c>
      <c r="M2195">
        <v>123</v>
      </c>
      <c r="N2195">
        <v>330</v>
      </c>
      <c r="O2195">
        <v>2</v>
      </c>
      <c r="P2195">
        <v>330</v>
      </c>
      <c r="Q2195">
        <v>0</v>
      </c>
      <c r="R2195">
        <v>169</v>
      </c>
      <c r="S2195">
        <v>95</v>
      </c>
      <c r="T2195">
        <v>1</v>
      </c>
      <c r="U2195">
        <v>0</v>
      </c>
      <c r="X2195">
        <v>60</v>
      </c>
      <c r="Z2195">
        <v>1</v>
      </c>
      <c r="AO2195" t="s">
        <v>95</v>
      </c>
      <c r="AW2195" t="s">
        <v>95</v>
      </c>
      <c r="AX2195">
        <v>4</v>
      </c>
      <c r="AY2195">
        <v>330</v>
      </c>
      <c r="AZ2195">
        <v>330</v>
      </c>
      <c r="BA2195">
        <v>407</v>
      </c>
      <c r="BB2195">
        <v>46</v>
      </c>
      <c r="BC2195" t="s">
        <v>96</v>
      </c>
      <c r="BD2195">
        <v>1</v>
      </c>
      <c r="BF2195" t="s">
        <v>2373</v>
      </c>
      <c r="BG2195" s="1">
        <v>44354.262499999997</v>
      </c>
      <c r="BH2195" s="1">
        <v>44354.265023148146</v>
      </c>
      <c r="BI2195" s="1">
        <v>44354.265439814815</v>
      </c>
      <c r="BJ2195" t="s">
        <v>85</v>
      </c>
      <c r="BK2195" t="s">
        <v>86</v>
      </c>
      <c r="BL2195" t="s">
        <v>87</v>
      </c>
    </row>
    <row r="2196" spans="1:64" x14ac:dyDescent="0.3">
      <c r="A2196" t="str">
        <f>"201449E0101"</f>
        <v>201449E0101</v>
      </c>
      <c r="B2196" t="str">
        <f>"201449E01013"</f>
        <v>201449E01013</v>
      </c>
      <c r="C2196" t="str">
        <f t="shared" si="135"/>
        <v>20</v>
      </c>
      <c r="D2196" t="s">
        <v>81</v>
      </c>
      <c r="E2196" t="str">
        <f t="shared" si="136"/>
        <v>298</v>
      </c>
      <c r="F2196" t="s">
        <v>2369</v>
      </c>
      <c r="G2196" t="str">
        <f>"1449"</f>
        <v>1449</v>
      </c>
      <c r="H2196" t="str">
        <f>"0001"</f>
        <v>0001</v>
      </c>
      <c r="I2196" t="s">
        <v>122</v>
      </c>
      <c r="J2196">
        <v>1</v>
      </c>
      <c r="K2196">
        <v>1</v>
      </c>
      <c r="L2196">
        <v>3</v>
      </c>
      <c r="M2196">
        <v>160</v>
      </c>
      <c r="N2196">
        <v>291</v>
      </c>
      <c r="O2196">
        <v>0</v>
      </c>
      <c r="P2196">
        <v>291</v>
      </c>
      <c r="Q2196">
        <v>0</v>
      </c>
      <c r="R2196">
        <v>93</v>
      </c>
      <c r="S2196">
        <v>133</v>
      </c>
      <c r="T2196">
        <v>1</v>
      </c>
      <c r="U2196">
        <v>0</v>
      </c>
      <c r="X2196">
        <v>61</v>
      </c>
      <c r="Z2196">
        <v>0</v>
      </c>
      <c r="AO2196">
        <v>0</v>
      </c>
      <c r="AW2196">
        <v>0</v>
      </c>
      <c r="AX2196">
        <v>3</v>
      </c>
      <c r="AY2196">
        <v>291</v>
      </c>
      <c r="AZ2196">
        <v>291</v>
      </c>
      <c r="BA2196">
        <v>406</v>
      </c>
      <c r="BB2196">
        <v>46</v>
      </c>
      <c r="BD2196">
        <v>1</v>
      </c>
      <c r="BF2196" t="s">
        <v>2374</v>
      </c>
      <c r="BG2196" s="1">
        <v>44354.261805555558</v>
      </c>
      <c r="BH2196" s="1">
        <v>44354.265405092592</v>
      </c>
      <c r="BI2196" s="1">
        <v>44354.266250000001</v>
      </c>
      <c r="BJ2196" t="s">
        <v>85</v>
      </c>
      <c r="BK2196" t="s">
        <v>86</v>
      </c>
      <c r="BL2196" t="s">
        <v>87</v>
      </c>
    </row>
    <row r="2197" spans="1:64" x14ac:dyDescent="0.3">
      <c r="A2197" t="str">
        <f>"201450B0000"</f>
        <v>201450B0000</v>
      </c>
      <c r="B2197" t="str">
        <f>"201450B00003"</f>
        <v>201450B00003</v>
      </c>
      <c r="C2197" t="str">
        <f t="shared" si="135"/>
        <v>20</v>
      </c>
      <c r="D2197" t="s">
        <v>81</v>
      </c>
      <c r="E2197" t="str">
        <f t="shared" si="136"/>
        <v>298</v>
      </c>
      <c r="F2197" t="s">
        <v>2369</v>
      </c>
      <c r="G2197" t="str">
        <f>"1450"</f>
        <v>1450</v>
      </c>
      <c r="H2197" t="str">
        <f>"0000"</f>
        <v>0000</v>
      </c>
      <c r="I2197" t="s">
        <v>83</v>
      </c>
      <c r="J2197">
        <v>0</v>
      </c>
      <c r="K2197">
        <v>1</v>
      </c>
      <c r="L2197">
        <v>3</v>
      </c>
      <c r="M2197">
        <v>210</v>
      </c>
      <c r="N2197">
        <v>485</v>
      </c>
      <c r="O2197">
        <v>0</v>
      </c>
      <c r="P2197">
        <v>485</v>
      </c>
      <c r="Q2197">
        <v>2</v>
      </c>
      <c r="R2197">
        <v>132</v>
      </c>
      <c r="S2197">
        <v>149</v>
      </c>
      <c r="T2197">
        <v>1</v>
      </c>
      <c r="U2197">
        <v>0</v>
      </c>
      <c r="X2197">
        <v>188</v>
      </c>
      <c r="Z2197">
        <v>2</v>
      </c>
      <c r="AO2197">
        <v>0</v>
      </c>
      <c r="AW2197">
        <v>0</v>
      </c>
      <c r="AX2197">
        <v>11</v>
      </c>
      <c r="AY2197">
        <v>485</v>
      </c>
      <c r="AZ2197">
        <v>485</v>
      </c>
      <c r="BA2197">
        <v>649</v>
      </c>
      <c r="BB2197">
        <v>46</v>
      </c>
      <c r="BD2197">
        <v>1</v>
      </c>
      <c r="BF2197" t="s">
        <v>2375</v>
      </c>
      <c r="BG2197" s="1">
        <v>44354.085277777776</v>
      </c>
      <c r="BH2197" s="1">
        <v>44354.09134259259</v>
      </c>
      <c r="BI2197" s="1">
        <v>44354.09171296296</v>
      </c>
      <c r="BJ2197" t="s">
        <v>197</v>
      </c>
      <c r="BK2197" t="s">
        <v>198</v>
      </c>
      <c r="BL2197" t="s">
        <v>87</v>
      </c>
    </row>
    <row r="2198" spans="1:64" x14ac:dyDescent="0.3">
      <c r="A2198" t="str">
        <f>"201450C0100"</f>
        <v>201450C0100</v>
      </c>
      <c r="B2198" t="str">
        <f>"201450C01003"</f>
        <v>201450C01003</v>
      </c>
      <c r="C2198" t="str">
        <f t="shared" si="135"/>
        <v>20</v>
      </c>
      <c r="D2198" t="s">
        <v>81</v>
      </c>
      <c r="E2198" t="str">
        <f t="shared" si="136"/>
        <v>298</v>
      </c>
      <c r="F2198" t="s">
        <v>2369</v>
      </c>
      <c r="G2198" t="str">
        <f>"1450"</f>
        <v>1450</v>
      </c>
      <c r="H2198" t="str">
        <f>"0001"</f>
        <v>0001</v>
      </c>
      <c r="I2198" t="s">
        <v>89</v>
      </c>
      <c r="J2198">
        <v>0</v>
      </c>
      <c r="K2198">
        <v>1</v>
      </c>
      <c r="L2198">
        <v>3</v>
      </c>
      <c r="M2198">
        <v>213</v>
      </c>
      <c r="N2198">
        <v>482</v>
      </c>
      <c r="O2198">
        <v>0</v>
      </c>
      <c r="P2198">
        <v>482</v>
      </c>
      <c r="Q2198">
        <v>2</v>
      </c>
      <c r="R2198">
        <v>145</v>
      </c>
      <c r="S2198">
        <v>174</v>
      </c>
      <c r="T2198">
        <v>1</v>
      </c>
      <c r="U2198">
        <v>4</v>
      </c>
      <c r="X2198">
        <v>150</v>
      </c>
      <c r="Z2198">
        <v>2</v>
      </c>
      <c r="AO2198">
        <v>0</v>
      </c>
      <c r="AW2198">
        <v>0</v>
      </c>
      <c r="AX2198">
        <v>4</v>
      </c>
      <c r="AY2198">
        <v>482</v>
      </c>
      <c r="AZ2198">
        <v>482</v>
      </c>
      <c r="BA2198">
        <v>649</v>
      </c>
      <c r="BB2198">
        <v>46</v>
      </c>
      <c r="BD2198">
        <v>1</v>
      </c>
      <c r="BF2198" t="s">
        <v>2376</v>
      </c>
      <c r="BG2198" s="1">
        <v>44354.082488425927</v>
      </c>
      <c r="BH2198" s="1">
        <v>44354.089872685188</v>
      </c>
      <c r="BI2198" s="1">
        <v>44354.090277777781</v>
      </c>
      <c r="BJ2198" t="s">
        <v>197</v>
      </c>
      <c r="BK2198" t="s">
        <v>198</v>
      </c>
      <c r="BL2198" t="s">
        <v>87</v>
      </c>
    </row>
    <row r="2199" spans="1:64" x14ac:dyDescent="0.3">
      <c r="A2199" t="str">
        <f>"201451B0000"</f>
        <v>201451B0000</v>
      </c>
      <c r="B2199" t="str">
        <f>"201451B00003"</f>
        <v>201451B00003</v>
      </c>
      <c r="C2199" t="str">
        <f t="shared" si="135"/>
        <v>20</v>
      </c>
      <c r="D2199" t="s">
        <v>81</v>
      </c>
      <c r="E2199" t="str">
        <f t="shared" si="136"/>
        <v>298</v>
      </c>
      <c r="F2199" t="s">
        <v>2369</v>
      </c>
      <c r="G2199" t="str">
        <f>"1451"</f>
        <v>1451</v>
      </c>
      <c r="H2199" t="str">
        <f>"0000"</f>
        <v>0000</v>
      </c>
      <c r="I2199" t="s">
        <v>83</v>
      </c>
      <c r="J2199">
        <v>0</v>
      </c>
      <c r="K2199">
        <v>1</v>
      </c>
      <c r="L2199">
        <v>3</v>
      </c>
      <c r="M2199">
        <v>199</v>
      </c>
      <c r="N2199">
        <v>519</v>
      </c>
      <c r="O2199">
        <v>0</v>
      </c>
      <c r="P2199">
        <v>519</v>
      </c>
      <c r="Q2199">
        <v>1</v>
      </c>
      <c r="R2199">
        <v>157</v>
      </c>
      <c r="S2199">
        <v>224</v>
      </c>
      <c r="T2199">
        <v>0</v>
      </c>
      <c r="U2199">
        <v>0</v>
      </c>
      <c r="X2199">
        <v>129</v>
      </c>
      <c r="Z2199">
        <v>1</v>
      </c>
      <c r="AO2199">
        <v>0</v>
      </c>
      <c r="AW2199">
        <v>0</v>
      </c>
      <c r="AX2199">
        <v>7</v>
      </c>
      <c r="AY2199">
        <v>519</v>
      </c>
      <c r="AZ2199">
        <v>519</v>
      </c>
      <c r="BA2199">
        <v>672</v>
      </c>
      <c r="BB2199">
        <v>46</v>
      </c>
      <c r="BD2199">
        <v>1</v>
      </c>
      <c r="BF2199" t="s">
        <v>2377</v>
      </c>
      <c r="BG2199" s="1">
        <v>44354.151932870373</v>
      </c>
      <c r="BH2199" s="1">
        <v>44354.154432870368</v>
      </c>
      <c r="BI2199" s="1">
        <v>44354.154687499999</v>
      </c>
      <c r="BJ2199" t="s">
        <v>197</v>
      </c>
      <c r="BK2199" t="s">
        <v>198</v>
      </c>
      <c r="BL2199" t="s">
        <v>87</v>
      </c>
    </row>
    <row r="2200" spans="1:64" x14ac:dyDescent="0.3">
      <c r="A2200" t="str">
        <f>"201451C0100"</f>
        <v>201451C0100</v>
      </c>
      <c r="B2200" t="str">
        <f>"201451C01003"</f>
        <v>201451C01003</v>
      </c>
      <c r="C2200" t="str">
        <f t="shared" si="135"/>
        <v>20</v>
      </c>
      <c r="D2200" t="s">
        <v>81</v>
      </c>
      <c r="E2200" t="str">
        <f t="shared" si="136"/>
        <v>298</v>
      </c>
      <c r="F2200" t="s">
        <v>2369</v>
      </c>
      <c r="G2200" t="str">
        <f>"1451"</f>
        <v>1451</v>
      </c>
      <c r="H2200" t="str">
        <f>"0001"</f>
        <v>0001</v>
      </c>
      <c r="I2200" t="s">
        <v>89</v>
      </c>
      <c r="J2200">
        <v>0</v>
      </c>
      <c r="K2200">
        <v>1</v>
      </c>
      <c r="L2200">
        <v>3</v>
      </c>
      <c r="M2200">
        <v>230</v>
      </c>
      <c r="N2200">
        <v>487</v>
      </c>
      <c r="O2200">
        <v>0</v>
      </c>
      <c r="P2200">
        <v>487</v>
      </c>
      <c r="Q2200">
        <v>0</v>
      </c>
      <c r="R2200">
        <v>155</v>
      </c>
      <c r="S2200">
        <v>193</v>
      </c>
      <c r="T2200">
        <v>0</v>
      </c>
      <c r="U2200">
        <v>0</v>
      </c>
      <c r="X2200">
        <v>126</v>
      </c>
      <c r="Z2200">
        <v>0</v>
      </c>
      <c r="AO2200">
        <v>0</v>
      </c>
      <c r="AW2200">
        <v>0</v>
      </c>
      <c r="AX2200">
        <v>13</v>
      </c>
      <c r="AY2200">
        <v>487</v>
      </c>
      <c r="AZ2200">
        <v>487</v>
      </c>
      <c r="BA2200">
        <v>671</v>
      </c>
      <c r="BB2200">
        <v>46</v>
      </c>
      <c r="BD2200">
        <v>1</v>
      </c>
      <c r="BF2200" t="s">
        <v>2378</v>
      </c>
      <c r="BG2200" s="1">
        <v>44354.151076388887</v>
      </c>
      <c r="BH2200" s="1">
        <v>44354.152905092589</v>
      </c>
      <c r="BI2200" s="1">
        <v>44354.153194444443</v>
      </c>
      <c r="BJ2200" t="s">
        <v>197</v>
      </c>
      <c r="BK2200" t="s">
        <v>198</v>
      </c>
      <c r="BL2200" t="s">
        <v>87</v>
      </c>
    </row>
    <row r="2201" spans="1:64" x14ac:dyDescent="0.3">
      <c r="A2201" t="str">
        <f>"201454B0000"</f>
        <v>201454B0000</v>
      </c>
      <c r="B2201" t="str">
        <f>"201454B00003"</f>
        <v>201454B00003</v>
      </c>
      <c r="C2201" t="str">
        <f t="shared" si="135"/>
        <v>20</v>
      </c>
      <c r="D2201" t="s">
        <v>81</v>
      </c>
      <c r="E2201" t="str">
        <f t="shared" ref="E2201:E2207" si="137">"300"</f>
        <v>300</v>
      </c>
      <c r="F2201" t="s">
        <v>2379</v>
      </c>
      <c r="G2201" t="str">
        <f>"1454"</f>
        <v>1454</v>
      </c>
      <c r="H2201" t="str">
        <f>"0000"</f>
        <v>0000</v>
      </c>
      <c r="I2201" t="s">
        <v>83</v>
      </c>
      <c r="J2201">
        <v>0</v>
      </c>
      <c r="K2201">
        <v>1</v>
      </c>
      <c r="L2201">
        <v>3</v>
      </c>
      <c r="M2201">
        <v>140</v>
      </c>
      <c r="N2201">
        <v>430</v>
      </c>
      <c r="O2201">
        <v>0</v>
      </c>
      <c r="P2201">
        <v>430</v>
      </c>
      <c r="Q2201">
        <v>1</v>
      </c>
      <c r="R2201">
        <v>7</v>
      </c>
      <c r="S2201">
        <v>63</v>
      </c>
      <c r="T2201">
        <v>86</v>
      </c>
      <c r="U2201">
        <v>114</v>
      </c>
      <c r="X2201">
        <v>23</v>
      </c>
      <c r="Y2201">
        <v>117</v>
      </c>
      <c r="Z2201">
        <v>3</v>
      </c>
      <c r="AA2201">
        <v>2</v>
      </c>
      <c r="AF2201">
        <v>3</v>
      </c>
      <c r="AG2201">
        <v>0</v>
      </c>
      <c r="AH2201">
        <v>0</v>
      </c>
      <c r="AI2201">
        <v>0</v>
      </c>
      <c r="AW2201">
        <v>0</v>
      </c>
      <c r="AX2201">
        <v>11</v>
      </c>
      <c r="AY2201">
        <v>430</v>
      </c>
      <c r="AZ2201">
        <v>430</v>
      </c>
      <c r="BA2201">
        <v>526</v>
      </c>
      <c r="BB2201">
        <v>44</v>
      </c>
      <c r="BD2201">
        <v>1</v>
      </c>
      <c r="BF2201" t="s">
        <v>2380</v>
      </c>
      <c r="BG2201" s="1">
        <v>44354.176388888889</v>
      </c>
      <c r="BH2201" s="1">
        <v>44354.199108796296</v>
      </c>
      <c r="BI2201" s="1">
        <v>44354.202245370368</v>
      </c>
      <c r="BJ2201" t="s">
        <v>85</v>
      </c>
      <c r="BK2201" t="s">
        <v>86</v>
      </c>
      <c r="BL2201" t="s">
        <v>87</v>
      </c>
    </row>
    <row r="2202" spans="1:64" x14ac:dyDescent="0.3">
      <c r="A2202" t="str">
        <f>"201454C0100"</f>
        <v>201454C0100</v>
      </c>
      <c r="B2202" t="str">
        <f>"201454C01003"</f>
        <v>201454C01003</v>
      </c>
      <c r="C2202" t="str">
        <f t="shared" si="135"/>
        <v>20</v>
      </c>
      <c r="D2202" t="s">
        <v>81</v>
      </c>
      <c r="E2202" t="str">
        <f t="shared" si="137"/>
        <v>300</v>
      </c>
      <c r="F2202" t="s">
        <v>2379</v>
      </c>
      <c r="G2202" t="str">
        <f>"1454"</f>
        <v>1454</v>
      </c>
      <c r="H2202" t="str">
        <f>"0001"</f>
        <v>0001</v>
      </c>
      <c r="I2202" t="s">
        <v>89</v>
      </c>
      <c r="J2202">
        <v>0</v>
      </c>
      <c r="K2202">
        <v>1</v>
      </c>
      <c r="L2202">
        <v>3</v>
      </c>
      <c r="M2202">
        <v>160</v>
      </c>
      <c r="N2202">
        <v>409</v>
      </c>
      <c r="O2202">
        <v>3</v>
      </c>
      <c r="P2202">
        <v>409</v>
      </c>
      <c r="Q2202">
        <v>2</v>
      </c>
      <c r="R2202">
        <v>3</v>
      </c>
      <c r="S2202">
        <v>68</v>
      </c>
      <c r="T2202">
        <v>66</v>
      </c>
      <c r="U2202">
        <v>102</v>
      </c>
      <c r="X2202">
        <v>39</v>
      </c>
      <c r="Y2202">
        <v>113</v>
      </c>
      <c r="Z2202">
        <v>3</v>
      </c>
      <c r="AA2202">
        <v>3</v>
      </c>
      <c r="AF2202">
        <v>2</v>
      </c>
      <c r="AG2202">
        <v>0</v>
      </c>
      <c r="AH2202">
        <v>0</v>
      </c>
      <c r="AI2202">
        <v>2</v>
      </c>
      <c r="AW2202">
        <v>0</v>
      </c>
      <c r="AX2202">
        <v>6</v>
      </c>
      <c r="AY2202">
        <v>409</v>
      </c>
      <c r="AZ2202">
        <v>409</v>
      </c>
      <c r="BA2202">
        <v>525</v>
      </c>
      <c r="BB2202">
        <v>44</v>
      </c>
      <c r="BD2202">
        <v>1</v>
      </c>
      <c r="BF2202" t="s">
        <v>2381</v>
      </c>
      <c r="BG2202" s="1">
        <v>44354.036574074074</v>
      </c>
      <c r="BH2202" s="1">
        <v>44354.044004629628</v>
      </c>
      <c r="BI2202" s="1">
        <v>44354.044745370367</v>
      </c>
      <c r="BJ2202" t="s">
        <v>197</v>
      </c>
      <c r="BK2202" t="s">
        <v>198</v>
      </c>
      <c r="BL2202" t="s">
        <v>87</v>
      </c>
    </row>
    <row r="2203" spans="1:64" x14ac:dyDescent="0.3">
      <c r="A2203" t="str">
        <f>"201455B0000"</f>
        <v>201455B0000</v>
      </c>
      <c r="B2203" t="str">
        <f>"201455B00003"</f>
        <v>201455B00003</v>
      </c>
      <c r="C2203" t="str">
        <f t="shared" si="135"/>
        <v>20</v>
      </c>
      <c r="D2203" t="s">
        <v>81</v>
      </c>
      <c r="E2203" t="str">
        <f t="shared" si="137"/>
        <v>300</v>
      </c>
      <c r="F2203" t="s">
        <v>2379</v>
      </c>
      <c r="G2203" t="str">
        <f>"1455"</f>
        <v>1455</v>
      </c>
      <c r="H2203" t="str">
        <f>"0000"</f>
        <v>0000</v>
      </c>
      <c r="I2203" t="s">
        <v>83</v>
      </c>
      <c r="J2203">
        <v>0</v>
      </c>
      <c r="K2203">
        <v>1</v>
      </c>
      <c r="L2203">
        <v>3</v>
      </c>
      <c r="M2203">
        <v>164</v>
      </c>
      <c r="N2203">
        <v>400</v>
      </c>
      <c r="O2203">
        <v>0</v>
      </c>
      <c r="P2203">
        <v>400</v>
      </c>
      <c r="Q2203">
        <v>1</v>
      </c>
      <c r="R2203">
        <v>6</v>
      </c>
      <c r="S2203">
        <v>60</v>
      </c>
      <c r="T2203">
        <v>53</v>
      </c>
      <c r="U2203">
        <v>95</v>
      </c>
      <c r="X2203">
        <v>34</v>
      </c>
      <c r="Y2203">
        <v>136</v>
      </c>
      <c r="Z2203">
        <v>2</v>
      </c>
      <c r="AA2203">
        <v>2</v>
      </c>
      <c r="AF2203">
        <v>1</v>
      </c>
      <c r="AG2203">
        <v>0</v>
      </c>
      <c r="AH2203">
        <v>0</v>
      </c>
      <c r="AI2203">
        <v>0</v>
      </c>
      <c r="AW2203">
        <v>0</v>
      </c>
      <c r="AX2203">
        <v>10</v>
      </c>
      <c r="AY2203">
        <v>400</v>
      </c>
      <c r="AZ2203">
        <v>400</v>
      </c>
      <c r="BA2203">
        <v>520</v>
      </c>
      <c r="BB2203">
        <v>44</v>
      </c>
      <c r="BD2203">
        <v>1</v>
      </c>
      <c r="BF2203" t="s">
        <v>2382</v>
      </c>
      <c r="BG2203" s="1">
        <v>44354.002557870372</v>
      </c>
      <c r="BH2203" s="1">
        <v>44354.007233796299</v>
      </c>
      <c r="BI2203" s="1">
        <v>44354.007731481484</v>
      </c>
      <c r="BJ2203" t="s">
        <v>197</v>
      </c>
      <c r="BK2203" t="s">
        <v>198</v>
      </c>
      <c r="BL2203" t="s">
        <v>87</v>
      </c>
    </row>
    <row r="2204" spans="1:64" x14ac:dyDescent="0.3">
      <c r="A2204" t="str">
        <f>"201455C0100"</f>
        <v>201455C0100</v>
      </c>
      <c r="B2204" t="str">
        <f>"201455C01003"</f>
        <v>201455C01003</v>
      </c>
      <c r="C2204" t="str">
        <f t="shared" si="135"/>
        <v>20</v>
      </c>
      <c r="D2204" t="s">
        <v>81</v>
      </c>
      <c r="E2204" t="str">
        <f t="shared" si="137"/>
        <v>300</v>
      </c>
      <c r="F2204" t="s">
        <v>2379</v>
      </c>
      <c r="G2204" t="str">
        <f>"1455"</f>
        <v>1455</v>
      </c>
      <c r="H2204" t="str">
        <f>"0001"</f>
        <v>0001</v>
      </c>
      <c r="I2204" t="s">
        <v>89</v>
      </c>
      <c r="J2204">
        <v>0</v>
      </c>
      <c r="K2204">
        <v>1</v>
      </c>
      <c r="L2204">
        <v>3</v>
      </c>
      <c r="M2204">
        <v>156</v>
      </c>
      <c r="N2204">
        <v>408</v>
      </c>
      <c r="O2204">
        <v>0</v>
      </c>
      <c r="P2204">
        <v>408</v>
      </c>
      <c r="Q2204">
        <v>4</v>
      </c>
      <c r="R2204">
        <v>4</v>
      </c>
      <c r="S2204">
        <v>58</v>
      </c>
      <c r="T2204">
        <v>37</v>
      </c>
      <c r="U2204">
        <v>74</v>
      </c>
      <c r="X2204">
        <v>54</v>
      </c>
      <c r="Y2204">
        <v>168</v>
      </c>
      <c r="Z2204">
        <v>1</v>
      </c>
      <c r="AA2204">
        <v>2</v>
      </c>
      <c r="AF2204">
        <v>1</v>
      </c>
      <c r="AG2204">
        <v>0</v>
      </c>
      <c r="AH2204">
        <v>1</v>
      </c>
      <c r="AI2204">
        <v>0</v>
      </c>
      <c r="AW2204">
        <v>0</v>
      </c>
      <c r="AX2204">
        <v>4</v>
      </c>
      <c r="AY2204">
        <v>408</v>
      </c>
      <c r="AZ2204">
        <v>408</v>
      </c>
      <c r="BA2204">
        <v>520</v>
      </c>
      <c r="BB2204">
        <v>44</v>
      </c>
      <c r="BD2204">
        <v>1</v>
      </c>
      <c r="BF2204" t="s">
        <v>2383</v>
      </c>
      <c r="BG2204" s="1">
        <v>44354.026134259257</v>
      </c>
      <c r="BH2204" s="1">
        <v>44354.031944444447</v>
      </c>
      <c r="BI2204" s="1">
        <v>44354.032962962963</v>
      </c>
      <c r="BJ2204" t="s">
        <v>197</v>
      </c>
      <c r="BK2204" t="s">
        <v>198</v>
      </c>
      <c r="BL2204" t="s">
        <v>87</v>
      </c>
    </row>
    <row r="2205" spans="1:64" x14ac:dyDescent="0.3">
      <c r="A2205" t="str">
        <f>"201455C0200"</f>
        <v>201455C0200</v>
      </c>
      <c r="B2205" t="str">
        <f>"201455C02003"</f>
        <v>201455C02003</v>
      </c>
      <c r="C2205" t="str">
        <f t="shared" si="135"/>
        <v>20</v>
      </c>
      <c r="D2205" t="s">
        <v>81</v>
      </c>
      <c r="E2205" t="str">
        <f t="shared" si="137"/>
        <v>300</v>
      </c>
      <c r="F2205" t="s">
        <v>2379</v>
      </c>
      <c r="G2205" t="str">
        <f>"1455"</f>
        <v>1455</v>
      </c>
      <c r="H2205" t="str">
        <f>"0002"</f>
        <v>0002</v>
      </c>
      <c r="I2205" t="s">
        <v>89</v>
      </c>
      <c r="J2205">
        <v>0</v>
      </c>
      <c r="K2205">
        <v>1</v>
      </c>
      <c r="L2205">
        <v>3</v>
      </c>
      <c r="M2205">
        <v>167</v>
      </c>
      <c r="N2205">
        <v>396</v>
      </c>
      <c r="O2205">
        <v>3</v>
      </c>
      <c r="P2205">
        <v>396</v>
      </c>
      <c r="Q2205">
        <v>1</v>
      </c>
      <c r="R2205">
        <v>6</v>
      </c>
      <c r="S2205">
        <v>52</v>
      </c>
      <c r="T2205">
        <v>39</v>
      </c>
      <c r="U2205">
        <v>93</v>
      </c>
      <c r="X2205">
        <v>37</v>
      </c>
      <c r="Y2205">
        <v>156</v>
      </c>
      <c r="Z2205">
        <v>1</v>
      </c>
      <c r="AA2205">
        <v>2</v>
      </c>
      <c r="AF2205">
        <v>1</v>
      </c>
      <c r="AG2205">
        <v>0</v>
      </c>
      <c r="AH2205">
        <v>0</v>
      </c>
      <c r="AI2205">
        <v>0</v>
      </c>
      <c r="AW2205">
        <v>0</v>
      </c>
      <c r="AX2205">
        <v>8</v>
      </c>
      <c r="AY2205">
        <v>396</v>
      </c>
      <c r="AZ2205">
        <v>396</v>
      </c>
      <c r="BA2205">
        <v>520</v>
      </c>
      <c r="BB2205">
        <v>44</v>
      </c>
      <c r="BD2205">
        <v>1</v>
      </c>
      <c r="BF2205" t="s">
        <v>2384</v>
      </c>
      <c r="BG2205" s="1">
        <v>44353.921215277776</v>
      </c>
      <c r="BH2205" s="1">
        <v>44353.922893518517</v>
      </c>
      <c r="BI2205" s="1">
        <v>44353.923761574071</v>
      </c>
      <c r="BJ2205" t="s">
        <v>197</v>
      </c>
      <c r="BK2205" t="s">
        <v>198</v>
      </c>
      <c r="BL2205" t="s">
        <v>87</v>
      </c>
    </row>
    <row r="2206" spans="1:64" x14ac:dyDescent="0.3">
      <c r="A2206" t="str">
        <f>"201456B0000"</f>
        <v>201456B0000</v>
      </c>
      <c r="B2206" t="str">
        <f>"201456B00003"</f>
        <v>201456B00003</v>
      </c>
      <c r="C2206" t="str">
        <f t="shared" si="135"/>
        <v>20</v>
      </c>
      <c r="D2206" t="s">
        <v>81</v>
      </c>
      <c r="E2206" t="str">
        <f t="shared" si="137"/>
        <v>300</v>
      </c>
      <c r="F2206" t="s">
        <v>2379</v>
      </c>
      <c r="G2206" t="str">
        <f>"1456"</f>
        <v>1456</v>
      </c>
      <c r="H2206" t="str">
        <f>"0000"</f>
        <v>0000</v>
      </c>
      <c r="I2206" t="s">
        <v>83</v>
      </c>
      <c r="J2206">
        <v>0</v>
      </c>
      <c r="K2206">
        <v>1</v>
      </c>
      <c r="L2206">
        <v>3</v>
      </c>
      <c r="M2206">
        <v>132</v>
      </c>
      <c r="N2206">
        <v>261</v>
      </c>
      <c r="O2206">
        <v>0</v>
      </c>
      <c r="P2206">
        <v>261</v>
      </c>
      <c r="Q2206">
        <v>0</v>
      </c>
      <c r="R2206">
        <v>2</v>
      </c>
      <c r="S2206">
        <v>53</v>
      </c>
      <c r="T2206">
        <v>69</v>
      </c>
      <c r="U2206">
        <v>41</v>
      </c>
      <c r="X2206">
        <v>22</v>
      </c>
      <c r="Y2206">
        <v>64</v>
      </c>
      <c r="Z2206">
        <v>1</v>
      </c>
      <c r="AA2206">
        <v>1</v>
      </c>
      <c r="AF2206">
        <v>0</v>
      </c>
      <c r="AG2206">
        <v>0</v>
      </c>
      <c r="AH2206">
        <v>0</v>
      </c>
      <c r="AI2206">
        <v>1</v>
      </c>
      <c r="AW2206">
        <v>0</v>
      </c>
      <c r="AX2206">
        <v>7</v>
      </c>
      <c r="AY2206">
        <v>261</v>
      </c>
      <c r="AZ2206">
        <v>261</v>
      </c>
      <c r="BA2206">
        <v>348</v>
      </c>
      <c r="BB2206">
        <v>44</v>
      </c>
      <c r="BD2206">
        <v>1</v>
      </c>
      <c r="BF2206" t="s">
        <v>2385</v>
      </c>
      <c r="BG2206" s="1">
        <v>44354.066481481481</v>
      </c>
      <c r="BH2206" s="1">
        <v>44354.071122685185</v>
      </c>
      <c r="BI2206" s="1">
        <v>44354.07240740741</v>
      </c>
      <c r="BJ2206" t="s">
        <v>197</v>
      </c>
      <c r="BK2206" t="s">
        <v>198</v>
      </c>
      <c r="BL2206" t="s">
        <v>87</v>
      </c>
    </row>
    <row r="2207" spans="1:64" x14ac:dyDescent="0.3">
      <c r="A2207" t="str">
        <f>"201457B0000"</f>
        <v>201457B0000</v>
      </c>
      <c r="B2207" t="str">
        <f>"201457B00003"</f>
        <v>201457B00003</v>
      </c>
      <c r="C2207" t="str">
        <f t="shared" si="135"/>
        <v>20</v>
      </c>
      <c r="D2207" t="s">
        <v>81</v>
      </c>
      <c r="E2207" t="str">
        <f t="shared" si="137"/>
        <v>300</v>
      </c>
      <c r="F2207" t="s">
        <v>2379</v>
      </c>
      <c r="G2207" t="str">
        <f>"1457"</f>
        <v>1457</v>
      </c>
      <c r="H2207" t="str">
        <f>"0000"</f>
        <v>0000</v>
      </c>
      <c r="I2207" t="s">
        <v>83</v>
      </c>
      <c r="J2207">
        <v>0</v>
      </c>
      <c r="K2207">
        <v>1</v>
      </c>
      <c r="L2207">
        <v>3</v>
      </c>
      <c r="M2207">
        <v>84</v>
      </c>
      <c r="N2207">
        <v>205</v>
      </c>
      <c r="O2207">
        <v>0</v>
      </c>
      <c r="P2207">
        <v>205</v>
      </c>
      <c r="Q2207">
        <v>0</v>
      </c>
      <c r="R2207">
        <v>2</v>
      </c>
      <c r="S2207">
        <v>29</v>
      </c>
      <c r="T2207">
        <v>9</v>
      </c>
      <c r="U2207">
        <v>46</v>
      </c>
      <c r="X2207">
        <v>48</v>
      </c>
      <c r="Y2207">
        <v>64</v>
      </c>
      <c r="Z2207">
        <v>2</v>
      </c>
      <c r="AA2207">
        <v>0</v>
      </c>
      <c r="AF2207">
        <v>1</v>
      </c>
      <c r="AG2207">
        <v>0</v>
      </c>
      <c r="AH2207">
        <v>0</v>
      </c>
      <c r="AI2207">
        <v>0</v>
      </c>
      <c r="AW2207">
        <v>0</v>
      </c>
      <c r="AX2207">
        <v>4</v>
      </c>
      <c r="AY2207">
        <v>205</v>
      </c>
      <c r="AZ2207">
        <v>205</v>
      </c>
      <c r="BA2207">
        <v>245</v>
      </c>
      <c r="BB2207">
        <v>44</v>
      </c>
      <c r="BD2207">
        <v>1</v>
      </c>
      <c r="BF2207" t="s">
        <v>2386</v>
      </c>
      <c r="BG2207" s="1">
        <v>44353.915173611109</v>
      </c>
      <c r="BH2207" s="1">
        <v>44353.916226851848</v>
      </c>
      <c r="BI2207" s="1">
        <v>44353.916817129626</v>
      </c>
      <c r="BJ2207" t="s">
        <v>197</v>
      </c>
      <c r="BK2207" t="s">
        <v>198</v>
      </c>
      <c r="BL2207" t="s">
        <v>87</v>
      </c>
    </row>
    <row r="2208" spans="1:64" x14ac:dyDescent="0.3">
      <c r="A2208" t="str">
        <f>"201461B0000"</f>
        <v>201461B0000</v>
      </c>
      <c r="B2208" t="str">
        <f>"201461B00003"</f>
        <v>201461B00003</v>
      </c>
      <c r="C2208" t="str">
        <f t="shared" si="135"/>
        <v>20</v>
      </c>
      <c r="D2208" t="s">
        <v>81</v>
      </c>
      <c r="E2208" t="str">
        <f t="shared" ref="E2208:E2213" si="138">"303"</f>
        <v>303</v>
      </c>
      <c r="F2208" t="s">
        <v>2387</v>
      </c>
      <c r="G2208" t="str">
        <f>"1461"</f>
        <v>1461</v>
      </c>
      <c r="H2208" t="str">
        <f>"0000"</f>
        <v>0000</v>
      </c>
      <c r="I2208" t="s">
        <v>83</v>
      </c>
      <c r="J2208">
        <v>0</v>
      </c>
      <c r="K2208">
        <v>1</v>
      </c>
      <c r="L2208">
        <v>3</v>
      </c>
      <c r="M2208">
        <v>250</v>
      </c>
      <c r="N2208">
        <v>511</v>
      </c>
      <c r="O2208">
        <v>3</v>
      </c>
      <c r="P2208" t="s">
        <v>92</v>
      </c>
      <c r="Q2208">
        <v>1</v>
      </c>
      <c r="R2208">
        <v>10</v>
      </c>
      <c r="S2208">
        <v>6</v>
      </c>
      <c r="T2208">
        <v>52</v>
      </c>
      <c r="U2208">
        <v>4</v>
      </c>
      <c r="X2208">
        <v>71</v>
      </c>
      <c r="Y2208">
        <v>0</v>
      </c>
      <c r="Z2208">
        <v>40</v>
      </c>
      <c r="AA2208">
        <v>0</v>
      </c>
      <c r="AB2208">
        <v>146</v>
      </c>
      <c r="AC2208">
        <v>166</v>
      </c>
      <c r="AF2208">
        <v>2</v>
      </c>
      <c r="AG2208" t="s">
        <v>95</v>
      </c>
      <c r="AH2208" t="s">
        <v>95</v>
      </c>
      <c r="AI2208" t="s">
        <v>95</v>
      </c>
      <c r="AW2208" t="s">
        <v>95</v>
      </c>
      <c r="AX2208">
        <v>13</v>
      </c>
      <c r="AY2208">
        <v>511</v>
      </c>
      <c r="AZ2208">
        <v>511</v>
      </c>
      <c r="BA2208">
        <v>716</v>
      </c>
      <c r="BB2208">
        <v>46</v>
      </c>
      <c r="BC2208" t="s">
        <v>96</v>
      </c>
      <c r="BD2208">
        <v>1</v>
      </c>
      <c r="BF2208" t="s">
        <v>2388</v>
      </c>
      <c r="BG2208" s="1">
        <v>44354.563194444447</v>
      </c>
      <c r="BH2208" s="1">
        <v>44354.568252314813</v>
      </c>
      <c r="BI2208" s="1">
        <v>44354.569085648145</v>
      </c>
      <c r="BJ2208" t="s">
        <v>85</v>
      </c>
      <c r="BK2208" t="s">
        <v>86</v>
      </c>
      <c r="BL2208" t="s">
        <v>87</v>
      </c>
    </row>
    <row r="2209" spans="1:64" x14ac:dyDescent="0.3">
      <c r="A2209" t="str">
        <f>"201461C0100"</f>
        <v>201461C0100</v>
      </c>
      <c r="B2209" t="str">
        <f>"201461C01003"</f>
        <v>201461C01003</v>
      </c>
      <c r="C2209" t="str">
        <f t="shared" si="135"/>
        <v>20</v>
      </c>
      <c r="D2209" t="s">
        <v>81</v>
      </c>
      <c r="E2209" t="str">
        <f t="shared" si="138"/>
        <v>303</v>
      </c>
      <c r="F2209" t="s">
        <v>2387</v>
      </c>
      <c r="G2209" t="str">
        <f>"1461"</f>
        <v>1461</v>
      </c>
      <c r="H2209" t="str">
        <f>"0001"</f>
        <v>0001</v>
      </c>
      <c r="I2209" t="s">
        <v>89</v>
      </c>
      <c r="J2209">
        <v>0</v>
      </c>
      <c r="K2209">
        <v>1</v>
      </c>
      <c r="L2209">
        <v>3</v>
      </c>
      <c r="M2209">
        <v>239</v>
      </c>
      <c r="N2209">
        <v>523</v>
      </c>
      <c r="O2209">
        <v>1</v>
      </c>
      <c r="P2209">
        <v>523</v>
      </c>
      <c r="Q2209">
        <v>2</v>
      </c>
      <c r="R2209">
        <v>17</v>
      </c>
      <c r="S2209">
        <v>20</v>
      </c>
      <c r="T2209">
        <v>64</v>
      </c>
      <c r="U2209">
        <v>8</v>
      </c>
      <c r="X2209">
        <v>73</v>
      </c>
      <c r="Y2209" t="s">
        <v>95</v>
      </c>
      <c r="Z2209">
        <v>15</v>
      </c>
      <c r="AA2209">
        <v>1</v>
      </c>
      <c r="AB2209">
        <v>139</v>
      </c>
      <c r="AC2209">
        <v>167</v>
      </c>
      <c r="AF2209">
        <v>1</v>
      </c>
      <c r="AG2209">
        <v>0</v>
      </c>
      <c r="AH2209">
        <v>0</v>
      </c>
      <c r="AI2209">
        <v>0</v>
      </c>
      <c r="AW2209">
        <v>0</v>
      </c>
      <c r="AX2209">
        <v>16</v>
      </c>
      <c r="AY2209">
        <v>523</v>
      </c>
      <c r="AZ2209">
        <v>523</v>
      </c>
      <c r="BA2209">
        <v>716</v>
      </c>
      <c r="BB2209">
        <v>46</v>
      </c>
      <c r="BC2209" t="s">
        <v>96</v>
      </c>
      <c r="BD2209">
        <v>1</v>
      </c>
      <c r="BF2209" t="s">
        <v>2389</v>
      </c>
      <c r="BG2209" s="1">
        <v>44354.567361111112</v>
      </c>
      <c r="BH2209" s="1">
        <v>44354.568715277775</v>
      </c>
      <c r="BI2209" s="1">
        <v>44354.569363425922</v>
      </c>
      <c r="BJ2209" t="s">
        <v>85</v>
      </c>
      <c r="BK2209" t="s">
        <v>86</v>
      </c>
      <c r="BL2209" t="s">
        <v>87</v>
      </c>
    </row>
    <row r="2210" spans="1:64" x14ac:dyDescent="0.3">
      <c r="A2210" t="str">
        <f>"201461C0200"</f>
        <v>201461C0200</v>
      </c>
      <c r="B2210" t="str">
        <f>"201461C02003"</f>
        <v>201461C02003</v>
      </c>
      <c r="C2210" t="str">
        <f t="shared" si="135"/>
        <v>20</v>
      </c>
      <c r="D2210" t="s">
        <v>81</v>
      </c>
      <c r="E2210" t="str">
        <f t="shared" si="138"/>
        <v>303</v>
      </c>
      <c r="F2210" t="s">
        <v>2387</v>
      </c>
      <c r="G2210" t="str">
        <f>"1461"</f>
        <v>1461</v>
      </c>
      <c r="H2210" t="str">
        <f>"0002"</f>
        <v>0002</v>
      </c>
      <c r="I2210" t="s">
        <v>89</v>
      </c>
      <c r="J2210">
        <v>0</v>
      </c>
      <c r="K2210">
        <v>1</v>
      </c>
      <c r="L2210">
        <v>3</v>
      </c>
      <c r="M2210">
        <v>242</v>
      </c>
      <c r="N2210">
        <v>520</v>
      </c>
      <c r="O2210">
        <v>5</v>
      </c>
      <c r="P2210">
        <v>519</v>
      </c>
      <c r="Q2210">
        <v>0</v>
      </c>
      <c r="R2210">
        <v>18</v>
      </c>
      <c r="S2210">
        <v>8</v>
      </c>
      <c r="T2210">
        <v>53</v>
      </c>
      <c r="U2210">
        <v>5</v>
      </c>
      <c r="X2210">
        <v>94</v>
      </c>
      <c r="Y2210">
        <v>3</v>
      </c>
      <c r="Z2210">
        <v>25</v>
      </c>
      <c r="AA2210">
        <v>3</v>
      </c>
      <c r="AB2210">
        <v>126</v>
      </c>
      <c r="AC2210">
        <v>176</v>
      </c>
      <c r="AF2210">
        <v>1</v>
      </c>
      <c r="AG2210">
        <v>0</v>
      </c>
      <c r="AH2210">
        <v>0</v>
      </c>
      <c r="AI2210">
        <v>0</v>
      </c>
      <c r="AW2210">
        <v>0</v>
      </c>
      <c r="AX2210">
        <v>7</v>
      </c>
      <c r="AY2210">
        <v>519</v>
      </c>
      <c r="AZ2210">
        <v>519</v>
      </c>
      <c r="BA2210">
        <v>715</v>
      </c>
      <c r="BB2210">
        <v>46</v>
      </c>
      <c r="BD2210">
        <v>1</v>
      </c>
      <c r="BF2210" t="s">
        <v>2390</v>
      </c>
      <c r="BG2210" s="1">
        <v>44354.559027777781</v>
      </c>
      <c r="BH2210" s="1">
        <v>44354.561041666668</v>
      </c>
      <c r="BI2210" s="1">
        <v>44354.561643518522</v>
      </c>
      <c r="BJ2210" t="s">
        <v>85</v>
      </c>
      <c r="BK2210" t="s">
        <v>86</v>
      </c>
      <c r="BL2210" t="s">
        <v>87</v>
      </c>
    </row>
    <row r="2211" spans="1:64" x14ac:dyDescent="0.3">
      <c r="A2211" t="str">
        <f>"201462B0000"</f>
        <v>201462B0000</v>
      </c>
      <c r="B2211" t="str">
        <f>"201462B00003"</f>
        <v>201462B00003</v>
      </c>
      <c r="C2211" t="str">
        <f t="shared" si="135"/>
        <v>20</v>
      </c>
      <c r="D2211" t="s">
        <v>81</v>
      </c>
      <c r="E2211" t="str">
        <f t="shared" si="138"/>
        <v>303</v>
      </c>
      <c r="F2211" t="s">
        <v>2387</v>
      </c>
      <c r="G2211" t="str">
        <f>"1462"</f>
        <v>1462</v>
      </c>
      <c r="H2211" t="str">
        <f>"0000"</f>
        <v>0000</v>
      </c>
      <c r="I2211" t="s">
        <v>83</v>
      </c>
      <c r="J2211">
        <v>0</v>
      </c>
      <c r="K2211">
        <v>1</v>
      </c>
      <c r="L2211">
        <v>3</v>
      </c>
      <c r="M2211">
        <v>177</v>
      </c>
      <c r="N2211">
        <v>387</v>
      </c>
      <c r="O2211">
        <v>5</v>
      </c>
      <c r="P2211">
        <v>387</v>
      </c>
      <c r="Q2211">
        <v>0</v>
      </c>
      <c r="R2211">
        <v>23</v>
      </c>
      <c r="S2211">
        <v>4</v>
      </c>
      <c r="T2211">
        <v>32</v>
      </c>
      <c r="U2211">
        <v>2</v>
      </c>
      <c r="X2211">
        <v>70</v>
      </c>
      <c r="Y2211">
        <v>0</v>
      </c>
      <c r="Z2211">
        <v>8</v>
      </c>
      <c r="AA2211">
        <v>0</v>
      </c>
      <c r="AB2211">
        <v>93</v>
      </c>
      <c r="AC2211">
        <v>145</v>
      </c>
      <c r="AF2211">
        <v>3</v>
      </c>
      <c r="AG2211">
        <v>1</v>
      </c>
      <c r="AH2211">
        <v>0</v>
      </c>
      <c r="AI2211">
        <v>0</v>
      </c>
      <c r="AW2211">
        <v>0</v>
      </c>
      <c r="AX2211">
        <v>6</v>
      </c>
      <c r="AY2211">
        <v>387</v>
      </c>
      <c r="AZ2211">
        <v>387</v>
      </c>
      <c r="BA2211">
        <v>518</v>
      </c>
      <c r="BB2211">
        <v>46</v>
      </c>
      <c r="BD2211">
        <v>1</v>
      </c>
      <c r="BF2211" t="s">
        <v>2391</v>
      </c>
      <c r="BG2211" s="1">
        <v>44354.557638888888</v>
      </c>
      <c r="BH2211" s="1">
        <v>44354.559872685182</v>
      </c>
      <c r="BI2211" s="1">
        <v>44354.560891203706</v>
      </c>
      <c r="BJ2211" t="s">
        <v>85</v>
      </c>
      <c r="BK2211" t="s">
        <v>86</v>
      </c>
      <c r="BL2211" t="s">
        <v>87</v>
      </c>
    </row>
    <row r="2212" spans="1:64" x14ac:dyDescent="0.3">
      <c r="A2212" t="str">
        <f>"201462C0100"</f>
        <v>201462C0100</v>
      </c>
      <c r="B2212" t="str">
        <f>"201462C01003"</f>
        <v>201462C01003</v>
      </c>
      <c r="C2212" t="str">
        <f t="shared" si="135"/>
        <v>20</v>
      </c>
      <c r="D2212" t="s">
        <v>81</v>
      </c>
      <c r="E2212" t="str">
        <f t="shared" si="138"/>
        <v>303</v>
      </c>
      <c r="F2212" t="s">
        <v>2387</v>
      </c>
      <c r="G2212" t="str">
        <f>"1462"</f>
        <v>1462</v>
      </c>
      <c r="H2212" t="str">
        <f>"0001"</f>
        <v>0001</v>
      </c>
      <c r="I2212" t="s">
        <v>89</v>
      </c>
      <c r="J2212">
        <v>0</v>
      </c>
      <c r="K2212">
        <v>1</v>
      </c>
      <c r="L2212">
        <v>3</v>
      </c>
      <c r="M2212">
        <v>208</v>
      </c>
      <c r="N2212">
        <v>355</v>
      </c>
      <c r="O2212">
        <v>3</v>
      </c>
      <c r="P2212">
        <v>355</v>
      </c>
      <c r="Q2212">
        <v>1</v>
      </c>
      <c r="R2212">
        <v>20</v>
      </c>
      <c r="S2212">
        <v>2</v>
      </c>
      <c r="T2212">
        <v>31</v>
      </c>
      <c r="U2212">
        <v>13</v>
      </c>
      <c r="X2212">
        <v>66</v>
      </c>
      <c r="Y2212">
        <v>0</v>
      </c>
      <c r="Z2212">
        <v>13</v>
      </c>
      <c r="AA2212">
        <v>1</v>
      </c>
      <c r="AB2212">
        <v>68</v>
      </c>
      <c r="AC2212">
        <v>134</v>
      </c>
      <c r="AF2212">
        <v>0</v>
      </c>
      <c r="AG2212">
        <v>0</v>
      </c>
      <c r="AH2212">
        <v>0</v>
      </c>
      <c r="AI2212">
        <v>0</v>
      </c>
      <c r="AW2212">
        <v>0</v>
      </c>
      <c r="AX2212">
        <v>6</v>
      </c>
      <c r="AY2212">
        <v>355</v>
      </c>
      <c r="AZ2212">
        <v>355</v>
      </c>
      <c r="BA2212">
        <v>517</v>
      </c>
      <c r="BB2212">
        <v>46</v>
      </c>
      <c r="BD2212">
        <v>1</v>
      </c>
      <c r="BF2212" t="s">
        <v>2392</v>
      </c>
      <c r="BG2212" s="1">
        <v>44354.561805555553</v>
      </c>
      <c r="BH2212" s="1">
        <v>44354.564328703702</v>
      </c>
      <c r="BI2212" s="1">
        <v>44354.565370370372</v>
      </c>
      <c r="BJ2212" t="s">
        <v>85</v>
      </c>
      <c r="BK2212" t="s">
        <v>86</v>
      </c>
      <c r="BL2212" t="s">
        <v>87</v>
      </c>
    </row>
    <row r="2213" spans="1:64" x14ac:dyDescent="0.3">
      <c r="A2213" t="str">
        <f>"201462C0200"</f>
        <v>201462C0200</v>
      </c>
      <c r="B2213" t="str">
        <f>"201462C02003"</f>
        <v>201462C02003</v>
      </c>
      <c r="C2213" t="str">
        <f t="shared" si="135"/>
        <v>20</v>
      </c>
      <c r="D2213" t="s">
        <v>81</v>
      </c>
      <c r="E2213" t="str">
        <f t="shared" si="138"/>
        <v>303</v>
      </c>
      <c r="F2213" t="s">
        <v>2387</v>
      </c>
      <c r="G2213" t="str">
        <f>"1462"</f>
        <v>1462</v>
      </c>
      <c r="H2213" t="str">
        <f>"0002"</f>
        <v>0002</v>
      </c>
      <c r="I2213" t="s">
        <v>89</v>
      </c>
      <c r="J2213">
        <v>0</v>
      </c>
      <c r="K2213">
        <v>1</v>
      </c>
      <c r="L2213">
        <v>3</v>
      </c>
      <c r="M2213">
        <v>183</v>
      </c>
      <c r="N2213">
        <v>563</v>
      </c>
      <c r="O2213">
        <v>0</v>
      </c>
      <c r="P2213">
        <v>380</v>
      </c>
      <c r="Q2213">
        <v>0</v>
      </c>
      <c r="R2213">
        <v>18</v>
      </c>
      <c r="S2213">
        <v>5</v>
      </c>
      <c r="T2213">
        <v>38</v>
      </c>
      <c r="U2213">
        <v>1</v>
      </c>
      <c r="X2213">
        <v>86</v>
      </c>
      <c r="Y2213">
        <v>0</v>
      </c>
      <c r="Z2213">
        <v>7</v>
      </c>
      <c r="AA2213">
        <v>1</v>
      </c>
      <c r="AB2213">
        <v>81</v>
      </c>
      <c r="AC2213">
        <v>129</v>
      </c>
      <c r="AF2213">
        <v>1</v>
      </c>
      <c r="AG2213">
        <v>0</v>
      </c>
      <c r="AH2213">
        <v>0</v>
      </c>
      <c r="AI2213">
        <v>0</v>
      </c>
      <c r="AW2213">
        <v>0</v>
      </c>
      <c r="AX2213">
        <v>13</v>
      </c>
      <c r="AY2213">
        <v>380</v>
      </c>
      <c r="AZ2213">
        <v>380</v>
      </c>
      <c r="BA2213">
        <v>517</v>
      </c>
      <c r="BB2213">
        <v>46</v>
      </c>
      <c r="BD2213">
        <v>1</v>
      </c>
      <c r="BF2213" t="s">
        <v>2393</v>
      </c>
      <c r="BG2213" s="1">
        <v>44354.561805555553</v>
      </c>
      <c r="BH2213" s="1">
        <v>44354.563958333332</v>
      </c>
      <c r="BI2213" s="1">
        <v>44354.565069444441</v>
      </c>
      <c r="BJ2213" t="s">
        <v>85</v>
      </c>
      <c r="BK2213" t="s">
        <v>86</v>
      </c>
      <c r="BL2213" t="s">
        <v>87</v>
      </c>
    </row>
    <row r="2214" spans="1:64" x14ac:dyDescent="0.3">
      <c r="A2214" t="str">
        <f>"201465B0000"</f>
        <v>201465B0000</v>
      </c>
      <c r="B2214" t="str">
        <f>"201465B00003"</f>
        <v>201465B00003</v>
      </c>
      <c r="C2214" t="str">
        <f t="shared" si="135"/>
        <v>20</v>
      </c>
      <c r="D2214" t="s">
        <v>81</v>
      </c>
      <c r="E2214" t="str">
        <f t="shared" ref="E2214:E2228" si="139">"305"</f>
        <v>305</v>
      </c>
      <c r="F2214" t="s">
        <v>2394</v>
      </c>
      <c r="G2214" t="str">
        <f>"1465"</f>
        <v>1465</v>
      </c>
      <c r="H2214" t="str">
        <f>"0000"</f>
        <v>0000</v>
      </c>
      <c r="I2214" t="s">
        <v>83</v>
      </c>
      <c r="J2214">
        <v>0</v>
      </c>
      <c r="K2214">
        <v>1</v>
      </c>
      <c r="L2214">
        <v>3</v>
      </c>
      <c r="M2214">
        <v>121</v>
      </c>
      <c r="N2214">
        <v>376</v>
      </c>
      <c r="O2214">
        <v>4</v>
      </c>
      <c r="P2214">
        <v>376</v>
      </c>
      <c r="Q2214">
        <v>0</v>
      </c>
      <c r="R2214">
        <v>87</v>
      </c>
      <c r="S2214">
        <v>0</v>
      </c>
      <c r="T2214">
        <v>2</v>
      </c>
      <c r="U2214">
        <v>4</v>
      </c>
      <c r="V2214">
        <v>4</v>
      </c>
      <c r="W2214">
        <v>0</v>
      </c>
      <c r="X2214">
        <v>48</v>
      </c>
      <c r="Y2214">
        <v>1</v>
      </c>
      <c r="Z2214">
        <v>124</v>
      </c>
      <c r="AA2214">
        <v>96</v>
      </c>
      <c r="AB2214">
        <v>1</v>
      </c>
      <c r="AF2214">
        <v>0</v>
      </c>
      <c r="AG2214">
        <v>0</v>
      </c>
      <c r="AH2214">
        <v>0</v>
      </c>
      <c r="AI2214">
        <v>0</v>
      </c>
      <c r="AV2214">
        <v>0</v>
      </c>
      <c r="AW2214">
        <v>0</v>
      </c>
      <c r="AX2214">
        <v>9</v>
      </c>
      <c r="AY2214">
        <v>376</v>
      </c>
      <c r="AZ2214">
        <v>376</v>
      </c>
      <c r="BA2214">
        <v>453</v>
      </c>
      <c r="BB2214">
        <v>44</v>
      </c>
      <c r="BD2214">
        <v>1</v>
      </c>
      <c r="BF2214" t="s">
        <v>2395</v>
      </c>
      <c r="BG2214" s="1">
        <v>44353.963194444441</v>
      </c>
      <c r="BH2214" s="1">
        <v>44353.969942129632</v>
      </c>
      <c r="BI2214" s="1">
        <v>44353.97078703704</v>
      </c>
      <c r="BJ2214" t="s">
        <v>85</v>
      </c>
      <c r="BK2214" t="s">
        <v>86</v>
      </c>
      <c r="BL2214" t="s">
        <v>87</v>
      </c>
    </row>
    <row r="2215" spans="1:64" x14ac:dyDescent="0.3">
      <c r="A2215" t="str">
        <f>"201465C0100"</f>
        <v>201465C0100</v>
      </c>
      <c r="B2215" t="str">
        <f>"201465C01003"</f>
        <v>201465C01003</v>
      </c>
      <c r="C2215" t="str">
        <f t="shared" si="135"/>
        <v>20</v>
      </c>
      <c r="D2215" t="s">
        <v>81</v>
      </c>
      <c r="E2215" t="str">
        <f t="shared" si="139"/>
        <v>305</v>
      </c>
      <c r="F2215" t="s">
        <v>2394</v>
      </c>
      <c r="G2215" t="str">
        <f>"1465"</f>
        <v>1465</v>
      </c>
      <c r="H2215" t="str">
        <f>"0001"</f>
        <v>0001</v>
      </c>
      <c r="I2215" t="s">
        <v>89</v>
      </c>
      <c r="J2215">
        <v>0</v>
      </c>
      <c r="K2215">
        <v>1</v>
      </c>
      <c r="L2215">
        <v>3</v>
      </c>
      <c r="M2215">
        <v>126</v>
      </c>
      <c r="N2215">
        <v>371</v>
      </c>
      <c r="O2215">
        <v>0</v>
      </c>
      <c r="P2215">
        <v>371</v>
      </c>
      <c r="Q2215">
        <v>0</v>
      </c>
      <c r="R2215">
        <v>96</v>
      </c>
      <c r="S2215">
        <v>1</v>
      </c>
      <c r="T2215">
        <v>2</v>
      </c>
      <c r="U2215">
        <v>2</v>
      </c>
      <c r="V2215">
        <v>7</v>
      </c>
      <c r="W2215">
        <v>1</v>
      </c>
      <c r="X2215">
        <v>51</v>
      </c>
      <c r="Y2215">
        <v>0</v>
      </c>
      <c r="Z2215">
        <v>93</v>
      </c>
      <c r="AA2215">
        <v>105</v>
      </c>
      <c r="AB2215">
        <v>0</v>
      </c>
      <c r="AF2215">
        <v>0</v>
      </c>
      <c r="AG2215">
        <v>0</v>
      </c>
      <c r="AH2215">
        <v>0</v>
      </c>
      <c r="AI2215">
        <v>0</v>
      </c>
      <c r="AV2215">
        <v>0</v>
      </c>
      <c r="AW2215">
        <v>0</v>
      </c>
      <c r="AX2215">
        <v>13</v>
      </c>
      <c r="AY2215">
        <v>371</v>
      </c>
      <c r="AZ2215">
        <v>371</v>
      </c>
      <c r="BA2215">
        <v>453</v>
      </c>
      <c r="BB2215">
        <v>44</v>
      </c>
      <c r="BD2215">
        <v>1</v>
      </c>
      <c r="BF2215" t="s">
        <v>2396</v>
      </c>
      <c r="BG2215" s="1">
        <v>44353.966666666667</v>
      </c>
      <c r="BH2215" s="1">
        <v>44353.971296296295</v>
      </c>
      <c r="BI2215" s="1">
        <v>44353.972418981481</v>
      </c>
      <c r="BJ2215" t="s">
        <v>85</v>
      </c>
      <c r="BK2215" t="s">
        <v>86</v>
      </c>
      <c r="BL2215" t="s">
        <v>87</v>
      </c>
    </row>
    <row r="2216" spans="1:64" x14ac:dyDescent="0.3">
      <c r="A2216" t="str">
        <f>"201466B0000"</f>
        <v>201466B0000</v>
      </c>
      <c r="B2216" t="str">
        <f>"201466B00003"</f>
        <v>201466B00003</v>
      </c>
      <c r="C2216" t="str">
        <f t="shared" si="135"/>
        <v>20</v>
      </c>
      <c r="D2216" t="s">
        <v>81</v>
      </c>
      <c r="E2216" t="str">
        <f t="shared" si="139"/>
        <v>305</v>
      </c>
      <c r="F2216" t="s">
        <v>2394</v>
      </c>
      <c r="G2216" t="str">
        <f>"1466"</f>
        <v>1466</v>
      </c>
      <c r="H2216" t="str">
        <f>"0000"</f>
        <v>0000</v>
      </c>
      <c r="I2216" t="s">
        <v>83</v>
      </c>
      <c r="J2216">
        <v>0</v>
      </c>
      <c r="K2216">
        <v>1</v>
      </c>
      <c r="L2216">
        <v>3</v>
      </c>
      <c r="M2216">
        <v>139</v>
      </c>
      <c r="N2216">
        <v>392</v>
      </c>
      <c r="O2216">
        <v>1</v>
      </c>
      <c r="P2216">
        <v>392</v>
      </c>
      <c r="Q2216">
        <v>1</v>
      </c>
      <c r="R2216">
        <v>83</v>
      </c>
      <c r="S2216">
        <v>0</v>
      </c>
      <c r="T2216">
        <v>0</v>
      </c>
      <c r="U2216">
        <v>4</v>
      </c>
      <c r="V2216">
        <v>8</v>
      </c>
      <c r="W2216">
        <v>0</v>
      </c>
      <c r="X2216">
        <v>53</v>
      </c>
      <c r="Y2216">
        <v>0</v>
      </c>
      <c r="Z2216">
        <v>108</v>
      </c>
      <c r="AA2216">
        <v>108</v>
      </c>
      <c r="AB2216">
        <v>3</v>
      </c>
      <c r="AF2216">
        <v>2</v>
      </c>
      <c r="AG2216">
        <v>0</v>
      </c>
      <c r="AH2216">
        <v>0</v>
      </c>
      <c r="AI2216">
        <v>0</v>
      </c>
      <c r="AV2216">
        <v>0</v>
      </c>
      <c r="AW2216">
        <v>0</v>
      </c>
      <c r="AX2216">
        <v>22</v>
      </c>
      <c r="AY2216">
        <v>392</v>
      </c>
      <c r="AZ2216">
        <v>392</v>
      </c>
      <c r="BA2216">
        <v>487</v>
      </c>
      <c r="BB2216">
        <v>44</v>
      </c>
      <c r="BD2216">
        <v>1</v>
      </c>
      <c r="BF2216" t="s">
        <v>2397</v>
      </c>
      <c r="BG2216" s="1">
        <v>44354.125</v>
      </c>
      <c r="BH2216" s="1">
        <v>44354.141435185185</v>
      </c>
      <c r="BI2216" s="1">
        <v>44354.142164351855</v>
      </c>
      <c r="BJ2216" t="s">
        <v>85</v>
      </c>
      <c r="BK2216" t="s">
        <v>86</v>
      </c>
      <c r="BL2216" t="s">
        <v>87</v>
      </c>
    </row>
    <row r="2217" spans="1:64" x14ac:dyDescent="0.3">
      <c r="A2217" t="str">
        <f>"201466C0100"</f>
        <v>201466C0100</v>
      </c>
      <c r="B2217" t="str">
        <f>"201466C01003"</f>
        <v>201466C01003</v>
      </c>
      <c r="C2217" t="str">
        <f t="shared" si="135"/>
        <v>20</v>
      </c>
      <c r="D2217" t="s">
        <v>81</v>
      </c>
      <c r="E2217" t="str">
        <f t="shared" si="139"/>
        <v>305</v>
      </c>
      <c r="F2217" t="s">
        <v>2394</v>
      </c>
      <c r="G2217" t="str">
        <f>"1466"</f>
        <v>1466</v>
      </c>
      <c r="H2217" t="str">
        <f>"0001"</f>
        <v>0001</v>
      </c>
      <c r="I2217" t="s">
        <v>89</v>
      </c>
      <c r="J2217">
        <v>0</v>
      </c>
      <c r="K2217">
        <v>1</v>
      </c>
      <c r="L2217">
        <v>3</v>
      </c>
      <c r="M2217">
        <v>138</v>
      </c>
      <c r="N2217">
        <v>392</v>
      </c>
      <c r="O2217">
        <v>4</v>
      </c>
      <c r="P2217">
        <v>392</v>
      </c>
      <c r="Q2217">
        <v>0</v>
      </c>
      <c r="R2217">
        <v>104</v>
      </c>
      <c r="S2217">
        <v>1</v>
      </c>
      <c r="T2217">
        <v>1</v>
      </c>
      <c r="U2217">
        <v>1</v>
      </c>
      <c r="V2217">
        <v>11</v>
      </c>
      <c r="W2217">
        <v>0</v>
      </c>
      <c r="X2217">
        <v>55</v>
      </c>
      <c r="Y2217">
        <v>1</v>
      </c>
      <c r="Z2217">
        <v>108</v>
      </c>
      <c r="AA2217">
        <v>87</v>
      </c>
      <c r="AB2217">
        <v>2</v>
      </c>
      <c r="AF2217">
        <v>2</v>
      </c>
      <c r="AG2217">
        <v>1</v>
      </c>
      <c r="AH2217">
        <v>0</v>
      </c>
      <c r="AI2217">
        <v>0</v>
      </c>
      <c r="AV2217">
        <v>0</v>
      </c>
      <c r="AW2217">
        <v>0</v>
      </c>
      <c r="AX2217">
        <v>18</v>
      </c>
      <c r="AY2217">
        <v>392</v>
      </c>
      <c r="AZ2217">
        <v>392</v>
      </c>
      <c r="BA2217">
        <v>486</v>
      </c>
      <c r="BB2217">
        <v>44</v>
      </c>
      <c r="BD2217">
        <v>1</v>
      </c>
      <c r="BF2217" t="s">
        <v>2398</v>
      </c>
      <c r="BG2217" s="1">
        <v>44354.120833333334</v>
      </c>
      <c r="BH2217" s="1">
        <v>44354.129108796296</v>
      </c>
      <c r="BI2217" s="1">
        <v>44354.129537037035</v>
      </c>
      <c r="BJ2217" t="s">
        <v>85</v>
      </c>
      <c r="BK2217" t="s">
        <v>86</v>
      </c>
      <c r="BL2217" t="s">
        <v>87</v>
      </c>
    </row>
    <row r="2218" spans="1:64" x14ac:dyDescent="0.3">
      <c r="A2218" t="str">
        <f>"201467B0000"</f>
        <v>201467B0000</v>
      </c>
      <c r="B2218" t="str">
        <f>"201467B00003"</f>
        <v>201467B00003</v>
      </c>
      <c r="C2218" t="str">
        <f t="shared" si="135"/>
        <v>20</v>
      </c>
      <c r="D2218" t="s">
        <v>81</v>
      </c>
      <c r="E2218" t="str">
        <f t="shared" si="139"/>
        <v>305</v>
      </c>
      <c r="F2218" t="s">
        <v>2394</v>
      </c>
      <c r="G2218" t="str">
        <f>"1467"</f>
        <v>1467</v>
      </c>
      <c r="H2218" t="str">
        <f>"0000"</f>
        <v>0000</v>
      </c>
      <c r="I2218" t="s">
        <v>83</v>
      </c>
      <c r="J2218">
        <v>0</v>
      </c>
      <c r="K2218">
        <v>1</v>
      </c>
      <c r="L2218">
        <v>3</v>
      </c>
      <c r="M2218">
        <v>73</v>
      </c>
      <c r="N2218">
        <v>165</v>
      </c>
      <c r="O2218">
        <v>0</v>
      </c>
      <c r="P2218" t="s">
        <v>92</v>
      </c>
      <c r="Q2218">
        <v>3</v>
      </c>
      <c r="R2218">
        <v>28</v>
      </c>
      <c r="S2218">
        <v>1</v>
      </c>
      <c r="T2218">
        <v>0</v>
      </c>
      <c r="U2218">
        <v>1</v>
      </c>
      <c r="V2218">
        <v>4</v>
      </c>
      <c r="W2218">
        <v>0</v>
      </c>
      <c r="X2218">
        <v>41</v>
      </c>
      <c r="Y2218">
        <v>0</v>
      </c>
      <c r="Z2218">
        <v>54</v>
      </c>
      <c r="AA2218">
        <v>17</v>
      </c>
      <c r="AB2218">
        <v>0</v>
      </c>
      <c r="AF2218">
        <v>1</v>
      </c>
      <c r="AG2218">
        <v>0</v>
      </c>
      <c r="AH2218">
        <v>0</v>
      </c>
      <c r="AI2218">
        <v>0</v>
      </c>
      <c r="AV2218">
        <v>0</v>
      </c>
      <c r="AW2218">
        <v>0</v>
      </c>
      <c r="AX2218">
        <v>15</v>
      </c>
      <c r="AY2218">
        <v>165</v>
      </c>
      <c r="AZ2218">
        <v>165</v>
      </c>
      <c r="BA2218">
        <v>194</v>
      </c>
      <c r="BB2218">
        <v>44</v>
      </c>
      <c r="BD2218">
        <v>1</v>
      </c>
      <c r="BF2218" t="s">
        <v>2399</v>
      </c>
      <c r="BG2218" s="1">
        <v>44353.960416666669</v>
      </c>
      <c r="BH2218" s="1">
        <v>44353.965520833335</v>
      </c>
      <c r="BI2218" s="1">
        <v>44353.966319444444</v>
      </c>
      <c r="BJ2218" t="s">
        <v>85</v>
      </c>
      <c r="BK2218" t="s">
        <v>86</v>
      </c>
      <c r="BL2218" t="s">
        <v>87</v>
      </c>
    </row>
    <row r="2219" spans="1:64" x14ac:dyDescent="0.3">
      <c r="A2219" t="str">
        <f>"201468B0000"</f>
        <v>201468B0000</v>
      </c>
      <c r="B2219" t="str">
        <f>"201468B00003"</f>
        <v>201468B00003</v>
      </c>
      <c r="C2219" t="str">
        <f t="shared" si="135"/>
        <v>20</v>
      </c>
      <c r="D2219" t="s">
        <v>81</v>
      </c>
      <c r="E2219" t="str">
        <f t="shared" si="139"/>
        <v>305</v>
      </c>
      <c r="F2219" t="s">
        <v>2394</v>
      </c>
      <c r="G2219" t="str">
        <f>"1468"</f>
        <v>1468</v>
      </c>
      <c r="H2219" t="str">
        <f>"0000"</f>
        <v>0000</v>
      </c>
      <c r="I2219" t="s">
        <v>83</v>
      </c>
      <c r="J2219">
        <v>0</v>
      </c>
      <c r="K2219">
        <v>1</v>
      </c>
      <c r="L2219">
        <v>3</v>
      </c>
      <c r="M2219">
        <v>203</v>
      </c>
      <c r="N2219">
        <v>459</v>
      </c>
      <c r="O2219">
        <v>0</v>
      </c>
      <c r="P2219">
        <v>459</v>
      </c>
      <c r="Q2219">
        <v>1</v>
      </c>
      <c r="R2219">
        <v>119</v>
      </c>
      <c r="S2219">
        <v>0</v>
      </c>
      <c r="T2219">
        <v>5</v>
      </c>
      <c r="U2219">
        <v>17</v>
      </c>
      <c r="V2219">
        <v>10</v>
      </c>
      <c r="W2219">
        <v>0</v>
      </c>
      <c r="X2219">
        <v>62</v>
      </c>
      <c r="Y2219">
        <v>1</v>
      </c>
      <c r="Z2219">
        <v>119</v>
      </c>
      <c r="AA2219">
        <v>92</v>
      </c>
      <c r="AB2219">
        <v>10</v>
      </c>
      <c r="AF2219">
        <v>1</v>
      </c>
      <c r="AG2219">
        <v>0</v>
      </c>
      <c r="AH2219">
        <v>0</v>
      </c>
      <c r="AI2219">
        <v>0</v>
      </c>
      <c r="AV2219">
        <v>0</v>
      </c>
      <c r="AW2219">
        <v>0</v>
      </c>
      <c r="AX2219">
        <v>22</v>
      </c>
      <c r="AY2219">
        <v>459</v>
      </c>
      <c r="AZ2219">
        <v>459</v>
      </c>
      <c r="BA2219">
        <v>618</v>
      </c>
      <c r="BB2219">
        <v>44</v>
      </c>
      <c r="BD2219">
        <v>1</v>
      </c>
      <c r="BF2219" t="s">
        <v>2400</v>
      </c>
      <c r="BG2219" s="1">
        <v>44354.118055555555</v>
      </c>
      <c r="BH2219" s="1">
        <v>44354.122314814813</v>
      </c>
      <c r="BI2219" s="1">
        <v>44354.122650462959</v>
      </c>
      <c r="BJ2219" t="s">
        <v>85</v>
      </c>
      <c r="BK2219" t="s">
        <v>86</v>
      </c>
      <c r="BL2219" t="s">
        <v>87</v>
      </c>
    </row>
    <row r="2220" spans="1:64" x14ac:dyDescent="0.3">
      <c r="A2220" t="str">
        <f>"201468C0100"</f>
        <v>201468C0100</v>
      </c>
      <c r="B2220" t="str">
        <f>"201468C01003"</f>
        <v>201468C01003</v>
      </c>
      <c r="C2220" t="str">
        <f t="shared" si="135"/>
        <v>20</v>
      </c>
      <c r="D2220" t="s">
        <v>81</v>
      </c>
      <c r="E2220" t="str">
        <f t="shared" si="139"/>
        <v>305</v>
      </c>
      <c r="F2220" t="s">
        <v>2394</v>
      </c>
      <c r="G2220" t="str">
        <f>"1468"</f>
        <v>1468</v>
      </c>
      <c r="H2220" t="str">
        <f>"0001"</f>
        <v>0001</v>
      </c>
      <c r="I2220" t="s">
        <v>89</v>
      </c>
      <c r="J2220">
        <v>0</v>
      </c>
      <c r="K2220">
        <v>1</v>
      </c>
      <c r="L2220">
        <v>3</v>
      </c>
      <c r="M2220">
        <v>201</v>
      </c>
      <c r="N2220">
        <v>462</v>
      </c>
      <c r="O2220">
        <v>0</v>
      </c>
      <c r="P2220">
        <v>462</v>
      </c>
      <c r="Q2220">
        <v>0</v>
      </c>
      <c r="R2220">
        <v>135</v>
      </c>
      <c r="S2220">
        <v>2</v>
      </c>
      <c r="T2220">
        <v>5</v>
      </c>
      <c r="U2220">
        <v>18</v>
      </c>
      <c r="V2220">
        <v>24</v>
      </c>
      <c r="W2220">
        <v>1</v>
      </c>
      <c r="X2220">
        <v>65</v>
      </c>
      <c r="Y2220">
        <v>0</v>
      </c>
      <c r="Z2220">
        <v>116</v>
      </c>
      <c r="AA2220">
        <v>62</v>
      </c>
      <c r="AB2220">
        <v>11</v>
      </c>
      <c r="AF2220">
        <v>1</v>
      </c>
      <c r="AG2220">
        <v>1</v>
      </c>
      <c r="AH2220">
        <v>0</v>
      </c>
      <c r="AI2220">
        <v>0</v>
      </c>
      <c r="AV2220">
        <v>0</v>
      </c>
      <c r="AW2220">
        <v>0</v>
      </c>
      <c r="AX2220">
        <v>21</v>
      </c>
      <c r="AY2220">
        <v>462</v>
      </c>
      <c r="AZ2220">
        <v>462</v>
      </c>
      <c r="BA2220">
        <v>618</v>
      </c>
      <c r="BB2220">
        <v>44</v>
      </c>
      <c r="BD2220">
        <v>1</v>
      </c>
      <c r="BF2220" t="s">
        <v>2401</v>
      </c>
      <c r="BG2220" s="1">
        <v>44354.113888888889</v>
      </c>
      <c r="BH2220" s="1">
        <v>44354.119884259257</v>
      </c>
      <c r="BI2220" s="1">
        <v>44354.120486111111</v>
      </c>
      <c r="BJ2220" t="s">
        <v>85</v>
      </c>
      <c r="BK2220" t="s">
        <v>86</v>
      </c>
      <c r="BL2220" t="s">
        <v>87</v>
      </c>
    </row>
    <row r="2221" spans="1:64" x14ac:dyDescent="0.3">
      <c r="A2221" t="str">
        <f>"201469B0000"</f>
        <v>201469B0000</v>
      </c>
      <c r="B2221" t="str">
        <f>"201469B00003"</f>
        <v>201469B00003</v>
      </c>
      <c r="C2221" t="str">
        <f t="shared" si="135"/>
        <v>20</v>
      </c>
      <c r="D2221" t="s">
        <v>81</v>
      </c>
      <c r="E2221" t="str">
        <f t="shared" si="139"/>
        <v>305</v>
      </c>
      <c r="F2221" t="s">
        <v>2394</v>
      </c>
      <c r="G2221" t="str">
        <f>"1469"</f>
        <v>1469</v>
      </c>
      <c r="H2221" t="str">
        <f>"0000"</f>
        <v>0000</v>
      </c>
      <c r="I2221" t="s">
        <v>83</v>
      </c>
      <c r="J2221">
        <v>0</v>
      </c>
      <c r="K2221">
        <v>1</v>
      </c>
      <c r="L2221">
        <v>3</v>
      </c>
      <c r="M2221">
        <v>89</v>
      </c>
      <c r="N2221">
        <v>213</v>
      </c>
      <c r="O2221">
        <v>0</v>
      </c>
      <c r="P2221">
        <v>213</v>
      </c>
      <c r="Q2221">
        <v>1</v>
      </c>
      <c r="R2221">
        <v>33</v>
      </c>
      <c r="S2221">
        <v>0</v>
      </c>
      <c r="T2221">
        <v>11</v>
      </c>
      <c r="U2221">
        <v>20</v>
      </c>
      <c r="V2221">
        <v>4</v>
      </c>
      <c r="W2221">
        <v>0</v>
      </c>
      <c r="X2221">
        <v>55</v>
      </c>
      <c r="Y2221">
        <v>0</v>
      </c>
      <c r="Z2221">
        <v>41</v>
      </c>
      <c r="AA2221">
        <v>32</v>
      </c>
      <c r="AB2221">
        <v>1</v>
      </c>
      <c r="AF2221">
        <v>0</v>
      </c>
      <c r="AG2221">
        <v>0</v>
      </c>
      <c r="AH2221">
        <v>0</v>
      </c>
      <c r="AI2221">
        <v>0</v>
      </c>
      <c r="AV2221">
        <v>0</v>
      </c>
      <c r="AW2221">
        <v>0</v>
      </c>
      <c r="AX2221">
        <v>15</v>
      </c>
      <c r="AY2221">
        <v>213</v>
      </c>
      <c r="AZ2221">
        <v>213</v>
      </c>
      <c r="BA2221">
        <v>258</v>
      </c>
      <c r="BB2221">
        <v>44</v>
      </c>
      <c r="BD2221">
        <v>1</v>
      </c>
      <c r="BF2221" t="s">
        <v>2402</v>
      </c>
      <c r="BG2221" s="1">
        <v>44354.14166666667</v>
      </c>
      <c r="BH2221" s="1">
        <v>44354.145636574074</v>
      </c>
      <c r="BI2221" s="1">
        <v>44354.146435185183</v>
      </c>
      <c r="BJ2221" t="s">
        <v>85</v>
      </c>
      <c r="BK2221" t="s">
        <v>86</v>
      </c>
      <c r="BL2221" t="s">
        <v>87</v>
      </c>
    </row>
    <row r="2222" spans="1:64" x14ac:dyDescent="0.3">
      <c r="A2222" t="str">
        <f>"201469E0100"</f>
        <v>201469E0100</v>
      </c>
      <c r="B2222" t="str">
        <f>"201469E01003"</f>
        <v>201469E01003</v>
      </c>
      <c r="C2222" t="str">
        <f t="shared" si="135"/>
        <v>20</v>
      </c>
      <c r="D2222" t="s">
        <v>81</v>
      </c>
      <c r="E2222" t="str">
        <f t="shared" si="139"/>
        <v>305</v>
      </c>
      <c r="F2222" t="s">
        <v>2394</v>
      </c>
      <c r="G2222" t="str">
        <f>"1469"</f>
        <v>1469</v>
      </c>
      <c r="H2222" t="str">
        <f>"0001"</f>
        <v>0001</v>
      </c>
      <c r="I2222" t="s">
        <v>122</v>
      </c>
      <c r="J2222">
        <v>0</v>
      </c>
      <c r="K2222">
        <v>1</v>
      </c>
      <c r="L2222">
        <v>3</v>
      </c>
      <c r="M2222">
        <v>89</v>
      </c>
      <c r="N2222">
        <v>108</v>
      </c>
      <c r="O2222">
        <v>0</v>
      </c>
      <c r="P2222">
        <v>108</v>
      </c>
      <c r="Q2222">
        <v>1</v>
      </c>
      <c r="R2222">
        <v>40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24</v>
      </c>
      <c r="Y2222">
        <v>0</v>
      </c>
      <c r="Z2222">
        <v>39</v>
      </c>
      <c r="AA2222">
        <v>0</v>
      </c>
      <c r="AB2222">
        <v>0</v>
      </c>
      <c r="AF2222">
        <v>0</v>
      </c>
      <c r="AG2222">
        <v>0</v>
      </c>
      <c r="AH2222">
        <v>0</v>
      </c>
      <c r="AI2222">
        <v>0</v>
      </c>
      <c r="AV2222">
        <v>0</v>
      </c>
      <c r="AW2222">
        <v>0</v>
      </c>
      <c r="AX2222">
        <v>4</v>
      </c>
      <c r="AY2222">
        <v>108</v>
      </c>
      <c r="AZ2222">
        <v>108</v>
      </c>
      <c r="BA2222">
        <v>153</v>
      </c>
      <c r="BB2222">
        <v>44</v>
      </c>
      <c r="BD2222">
        <v>1</v>
      </c>
      <c r="BF2222" t="s">
        <v>2403</v>
      </c>
      <c r="BG2222" s="1">
        <v>44354.138888888891</v>
      </c>
      <c r="BH2222" s="1">
        <v>44354.14230324074</v>
      </c>
      <c r="BI2222" s="1">
        <v>44354.14303240741</v>
      </c>
      <c r="BJ2222" t="s">
        <v>85</v>
      </c>
      <c r="BK2222" t="s">
        <v>86</v>
      </c>
      <c r="BL2222" t="s">
        <v>87</v>
      </c>
    </row>
    <row r="2223" spans="1:64" x14ac:dyDescent="0.3">
      <c r="A2223" t="str">
        <f>"201470B0000"</f>
        <v>201470B0000</v>
      </c>
      <c r="B2223" t="str">
        <f>"201470B00003"</f>
        <v>201470B00003</v>
      </c>
      <c r="C2223" t="str">
        <f t="shared" si="135"/>
        <v>20</v>
      </c>
      <c r="D2223" t="s">
        <v>81</v>
      </c>
      <c r="E2223" t="str">
        <f t="shared" si="139"/>
        <v>305</v>
      </c>
      <c r="F2223" t="s">
        <v>2394</v>
      </c>
      <c r="G2223" t="str">
        <f>"1470"</f>
        <v>1470</v>
      </c>
      <c r="H2223" t="str">
        <f>"0000"</f>
        <v>0000</v>
      </c>
      <c r="I2223" t="s">
        <v>83</v>
      </c>
      <c r="J2223">
        <v>0</v>
      </c>
      <c r="K2223">
        <v>1</v>
      </c>
      <c r="L2223">
        <v>3</v>
      </c>
      <c r="M2223" t="s">
        <v>92</v>
      </c>
      <c r="N2223" t="s">
        <v>92</v>
      </c>
      <c r="O2223" t="s">
        <v>92</v>
      </c>
      <c r="P2223">
        <v>1</v>
      </c>
      <c r="Q2223">
        <v>0</v>
      </c>
      <c r="R2223">
        <v>39</v>
      </c>
      <c r="S2223">
        <v>1</v>
      </c>
      <c r="T2223">
        <v>11</v>
      </c>
      <c r="U2223">
        <v>41</v>
      </c>
      <c r="V2223">
        <v>3</v>
      </c>
      <c r="W2223">
        <v>1</v>
      </c>
      <c r="X2223">
        <v>66</v>
      </c>
      <c r="Y2223">
        <v>0</v>
      </c>
      <c r="Z2223">
        <v>148</v>
      </c>
      <c r="AA2223">
        <v>75</v>
      </c>
      <c r="AB2223">
        <v>57</v>
      </c>
      <c r="AF2223">
        <v>0</v>
      </c>
      <c r="AG2223">
        <v>0</v>
      </c>
      <c r="AH2223">
        <v>0</v>
      </c>
      <c r="AI2223">
        <v>0</v>
      </c>
      <c r="AV2223">
        <v>0</v>
      </c>
      <c r="AW2223">
        <v>0</v>
      </c>
      <c r="AX2223">
        <v>14</v>
      </c>
      <c r="AY2223">
        <v>456</v>
      </c>
      <c r="AZ2223">
        <v>456</v>
      </c>
      <c r="BA2223">
        <v>585</v>
      </c>
      <c r="BB2223">
        <v>44</v>
      </c>
      <c r="BD2223">
        <v>1</v>
      </c>
      <c r="BF2223" s="2" t="s">
        <v>2404</v>
      </c>
      <c r="BG2223" s="1">
        <v>44354.040972222225</v>
      </c>
      <c r="BH2223" s="1">
        <v>44354.049328703702</v>
      </c>
      <c r="BI2223" s="1">
        <v>44354.049930555557</v>
      </c>
      <c r="BJ2223" t="s">
        <v>85</v>
      </c>
      <c r="BK2223" t="s">
        <v>86</v>
      </c>
      <c r="BL2223" t="s">
        <v>87</v>
      </c>
    </row>
    <row r="2224" spans="1:64" x14ac:dyDescent="0.3">
      <c r="A2224" t="str">
        <f>"201470E0100"</f>
        <v>201470E0100</v>
      </c>
      <c r="B2224" t="str">
        <f>"201470E01003"</f>
        <v>201470E01003</v>
      </c>
      <c r="C2224" t="str">
        <f t="shared" si="135"/>
        <v>20</v>
      </c>
      <c r="D2224" t="s">
        <v>81</v>
      </c>
      <c r="E2224" t="str">
        <f t="shared" si="139"/>
        <v>305</v>
      </c>
      <c r="F2224" t="s">
        <v>2394</v>
      </c>
      <c r="G2224" t="str">
        <f>"1470"</f>
        <v>1470</v>
      </c>
      <c r="H2224" t="str">
        <f>"0001"</f>
        <v>0001</v>
      </c>
      <c r="I2224" t="s">
        <v>122</v>
      </c>
      <c r="J2224">
        <v>0</v>
      </c>
      <c r="K2224">
        <v>1</v>
      </c>
      <c r="L2224">
        <v>3</v>
      </c>
      <c r="M2224">
        <v>169</v>
      </c>
      <c r="N2224">
        <v>441</v>
      </c>
      <c r="O2224">
        <v>0</v>
      </c>
      <c r="P2224">
        <v>441</v>
      </c>
      <c r="Q2224">
        <v>1</v>
      </c>
      <c r="R2224">
        <v>81</v>
      </c>
      <c r="S2224">
        <v>1</v>
      </c>
      <c r="T2224">
        <v>14</v>
      </c>
      <c r="U2224">
        <v>39</v>
      </c>
      <c r="V2224">
        <v>3</v>
      </c>
      <c r="W2224">
        <v>0</v>
      </c>
      <c r="X2224">
        <v>67</v>
      </c>
      <c r="Y2224">
        <v>0</v>
      </c>
      <c r="Z2224">
        <v>141</v>
      </c>
      <c r="AA2224">
        <v>75</v>
      </c>
      <c r="AB2224">
        <v>2</v>
      </c>
      <c r="AF2224">
        <v>1</v>
      </c>
      <c r="AG2224">
        <v>0</v>
      </c>
      <c r="AH2224">
        <v>0</v>
      </c>
      <c r="AI2224">
        <v>1</v>
      </c>
      <c r="AV2224">
        <v>0</v>
      </c>
      <c r="AW2224">
        <v>0</v>
      </c>
      <c r="AX2224">
        <v>15</v>
      </c>
      <c r="AY2224">
        <v>441</v>
      </c>
      <c r="AZ2224">
        <v>441</v>
      </c>
      <c r="BA2224">
        <v>567</v>
      </c>
      <c r="BB2224">
        <v>44</v>
      </c>
      <c r="BD2224">
        <v>1</v>
      </c>
      <c r="BF2224" t="s">
        <v>2405</v>
      </c>
      <c r="BG2224" s="1">
        <v>44354.025000000001</v>
      </c>
      <c r="BH2224" s="1">
        <v>44354.035092592596</v>
      </c>
      <c r="BI2224" s="1">
        <v>44354.035717592589</v>
      </c>
      <c r="BJ2224" t="s">
        <v>85</v>
      </c>
      <c r="BK2224" t="s">
        <v>86</v>
      </c>
      <c r="BL2224" t="s">
        <v>87</v>
      </c>
    </row>
    <row r="2225" spans="1:64" x14ac:dyDescent="0.3">
      <c r="A2225" t="str">
        <f>"201470E0101"</f>
        <v>201470E0101</v>
      </c>
      <c r="B2225" t="str">
        <f>"201470E01013"</f>
        <v>201470E01013</v>
      </c>
      <c r="C2225" t="str">
        <f t="shared" si="135"/>
        <v>20</v>
      </c>
      <c r="D2225" t="s">
        <v>81</v>
      </c>
      <c r="E2225" t="str">
        <f t="shared" si="139"/>
        <v>305</v>
      </c>
      <c r="F2225" t="s">
        <v>2394</v>
      </c>
      <c r="G2225" t="str">
        <f>"1470"</f>
        <v>1470</v>
      </c>
      <c r="H2225" t="str">
        <f>"0001"</f>
        <v>0001</v>
      </c>
      <c r="I2225" t="s">
        <v>122</v>
      </c>
      <c r="J2225">
        <v>1</v>
      </c>
      <c r="K2225">
        <v>1</v>
      </c>
      <c r="L2225">
        <v>3</v>
      </c>
      <c r="M2225">
        <v>161</v>
      </c>
      <c r="N2225">
        <v>448</v>
      </c>
      <c r="O2225">
        <v>0</v>
      </c>
      <c r="P2225">
        <v>451</v>
      </c>
      <c r="Q2225">
        <v>0</v>
      </c>
      <c r="R2225">
        <v>61</v>
      </c>
      <c r="S2225">
        <v>0</v>
      </c>
      <c r="T2225">
        <v>16</v>
      </c>
      <c r="U2225">
        <v>55</v>
      </c>
      <c r="V2225">
        <v>5</v>
      </c>
      <c r="W2225">
        <v>0</v>
      </c>
      <c r="X2225">
        <v>63</v>
      </c>
      <c r="Y2225">
        <v>2</v>
      </c>
      <c r="Z2225">
        <v>146</v>
      </c>
      <c r="AA2225">
        <v>73</v>
      </c>
      <c r="AB2225">
        <v>3</v>
      </c>
      <c r="AF2225">
        <v>3</v>
      </c>
      <c r="AG2225">
        <v>2</v>
      </c>
      <c r="AH2225">
        <v>0</v>
      </c>
      <c r="AI2225">
        <v>0</v>
      </c>
      <c r="AV2225">
        <v>0</v>
      </c>
      <c r="AW2225">
        <v>0</v>
      </c>
      <c r="AX2225">
        <v>22</v>
      </c>
      <c r="AY2225">
        <v>451</v>
      </c>
      <c r="AZ2225">
        <v>451</v>
      </c>
      <c r="BA2225">
        <v>567</v>
      </c>
      <c r="BB2225">
        <v>44</v>
      </c>
      <c r="BD2225">
        <v>1</v>
      </c>
      <c r="BF2225" t="s">
        <v>2406</v>
      </c>
      <c r="BG2225" s="1">
        <v>44354.029166666667</v>
      </c>
      <c r="BH2225" s="1">
        <v>44354.047129629631</v>
      </c>
      <c r="BI2225" s="1">
        <v>44354.047997685186</v>
      </c>
      <c r="BJ2225" t="s">
        <v>85</v>
      </c>
      <c r="BK2225" t="s">
        <v>86</v>
      </c>
      <c r="BL2225" t="s">
        <v>87</v>
      </c>
    </row>
    <row r="2226" spans="1:64" x14ac:dyDescent="0.3">
      <c r="A2226" t="str">
        <f>"201471B0000"</f>
        <v>201471B0000</v>
      </c>
      <c r="B2226" t="str">
        <f>"201471B00003"</f>
        <v>201471B00003</v>
      </c>
      <c r="C2226" t="str">
        <f t="shared" si="135"/>
        <v>20</v>
      </c>
      <c r="D2226" t="s">
        <v>81</v>
      </c>
      <c r="E2226" t="str">
        <f t="shared" si="139"/>
        <v>305</v>
      </c>
      <c r="F2226" t="s">
        <v>2394</v>
      </c>
      <c r="G2226" t="str">
        <f>"1471"</f>
        <v>1471</v>
      </c>
      <c r="H2226" t="str">
        <f>"0000"</f>
        <v>0000</v>
      </c>
      <c r="I2226" t="s">
        <v>83</v>
      </c>
      <c r="J2226">
        <v>0</v>
      </c>
      <c r="K2226">
        <v>1</v>
      </c>
      <c r="L2226">
        <v>3</v>
      </c>
      <c r="M2226">
        <v>281</v>
      </c>
      <c r="N2226">
        <v>465</v>
      </c>
      <c r="O2226">
        <v>0</v>
      </c>
      <c r="P2226">
        <v>457</v>
      </c>
      <c r="Q2226">
        <v>1</v>
      </c>
      <c r="R2226">
        <v>79</v>
      </c>
      <c r="S2226">
        <v>1</v>
      </c>
      <c r="T2226">
        <v>1</v>
      </c>
      <c r="U2226">
        <v>32</v>
      </c>
      <c r="V2226">
        <v>1</v>
      </c>
      <c r="W2226">
        <v>1</v>
      </c>
      <c r="X2226">
        <v>170</v>
      </c>
      <c r="Y2226">
        <v>0</v>
      </c>
      <c r="Z2226">
        <v>96</v>
      </c>
      <c r="AA2226">
        <v>55</v>
      </c>
      <c r="AB2226">
        <v>16</v>
      </c>
      <c r="AF2226">
        <v>1</v>
      </c>
      <c r="AG2226">
        <v>0</v>
      </c>
      <c r="AH2226">
        <v>0</v>
      </c>
      <c r="AI2226">
        <v>0</v>
      </c>
      <c r="AV2226">
        <v>0</v>
      </c>
      <c r="AW2226">
        <v>0</v>
      </c>
      <c r="AX2226">
        <v>9</v>
      </c>
      <c r="AY2226">
        <v>466</v>
      </c>
      <c r="AZ2226">
        <v>463</v>
      </c>
      <c r="BA2226">
        <v>703</v>
      </c>
      <c r="BB2226">
        <v>44</v>
      </c>
      <c r="BD2226">
        <v>1</v>
      </c>
      <c r="BF2226" t="s">
        <v>2407</v>
      </c>
      <c r="BG2226" s="1">
        <v>44354.128472222219</v>
      </c>
      <c r="BH2226" s="1">
        <v>44354.148414351854</v>
      </c>
      <c r="BI2226" s="1">
        <v>44354.14875</v>
      </c>
      <c r="BJ2226" t="s">
        <v>85</v>
      </c>
      <c r="BK2226" t="s">
        <v>86</v>
      </c>
      <c r="BL2226" t="s">
        <v>87</v>
      </c>
    </row>
    <row r="2227" spans="1:64" x14ac:dyDescent="0.3">
      <c r="A2227" t="str">
        <f>"201471C0100"</f>
        <v>201471C0100</v>
      </c>
      <c r="B2227" t="str">
        <f>"201471C01003"</f>
        <v>201471C01003</v>
      </c>
      <c r="C2227" t="str">
        <f t="shared" si="135"/>
        <v>20</v>
      </c>
      <c r="D2227" t="s">
        <v>81</v>
      </c>
      <c r="E2227" t="str">
        <f t="shared" si="139"/>
        <v>305</v>
      </c>
      <c r="F2227" t="s">
        <v>2394</v>
      </c>
      <c r="G2227" t="str">
        <f>"1471"</f>
        <v>1471</v>
      </c>
      <c r="H2227" t="str">
        <f>"0001"</f>
        <v>0001</v>
      </c>
      <c r="I2227" t="s">
        <v>89</v>
      </c>
      <c r="J2227">
        <v>0</v>
      </c>
      <c r="K2227">
        <v>1</v>
      </c>
      <c r="L2227">
        <v>3</v>
      </c>
      <c r="M2227">
        <v>299</v>
      </c>
      <c r="N2227">
        <v>447</v>
      </c>
      <c r="O2227">
        <v>0</v>
      </c>
      <c r="P2227">
        <v>447</v>
      </c>
      <c r="Q2227">
        <v>0</v>
      </c>
      <c r="R2227">
        <v>57</v>
      </c>
      <c r="S2227">
        <v>1</v>
      </c>
      <c r="T2227">
        <v>9</v>
      </c>
      <c r="U2227">
        <v>39</v>
      </c>
      <c r="V2227">
        <v>5</v>
      </c>
      <c r="W2227">
        <v>1</v>
      </c>
      <c r="X2227">
        <v>169</v>
      </c>
      <c r="Y2227">
        <v>1</v>
      </c>
      <c r="Z2227">
        <v>85</v>
      </c>
      <c r="AA2227">
        <v>53</v>
      </c>
      <c r="AB2227">
        <v>16</v>
      </c>
      <c r="AF2227">
        <v>3</v>
      </c>
      <c r="AG2227">
        <v>0</v>
      </c>
      <c r="AH2227">
        <v>0</v>
      </c>
      <c r="AI2227">
        <v>0</v>
      </c>
      <c r="AV2227">
        <v>0</v>
      </c>
      <c r="AW2227">
        <v>0</v>
      </c>
      <c r="AX2227">
        <v>8</v>
      </c>
      <c r="AY2227">
        <v>447</v>
      </c>
      <c r="AZ2227">
        <v>447</v>
      </c>
      <c r="BA2227">
        <v>702</v>
      </c>
      <c r="BB2227">
        <v>44</v>
      </c>
      <c r="BD2227">
        <v>1</v>
      </c>
      <c r="BF2227" t="s">
        <v>2408</v>
      </c>
      <c r="BG2227" s="1">
        <v>44354.130555555559</v>
      </c>
      <c r="BH2227" s="1">
        <v>44354.144699074073</v>
      </c>
      <c r="BI2227" s="1">
        <v>44354.145671296297</v>
      </c>
      <c r="BJ2227" t="s">
        <v>85</v>
      </c>
      <c r="BK2227" t="s">
        <v>86</v>
      </c>
      <c r="BL2227" t="s">
        <v>87</v>
      </c>
    </row>
    <row r="2228" spans="1:64" x14ac:dyDescent="0.3">
      <c r="A2228" t="str">
        <f>"201471C0200"</f>
        <v>201471C0200</v>
      </c>
      <c r="B2228" t="str">
        <f>"201471C02003"</f>
        <v>201471C02003</v>
      </c>
      <c r="C2228" t="str">
        <f t="shared" si="135"/>
        <v>20</v>
      </c>
      <c r="D2228" t="s">
        <v>81</v>
      </c>
      <c r="E2228" t="str">
        <f t="shared" si="139"/>
        <v>305</v>
      </c>
      <c r="F2228" t="s">
        <v>2394</v>
      </c>
      <c r="G2228" t="str">
        <f>"1471"</f>
        <v>1471</v>
      </c>
      <c r="H2228" t="str">
        <f>"0002"</f>
        <v>0002</v>
      </c>
      <c r="I2228" t="s">
        <v>89</v>
      </c>
      <c r="J2228">
        <v>0</v>
      </c>
      <c r="K2228">
        <v>1</v>
      </c>
      <c r="L2228">
        <v>3</v>
      </c>
      <c r="M2228">
        <v>303</v>
      </c>
      <c r="N2228">
        <v>443</v>
      </c>
      <c r="O2228">
        <v>0</v>
      </c>
      <c r="P2228">
        <v>443</v>
      </c>
      <c r="Q2228">
        <v>2</v>
      </c>
      <c r="R2228">
        <v>64</v>
      </c>
      <c r="S2228">
        <v>3</v>
      </c>
      <c r="T2228">
        <v>11</v>
      </c>
      <c r="U2228">
        <v>24</v>
      </c>
      <c r="V2228">
        <v>6</v>
      </c>
      <c r="W2228">
        <v>0</v>
      </c>
      <c r="X2228">
        <v>153</v>
      </c>
      <c r="Y2228">
        <v>0</v>
      </c>
      <c r="Z2228">
        <v>96</v>
      </c>
      <c r="AA2228">
        <v>55</v>
      </c>
      <c r="AB2228">
        <v>18</v>
      </c>
      <c r="AF2228">
        <v>0</v>
      </c>
      <c r="AG2228">
        <v>0</v>
      </c>
      <c r="AH2228">
        <v>0</v>
      </c>
      <c r="AI2228">
        <v>0</v>
      </c>
      <c r="AV2228">
        <v>0</v>
      </c>
      <c r="AW2228">
        <v>0</v>
      </c>
      <c r="AX2228">
        <v>12</v>
      </c>
      <c r="AY2228">
        <v>443</v>
      </c>
      <c r="AZ2228">
        <v>444</v>
      </c>
      <c r="BA2228">
        <v>702</v>
      </c>
      <c r="BB2228">
        <v>44</v>
      </c>
      <c r="BD2228">
        <v>1</v>
      </c>
      <c r="BF2228" t="s">
        <v>2409</v>
      </c>
      <c r="BG2228" s="1">
        <v>44354.134027777778</v>
      </c>
      <c r="BH2228" s="1">
        <v>44354.144259259258</v>
      </c>
      <c r="BI2228" s="1">
        <v>44354.145370370374</v>
      </c>
      <c r="BJ2228" t="s">
        <v>85</v>
      </c>
      <c r="BK2228" t="s">
        <v>86</v>
      </c>
      <c r="BL2228" t="s">
        <v>87</v>
      </c>
    </row>
    <row r="2229" spans="1:64" x14ac:dyDescent="0.3">
      <c r="A2229" t="str">
        <f>"201472B0000"</f>
        <v>201472B0000</v>
      </c>
      <c r="B2229" t="str">
        <f>"201472B00003"</f>
        <v>201472B00003</v>
      </c>
      <c r="C2229" t="str">
        <f t="shared" si="135"/>
        <v>20</v>
      </c>
      <c r="D2229" t="s">
        <v>81</v>
      </c>
      <c r="E2229" t="str">
        <f>"306"</f>
        <v>306</v>
      </c>
      <c r="F2229" t="s">
        <v>2410</v>
      </c>
      <c r="G2229" t="str">
        <f>"1472"</f>
        <v>1472</v>
      </c>
      <c r="H2229" t="str">
        <f>"0000"</f>
        <v>0000</v>
      </c>
      <c r="I2229" t="s">
        <v>83</v>
      </c>
      <c r="J2229">
        <v>0</v>
      </c>
      <c r="K2229">
        <v>1</v>
      </c>
      <c r="L2229">
        <v>3</v>
      </c>
      <c r="BA2229">
        <v>604</v>
      </c>
      <c r="BB2229">
        <v>44</v>
      </c>
      <c r="BC2229" t="s">
        <v>161</v>
      </c>
      <c r="BD2229">
        <v>0</v>
      </c>
      <c r="BF2229" t="s">
        <v>2411</v>
      </c>
      <c r="BG2229" s="1">
        <v>44354.540972222225</v>
      </c>
      <c r="BH2229" s="1">
        <v>44354.541747685187</v>
      </c>
      <c r="BI2229" s="1">
        <v>44354.541747685187</v>
      </c>
      <c r="BJ2229" t="s">
        <v>85</v>
      </c>
      <c r="BK2229" t="s">
        <v>86</v>
      </c>
      <c r="BL2229" t="s">
        <v>87</v>
      </c>
    </row>
    <row r="2230" spans="1:64" x14ac:dyDescent="0.3">
      <c r="A2230" t="str">
        <f>"201472C0100"</f>
        <v>201472C0100</v>
      </c>
      <c r="B2230" t="str">
        <f>"201472C01003"</f>
        <v>201472C01003</v>
      </c>
      <c r="C2230" t="str">
        <f t="shared" si="135"/>
        <v>20</v>
      </c>
      <c r="D2230" t="s">
        <v>81</v>
      </c>
      <c r="E2230" t="str">
        <f>"306"</f>
        <v>306</v>
      </c>
      <c r="F2230" t="s">
        <v>2410</v>
      </c>
      <c r="G2230" t="str">
        <f>"1472"</f>
        <v>1472</v>
      </c>
      <c r="H2230" t="str">
        <f>"0001"</f>
        <v>0001</v>
      </c>
      <c r="I2230" t="s">
        <v>89</v>
      </c>
      <c r="J2230">
        <v>0</v>
      </c>
      <c r="K2230">
        <v>1</v>
      </c>
      <c r="L2230">
        <v>3</v>
      </c>
      <c r="BA2230">
        <v>604</v>
      </c>
      <c r="BB2230">
        <v>44</v>
      </c>
      <c r="BC2230" t="s">
        <v>161</v>
      </c>
      <c r="BD2230">
        <v>0</v>
      </c>
      <c r="BF2230" t="s">
        <v>2412</v>
      </c>
      <c r="BG2230" s="1">
        <v>44354.540277777778</v>
      </c>
      <c r="BH2230" s="1">
        <v>44354.541539351849</v>
      </c>
      <c r="BI2230" s="1">
        <v>44354.541539351849</v>
      </c>
      <c r="BJ2230" t="s">
        <v>85</v>
      </c>
      <c r="BK2230" t="s">
        <v>86</v>
      </c>
      <c r="BL2230" t="s">
        <v>87</v>
      </c>
    </row>
    <row r="2231" spans="1:64" x14ac:dyDescent="0.3">
      <c r="A2231" t="str">
        <f>"201472C0200"</f>
        <v>201472C0200</v>
      </c>
      <c r="B2231" t="str">
        <f>"201472C02003"</f>
        <v>201472C02003</v>
      </c>
      <c r="C2231" t="str">
        <f t="shared" si="135"/>
        <v>20</v>
      </c>
      <c r="D2231" t="s">
        <v>81</v>
      </c>
      <c r="E2231" t="str">
        <f>"306"</f>
        <v>306</v>
      </c>
      <c r="F2231" t="s">
        <v>2410</v>
      </c>
      <c r="G2231" t="str">
        <f>"1472"</f>
        <v>1472</v>
      </c>
      <c r="H2231" t="str">
        <f>"0002"</f>
        <v>0002</v>
      </c>
      <c r="I2231" t="s">
        <v>89</v>
      </c>
      <c r="J2231">
        <v>0</v>
      </c>
      <c r="K2231">
        <v>1</v>
      </c>
      <c r="L2231">
        <v>3</v>
      </c>
      <c r="BA2231">
        <v>604</v>
      </c>
      <c r="BB2231">
        <v>44</v>
      </c>
      <c r="BC2231" t="s">
        <v>161</v>
      </c>
      <c r="BD2231">
        <v>0</v>
      </c>
      <c r="BF2231" t="s">
        <v>2413</v>
      </c>
      <c r="BG2231" s="1">
        <v>44354.542361111111</v>
      </c>
      <c r="BH2231" s="1">
        <v>44354.543495370373</v>
      </c>
      <c r="BI2231" s="1">
        <v>44354.543495370373</v>
      </c>
      <c r="BJ2231" t="s">
        <v>85</v>
      </c>
      <c r="BK2231" t="s">
        <v>86</v>
      </c>
      <c r="BL2231" t="s">
        <v>87</v>
      </c>
    </row>
    <row r="2232" spans="1:64" x14ac:dyDescent="0.3">
      <c r="A2232" t="str">
        <f>"201472C0300"</f>
        <v>201472C0300</v>
      </c>
      <c r="B2232" t="str">
        <f>"201472C03003"</f>
        <v>201472C03003</v>
      </c>
      <c r="C2232" t="str">
        <f t="shared" si="135"/>
        <v>20</v>
      </c>
      <c r="D2232" t="s">
        <v>81</v>
      </c>
      <c r="E2232" t="str">
        <f>"306"</f>
        <v>306</v>
      </c>
      <c r="F2232" t="s">
        <v>2410</v>
      </c>
      <c r="G2232" t="str">
        <f>"1472"</f>
        <v>1472</v>
      </c>
      <c r="H2232" t="str">
        <f>"0003"</f>
        <v>0003</v>
      </c>
      <c r="I2232" t="s">
        <v>89</v>
      </c>
      <c r="J2232">
        <v>0</v>
      </c>
      <c r="K2232">
        <v>1</v>
      </c>
      <c r="L2232">
        <v>3</v>
      </c>
      <c r="BA2232">
        <v>604</v>
      </c>
      <c r="BB2232">
        <v>44</v>
      </c>
      <c r="BC2232" t="s">
        <v>161</v>
      </c>
      <c r="BD2232">
        <v>0</v>
      </c>
      <c r="BF2232" t="s">
        <v>2414</v>
      </c>
      <c r="BG2232" s="1">
        <v>44354.541666666664</v>
      </c>
      <c r="BH2232" s="1">
        <v>44354.543865740743</v>
      </c>
      <c r="BI2232" s="1">
        <v>44354.543865740743</v>
      </c>
      <c r="BJ2232" t="s">
        <v>85</v>
      </c>
      <c r="BK2232" t="s">
        <v>86</v>
      </c>
      <c r="BL2232" t="s">
        <v>87</v>
      </c>
    </row>
    <row r="2233" spans="1:64" x14ac:dyDescent="0.3">
      <c r="A2233" t="str">
        <f>"201473B0000"</f>
        <v>201473B0000</v>
      </c>
      <c r="B2233" t="str">
        <f>"201473B00003"</f>
        <v>201473B00003</v>
      </c>
      <c r="C2233" t="str">
        <f t="shared" si="135"/>
        <v>20</v>
      </c>
      <c r="D2233" t="s">
        <v>81</v>
      </c>
      <c r="E2233" t="str">
        <f t="shared" ref="E2233:E2249" si="140">"307"</f>
        <v>307</v>
      </c>
      <c r="F2233" t="s">
        <v>2415</v>
      </c>
      <c r="G2233" t="str">
        <f>"1473"</f>
        <v>1473</v>
      </c>
      <c r="H2233" t="str">
        <f>"0000"</f>
        <v>0000</v>
      </c>
      <c r="I2233" t="s">
        <v>83</v>
      </c>
      <c r="J2233">
        <v>0</v>
      </c>
      <c r="K2233">
        <v>1</v>
      </c>
      <c r="L2233">
        <v>3</v>
      </c>
      <c r="BA2233">
        <v>524</v>
      </c>
      <c r="BB2233">
        <v>44</v>
      </c>
      <c r="BC2233" t="s">
        <v>381</v>
      </c>
      <c r="BD2233">
        <v>0</v>
      </c>
      <c r="BF2233" t="s">
        <v>2416</v>
      </c>
      <c r="BG2233" s="1">
        <v>44354.167361111111</v>
      </c>
      <c r="BH2233" s="1">
        <v>44354.670162037037</v>
      </c>
      <c r="BI2233" s="1">
        <v>44354.670162037037</v>
      </c>
      <c r="BJ2233" t="s">
        <v>85</v>
      </c>
      <c r="BK2233" t="s">
        <v>86</v>
      </c>
      <c r="BL2233" t="s">
        <v>87</v>
      </c>
    </row>
    <row r="2234" spans="1:64" x14ac:dyDescent="0.3">
      <c r="A2234" t="str">
        <f>"201473C0100"</f>
        <v>201473C0100</v>
      </c>
      <c r="B2234" t="str">
        <f>"201473C01003"</f>
        <v>201473C01003</v>
      </c>
      <c r="C2234" t="str">
        <f t="shared" si="135"/>
        <v>20</v>
      </c>
      <c r="D2234" t="s">
        <v>81</v>
      </c>
      <c r="E2234" t="str">
        <f t="shared" si="140"/>
        <v>307</v>
      </c>
      <c r="F2234" t="s">
        <v>2415</v>
      </c>
      <c r="G2234" t="str">
        <f>"1473"</f>
        <v>1473</v>
      </c>
      <c r="H2234" t="str">
        <f>"0001"</f>
        <v>0001</v>
      </c>
      <c r="I2234" t="s">
        <v>89</v>
      </c>
      <c r="J2234">
        <v>0</v>
      </c>
      <c r="K2234">
        <v>1</v>
      </c>
      <c r="L2234">
        <v>3</v>
      </c>
      <c r="BA2234">
        <v>524</v>
      </c>
      <c r="BB2234">
        <v>44</v>
      </c>
      <c r="BC2234" t="s">
        <v>381</v>
      </c>
      <c r="BD2234">
        <v>0</v>
      </c>
      <c r="BF2234" t="s">
        <v>2417</v>
      </c>
      <c r="BG2234" s="1">
        <v>44354.168749999997</v>
      </c>
      <c r="BH2234" s="1">
        <v>44354.670358796298</v>
      </c>
      <c r="BI2234" s="1">
        <v>44354.670358796298</v>
      </c>
      <c r="BJ2234" t="s">
        <v>85</v>
      </c>
      <c r="BK2234" t="s">
        <v>86</v>
      </c>
      <c r="BL2234" t="s">
        <v>87</v>
      </c>
    </row>
    <row r="2235" spans="1:64" x14ac:dyDescent="0.3">
      <c r="A2235" t="str">
        <f>"201473C0200"</f>
        <v>201473C0200</v>
      </c>
      <c r="B2235" t="str">
        <f>"201473C02003"</f>
        <v>201473C02003</v>
      </c>
      <c r="C2235" t="str">
        <f t="shared" si="135"/>
        <v>20</v>
      </c>
      <c r="D2235" t="s">
        <v>81</v>
      </c>
      <c r="E2235" t="str">
        <f t="shared" si="140"/>
        <v>307</v>
      </c>
      <c r="F2235" t="s">
        <v>2415</v>
      </c>
      <c r="G2235" t="str">
        <f>"1473"</f>
        <v>1473</v>
      </c>
      <c r="H2235" t="str">
        <f>"0002"</f>
        <v>0002</v>
      </c>
      <c r="I2235" t="s">
        <v>89</v>
      </c>
      <c r="J2235">
        <v>0</v>
      </c>
      <c r="K2235">
        <v>1</v>
      </c>
      <c r="L2235">
        <v>3</v>
      </c>
      <c r="BA2235">
        <v>524</v>
      </c>
      <c r="BB2235">
        <v>44</v>
      </c>
      <c r="BC2235" t="s">
        <v>381</v>
      </c>
      <c r="BD2235">
        <v>0</v>
      </c>
      <c r="BF2235" t="s">
        <v>2418</v>
      </c>
      <c r="BG2235" s="1">
        <v>44354.170138888891</v>
      </c>
      <c r="BH2235" s="1">
        <v>44354.674386574072</v>
      </c>
      <c r="BI2235" s="1">
        <v>44354.674386574072</v>
      </c>
      <c r="BJ2235" t="s">
        <v>85</v>
      </c>
      <c r="BK2235" t="s">
        <v>86</v>
      </c>
      <c r="BL2235" t="s">
        <v>87</v>
      </c>
    </row>
    <row r="2236" spans="1:64" x14ac:dyDescent="0.3">
      <c r="A2236" t="str">
        <f>"201474B0000"</f>
        <v>201474B0000</v>
      </c>
      <c r="B2236" t="str">
        <f>"201474B00003"</f>
        <v>201474B00003</v>
      </c>
      <c r="C2236" t="str">
        <f t="shared" si="135"/>
        <v>20</v>
      </c>
      <c r="D2236" t="s">
        <v>81</v>
      </c>
      <c r="E2236" t="str">
        <f t="shared" si="140"/>
        <v>307</v>
      </c>
      <c r="F2236" t="s">
        <v>2415</v>
      </c>
      <c r="G2236" t="str">
        <f>"1474"</f>
        <v>1474</v>
      </c>
      <c r="H2236" t="str">
        <f>"0000"</f>
        <v>0000</v>
      </c>
      <c r="I2236" t="s">
        <v>83</v>
      </c>
      <c r="J2236">
        <v>0</v>
      </c>
      <c r="K2236">
        <v>1</v>
      </c>
      <c r="L2236">
        <v>3</v>
      </c>
      <c r="BA2236">
        <v>509</v>
      </c>
      <c r="BB2236">
        <v>44</v>
      </c>
      <c r="BC2236" t="s">
        <v>381</v>
      </c>
      <c r="BD2236">
        <v>0</v>
      </c>
      <c r="BF2236" t="s">
        <v>2419</v>
      </c>
      <c r="BG2236" s="1">
        <v>44354.169444444444</v>
      </c>
      <c r="BH2236" s="1">
        <v>44354.670520833337</v>
      </c>
      <c r="BI2236" s="1">
        <v>44354.670520833337</v>
      </c>
      <c r="BJ2236" t="s">
        <v>85</v>
      </c>
      <c r="BK2236" t="s">
        <v>86</v>
      </c>
      <c r="BL2236" t="s">
        <v>87</v>
      </c>
    </row>
    <row r="2237" spans="1:64" x14ac:dyDescent="0.3">
      <c r="A2237" t="str">
        <f>"201474C0100"</f>
        <v>201474C0100</v>
      </c>
      <c r="B2237" t="str">
        <f>"201474C01003"</f>
        <v>201474C01003</v>
      </c>
      <c r="C2237" t="str">
        <f t="shared" si="135"/>
        <v>20</v>
      </c>
      <c r="D2237" t="s">
        <v>81</v>
      </c>
      <c r="E2237" t="str">
        <f t="shared" si="140"/>
        <v>307</v>
      </c>
      <c r="F2237" t="s">
        <v>2415</v>
      </c>
      <c r="G2237" t="str">
        <f>"1474"</f>
        <v>1474</v>
      </c>
      <c r="H2237" t="str">
        <f>"0001"</f>
        <v>0001</v>
      </c>
      <c r="I2237" t="s">
        <v>89</v>
      </c>
      <c r="J2237">
        <v>0</v>
      </c>
      <c r="K2237">
        <v>1</v>
      </c>
      <c r="L2237">
        <v>3</v>
      </c>
      <c r="BA2237">
        <v>509</v>
      </c>
      <c r="BB2237">
        <v>44</v>
      </c>
      <c r="BC2237" t="s">
        <v>381</v>
      </c>
      <c r="BD2237">
        <v>0</v>
      </c>
      <c r="BF2237" t="s">
        <v>2420</v>
      </c>
      <c r="BG2237" s="1">
        <v>44354.169444444444</v>
      </c>
      <c r="BH2237" s="1">
        <v>44354.670694444445</v>
      </c>
      <c r="BI2237" s="1">
        <v>44354.670694444445</v>
      </c>
      <c r="BJ2237" t="s">
        <v>85</v>
      </c>
      <c r="BK2237" t="s">
        <v>86</v>
      </c>
      <c r="BL2237" t="s">
        <v>87</v>
      </c>
    </row>
    <row r="2238" spans="1:64" x14ac:dyDescent="0.3">
      <c r="A2238" t="str">
        <f>"201474C0200"</f>
        <v>201474C0200</v>
      </c>
      <c r="B2238" t="str">
        <f>"201474C02003"</f>
        <v>201474C02003</v>
      </c>
      <c r="C2238" t="str">
        <f t="shared" si="135"/>
        <v>20</v>
      </c>
      <c r="D2238" t="s">
        <v>81</v>
      </c>
      <c r="E2238" t="str">
        <f t="shared" si="140"/>
        <v>307</v>
      </c>
      <c r="F2238" t="s">
        <v>2415</v>
      </c>
      <c r="G2238" t="str">
        <f>"1474"</f>
        <v>1474</v>
      </c>
      <c r="H2238" t="str">
        <f>"0002"</f>
        <v>0002</v>
      </c>
      <c r="I2238" t="s">
        <v>89</v>
      </c>
      <c r="J2238">
        <v>0</v>
      </c>
      <c r="K2238">
        <v>1</v>
      </c>
      <c r="L2238">
        <v>3</v>
      </c>
      <c r="BA2238">
        <v>508</v>
      </c>
      <c r="BB2238">
        <v>44</v>
      </c>
      <c r="BC2238" t="s">
        <v>381</v>
      </c>
      <c r="BD2238">
        <v>0</v>
      </c>
      <c r="BF2238" t="s">
        <v>2421</v>
      </c>
      <c r="BG2238" s="1">
        <v>44354.169444444444</v>
      </c>
      <c r="BH2238" s="1">
        <v>44354.670844907407</v>
      </c>
      <c r="BI2238" s="1">
        <v>44354.670844907407</v>
      </c>
      <c r="BJ2238" t="s">
        <v>85</v>
      </c>
      <c r="BK2238" t="s">
        <v>86</v>
      </c>
      <c r="BL2238" t="s">
        <v>87</v>
      </c>
    </row>
    <row r="2239" spans="1:64" x14ac:dyDescent="0.3">
      <c r="A2239" t="str">
        <f>"201475B0000"</f>
        <v>201475B0000</v>
      </c>
      <c r="B2239" t="str">
        <f>"201475B00003"</f>
        <v>201475B00003</v>
      </c>
      <c r="C2239" t="str">
        <f t="shared" si="135"/>
        <v>20</v>
      </c>
      <c r="D2239" t="s">
        <v>81</v>
      </c>
      <c r="E2239" t="str">
        <f t="shared" si="140"/>
        <v>307</v>
      </c>
      <c r="F2239" t="s">
        <v>2415</v>
      </c>
      <c r="G2239" t="str">
        <f>"1475"</f>
        <v>1475</v>
      </c>
      <c r="H2239" t="str">
        <f>"0000"</f>
        <v>0000</v>
      </c>
      <c r="I2239" t="s">
        <v>83</v>
      </c>
      <c r="J2239">
        <v>0</v>
      </c>
      <c r="K2239">
        <v>1</v>
      </c>
      <c r="L2239">
        <v>3</v>
      </c>
      <c r="BA2239">
        <v>253</v>
      </c>
      <c r="BB2239">
        <v>44</v>
      </c>
      <c r="BC2239" t="s">
        <v>381</v>
      </c>
      <c r="BD2239">
        <v>0</v>
      </c>
      <c r="BF2239" t="s">
        <v>2422</v>
      </c>
      <c r="BG2239" s="1">
        <v>44354.169444444444</v>
      </c>
      <c r="BH2239" s="1">
        <v>44354.670995370368</v>
      </c>
      <c r="BI2239" s="1">
        <v>44354.670995370368</v>
      </c>
      <c r="BJ2239" t="s">
        <v>85</v>
      </c>
      <c r="BK2239" t="s">
        <v>86</v>
      </c>
      <c r="BL2239" t="s">
        <v>87</v>
      </c>
    </row>
    <row r="2240" spans="1:64" x14ac:dyDescent="0.3">
      <c r="A2240" t="str">
        <f>"201475E0100"</f>
        <v>201475E0100</v>
      </c>
      <c r="B2240" t="str">
        <f>"201475E01003"</f>
        <v>201475E01003</v>
      </c>
      <c r="C2240" t="str">
        <f t="shared" si="135"/>
        <v>20</v>
      </c>
      <c r="D2240" t="s">
        <v>81</v>
      </c>
      <c r="E2240" t="str">
        <f t="shared" si="140"/>
        <v>307</v>
      </c>
      <c r="F2240" t="s">
        <v>2415</v>
      </c>
      <c r="G2240" t="str">
        <f>"1475"</f>
        <v>1475</v>
      </c>
      <c r="H2240" t="str">
        <f>"0001"</f>
        <v>0001</v>
      </c>
      <c r="I2240" t="s">
        <v>122</v>
      </c>
      <c r="J2240">
        <v>0</v>
      </c>
      <c r="K2240">
        <v>1</v>
      </c>
      <c r="L2240">
        <v>3</v>
      </c>
      <c r="BA2240">
        <v>180</v>
      </c>
      <c r="BB2240">
        <v>44</v>
      </c>
      <c r="BC2240" t="s">
        <v>381</v>
      </c>
      <c r="BD2240">
        <v>0</v>
      </c>
      <c r="BF2240" s="2" t="s">
        <v>2423</v>
      </c>
      <c r="BG2240" s="1">
        <v>44354.193055555559</v>
      </c>
      <c r="BH2240" s="1">
        <v>44354.694432870368</v>
      </c>
      <c r="BI2240" s="1">
        <v>44354.694432870368</v>
      </c>
      <c r="BJ2240" t="s">
        <v>85</v>
      </c>
      <c r="BK2240" t="s">
        <v>86</v>
      </c>
      <c r="BL2240" t="s">
        <v>87</v>
      </c>
    </row>
    <row r="2241" spans="1:64" x14ac:dyDescent="0.3">
      <c r="A2241" t="str">
        <f>"201476B0000"</f>
        <v>201476B0000</v>
      </c>
      <c r="B2241" t="str">
        <f>"201476B00003"</f>
        <v>201476B00003</v>
      </c>
      <c r="C2241" t="str">
        <f t="shared" si="135"/>
        <v>20</v>
      </c>
      <c r="D2241" t="s">
        <v>81</v>
      </c>
      <c r="E2241" t="str">
        <f t="shared" si="140"/>
        <v>307</v>
      </c>
      <c r="F2241" t="s">
        <v>2415</v>
      </c>
      <c r="G2241" t="str">
        <f>"1476"</f>
        <v>1476</v>
      </c>
      <c r="H2241" t="str">
        <f>"0000"</f>
        <v>0000</v>
      </c>
      <c r="I2241" t="s">
        <v>83</v>
      </c>
      <c r="J2241">
        <v>0</v>
      </c>
      <c r="K2241">
        <v>1</v>
      </c>
      <c r="L2241">
        <v>3</v>
      </c>
      <c r="BA2241">
        <v>488</v>
      </c>
      <c r="BB2241">
        <v>44</v>
      </c>
      <c r="BC2241" t="s">
        <v>381</v>
      </c>
      <c r="BD2241">
        <v>0</v>
      </c>
      <c r="BF2241" t="s">
        <v>2424</v>
      </c>
      <c r="BG2241" s="1">
        <v>44354.169444444444</v>
      </c>
      <c r="BH2241" s="1">
        <v>44354.671643518515</v>
      </c>
      <c r="BI2241" s="1">
        <v>44354.671643518515</v>
      </c>
      <c r="BJ2241" t="s">
        <v>85</v>
      </c>
      <c r="BK2241" t="s">
        <v>86</v>
      </c>
      <c r="BL2241" t="s">
        <v>87</v>
      </c>
    </row>
    <row r="2242" spans="1:64" x14ac:dyDescent="0.3">
      <c r="A2242" t="str">
        <f>"201476C0100"</f>
        <v>201476C0100</v>
      </c>
      <c r="B2242" t="str">
        <f>"201476C01003"</f>
        <v>201476C01003</v>
      </c>
      <c r="C2242" t="str">
        <f t="shared" si="135"/>
        <v>20</v>
      </c>
      <c r="D2242" t="s">
        <v>81</v>
      </c>
      <c r="E2242" t="str">
        <f t="shared" si="140"/>
        <v>307</v>
      </c>
      <c r="F2242" t="s">
        <v>2415</v>
      </c>
      <c r="G2242" t="str">
        <f>"1476"</f>
        <v>1476</v>
      </c>
      <c r="H2242" t="str">
        <f>"0001"</f>
        <v>0001</v>
      </c>
      <c r="I2242" t="s">
        <v>89</v>
      </c>
      <c r="J2242">
        <v>0</v>
      </c>
      <c r="K2242">
        <v>1</v>
      </c>
      <c r="L2242">
        <v>3</v>
      </c>
      <c r="BA2242">
        <v>487</v>
      </c>
      <c r="BB2242">
        <v>44</v>
      </c>
      <c r="BC2242" t="s">
        <v>381</v>
      </c>
      <c r="BD2242">
        <v>0</v>
      </c>
      <c r="BF2242" t="s">
        <v>2425</v>
      </c>
      <c r="BG2242" s="1">
        <v>44354.169444444444</v>
      </c>
      <c r="BH2242" s="1">
        <v>44354.671481481484</v>
      </c>
      <c r="BI2242" s="1">
        <v>44354.671481481484</v>
      </c>
      <c r="BJ2242" t="s">
        <v>85</v>
      </c>
      <c r="BK2242" t="s">
        <v>86</v>
      </c>
      <c r="BL2242" t="s">
        <v>87</v>
      </c>
    </row>
    <row r="2243" spans="1:64" x14ac:dyDescent="0.3">
      <c r="A2243" t="str">
        <f>"201477B0000"</f>
        <v>201477B0000</v>
      </c>
      <c r="B2243" t="str">
        <f>"201477B00003"</f>
        <v>201477B00003</v>
      </c>
      <c r="C2243" t="str">
        <f t="shared" si="135"/>
        <v>20</v>
      </c>
      <c r="D2243" t="s">
        <v>81</v>
      </c>
      <c r="E2243" t="str">
        <f t="shared" si="140"/>
        <v>307</v>
      </c>
      <c r="F2243" t="s">
        <v>2415</v>
      </c>
      <c r="G2243" t="str">
        <f>"1477"</f>
        <v>1477</v>
      </c>
      <c r="H2243" t="str">
        <f>"0000"</f>
        <v>0000</v>
      </c>
      <c r="I2243" t="s">
        <v>83</v>
      </c>
      <c r="J2243">
        <v>0</v>
      </c>
      <c r="K2243">
        <v>1</v>
      </c>
      <c r="L2243">
        <v>3</v>
      </c>
      <c r="BA2243">
        <v>220</v>
      </c>
      <c r="BB2243">
        <v>44</v>
      </c>
      <c r="BC2243" t="s">
        <v>381</v>
      </c>
      <c r="BD2243">
        <v>0</v>
      </c>
      <c r="BF2243" t="s">
        <v>2426</v>
      </c>
      <c r="BG2243" s="1">
        <v>44354.169444444444</v>
      </c>
      <c r="BH2243" s="1">
        <v>44354.672025462962</v>
      </c>
      <c r="BI2243" s="1">
        <v>44354.672025462962</v>
      </c>
      <c r="BJ2243" t="s">
        <v>85</v>
      </c>
      <c r="BK2243" t="s">
        <v>86</v>
      </c>
      <c r="BL2243" t="s">
        <v>87</v>
      </c>
    </row>
    <row r="2244" spans="1:64" x14ac:dyDescent="0.3">
      <c r="A2244" t="str">
        <f>"201478B0000"</f>
        <v>201478B0000</v>
      </c>
      <c r="B2244" t="str">
        <f>"201478B00003"</f>
        <v>201478B00003</v>
      </c>
      <c r="C2244" t="str">
        <f t="shared" si="135"/>
        <v>20</v>
      </c>
      <c r="D2244" t="s">
        <v>81</v>
      </c>
      <c r="E2244" t="str">
        <f t="shared" si="140"/>
        <v>307</v>
      </c>
      <c r="F2244" t="s">
        <v>2415</v>
      </c>
      <c r="G2244" t="str">
        <f>"1478"</f>
        <v>1478</v>
      </c>
      <c r="H2244" t="str">
        <f>"0000"</f>
        <v>0000</v>
      </c>
      <c r="I2244" t="s">
        <v>83</v>
      </c>
      <c r="J2244">
        <v>0</v>
      </c>
      <c r="K2244">
        <v>1</v>
      </c>
      <c r="L2244">
        <v>3</v>
      </c>
      <c r="M2244">
        <v>150</v>
      </c>
      <c r="N2244">
        <v>436</v>
      </c>
      <c r="O2244">
        <v>111</v>
      </c>
      <c r="P2244">
        <v>436</v>
      </c>
      <c r="Q2244">
        <v>3</v>
      </c>
      <c r="R2244">
        <v>60</v>
      </c>
      <c r="S2244">
        <v>25</v>
      </c>
      <c r="T2244">
        <v>2</v>
      </c>
      <c r="U2244" t="s">
        <v>95</v>
      </c>
      <c r="V2244">
        <v>5</v>
      </c>
      <c r="W2244">
        <v>39</v>
      </c>
      <c r="X2244">
        <v>287</v>
      </c>
      <c r="Z2244">
        <v>11</v>
      </c>
      <c r="AF2244" t="s">
        <v>95</v>
      </c>
      <c r="AG2244" t="s">
        <v>95</v>
      </c>
      <c r="AH2244" t="s">
        <v>95</v>
      </c>
      <c r="AI2244" t="s">
        <v>95</v>
      </c>
      <c r="AU2244" t="s">
        <v>95</v>
      </c>
      <c r="AW2244" t="s">
        <v>95</v>
      </c>
      <c r="AX2244">
        <v>4</v>
      </c>
      <c r="AY2244">
        <v>436</v>
      </c>
      <c r="AZ2244">
        <v>436</v>
      </c>
      <c r="BA2244">
        <v>542</v>
      </c>
      <c r="BB2244">
        <v>44</v>
      </c>
      <c r="BC2244" t="s">
        <v>96</v>
      </c>
      <c r="BD2244">
        <v>1</v>
      </c>
      <c r="BF2244" t="s">
        <v>2427</v>
      </c>
      <c r="BG2244" s="1">
        <v>44354.206238425926</v>
      </c>
      <c r="BH2244" s="1">
        <v>44354.207546296297</v>
      </c>
      <c r="BI2244" s="1">
        <v>44354.20821759259</v>
      </c>
      <c r="BJ2244" t="s">
        <v>197</v>
      </c>
      <c r="BK2244" t="s">
        <v>198</v>
      </c>
      <c r="BL2244" t="s">
        <v>87</v>
      </c>
    </row>
    <row r="2245" spans="1:64" x14ac:dyDescent="0.3">
      <c r="A2245" t="str">
        <f>"201478C0100"</f>
        <v>201478C0100</v>
      </c>
      <c r="B2245" t="str">
        <f>"201478C01003"</f>
        <v>201478C01003</v>
      </c>
      <c r="C2245" t="str">
        <f t="shared" si="135"/>
        <v>20</v>
      </c>
      <c r="D2245" t="s">
        <v>81</v>
      </c>
      <c r="E2245" t="str">
        <f t="shared" si="140"/>
        <v>307</v>
      </c>
      <c r="F2245" t="s">
        <v>2415</v>
      </c>
      <c r="G2245" t="str">
        <f>"1478"</f>
        <v>1478</v>
      </c>
      <c r="H2245" t="str">
        <f>"0001"</f>
        <v>0001</v>
      </c>
      <c r="I2245" t="s">
        <v>89</v>
      </c>
      <c r="J2245">
        <v>0</v>
      </c>
      <c r="K2245">
        <v>1</v>
      </c>
      <c r="L2245">
        <v>3</v>
      </c>
      <c r="BA2245">
        <v>541</v>
      </c>
      <c r="BB2245">
        <v>44</v>
      </c>
      <c r="BC2245" t="s">
        <v>381</v>
      </c>
      <c r="BD2245">
        <v>0</v>
      </c>
      <c r="BF2245" t="s">
        <v>2428</v>
      </c>
      <c r="BG2245" s="1">
        <v>44354.170138888891</v>
      </c>
      <c r="BH2245" s="1">
        <v>44354.672175925924</v>
      </c>
      <c r="BI2245" s="1">
        <v>44354.672175925924</v>
      </c>
      <c r="BJ2245" t="s">
        <v>85</v>
      </c>
      <c r="BK2245" t="s">
        <v>86</v>
      </c>
      <c r="BL2245" t="s">
        <v>87</v>
      </c>
    </row>
    <row r="2246" spans="1:64" x14ac:dyDescent="0.3">
      <c r="A2246" t="str">
        <f>"201479B0000"</f>
        <v>201479B0000</v>
      </c>
      <c r="B2246" t="str">
        <f>"201479B00003"</f>
        <v>201479B00003</v>
      </c>
      <c r="C2246" t="str">
        <f t="shared" si="135"/>
        <v>20</v>
      </c>
      <c r="D2246" t="s">
        <v>81</v>
      </c>
      <c r="E2246" t="str">
        <f t="shared" si="140"/>
        <v>307</v>
      </c>
      <c r="F2246" t="s">
        <v>2415</v>
      </c>
      <c r="G2246" t="str">
        <f>"1479"</f>
        <v>1479</v>
      </c>
      <c r="H2246" t="str">
        <f>"0000"</f>
        <v>0000</v>
      </c>
      <c r="I2246" t="s">
        <v>83</v>
      </c>
      <c r="J2246">
        <v>0</v>
      </c>
      <c r="K2246">
        <v>1</v>
      </c>
      <c r="L2246">
        <v>3</v>
      </c>
      <c r="BA2246">
        <v>713</v>
      </c>
      <c r="BB2246">
        <v>44</v>
      </c>
      <c r="BC2246" t="s">
        <v>381</v>
      </c>
      <c r="BD2246">
        <v>0</v>
      </c>
      <c r="BF2246" t="s">
        <v>2429</v>
      </c>
      <c r="BG2246" s="1">
        <v>44354.170138888891</v>
      </c>
      <c r="BH2246" s="1">
        <v>44354.672581018516</v>
      </c>
      <c r="BI2246" s="1">
        <v>44354.672581018516</v>
      </c>
      <c r="BJ2246" t="s">
        <v>85</v>
      </c>
      <c r="BK2246" t="s">
        <v>86</v>
      </c>
      <c r="BL2246" t="s">
        <v>87</v>
      </c>
    </row>
    <row r="2247" spans="1:64" x14ac:dyDescent="0.3">
      <c r="A2247" t="str">
        <f>"201480B0000"</f>
        <v>201480B0000</v>
      </c>
      <c r="B2247" t="str">
        <f>"201480B00003"</f>
        <v>201480B00003</v>
      </c>
      <c r="C2247" t="str">
        <f t="shared" ref="C2247:C2310" si="141">"20"</f>
        <v>20</v>
      </c>
      <c r="D2247" t="s">
        <v>81</v>
      </c>
      <c r="E2247" t="str">
        <f t="shared" si="140"/>
        <v>307</v>
      </c>
      <c r="F2247" t="s">
        <v>2415</v>
      </c>
      <c r="G2247" t="str">
        <f>"1480"</f>
        <v>1480</v>
      </c>
      <c r="H2247" t="str">
        <f>"0000"</f>
        <v>0000</v>
      </c>
      <c r="I2247" t="s">
        <v>83</v>
      </c>
      <c r="J2247">
        <v>0</v>
      </c>
      <c r="K2247">
        <v>1</v>
      </c>
      <c r="L2247">
        <v>3</v>
      </c>
      <c r="BA2247">
        <v>658</v>
      </c>
      <c r="BB2247">
        <v>44</v>
      </c>
      <c r="BC2247" t="s">
        <v>381</v>
      </c>
      <c r="BD2247">
        <v>0</v>
      </c>
      <c r="BF2247" t="s">
        <v>2430</v>
      </c>
      <c r="BG2247" s="1">
        <v>44354.170138888891</v>
      </c>
      <c r="BH2247" s="1">
        <v>44354.672951388886</v>
      </c>
      <c r="BI2247" s="1">
        <v>44354.672951388886</v>
      </c>
      <c r="BJ2247" t="s">
        <v>85</v>
      </c>
      <c r="BK2247" t="s">
        <v>86</v>
      </c>
      <c r="BL2247" t="s">
        <v>87</v>
      </c>
    </row>
    <row r="2248" spans="1:64" x14ac:dyDescent="0.3">
      <c r="A2248" t="str">
        <f>"201481B0000"</f>
        <v>201481B0000</v>
      </c>
      <c r="B2248" t="str">
        <f>"201481B00003"</f>
        <v>201481B00003</v>
      </c>
      <c r="C2248" t="str">
        <f t="shared" si="141"/>
        <v>20</v>
      </c>
      <c r="D2248" t="s">
        <v>81</v>
      </c>
      <c r="E2248" t="str">
        <f t="shared" si="140"/>
        <v>307</v>
      </c>
      <c r="F2248" t="s">
        <v>2415</v>
      </c>
      <c r="G2248" t="str">
        <f>"1481"</f>
        <v>1481</v>
      </c>
      <c r="H2248" t="str">
        <f>"0000"</f>
        <v>0000</v>
      </c>
      <c r="I2248" t="s">
        <v>83</v>
      </c>
      <c r="J2248">
        <v>0</v>
      </c>
      <c r="K2248">
        <v>1</v>
      </c>
      <c r="L2248">
        <v>3</v>
      </c>
      <c r="M2248">
        <v>92</v>
      </c>
      <c r="N2248">
        <v>309</v>
      </c>
      <c r="O2248">
        <v>8</v>
      </c>
      <c r="P2248" t="s">
        <v>92</v>
      </c>
      <c r="Q2248">
        <v>1</v>
      </c>
      <c r="R2248">
        <v>41</v>
      </c>
      <c r="S2248">
        <v>2</v>
      </c>
      <c r="T2248">
        <v>1</v>
      </c>
      <c r="U2248">
        <v>2</v>
      </c>
      <c r="V2248">
        <v>8</v>
      </c>
      <c r="W2248">
        <v>58</v>
      </c>
      <c r="X2248">
        <v>185</v>
      </c>
      <c r="Z2248">
        <v>6</v>
      </c>
      <c r="AF2248">
        <v>2</v>
      </c>
      <c r="AG2248">
        <v>0</v>
      </c>
      <c r="AH2248">
        <v>0</v>
      </c>
      <c r="AI2248">
        <v>0</v>
      </c>
      <c r="AU2248">
        <v>0</v>
      </c>
      <c r="AW2248">
        <v>0</v>
      </c>
      <c r="AX2248">
        <v>3</v>
      </c>
      <c r="AY2248">
        <v>309</v>
      </c>
      <c r="AZ2248">
        <v>309</v>
      </c>
      <c r="BA2248">
        <v>357</v>
      </c>
      <c r="BB2248">
        <v>44</v>
      </c>
      <c r="BD2248">
        <v>1</v>
      </c>
      <c r="BF2248" t="s">
        <v>2431</v>
      </c>
      <c r="BG2248" s="1">
        <v>44353.924513888887</v>
      </c>
      <c r="BH2248" s="1">
        <v>44353.927800925929</v>
      </c>
      <c r="BI2248" s="1">
        <v>44353.929212962961</v>
      </c>
      <c r="BJ2248" t="s">
        <v>197</v>
      </c>
      <c r="BK2248" t="s">
        <v>198</v>
      </c>
      <c r="BL2248" t="s">
        <v>87</v>
      </c>
    </row>
    <row r="2249" spans="1:64" x14ac:dyDescent="0.3">
      <c r="A2249" t="str">
        <f>"201481E0100"</f>
        <v>201481E0100</v>
      </c>
      <c r="B2249" t="str">
        <f>"201481E01003"</f>
        <v>201481E01003</v>
      </c>
      <c r="C2249" t="str">
        <f t="shared" si="141"/>
        <v>20</v>
      </c>
      <c r="D2249" t="s">
        <v>81</v>
      </c>
      <c r="E2249" t="str">
        <f t="shared" si="140"/>
        <v>307</v>
      </c>
      <c r="F2249" t="s">
        <v>2415</v>
      </c>
      <c r="G2249" t="str">
        <f>"1481"</f>
        <v>1481</v>
      </c>
      <c r="H2249" t="str">
        <f>"0001"</f>
        <v>0001</v>
      </c>
      <c r="I2249" t="s">
        <v>122</v>
      </c>
      <c r="J2249">
        <v>0</v>
      </c>
      <c r="K2249">
        <v>1</v>
      </c>
      <c r="L2249">
        <v>3</v>
      </c>
      <c r="BA2249">
        <v>271</v>
      </c>
      <c r="BB2249">
        <v>44</v>
      </c>
      <c r="BC2249" t="s">
        <v>381</v>
      </c>
      <c r="BD2249">
        <v>0</v>
      </c>
      <c r="BF2249" t="s">
        <v>2432</v>
      </c>
      <c r="BG2249" s="1">
        <v>44354.170138888891</v>
      </c>
      <c r="BH2249" s="1">
        <v>44354.673113425924</v>
      </c>
      <c r="BI2249" s="1">
        <v>44354.673113425924</v>
      </c>
      <c r="BJ2249" t="s">
        <v>85</v>
      </c>
      <c r="BK2249" t="s">
        <v>86</v>
      </c>
      <c r="BL2249" t="s">
        <v>87</v>
      </c>
    </row>
    <row r="2250" spans="1:64" x14ac:dyDescent="0.3">
      <c r="A2250" t="str">
        <f>"201485B0000"</f>
        <v>201485B0000</v>
      </c>
      <c r="B2250" t="str">
        <f>"201485B00003"</f>
        <v>201485B00003</v>
      </c>
      <c r="C2250" t="str">
        <f t="shared" si="141"/>
        <v>20</v>
      </c>
      <c r="D2250" t="s">
        <v>81</v>
      </c>
      <c r="E2250" t="str">
        <f t="shared" ref="E2250:E2264" si="142">"310"</f>
        <v>310</v>
      </c>
      <c r="F2250" t="s">
        <v>2433</v>
      </c>
      <c r="G2250" t="str">
        <f>"1485"</f>
        <v>1485</v>
      </c>
      <c r="H2250" t="str">
        <f>"0000"</f>
        <v>0000</v>
      </c>
      <c r="I2250" t="s">
        <v>83</v>
      </c>
      <c r="J2250">
        <v>0</v>
      </c>
      <c r="K2250">
        <v>1</v>
      </c>
      <c r="L2250">
        <v>3</v>
      </c>
      <c r="BA2250">
        <v>612</v>
      </c>
      <c r="BB2250">
        <v>44</v>
      </c>
      <c r="BC2250" t="s">
        <v>381</v>
      </c>
      <c r="BD2250">
        <v>0</v>
      </c>
      <c r="BF2250" t="s">
        <v>2434</v>
      </c>
      <c r="BG2250" s="1">
        <v>44354.26666666667</v>
      </c>
      <c r="BH2250" s="1">
        <v>44354.272743055553</v>
      </c>
      <c r="BI2250" s="1">
        <v>44354.272743055553</v>
      </c>
      <c r="BJ2250" t="s">
        <v>85</v>
      </c>
      <c r="BK2250" t="s">
        <v>86</v>
      </c>
      <c r="BL2250" t="s">
        <v>87</v>
      </c>
    </row>
    <row r="2251" spans="1:64" x14ac:dyDescent="0.3">
      <c r="A2251" t="str">
        <f>"201485C0100"</f>
        <v>201485C0100</v>
      </c>
      <c r="B2251" t="str">
        <f>"201485C01003"</f>
        <v>201485C01003</v>
      </c>
      <c r="C2251" t="str">
        <f t="shared" si="141"/>
        <v>20</v>
      </c>
      <c r="D2251" t="s">
        <v>81</v>
      </c>
      <c r="E2251" t="str">
        <f t="shared" si="142"/>
        <v>310</v>
      </c>
      <c r="F2251" t="s">
        <v>2433</v>
      </c>
      <c r="G2251" t="str">
        <f>"1485"</f>
        <v>1485</v>
      </c>
      <c r="H2251" t="str">
        <f>"0001"</f>
        <v>0001</v>
      </c>
      <c r="I2251" t="s">
        <v>89</v>
      </c>
      <c r="J2251">
        <v>0</v>
      </c>
      <c r="K2251">
        <v>1</v>
      </c>
      <c r="L2251">
        <v>3</v>
      </c>
      <c r="M2251">
        <v>197</v>
      </c>
      <c r="N2251" t="s">
        <v>92</v>
      </c>
      <c r="O2251" t="s">
        <v>92</v>
      </c>
      <c r="P2251">
        <v>454</v>
      </c>
      <c r="Q2251">
        <v>1</v>
      </c>
      <c r="R2251">
        <v>65</v>
      </c>
      <c r="S2251">
        <v>93</v>
      </c>
      <c r="T2251">
        <v>3</v>
      </c>
      <c r="U2251">
        <v>1</v>
      </c>
      <c r="W2251">
        <v>3</v>
      </c>
      <c r="X2251">
        <v>124</v>
      </c>
      <c r="Y2251">
        <v>103</v>
      </c>
      <c r="Z2251">
        <v>1</v>
      </c>
      <c r="AA2251">
        <v>43</v>
      </c>
      <c r="AB2251">
        <v>12</v>
      </c>
      <c r="AO2251" t="s">
        <v>95</v>
      </c>
      <c r="AW2251" t="s">
        <v>95</v>
      </c>
      <c r="AX2251">
        <v>5</v>
      </c>
      <c r="AY2251">
        <v>454</v>
      </c>
      <c r="AZ2251">
        <v>454</v>
      </c>
      <c r="BA2251">
        <v>612</v>
      </c>
      <c r="BB2251">
        <v>44</v>
      </c>
      <c r="BC2251" t="s">
        <v>96</v>
      </c>
      <c r="BD2251">
        <v>1</v>
      </c>
      <c r="BF2251" t="s">
        <v>2435</v>
      </c>
      <c r="BG2251" s="1">
        <v>44353.970138888886</v>
      </c>
      <c r="BH2251" s="1">
        <v>44353.971828703703</v>
      </c>
      <c r="BI2251" s="1">
        <v>44353.972256944442</v>
      </c>
      <c r="BJ2251" t="s">
        <v>85</v>
      </c>
      <c r="BK2251" t="s">
        <v>86</v>
      </c>
      <c r="BL2251" t="s">
        <v>87</v>
      </c>
    </row>
    <row r="2252" spans="1:64" x14ac:dyDescent="0.3">
      <c r="A2252" t="str">
        <f>"201486B0000"</f>
        <v>201486B0000</v>
      </c>
      <c r="B2252" t="str">
        <f>"201486B00003"</f>
        <v>201486B00003</v>
      </c>
      <c r="C2252" t="str">
        <f t="shared" si="141"/>
        <v>20</v>
      </c>
      <c r="D2252" t="s">
        <v>81</v>
      </c>
      <c r="E2252" t="str">
        <f t="shared" si="142"/>
        <v>310</v>
      </c>
      <c r="F2252" t="s">
        <v>2433</v>
      </c>
      <c r="G2252" t="str">
        <f>"1486"</f>
        <v>1486</v>
      </c>
      <c r="H2252" t="str">
        <f>"0000"</f>
        <v>0000</v>
      </c>
      <c r="I2252" t="s">
        <v>83</v>
      </c>
      <c r="J2252">
        <v>0</v>
      </c>
      <c r="K2252">
        <v>1</v>
      </c>
      <c r="L2252">
        <v>3</v>
      </c>
      <c r="M2252">
        <v>193</v>
      </c>
      <c r="N2252">
        <v>449</v>
      </c>
      <c r="O2252">
        <v>4</v>
      </c>
      <c r="P2252">
        <v>476</v>
      </c>
      <c r="Q2252">
        <v>0</v>
      </c>
      <c r="R2252">
        <v>52</v>
      </c>
      <c r="S2252">
        <v>109</v>
      </c>
      <c r="T2252">
        <v>3</v>
      </c>
      <c r="U2252">
        <v>3</v>
      </c>
      <c r="W2252">
        <v>0</v>
      </c>
      <c r="X2252">
        <v>102</v>
      </c>
      <c r="Y2252">
        <v>122</v>
      </c>
      <c r="Z2252">
        <v>0</v>
      </c>
      <c r="AA2252">
        <v>34</v>
      </c>
      <c r="AB2252">
        <v>11</v>
      </c>
      <c r="AO2252">
        <v>0</v>
      </c>
      <c r="AW2252">
        <v>0</v>
      </c>
      <c r="AX2252">
        <v>10</v>
      </c>
      <c r="AY2252">
        <v>446</v>
      </c>
      <c r="AZ2252">
        <v>446</v>
      </c>
      <c r="BA2252">
        <v>594</v>
      </c>
      <c r="BB2252">
        <v>44</v>
      </c>
      <c r="BD2252">
        <v>1</v>
      </c>
      <c r="BF2252" t="s">
        <v>2436</v>
      </c>
      <c r="BG2252" s="1">
        <v>44353.950694444444</v>
      </c>
      <c r="BH2252" s="1">
        <v>44353.968460648146</v>
      </c>
      <c r="BI2252" s="1">
        <v>44353.969108796293</v>
      </c>
      <c r="BJ2252" t="s">
        <v>85</v>
      </c>
      <c r="BK2252" t="s">
        <v>86</v>
      </c>
      <c r="BL2252" t="s">
        <v>87</v>
      </c>
    </row>
    <row r="2253" spans="1:64" x14ac:dyDescent="0.3">
      <c r="A2253" t="str">
        <f>"201486C0100"</f>
        <v>201486C0100</v>
      </c>
      <c r="B2253" t="str">
        <f>"201486C01003"</f>
        <v>201486C01003</v>
      </c>
      <c r="C2253" t="str">
        <f t="shared" si="141"/>
        <v>20</v>
      </c>
      <c r="D2253" t="s">
        <v>81</v>
      </c>
      <c r="E2253" t="str">
        <f t="shared" si="142"/>
        <v>310</v>
      </c>
      <c r="F2253" t="s">
        <v>2433</v>
      </c>
      <c r="G2253" t="str">
        <f>"1486"</f>
        <v>1486</v>
      </c>
      <c r="H2253" t="str">
        <f>"0001"</f>
        <v>0001</v>
      </c>
      <c r="I2253" t="s">
        <v>89</v>
      </c>
      <c r="J2253">
        <v>0</v>
      </c>
      <c r="K2253">
        <v>1</v>
      </c>
      <c r="L2253">
        <v>3</v>
      </c>
      <c r="BA2253">
        <v>594</v>
      </c>
      <c r="BB2253">
        <v>44</v>
      </c>
      <c r="BC2253" t="s">
        <v>381</v>
      </c>
      <c r="BD2253">
        <v>0</v>
      </c>
      <c r="BF2253" t="s">
        <v>2437</v>
      </c>
      <c r="BG2253" s="1">
        <v>44354.267361111109</v>
      </c>
      <c r="BH2253" s="1">
        <v>44354.274699074071</v>
      </c>
      <c r="BI2253" s="1">
        <v>44354.274699074071</v>
      </c>
      <c r="BJ2253" t="s">
        <v>85</v>
      </c>
      <c r="BK2253" t="s">
        <v>86</v>
      </c>
      <c r="BL2253" t="s">
        <v>87</v>
      </c>
    </row>
    <row r="2254" spans="1:64" x14ac:dyDescent="0.3">
      <c r="A2254" t="str">
        <f>"201487B0000"</f>
        <v>201487B0000</v>
      </c>
      <c r="B2254" t="str">
        <f>"201487B00003"</f>
        <v>201487B00003</v>
      </c>
      <c r="C2254" t="str">
        <f t="shared" si="141"/>
        <v>20</v>
      </c>
      <c r="D2254" t="s">
        <v>81</v>
      </c>
      <c r="E2254" t="str">
        <f t="shared" si="142"/>
        <v>310</v>
      </c>
      <c r="F2254" t="s">
        <v>2433</v>
      </c>
      <c r="G2254" t="str">
        <f>"1487"</f>
        <v>1487</v>
      </c>
      <c r="H2254" t="str">
        <f>"0000"</f>
        <v>0000</v>
      </c>
      <c r="I2254" t="s">
        <v>83</v>
      </c>
      <c r="J2254">
        <v>0</v>
      </c>
      <c r="K2254">
        <v>1</v>
      </c>
      <c r="L2254">
        <v>3</v>
      </c>
      <c r="M2254">
        <v>177</v>
      </c>
      <c r="N2254">
        <v>407</v>
      </c>
      <c r="O2254">
        <v>5</v>
      </c>
      <c r="P2254">
        <v>407</v>
      </c>
      <c r="Q2254">
        <v>1</v>
      </c>
      <c r="R2254">
        <v>43</v>
      </c>
      <c r="S2254">
        <v>99</v>
      </c>
      <c r="T2254">
        <v>1</v>
      </c>
      <c r="U2254">
        <v>3</v>
      </c>
      <c r="W2254">
        <v>0</v>
      </c>
      <c r="X2254">
        <v>64</v>
      </c>
      <c r="Y2254">
        <v>101</v>
      </c>
      <c r="Z2254">
        <v>4</v>
      </c>
      <c r="AA2254">
        <v>75</v>
      </c>
      <c r="AB2254">
        <v>7</v>
      </c>
      <c r="AO2254">
        <v>44</v>
      </c>
      <c r="AW2254" t="s">
        <v>95</v>
      </c>
      <c r="AX2254">
        <v>9</v>
      </c>
      <c r="AY2254">
        <v>407</v>
      </c>
      <c r="AZ2254">
        <v>451</v>
      </c>
      <c r="BA2254">
        <v>540</v>
      </c>
      <c r="BB2254">
        <v>44</v>
      </c>
      <c r="BC2254" t="s">
        <v>96</v>
      </c>
      <c r="BD2254">
        <v>1</v>
      </c>
      <c r="BF2254" t="s">
        <v>2438</v>
      </c>
      <c r="BG2254" s="1">
        <v>44354.009722222225</v>
      </c>
      <c r="BH2254" s="1">
        <v>44354.038587962961</v>
      </c>
      <c r="BI2254" s="1">
        <v>44354.039270833331</v>
      </c>
      <c r="BJ2254" t="s">
        <v>85</v>
      </c>
      <c r="BK2254" t="s">
        <v>86</v>
      </c>
      <c r="BL2254" t="s">
        <v>87</v>
      </c>
    </row>
    <row r="2255" spans="1:64" x14ac:dyDescent="0.3">
      <c r="A2255" t="str">
        <f>"201487C0100"</f>
        <v>201487C0100</v>
      </c>
      <c r="B2255" t="str">
        <f>"201487C01003"</f>
        <v>201487C01003</v>
      </c>
      <c r="C2255" t="str">
        <f t="shared" si="141"/>
        <v>20</v>
      </c>
      <c r="D2255" t="s">
        <v>81</v>
      </c>
      <c r="E2255" t="str">
        <f t="shared" si="142"/>
        <v>310</v>
      </c>
      <c r="F2255" t="s">
        <v>2433</v>
      </c>
      <c r="G2255" t="str">
        <f>"1487"</f>
        <v>1487</v>
      </c>
      <c r="H2255" t="str">
        <f>"0001"</f>
        <v>0001</v>
      </c>
      <c r="I2255" t="s">
        <v>89</v>
      </c>
      <c r="J2255">
        <v>0</v>
      </c>
      <c r="K2255">
        <v>1</v>
      </c>
      <c r="L2255">
        <v>3</v>
      </c>
      <c r="BA2255">
        <v>539</v>
      </c>
      <c r="BB2255">
        <v>44</v>
      </c>
      <c r="BC2255" t="s">
        <v>381</v>
      </c>
      <c r="BD2255">
        <v>0</v>
      </c>
      <c r="BF2255" t="s">
        <v>2439</v>
      </c>
      <c r="BG2255" s="1">
        <v>44354.268750000003</v>
      </c>
      <c r="BH2255" s="1">
        <v>44354.275520833333</v>
      </c>
      <c r="BI2255" s="1">
        <v>44354.275520833333</v>
      </c>
      <c r="BJ2255" t="s">
        <v>85</v>
      </c>
      <c r="BK2255" t="s">
        <v>86</v>
      </c>
      <c r="BL2255" t="s">
        <v>87</v>
      </c>
    </row>
    <row r="2256" spans="1:64" x14ac:dyDescent="0.3">
      <c r="A2256" t="str">
        <f>"201488B0000"</f>
        <v>201488B0000</v>
      </c>
      <c r="B2256" t="str">
        <f>"201488B00003"</f>
        <v>201488B00003</v>
      </c>
      <c r="C2256" t="str">
        <f t="shared" si="141"/>
        <v>20</v>
      </c>
      <c r="D2256" t="s">
        <v>81</v>
      </c>
      <c r="E2256" t="str">
        <f t="shared" si="142"/>
        <v>310</v>
      </c>
      <c r="F2256" t="s">
        <v>2433</v>
      </c>
      <c r="G2256" t="str">
        <f>"1488"</f>
        <v>1488</v>
      </c>
      <c r="H2256" t="str">
        <f>"0000"</f>
        <v>0000</v>
      </c>
      <c r="I2256" t="s">
        <v>83</v>
      </c>
      <c r="J2256">
        <v>0</v>
      </c>
      <c r="K2256">
        <v>1</v>
      </c>
      <c r="L2256">
        <v>3</v>
      </c>
      <c r="M2256">
        <v>164</v>
      </c>
      <c r="N2256" t="s">
        <v>92</v>
      </c>
      <c r="O2256" t="s">
        <v>92</v>
      </c>
      <c r="P2256" t="s">
        <v>92</v>
      </c>
      <c r="Q2256">
        <v>1</v>
      </c>
      <c r="R2256">
        <v>85</v>
      </c>
      <c r="S2256">
        <v>91</v>
      </c>
      <c r="T2256">
        <v>3</v>
      </c>
      <c r="U2256">
        <v>3</v>
      </c>
      <c r="W2256">
        <v>2</v>
      </c>
      <c r="X2256">
        <v>65</v>
      </c>
      <c r="Y2256">
        <v>123</v>
      </c>
      <c r="Z2256">
        <v>1</v>
      </c>
      <c r="AA2256">
        <v>27</v>
      </c>
      <c r="AB2256">
        <v>9</v>
      </c>
      <c r="AO2256">
        <v>0</v>
      </c>
      <c r="AW2256" t="s">
        <v>95</v>
      </c>
      <c r="AX2256">
        <v>15</v>
      </c>
      <c r="AY2256" t="s">
        <v>95</v>
      </c>
      <c r="AZ2256">
        <v>425</v>
      </c>
      <c r="BA2256">
        <v>546</v>
      </c>
      <c r="BB2256">
        <v>44</v>
      </c>
      <c r="BC2256" t="s">
        <v>96</v>
      </c>
      <c r="BD2256">
        <v>1</v>
      </c>
      <c r="BF2256" t="s">
        <v>2440</v>
      </c>
      <c r="BG2256" s="1">
        <v>44354.118055555555</v>
      </c>
      <c r="BH2256" s="1">
        <v>44354.13386574074</v>
      </c>
      <c r="BI2256" s="1">
        <v>44354.13453703704</v>
      </c>
      <c r="BJ2256" t="s">
        <v>85</v>
      </c>
      <c r="BK2256" t="s">
        <v>86</v>
      </c>
      <c r="BL2256" t="s">
        <v>87</v>
      </c>
    </row>
    <row r="2257" spans="1:64" x14ac:dyDescent="0.3">
      <c r="A2257" t="str">
        <f>"201488E0100"</f>
        <v>201488E0100</v>
      </c>
      <c r="B2257" t="str">
        <f>"201488E01003"</f>
        <v>201488E01003</v>
      </c>
      <c r="C2257" t="str">
        <f t="shared" si="141"/>
        <v>20</v>
      </c>
      <c r="D2257" t="s">
        <v>81</v>
      </c>
      <c r="E2257" t="str">
        <f t="shared" si="142"/>
        <v>310</v>
      </c>
      <c r="F2257" t="s">
        <v>2433</v>
      </c>
      <c r="G2257" t="str">
        <f>"1488"</f>
        <v>1488</v>
      </c>
      <c r="H2257" t="str">
        <f>"0001"</f>
        <v>0001</v>
      </c>
      <c r="I2257" t="s">
        <v>122</v>
      </c>
      <c r="J2257">
        <v>0</v>
      </c>
      <c r="K2257">
        <v>1</v>
      </c>
      <c r="L2257">
        <v>3</v>
      </c>
      <c r="M2257">
        <v>181</v>
      </c>
      <c r="N2257">
        <v>329</v>
      </c>
      <c r="O2257">
        <v>1</v>
      </c>
      <c r="P2257">
        <v>329</v>
      </c>
      <c r="Q2257">
        <v>0</v>
      </c>
      <c r="R2257">
        <v>39</v>
      </c>
      <c r="S2257">
        <v>92</v>
      </c>
      <c r="T2257">
        <v>3</v>
      </c>
      <c r="U2257">
        <v>2</v>
      </c>
      <c r="W2257">
        <v>0</v>
      </c>
      <c r="X2257">
        <v>25</v>
      </c>
      <c r="Y2257">
        <v>131</v>
      </c>
      <c r="Z2257">
        <v>2</v>
      </c>
      <c r="AA2257">
        <v>23</v>
      </c>
      <c r="AB2257">
        <v>2</v>
      </c>
      <c r="AO2257">
        <v>1</v>
      </c>
      <c r="AW2257">
        <v>0</v>
      </c>
      <c r="AX2257">
        <v>9</v>
      </c>
      <c r="AY2257">
        <v>329</v>
      </c>
      <c r="AZ2257">
        <v>329</v>
      </c>
      <c r="BA2257">
        <v>466</v>
      </c>
      <c r="BB2257">
        <v>44</v>
      </c>
      <c r="BD2257">
        <v>1</v>
      </c>
      <c r="BF2257" t="s">
        <v>2441</v>
      </c>
      <c r="BG2257" s="1">
        <v>44353.903564814813</v>
      </c>
      <c r="BH2257" s="1">
        <v>44353.906319444446</v>
      </c>
      <c r="BI2257" s="1">
        <v>44353.907071759262</v>
      </c>
      <c r="BJ2257" t="s">
        <v>197</v>
      </c>
      <c r="BK2257" t="s">
        <v>198</v>
      </c>
      <c r="BL2257" t="s">
        <v>87</v>
      </c>
    </row>
    <row r="2258" spans="1:64" x14ac:dyDescent="0.3">
      <c r="A2258" t="str">
        <f>"201489B0000"</f>
        <v>201489B0000</v>
      </c>
      <c r="B2258" t="str">
        <f>"201489B00003"</f>
        <v>201489B00003</v>
      </c>
      <c r="C2258" t="str">
        <f t="shared" si="141"/>
        <v>20</v>
      </c>
      <c r="D2258" t="s">
        <v>81</v>
      </c>
      <c r="E2258" t="str">
        <f t="shared" si="142"/>
        <v>310</v>
      </c>
      <c r="F2258" t="s">
        <v>2433</v>
      </c>
      <c r="G2258" t="str">
        <f>"1489"</f>
        <v>1489</v>
      </c>
      <c r="H2258" t="str">
        <f>"0000"</f>
        <v>0000</v>
      </c>
      <c r="I2258" t="s">
        <v>83</v>
      </c>
      <c r="J2258">
        <v>0</v>
      </c>
      <c r="K2258">
        <v>1</v>
      </c>
      <c r="L2258">
        <v>3</v>
      </c>
      <c r="M2258">
        <v>203</v>
      </c>
      <c r="N2258">
        <v>364</v>
      </c>
      <c r="O2258">
        <v>0</v>
      </c>
      <c r="P2258">
        <v>364</v>
      </c>
      <c r="Q2258">
        <v>0</v>
      </c>
      <c r="R2258">
        <v>55</v>
      </c>
      <c r="S2258">
        <v>87</v>
      </c>
      <c r="T2258">
        <v>0</v>
      </c>
      <c r="U2258">
        <v>4</v>
      </c>
      <c r="W2258">
        <v>1</v>
      </c>
      <c r="X2258">
        <v>78</v>
      </c>
      <c r="Y2258">
        <v>22</v>
      </c>
      <c r="Z2258">
        <v>1</v>
      </c>
      <c r="AA2258">
        <v>108</v>
      </c>
      <c r="AB2258">
        <v>1</v>
      </c>
      <c r="AO2258">
        <v>0</v>
      </c>
      <c r="AW2258">
        <v>0</v>
      </c>
      <c r="AX2258">
        <v>7</v>
      </c>
      <c r="AY2258">
        <v>364</v>
      </c>
      <c r="AZ2258">
        <v>364</v>
      </c>
      <c r="BA2258">
        <v>523</v>
      </c>
      <c r="BB2258">
        <v>44</v>
      </c>
      <c r="BD2258">
        <v>1</v>
      </c>
      <c r="BF2258" t="s">
        <v>2442</v>
      </c>
      <c r="BG2258" s="1">
        <v>44353.984722222223</v>
      </c>
      <c r="BH2258" s="1">
        <v>44354.013923611114</v>
      </c>
      <c r="BI2258" s="1">
        <v>44354.014606481483</v>
      </c>
      <c r="BJ2258" t="s">
        <v>85</v>
      </c>
      <c r="BK2258" t="s">
        <v>86</v>
      </c>
      <c r="BL2258" t="s">
        <v>87</v>
      </c>
    </row>
    <row r="2259" spans="1:64" x14ac:dyDescent="0.3">
      <c r="A2259" t="str">
        <f>"201489C0100"</f>
        <v>201489C0100</v>
      </c>
      <c r="B2259" t="str">
        <f>"201489C01003"</f>
        <v>201489C01003</v>
      </c>
      <c r="C2259" t="str">
        <f t="shared" si="141"/>
        <v>20</v>
      </c>
      <c r="D2259" t="s">
        <v>81</v>
      </c>
      <c r="E2259" t="str">
        <f t="shared" si="142"/>
        <v>310</v>
      </c>
      <c r="F2259" t="s">
        <v>2433</v>
      </c>
      <c r="G2259" t="str">
        <f>"1489"</f>
        <v>1489</v>
      </c>
      <c r="H2259" t="str">
        <f>"0001"</f>
        <v>0001</v>
      </c>
      <c r="I2259" t="s">
        <v>89</v>
      </c>
      <c r="J2259">
        <v>0</v>
      </c>
      <c r="K2259">
        <v>1</v>
      </c>
      <c r="L2259">
        <v>3</v>
      </c>
      <c r="M2259">
        <v>206</v>
      </c>
      <c r="N2259">
        <v>360</v>
      </c>
      <c r="O2259">
        <v>0</v>
      </c>
      <c r="P2259">
        <v>360</v>
      </c>
      <c r="Q2259">
        <v>3</v>
      </c>
      <c r="R2259">
        <v>44</v>
      </c>
      <c r="S2259">
        <v>59</v>
      </c>
      <c r="T2259">
        <v>4</v>
      </c>
      <c r="U2259">
        <v>1</v>
      </c>
      <c r="W2259">
        <v>1</v>
      </c>
      <c r="X2259">
        <v>102</v>
      </c>
      <c r="Y2259">
        <v>40</v>
      </c>
      <c r="Z2259">
        <v>2</v>
      </c>
      <c r="AA2259">
        <v>90</v>
      </c>
      <c r="AB2259">
        <v>2</v>
      </c>
      <c r="AO2259">
        <v>0</v>
      </c>
      <c r="AW2259">
        <v>0</v>
      </c>
      <c r="AX2259">
        <v>12</v>
      </c>
      <c r="AY2259">
        <v>360</v>
      </c>
      <c r="AZ2259">
        <v>360</v>
      </c>
      <c r="BA2259">
        <v>522</v>
      </c>
      <c r="BB2259">
        <v>44</v>
      </c>
      <c r="BD2259">
        <v>1</v>
      </c>
      <c r="BF2259" t="s">
        <v>2443</v>
      </c>
      <c r="BG2259" s="1">
        <v>44353.984722222223</v>
      </c>
      <c r="BH2259" s="1">
        <v>44354.012152777781</v>
      </c>
      <c r="BI2259" s="1">
        <v>44354.013240740744</v>
      </c>
      <c r="BJ2259" t="s">
        <v>85</v>
      </c>
      <c r="BK2259" t="s">
        <v>86</v>
      </c>
      <c r="BL2259" t="s">
        <v>87</v>
      </c>
    </row>
    <row r="2260" spans="1:64" x14ac:dyDescent="0.3">
      <c r="A2260" t="str">
        <f>"201489C0200"</f>
        <v>201489C0200</v>
      </c>
      <c r="B2260" t="str">
        <f>"201489C02003"</f>
        <v>201489C02003</v>
      </c>
      <c r="C2260" t="str">
        <f t="shared" si="141"/>
        <v>20</v>
      </c>
      <c r="D2260" t="s">
        <v>81</v>
      </c>
      <c r="E2260" t="str">
        <f t="shared" si="142"/>
        <v>310</v>
      </c>
      <c r="F2260" t="s">
        <v>2433</v>
      </c>
      <c r="G2260" t="str">
        <f>"1489"</f>
        <v>1489</v>
      </c>
      <c r="H2260" t="str">
        <f>"0002"</f>
        <v>0002</v>
      </c>
      <c r="I2260" t="s">
        <v>89</v>
      </c>
      <c r="J2260">
        <v>0</v>
      </c>
      <c r="K2260">
        <v>1</v>
      </c>
      <c r="L2260">
        <v>3</v>
      </c>
      <c r="M2260">
        <v>210</v>
      </c>
      <c r="N2260">
        <v>356</v>
      </c>
      <c r="O2260">
        <v>0</v>
      </c>
      <c r="P2260" t="s">
        <v>92</v>
      </c>
      <c r="Q2260">
        <v>2</v>
      </c>
      <c r="R2260">
        <v>63</v>
      </c>
      <c r="S2260">
        <v>83</v>
      </c>
      <c r="T2260">
        <v>1</v>
      </c>
      <c r="U2260">
        <v>1</v>
      </c>
      <c r="W2260">
        <v>0</v>
      </c>
      <c r="X2260">
        <v>86</v>
      </c>
      <c r="Y2260">
        <v>35</v>
      </c>
      <c r="Z2260">
        <v>0</v>
      </c>
      <c r="AA2260">
        <v>67</v>
      </c>
      <c r="AB2260">
        <v>5</v>
      </c>
      <c r="AO2260">
        <v>0</v>
      </c>
      <c r="AW2260">
        <v>0</v>
      </c>
      <c r="AX2260">
        <v>12</v>
      </c>
      <c r="AY2260">
        <v>356</v>
      </c>
      <c r="AZ2260">
        <v>355</v>
      </c>
      <c r="BA2260">
        <v>522</v>
      </c>
      <c r="BB2260">
        <v>44</v>
      </c>
      <c r="BD2260">
        <v>1</v>
      </c>
      <c r="BF2260" t="s">
        <v>2444</v>
      </c>
      <c r="BG2260" s="1">
        <v>44353.984722222223</v>
      </c>
      <c r="BH2260" s="1">
        <v>44354.013460648152</v>
      </c>
      <c r="BI2260" s="1">
        <v>44354.014189814814</v>
      </c>
      <c r="BJ2260" t="s">
        <v>85</v>
      </c>
      <c r="BK2260" t="s">
        <v>86</v>
      </c>
      <c r="BL2260" t="s">
        <v>87</v>
      </c>
    </row>
    <row r="2261" spans="1:64" x14ac:dyDescent="0.3">
      <c r="A2261" t="str">
        <f>"201490B0000"</f>
        <v>201490B0000</v>
      </c>
      <c r="B2261" t="str">
        <f>"201490B00003"</f>
        <v>201490B00003</v>
      </c>
      <c r="C2261" t="str">
        <f t="shared" si="141"/>
        <v>20</v>
      </c>
      <c r="D2261" t="s">
        <v>81</v>
      </c>
      <c r="E2261" t="str">
        <f t="shared" si="142"/>
        <v>310</v>
      </c>
      <c r="F2261" t="s">
        <v>2433</v>
      </c>
      <c r="G2261" t="str">
        <f>"1490"</f>
        <v>1490</v>
      </c>
      <c r="H2261" t="str">
        <f>"0000"</f>
        <v>0000</v>
      </c>
      <c r="I2261" t="s">
        <v>83</v>
      </c>
      <c r="J2261">
        <v>0</v>
      </c>
      <c r="K2261">
        <v>1</v>
      </c>
      <c r="L2261">
        <v>3</v>
      </c>
      <c r="M2261">
        <v>161</v>
      </c>
      <c r="N2261">
        <v>285</v>
      </c>
      <c r="O2261">
        <v>0</v>
      </c>
      <c r="P2261">
        <v>285</v>
      </c>
      <c r="Q2261">
        <v>1</v>
      </c>
      <c r="R2261">
        <v>7</v>
      </c>
      <c r="S2261">
        <v>76</v>
      </c>
      <c r="T2261">
        <v>3</v>
      </c>
      <c r="U2261">
        <v>3</v>
      </c>
      <c r="W2261">
        <v>0</v>
      </c>
      <c r="X2261">
        <v>41</v>
      </c>
      <c r="Y2261">
        <v>75</v>
      </c>
      <c r="Z2261">
        <v>3</v>
      </c>
      <c r="AA2261">
        <v>68</v>
      </c>
      <c r="AB2261">
        <v>0</v>
      </c>
      <c r="AO2261">
        <v>0</v>
      </c>
      <c r="AW2261">
        <v>0</v>
      </c>
      <c r="AX2261">
        <v>8</v>
      </c>
      <c r="AY2261">
        <v>285</v>
      </c>
      <c r="AZ2261">
        <v>285</v>
      </c>
      <c r="BA2261">
        <v>402</v>
      </c>
      <c r="BB2261">
        <v>44</v>
      </c>
      <c r="BD2261">
        <v>1</v>
      </c>
      <c r="BF2261" t="s">
        <v>2445</v>
      </c>
      <c r="BG2261" s="1">
        <v>44353.984722222223</v>
      </c>
      <c r="BH2261" s="1">
        <v>44354.010787037034</v>
      </c>
      <c r="BI2261" s="1">
        <v>44354.011273148149</v>
      </c>
      <c r="BJ2261" t="s">
        <v>85</v>
      </c>
      <c r="BK2261" t="s">
        <v>86</v>
      </c>
      <c r="BL2261" t="s">
        <v>87</v>
      </c>
    </row>
    <row r="2262" spans="1:64" x14ac:dyDescent="0.3">
      <c r="A2262" t="str">
        <f>"201490C0100"</f>
        <v>201490C0100</v>
      </c>
      <c r="B2262" t="str">
        <f>"201490C01003"</f>
        <v>201490C01003</v>
      </c>
      <c r="C2262" t="str">
        <f t="shared" si="141"/>
        <v>20</v>
      </c>
      <c r="D2262" t="s">
        <v>81</v>
      </c>
      <c r="E2262" t="str">
        <f t="shared" si="142"/>
        <v>310</v>
      </c>
      <c r="F2262" t="s">
        <v>2433</v>
      </c>
      <c r="G2262" t="str">
        <f>"1490"</f>
        <v>1490</v>
      </c>
      <c r="H2262" t="str">
        <f>"0001"</f>
        <v>0001</v>
      </c>
      <c r="I2262" t="s">
        <v>89</v>
      </c>
      <c r="J2262">
        <v>0</v>
      </c>
      <c r="K2262">
        <v>1</v>
      </c>
      <c r="L2262">
        <v>3</v>
      </c>
      <c r="M2262">
        <v>155</v>
      </c>
      <c r="N2262">
        <v>290</v>
      </c>
      <c r="O2262">
        <v>0</v>
      </c>
      <c r="P2262">
        <v>290</v>
      </c>
      <c r="Q2262">
        <v>2</v>
      </c>
      <c r="R2262">
        <v>7</v>
      </c>
      <c r="S2262">
        <v>66</v>
      </c>
      <c r="T2262">
        <v>2</v>
      </c>
      <c r="U2262">
        <v>3</v>
      </c>
      <c r="W2262">
        <v>1</v>
      </c>
      <c r="X2262">
        <v>63</v>
      </c>
      <c r="Y2262">
        <v>66</v>
      </c>
      <c r="Z2262">
        <v>4</v>
      </c>
      <c r="AA2262">
        <v>64</v>
      </c>
      <c r="AB2262">
        <v>1</v>
      </c>
      <c r="AO2262">
        <v>0</v>
      </c>
      <c r="AW2262">
        <v>0</v>
      </c>
      <c r="AX2262">
        <v>11</v>
      </c>
      <c r="AY2262">
        <v>290</v>
      </c>
      <c r="AZ2262">
        <v>290</v>
      </c>
      <c r="BA2262">
        <v>401</v>
      </c>
      <c r="BB2262">
        <v>44</v>
      </c>
      <c r="BD2262">
        <v>1</v>
      </c>
      <c r="BF2262" t="s">
        <v>2446</v>
      </c>
      <c r="BG2262" s="1">
        <v>44353.984722222223</v>
      </c>
      <c r="BH2262" s="1">
        <v>44354.014756944445</v>
      </c>
      <c r="BI2262" s="1">
        <v>44354.015266203707</v>
      </c>
      <c r="BJ2262" t="s">
        <v>85</v>
      </c>
      <c r="BK2262" t="s">
        <v>86</v>
      </c>
      <c r="BL2262" t="s">
        <v>87</v>
      </c>
    </row>
    <row r="2263" spans="1:64" x14ac:dyDescent="0.3">
      <c r="A2263" t="str">
        <f>"201491B0000"</f>
        <v>201491B0000</v>
      </c>
      <c r="B2263" t="str">
        <f>"201491B00003"</f>
        <v>201491B00003</v>
      </c>
      <c r="C2263" t="str">
        <f t="shared" si="141"/>
        <v>20</v>
      </c>
      <c r="D2263" t="s">
        <v>81</v>
      </c>
      <c r="E2263" t="str">
        <f t="shared" si="142"/>
        <v>310</v>
      </c>
      <c r="F2263" t="s">
        <v>2433</v>
      </c>
      <c r="G2263" t="str">
        <f>"1491"</f>
        <v>1491</v>
      </c>
      <c r="H2263" t="str">
        <f>"0000"</f>
        <v>0000</v>
      </c>
      <c r="I2263" t="s">
        <v>83</v>
      </c>
      <c r="J2263">
        <v>0</v>
      </c>
      <c r="K2263">
        <v>1</v>
      </c>
      <c r="L2263">
        <v>3</v>
      </c>
      <c r="M2263">
        <v>148</v>
      </c>
      <c r="N2263">
        <v>383</v>
      </c>
      <c r="O2263">
        <v>11</v>
      </c>
      <c r="P2263">
        <v>382</v>
      </c>
      <c r="Q2263">
        <v>4</v>
      </c>
      <c r="R2263">
        <v>47</v>
      </c>
      <c r="S2263">
        <v>70</v>
      </c>
      <c r="T2263">
        <v>2</v>
      </c>
      <c r="U2263">
        <v>1</v>
      </c>
      <c r="W2263">
        <v>0</v>
      </c>
      <c r="X2263">
        <v>54</v>
      </c>
      <c r="Y2263">
        <v>127</v>
      </c>
      <c r="Z2263">
        <v>3</v>
      </c>
      <c r="AA2263">
        <v>57</v>
      </c>
      <c r="AB2263">
        <v>2</v>
      </c>
      <c r="AO2263">
        <v>0</v>
      </c>
      <c r="AW2263">
        <v>0</v>
      </c>
      <c r="AX2263">
        <v>0</v>
      </c>
      <c r="AY2263">
        <v>382</v>
      </c>
      <c r="AZ2263">
        <v>367</v>
      </c>
      <c r="BA2263">
        <v>487</v>
      </c>
      <c r="BB2263">
        <v>44</v>
      </c>
      <c r="BD2263">
        <v>1</v>
      </c>
      <c r="BF2263" t="s">
        <v>2447</v>
      </c>
      <c r="BG2263" s="1">
        <v>44354.118055555555</v>
      </c>
      <c r="BH2263" s="1">
        <v>44354.153032407405</v>
      </c>
      <c r="BI2263" s="1">
        <v>44354.153460648151</v>
      </c>
      <c r="BJ2263" t="s">
        <v>85</v>
      </c>
      <c r="BK2263" t="s">
        <v>86</v>
      </c>
      <c r="BL2263" t="s">
        <v>87</v>
      </c>
    </row>
    <row r="2264" spans="1:64" x14ac:dyDescent="0.3">
      <c r="A2264" t="str">
        <f>"201491E0100"</f>
        <v>201491E0100</v>
      </c>
      <c r="B2264" t="str">
        <f>"201491E01003"</f>
        <v>201491E01003</v>
      </c>
      <c r="C2264" t="str">
        <f t="shared" si="141"/>
        <v>20</v>
      </c>
      <c r="D2264" t="s">
        <v>81</v>
      </c>
      <c r="E2264" t="str">
        <f t="shared" si="142"/>
        <v>310</v>
      </c>
      <c r="F2264" t="s">
        <v>2433</v>
      </c>
      <c r="G2264" t="str">
        <f>"1491"</f>
        <v>1491</v>
      </c>
      <c r="H2264" t="str">
        <f>"0001"</f>
        <v>0001</v>
      </c>
      <c r="I2264" t="s">
        <v>122</v>
      </c>
      <c r="J2264">
        <v>0</v>
      </c>
      <c r="K2264">
        <v>1</v>
      </c>
      <c r="L2264">
        <v>3</v>
      </c>
      <c r="M2264">
        <v>183</v>
      </c>
      <c r="N2264">
        <v>390</v>
      </c>
      <c r="O2264">
        <v>0</v>
      </c>
      <c r="P2264">
        <v>390</v>
      </c>
      <c r="Q2264">
        <v>1</v>
      </c>
      <c r="R2264">
        <v>44</v>
      </c>
      <c r="S2264">
        <v>154</v>
      </c>
      <c r="T2264">
        <v>3</v>
      </c>
      <c r="U2264">
        <v>5</v>
      </c>
      <c r="W2264">
        <v>0</v>
      </c>
      <c r="X2264">
        <v>88</v>
      </c>
      <c r="Y2264">
        <v>46</v>
      </c>
      <c r="Z2264">
        <v>1</v>
      </c>
      <c r="AA2264">
        <v>33</v>
      </c>
      <c r="AB2264">
        <v>2</v>
      </c>
      <c r="AO2264" t="s">
        <v>95</v>
      </c>
      <c r="AW2264" t="s">
        <v>95</v>
      </c>
      <c r="AX2264">
        <v>11</v>
      </c>
      <c r="AY2264">
        <v>390</v>
      </c>
      <c r="AZ2264">
        <v>388</v>
      </c>
      <c r="BA2264">
        <v>529</v>
      </c>
      <c r="BB2264">
        <v>44</v>
      </c>
      <c r="BC2264" t="s">
        <v>96</v>
      </c>
      <c r="BD2264">
        <v>1</v>
      </c>
      <c r="BF2264" t="s">
        <v>2448</v>
      </c>
      <c r="BG2264" s="1">
        <v>44354.118055555555</v>
      </c>
      <c r="BH2264" s="1">
        <v>44354.132696759261</v>
      </c>
      <c r="BI2264" s="1">
        <v>44354.133055555554</v>
      </c>
      <c r="BJ2264" t="s">
        <v>85</v>
      </c>
      <c r="BK2264" t="s">
        <v>86</v>
      </c>
      <c r="BL2264" t="s">
        <v>87</v>
      </c>
    </row>
    <row r="2265" spans="1:64" x14ac:dyDescent="0.3">
      <c r="A2265" t="str">
        <f>"201498B0000"</f>
        <v>201498B0000</v>
      </c>
      <c r="B2265" t="str">
        <f>"201498B00003"</f>
        <v>201498B00003</v>
      </c>
      <c r="C2265" t="str">
        <f t="shared" si="141"/>
        <v>20</v>
      </c>
      <c r="D2265" t="s">
        <v>81</v>
      </c>
      <c r="E2265" t="str">
        <f t="shared" ref="E2265:E2296" si="143">"316"</f>
        <v>316</v>
      </c>
      <c r="F2265" t="s">
        <v>2449</v>
      </c>
      <c r="G2265" t="str">
        <f>"1498"</f>
        <v>1498</v>
      </c>
      <c r="H2265" t="str">
        <f>"0000"</f>
        <v>0000</v>
      </c>
      <c r="I2265" t="s">
        <v>83</v>
      </c>
      <c r="J2265">
        <v>0</v>
      </c>
      <c r="K2265">
        <v>1</v>
      </c>
      <c r="L2265">
        <v>3</v>
      </c>
      <c r="M2265">
        <v>249</v>
      </c>
      <c r="N2265">
        <v>529</v>
      </c>
      <c r="O2265">
        <v>0</v>
      </c>
      <c r="P2265">
        <v>529</v>
      </c>
      <c r="Q2265">
        <v>54</v>
      </c>
      <c r="R2265">
        <v>152</v>
      </c>
      <c r="S2265">
        <v>2</v>
      </c>
      <c r="T2265">
        <v>0</v>
      </c>
      <c r="U2265">
        <v>2</v>
      </c>
      <c r="V2265">
        <v>2</v>
      </c>
      <c r="W2265">
        <v>2</v>
      </c>
      <c r="X2265">
        <v>283</v>
      </c>
      <c r="Y2265">
        <v>1</v>
      </c>
      <c r="Z2265">
        <v>3</v>
      </c>
      <c r="AA2265">
        <v>17</v>
      </c>
      <c r="AB2265">
        <v>1</v>
      </c>
      <c r="AR2265">
        <v>1</v>
      </c>
      <c r="AW2265">
        <v>0</v>
      </c>
      <c r="AX2265">
        <v>9</v>
      </c>
      <c r="AY2265">
        <v>529</v>
      </c>
      <c r="AZ2265">
        <v>529</v>
      </c>
      <c r="BA2265">
        <v>734</v>
      </c>
      <c r="BB2265">
        <v>44</v>
      </c>
      <c r="BD2265">
        <v>1</v>
      </c>
      <c r="BF2265" t="s">
        <v>2450</v>
      </c>
      <c r="BG2265" s="1">
        <v>44354.009722222225</v>
      </c>
      <c r="BH2265" s="1">
        <v>44354.020277777781</v>
      </c>
      <c r="BI2265" s="1">
        <v>44354.02107638889</v>
      </c>
      <c r="BJ2265" t="s">
        <v>85</v>
      </c>
      <c r="BK2265" t="s">
        <v>86</v>
      </c>
      <c r="BL2265" t="s">
        <v>87</v>
      </c>
    </row>
    <row r="2266" spans="1:64" x14ac:dyDescent="0.3">
      <c r="A2266" t="str">
        <f>"201498C0100"</f>
        <v>201498C0100</v>
      </c>
      <c r="B2266" t="str">
        <f>"201498C01003"</f>
        <v>201498C01003</v>
      </c>
      <c r="C2266" t="str">
        <f t="shared" si="141"/>
        <v>20</v>
      </c>
      <c r="D2266" t="s">
        <v>81</v>
      </c>
      <c r="E2266" t="str">
        <f t="shared" si="143"/>
        <v>316</v>
      </c>
      <c r="F2266" t="s">
        <v>2449</v>
      </c>
      <c r="G2266" t="str">
        <f>"1498"</f>
        <v>1498</v>
      </c>
      <c r="H2266" t="str">
        <f>"0001"</f>
        <v>0001</v>
      </c>
      <c r="I2266" t="s">
        <v>89</v>
      </c>
      <c r="J2266">
        <v>0</v>
      </c>
      <c r="K2266">
        <v>1</v>
      </c>
      <c r="L2266">
        <v>3</v>
      </c>
      <c r="M2266">
        <v>248</v>
      </c>
      <c r="N2266">
        <v>530</v>
      </c>
      <c r="O2266">
        <v>2</v>
      </c>
      <c r="P2266">
        <v>530</v>
      </c>
      <c r="Q2266">
        <v>36</v>
      </c>
      <c r="R2266">
        <v>158</v>
      </c>
      <c r="S2266">
        <v>12</v>
      </c>
      <c r="T2266">
        <v>1</v>
      </c>
      <c r="U2266">
        <v>0</v>
      </c>
      <c r="V2266">
        <v>0</v>
      </c>
      <c r="W2266">
        <v>2</v>
      </c>
      <c r="X2266">
        <v>291</v>
      </c>
      <c r="Y2266">
        <v>0</v>
      </c>
      <c r="Z2266">
        <v>1</v>
      </c>
      <c r="AA2266">
        <v>15</v>
      </c>
      <c r="AB2266">
        <v>0</v>
      </c>
      <c r="AR2266">
        <v>4</v>
      </c>
      <c r="AW2266">
        <v>0</v>
      </c>
      <c r="AX2266">
        <v>10</v>
      </c>
      <c r="AY2266">
        <v>530</v>
      </c>
      <c r="AZ2266">
        <v>530</v>
      </c>
      <c r="BA2266">
        <v>734</v>
      </c>
      <c r="BB2266">
        <v>44</v>
      </c>
      <c r="BD2266">
        <v>1</v>
      </c>
      <c r="BF2266" t="s">
        <v>2451</v>
      </c>
      <c r="BG2266" s="1">
        <v>44354.009722222225</v>
      </c>
      <c r="BH2266" s="1">
        <v>44354.03429398148</v>
      </c>
      <c r="BI2266" s="1">
        <v>44354.04991898148</v>
      </c>
      <c r="BJ2266" t="s">
        <v>85</v>
      </c>
      <c r="BK2266" t="s">
        <v>86</v>
      </c>
      <c r="BL2266" t="s">
        <v>87</v>
      </c>
    </row>
    <row r="2267" spans="1:64" x14ac:dyDescent="0.3">
      <c r="A2267" t="str">
        <f>"201498C0200"</f>
        <v>201498C0200</v>
      </c>
      <c r="B2267" t="str">
        <f>"201498C02003"</f>
        <v>201498C02003</v>
      </c>
      <c r="C2267" t="str">
        <f t="shared" si="141"/>
        <v>20</v>
      </c>
      <c r="D2267" t="s">
        <v>81</v>
      </c>
      <c r="E2267" t="str">
        <f t="shared" si="143"/>
        <v>316</v>
      </c>
      <c r="F2267" t="s">
        <v>2449</v>
      </c>
      <c r="G2267" t="str">
        <f>"1498"</f>
        <v>1498</v>
      </c>
      <c r="H2267" t="str">
        <f>"0002"</f>
        <v>0002</v>
      </c>
      <c r="I2267" t="s">
        <v>89</v>
      </c>
      <c r="J2267">
        <v>0</v>
      </c>
      <c r="K2267">
        <v>1</v>
      </c>
      <c r="L2267">
        <v>3</v>
      </c>
      <c r="M2267">
        <v>277</v>
      </c>
      <c r="N2267">
        <v>500</v>
      </c>
      <c r="O2267">
        <v>9</v>
      </c>
      <c r="P2267" t="s">
        <v>92</v>
      </c>
      <c r="Q2267">
        <v>35</v>
      </c>
      <c r="R2267">
        <v>143</v>
      </c>
      <c r="S2267">
        <v>4</v>
      </c>
      <c r="T2267">
        <v>1</v>
      </c>
      <c r="U2267">
        <v>3</v>
      </c>
      <c r="V2267">
        <v>2</v>
      </c>
      <c r="W2267">
        <v>1</v>
      </c>
      <c r="X2267">
        <v>278</v>
      </c>
      <c r="Y2267">
        <v>0</v>
      </c>
      <c r="Z2267">
        <v>4</v>
      </c>
      <c r="AA2267">
        <v>15</v>
      </c>
      <c r="AB2267">
        <v>0</v>
      </c>
      <c r="AR2267">
        <v>3</v>
      </c>
      <c r="AW2267">
        <v>0</v>
      </c>
      <c r="AX2267">
        <v>10</v>
      </c>
      <c r="AY2267">
        <v>499</v>
      </c>
      <c r="AZ2267">
        <v>499</v>
      </c>
      <c r="BA2267">
        <v>733</v>
      </c>
      <c r="BB2267">
        <v>44</v>
      </c>
      <c r="BD2267">
        <v>1</v>
      </c>
      <c r="BF2267" t="s">
        <v>2452</v>
      </c>
      <c r="BG2267" s="1">
        <v>44354.010416666664</v>
      </c>
      <c r="BH2267" s="1">
        <v>44354.664826388886</v>
      </c>
      <c r="BI2267" s="1">
        <v>44354.665312500001</v>
      </c>
      <c r="BJ2267" t="s">
        <v>85</v>
      </c>
      <c r="BK2267" t="s">
        <v>86</v>
      </c>
      <c r="BL2267" t="s">
        <v>87</v>
      </c>
    </row>
    <row r="2268" spans="1:64" x14ac:dyDescent="0.3">
      <c r="A2268" t="str">
        <f>"201498C0300"</f>
        <v>201498C0300</v>
      </c>
      <c r="B2268" t="str">
        <f>"201498C03003"</f>
        <v>201498C03003</v>
      </c>
      <c r="C2268" t="str">
        <f t="shared" si="141"/>
        <v>20</v>
      </c>
      <c r="D2268" t="s">
        <v>81</v>
      </c>
      <c r="E2268" t="str">
        <f t="shared" si="143"/>
        <v>316</v>
      </c>
      <c r="F2268" t="s">
        <v>2449</v>
      </c>
      <c r="G2268" t="str">
        <f>"1498"</f>
        <v>1498</v>
      </c>
      <c r="H2268" t="str">
        <f>"0003"</f>
        <v>0003</v>
      </c>
      <c r="I2268" t="s">
        <v>89</v>
      </c>
      <c r="J2268">
        <v>0</v>
      </c>
      <c r="K2268">
        <v>1</v>
      </c>
      <c r="L2268">
        <v>3</v>
      </c>
      <c r="M2268">
        <v>238</v>
      </c>
      <c r="N2268">
        <v>539</v>
      </c>
      <c r="O2268">
        <v>6</v>
      </c>
      <c r="P2268">
        <v>539</v>
      </c>
      <c r="Q2268">
        <v>35</v>
      </c>
      <c r="R2268">
        <v>149</v>
      </c>
      <c r="S2268">
        <v>4</v>
      </c>
      <c r="T2268">
        <v>1</v>
      </c>
      <c r="U2268">
        <v>2</v>
      </c>
      <c r="V2268">
        <v>3</v>
      </c>
      <c r="W2268">
        <v>4</v>
      </c>
      <c r="X2268">
        <v>300</v>
      </c>
      <c r="Y2268">
        <v>1</v>
      </c>
      <c r="Z2268">
        <v>0</v>
      </c>
      <c r="AA2268">
        <v>23</v>
      </c>
      <c r="AB2268">
        <v>1</v>
      </c>
      <c r="AR2268">
        <v>0</v>
      </c>
      <c r="AW2268">
        <v>0</v>
      </c>
      <c r="AX2268">
        <v>16</v>
      </c>
      <c r="AY2268">
        <v>539</v>
      </c>
      <c r="AZ2268">
        <v>539</v>
      </c>
      <c r="BA2268">
        <v>733</v>
      </c>
      <c r="BB2268">
        <v>44</v>
      </c>
      <c r="BD2268">
        <v>1</v>
      </c>
      <c r="BF2268" t="s">
        <v>2453</v>
      </c>
      <c r="BG2268" s="1">
        <v>44354.009027777778</v>
      </c>
      <c r="BH2268" s="1">
        <v>44354.01934027778</v>
      </c>
      <c r="BI2268" s="1">
        <v>44354.019942129627</v>
      </c>
      <c r="BJ2268" t="s">
        <v>85</v>
      </c>
      <c r="BK2268" t="s">
        <v>86</v>
      </c>
      <c r="BL2268" t="s">
        <v>87</v>
      </c>
    </row>
    <row r="2269" spans="1:64" x14ac:dyDescent="0.3">
      <c r="A2269" t="str">
        <f>"201499B0000"</f>
        <v>201499B0000</v>
      </c>
      <c r="B2269" t="str">
        <f>"201499B00003"</f>
        <v>201499B00003</v>
      </c>
      <c r="C2269" t="str">
        <f t="shared" si="141"/>
        <v>20</v>
      </c>
      <c r="D2269" t="s">
        <v>81</v>
      </c>
      <c r="E2269" t="str">
        <f t="shared" si="143"/>
        <v>316</v>
      </c>
      <c r="F2269" t="s">
        <v>2449</v>
      </c>
      <c r="G2269" t="str">
        <f t="shared" ref="G2269:G2274" si="144">"1499"</f>
        <v>1499</v>
      </c>
      <c r="H2269" t="str">
        <f>"0000"</f>
        <v>0000</v>
      </c>
      <c r="I2269" t="s">
        <v>83</v>
      </c>
      <c r="J2269">
        <v>0</v>
      </c>
      <c r="K2269">
        <v>1</v>
      </c>
      <c r="L2269">
        <v>3</v>
      </c>
      <c r="M2269">
        <v>252</v>
      </c>
      <c r="N2269">
        <v>393</v>
      </c>
      <c r="O2269">
        <v>5</v>
      </c>
      <c r="P2269">
        <v>393</v>
      </c>
      <c r="Q2269">
        <v>10</v>
      </c>
      <c r="R2269">
        <v>152</v>
      </c>
      <c r="S2269">
        <v>4</v>
      </c>
      <c r="T2269">
        <v>1</v>
      </c>
      <c r="U2269">
        <v>0</v>
      </c>
      <c r="V2269">
        <v>5</v>
      </c>
      <c r="W2269">
        <v>3</v>
      </c>
      <c r="X2269">
        <v>193</v>
      </c>
      <c r="Y2269">
        <v>1</v>
      </c>
      <c r="Z2269">
        <v>5</v>
      </c>
      <c r="AA2269">
        <v>8</v>
      </c>
      <c r="AB2269">
        <v>1</v>
      </c>
      <c r="AR2269">
        <v>1</v>
      </c>
      <c r="AW2269">
        <v>0</v>
      </c>
      <c r="AX2269">
        <v>9</v>
      </c>
      <c r="AY2269">
        <v>393</v>
      </c>
      <c r="AZ2269">
        <v>393</v>
      </c>
      <c r="BA2269">
        <v>603</v>
      </c>
      <c r="BB2269">
        <v>44</v>
      </c>
      <c r="BD2269">
        <v>1</v>
      </c>
      <c r="BF2269" t="s">
        <v>2454</v>
      </c>
      <c r="BG2269" s="1">
        <v>44354.265277777777</v>
      </c>
      <c r="BH2269" s="1">
        <v>44354.268807870372</v>
      </c>
      <c r="BI2269" s="1">
        <v>44354.269212962965</v>
      </c>
      <c r="BJ2269" t="s">
        <v>85</v>
      </c>
      <c r="BK2269" t="s">
        <v>86</v>
      </c>
      <c r="BL2269" t="s">
        <v>87</v>
      </c>
    </row>
    <row r="2270" spans="1:64" x14ac:dyDescent="0.3">
      <c r="A2270" t="str">
        <f>"201499C0100"</f>
        <v>201499C0100</v>
      </c>
      <c r="B2270" t="str">
        <f>"201499C01003"</f>
        <v>201499C01003</v>
      </c>
      <c r="C2270" t="str">
        <f t="shared" si="141"/>
        <v>20</v>
      </c>
      <c r="D2270" t="s">
        <v>81</v>
      </c>
      <c r="E2270" t="str">
        <f t="shared" si="143"/>
        <v>316</v>
      </c>
      <c r="F2270" t="s">
        <v>2449</v>
      </c>
      <c r="G2270" t="str">
        <f t="shared" si="144"/>
        <v>1499</v>
      </c>
      <c r="H2270" t="str">
        <f>"0001"</f>
        <v>0001</v>
      </c>
      <c r="I2270" t="s">
        <v>89</v>
      </c>
      <c r="J2270">
        <v>0</v>
      </c>
      <c r="K2270">
        <v>1</v>
      </c>
      <c r="L2270">
        <v>3</v>
      </c>
      <c r="M2270">
        <v>252</v>
      </c>
      <c r="N2270">
        <v>394</v>
      </c>
      <c r="O2270">
        <v>7</v>
      </c>
      <c r="P2270">
        <v>394</v>
      </c>
      <c r="Q2270">
        <v>25</v>
      </c>
      <c r="R2270">
        <v>124</v>
      </c>
      <c r="S2270">
        <v>5</v>
      </c>
      <c r="T2270">
        <v>2</v>
      </c>
      <c r="U2270">
        <v>0</v>
      </c>
      <c r="V2270">
        <v>1</v>
      </c>
      <c r="W2270">
        <v>1</v>
      </c>
      <c r="X2270">
        <v>201</v>
      </c>
      <c r="Y2270">
        <v>2</v>
      </c>
      <c r="Z2270">
        <v>2</v>
      </c>
      <c r="AA2270">
        <v>14</v>
      </c>
      <c r="AB2270">
        <v>1</v>
      </c>
      <c r="AR2270">
        <v>3</v>
      </c>
      <c r="AW2270">
        <v>0</v>
      </c>
      <c r="AX2270">
        <v>13</v>
      </c>
      <c r="AY2270">
        <v>394</v>
      </c>
      <c r="AZ2270">
        <v>394</v>
      </c>
      <c r="BA2270">
        <v>602</v>
      </c>
      <c r="BB2270">
        <v>44</v>
      </c>
      <c r="BD2270">
        <v>1</v>
      </c>
      <c r="BF2270" t="s">
        <v>2455</v>
      </c>
      <c r="BG2270" s="1">
        <v>44354.26458333333</v>
      </c>
      <c r="BH2270" s="1">
        <v>44354.267511574071</v>
      </c>
      <c r="BI2270" s="1">
        <v>44354.267800925925</v>
      </c>
      <c r="BJ2270" t="s">
        <v>85</v>
      </c>
      <c r="BK2270" t="s">
        <v>86</v>
      </c>
      <c r="BL2270" t="s">
        <v>87</v>
      </c>
    </row>
    <row r="2271" spans="1:64" x14ac:dyDescent="0.3">
      <c r="A2271" t="str">
        <f>"201499C0200"</f>
        <v>201499C0200</v>
      </c>
      <c r="B2271" t="str">
        <f>"201499C02003"</f>
        <v>201499C02003</v>
      </c>
      <c r="C2271" t="str">
        <f t="shared" si="141"/>
        <v>20</v>
      </c>
      <c r="D2271" t="s">
        <v>81</v>
      </c>
      <c r="E2271" t="str">
        <f t="shared" si="143"/>
        <v>316</v>
      </c>
      <c r="F2271" t="s">
        <v>2449</v>
      </c>
      <c r="G2271" t="str">
        <f t="shared" si="144"/>
        <v>1499</v>
      </c>
      <c r="H2271" t="str">
        <f>"0002"</f>
        <v>0002</v>
      </c>
      <c r="I2271" t="s">
        <v>89</v>
      </c>
      <c r="J2271">
        <v>0</v>
      </c>
      <c r="K2271">
        <v>1</v>
      </c>
      <c r="L2271">
        <v>3</v>
      </c>
      <c r="M2271">
        <v>253</v>
      </c>
      <c r="N2271">
        <v>393</v>
      </c>
      <c r="O2271">
        <v>11</v>
      </c>
      <c r="P2271">
        <v>392</v>
      </c>
      <c r="Q2271">
        <v>16</v>
      </c>
      <c r="R2271">
        <v>131</v>
      </c>
      <c r="S2271">
        <v>1</v>
      </c>
      <c r="T2271">
        <v>0</v>
      </c>
      <c r="U2271">
        <v>0</v>
      </c>
      <c r="V2271">
        <v>4</v>
      </c>
      <c r="W2271">
        <v>0</v>
      </c>
      <c r="X2271">
        <v>212</v>
      </c>
      <c r="Y2271">
        <v>0</v>
      </c>
      <c r="Z2271">
        <v>2</v>
      </c>
      <c r="AA2271">
        <v>12</v>
      </c>
      <c r="AB2271">
        <v>1</v>
      </c>
      <c r="AR2271">
        <v>1</v>
      </c>
      <c r="AW2271">
        <v>0</v>
      </c>
      <c r="AX2271">
        <v>12</v>
      </c>
      <c r="AY2271">
        <v>392</v>
      </c>
      <c r="AZ2271">
        <v>392</v>
      </c>
      <c r="BA2271">
        <v>602</v>
      </c>
      <c r="BB2271">
        <v>44</v>
      </c>
      <c r="BD2271">
        <v>1</v>
      </c>
      <c r="BF2271" t="s">
        <v>2456</v>
      </c>
      <c r="BG2271" s="1">
        <v>44354.263888888891</v>
      </c>
      <c r="BH2271" s="1">
        <v>44354.266643518517</v>
      </c>
      <c r="BI2271" s="1">
        <v>44354.267129629632</v>
      </c>
      <c r="BJ2271" t="s">
        <v>85</v>
      </c>
      <c r="BK2271" t="s">
        <v>86</v>
      </c>
      <c r="BL2271" t="s">
        <v>87</v>
      </c>
    </row>
    <row r="2272" spans="1:64" x14ac:dyDescent="0.3">
      <c r="A2272" t="str">
        <f>"201499E0100"</f>
        <v>201499E0100</v>
      </c>
      <c r="B2272" t="str">
        <f>"201499E01003"</f>
        <v>201499E01003</v>
      </c>
      <c r="C2272" t="str">
        <f t="shared" si="141"/>
        <v>20</v>
      </c>
      <c r="D2272" t="s">
        <v>81</v>
      </c>
      <c r="E2272" t="str">
        <f t="shared" si="143"/>
        <v>316</v>
      </c>
      <c r="F2272" t="s">
        <v>2449</v>
      </c>
      <c r="G2272" t="str">
        <f t="shared" si="144"/>
        <v>1499</v>
      </c>
      <c r="H2272" t="str">
        <f>"0001"</f>
        <v>0001</v>
      </c>
      <c r="I2272" t="s">
        <v>122</v>
      </c>
      <c r="J2272">
        <v>0</v>
      </c>
      <c r="K2272">
        <v>1</v>
      </c>
      <c r="L2272">
        <v>3</v>
      </c>
      <c r="M2272">
        <v>182</v>
      </c>
      <c r="N2272">
        <v>439</v>
      </c>
      <c r="O2272">
        <v>4</v>
      </c>
      <c r="P2272" t="s">
        <v>92</v>
      </c>
      <c r="Q2272">
        <v>2</v>
      </c>
      <c r="R2272">
        <v>188</v>
      </c>
      <c r="S2272">
        <v>1</v>
      </c>
      <c r="T2272">
        <v>1</v>
      </c>
      <c r="U2272">
        <v>1</v>
      </c>
      <c r="V2272">
        <v>19</v>
      </c>
      <c r="W2272">
        <v>2</v>
      </c>
      <c r="X2272">
        <v>194</v>
      </c>
      <c r="Y2272">
        <v>1</v>
      </c>
      <c r="Z2272">
        <v>8</v>
      </c>
      <c r="AA2272">
        <v>7</v>
      </c>
      <c r="AB2272">
        <v>0</v>
      </c>
      <c r="AR2272">
        <v>4</v>
      </c>
      <c r="AW2272">
        <v>0</v>
      </c>
      <c r="AX2272">
        <v>11</v>
      </c>
      <c r="AY2272">
        <v>439</v>
      </c>
      <c r="AZ2272">
        <v>439</v>
      </c>
      <c r="BA2272">
        <v>577</v>
      </c>
      <c r="BB2272">
        <v>44</v>
      </c>
      <c r="BD2272">
        <v>1</v>
      </c>
      <c r="BF2272" t="s">
        <v>2457</v>
      </c>
      <c r="BG2272" s="1">
        <v>44354.010416666664</v>
      </c>
      <c r="BH2272" s="1">
        <v>44354.021643518521</v>
      </c>
      <c r="BI2272" s="1">
        <v>44354.022268518522</v>
      </c>
      <c r="BJ2272" t="s">
        <v>85</v>
      </c>
      <c r="BK2272" t="s">
        <v>86</v>
      </c>
      <c r="BL2272" t="s">
        <v>87</v>
      </c>
    </row>
    <row r="2273" spans="1:64" x14ac:dyDescent="0.3">
      <c r="A2273" t="str">
        <f>"201499E0200"</f>
        <v>201499E0200</v>
      </c>
      <c r="B2273" t="str">
        <f>"201499E02003"</f>
        <v>201499E02003</v>
      </c>
      <c r="C2273" t="str">
        <f t="shared" si="141"/>
        <v>20</v>
      </c>
      <c r="D2273" t="s">
        <v>81</v>
      </c>
      <c r="E2273" t="str">
        <f t="shared" si="143"/>
        <v>316</v>
      </c>
      <c r="F2273" t="s">
        <v>2449</v>
      </c>
      <c r="G2273" t="str">
        <f t="shared" si="144"/>
        <v>1499</v>
      </c>
      <c r="H2273" t="str">
        <f>"0002"</f>
        <v>0002</v>
      </c>
      <c r="I2273" t="s">
        <v>122</v>
      </c>
      <c r="J2273">
        <v>0</v>
      </c>
      <c r="K2273">
        <v>1</v>
      </c>
      <c r="L2273">
        <v>3</v>
      </c>
      <c r="M2273">
        <v>140</v>
      </c>
      <c r="N2273">
        <v>236</v>
      </c>
      <c r="O2273">
        <v>5</v>
      </c>
      <c r="P2273">
        <v>236</v>
      </c>
      <c r="Q2273">
        <v>4</v>
      </c>
      <c r="R2273">
        <v>108</v>
      </c>
      <c r="S2273">
        <v>0</v>
      </c>
      <c r="T2273">
        <v>2</v>
      </c>
      <c r="U2273">
        <v>1</v>
      </c>
      <c r="V2273">
        <v>13</v>
      </c>
      <c r="W2273">
        <v>2</v>
      </c>
      <c r="X2273">
        <v>98</v>
      </c>
      <c r="Y2273">
        <v>1</v>
      </c>
      <c r="Z2273">
        <v>0</v>
      </c>
      <c r="AA2273">
        <v>5</v>
      </c>
      <c r="AB2273">
        <v>0</v>
      </c>
      <c r="AR2273">
        <v>0</v>
      </c>
      <c r="AW2273">
        <v>0</v>
      </c>
      <c r="AX2273">
        <v>2</v>
      </c>
      <c r="AY2273">
        <v>236</v>
      </c>
      <c r="AZ2273">
        <v>236</v>
      </c>
      <c r="BA2273">
        <v>332</v>
      </c>
      <c r="BB2273">
        <v>44</v>
      </c>
      <c r="BD2273">
        <v>1</v>
      </c>
      <c r="BF2273" t="s">
        <v>2458</v>
      </c>
      <c r="BG2273" s="1">
        <v>44354.005555555559</v>
      </c>
      <c r="BH2273" s="1">
        <v>44354.012094907404</v>
      </c>
      <c r="BI2273" s="1">
        <v>44354.012731481482</v>
      </c>
      <c r="BJ2273" t="s">
        <v>85</v>
      </c>
      <c r="BK2273" t="s">
        <v>86</v>
      </c>
      <c r="BL2273" t="s">
        <v>87</v>
      </c>
    </row>
    <row r="2274" spans="1:64" x14ac:dyDescent="0.3">
      <c r="A2274" t="str">
        <f>"201499E0300"</f>
        <v>201499E0300</v>
      </c>
      <c r="B2274" t="str">
        <f>"201499E03003"</f>
        <v>201499E03003</v>
      </c>
      <c r="C2274" t="str">
        <f t="shared" si="141"/>
        <v>20</v>
      </c>
      <c r="D2274" t="s">
        <v>81</v>
      </c>
      <c r="E2274" t="str">
        <f t="shared" si="143"/>
        <v>316</v>
      </c>
      <c r="F2274" t="s">
        <v>2449</v>
      </c>
      <c r="G2274" t="str">
        <f t="shared" si="144"/>
        <v>1499</v>
      </c>
      <c r="H2274" t="str">
        <f>"0003"</f>
        <v>0003</v>
      </c>
      <c r="I2274" t="s">
        <v>122</v>
      </c>
      <c r="J2274">
        <v>0</v>
      </c>
      <c r="K2274">
        <v>1</v>
      </c>
      <c r="L2274">
        <v>3</v>
      </c>
      <c r="M2274">
        <v>146</v>
      </c>
      <c r="N2274">
        <v>192</v>
      </c>
      <c r="O2274">
        <v>4</v>
      </c>
      <c r="P2274">
        <v>192</v>
      </c>
      <c r="Q2274">
        <v>18</v>
      </c>
      <c r="R2274">
        <v>67</v>
      </c>
      <c r="S2274">
        <v>0</v>
      </c>
      <c r="T2274">
        <v>2</v>
      </c>
      <c r="U2274">
        <v>3</v>
      </c>
      <c r="V2274">
        <v>4</v>
      </c>
      <c r="W2274">
        <v>0</v>
      </c>
      <c r="X2274">
        <v>85</v>
      </c>
      <c r="Y2274">
        <v>0</v>
      </c>
      <c r="Z2274">
        <v>0</v>
      </c>
      <c r="AA2274">
        <v>5</v>
      </c>
      <c r="AB2274">
        <v>0</v>
      </c>
      <c r="AR2274">
        <v>1</v>
      </c>
      <c r="AW2274">
        <v>0</v>
      </c>
      <c r="AX2274">
        <v>7</v>
      </c>
      <c r="AY2274">
        <v>192</v>
      </c>
      <c r="AZ2274">
        <v>192</v>
      </c>
      <c r="BA2274">
        <v>294</v>
      </c>
      <c r="BB2274">
        <v>44</v>
      </c>
      <c r="BD2274">
        <v>1</v>
      </c>
      <c r="BF2274" t="s">
        <v>2459</v>
      </c>
      <c r="BG2274" s="1">
        <v>44354.385416666664</v>
      </c>
      <c r="BH2274" s="1">
        <v>44354.389837962961</v>
      </c>
      <c r="BI2274" s="1">
        <v>44354.390405092592</v>
      </c>
      <c r="BJ2274" t="s">
        <v>85</v>
      </c>
      <c r="BK2274" t="s">
        <v>86</v>
      </c>
      <c r="BL2274" t="s">
        <v>87</v>
      </c>
    </row>
    <row r="2275" spans="1:64" x14ac:dyDescent="0.3">
      <c r="A2275" t="str">
        <f>"201500B0000"</f>
        <v>201500B0000</v>
      </c>
      <c r="B2275" t="str">
        <f>"201500B00003"</f>
        <v>201500B00003</v>
      </c>
      <c r="C2275" t="str">
        <f t="shared" si="141"/>
        <v>20</v>
      </c>
      <c r="D2275" t="s">
        <v>81</v>
      </c>
      <c r="E2275" t="str">
        <f t="shared" si="143"/>
        <v>316</v>
      </c>
      <c r="F2275" t="s">
        <v>2449</v>
      </c>
      <c r="G2275" t="str">
        <f>"1500"</f>
        <v>1500</v>
      </c>
      <c r="H2275" t="str">
        <f>"0000"</f>
        <v>0000</v>
      </c>
      <c r="I2275" t="s">
        <v>83</v>
      </c>
      <c r="J2275">
        <v>0</v>
      </c>
      <c r="K2275">
        <v>1</v>
      </c>
      <c r="L2275">
        <v>3</v>
      </c>
      <c r="M2275">
        <v>348</v>
      </c>
      <c r="N2275">
        <v>445</v>
      </c>
      <c r="O2275">
        <v>3</v>
      </c>
      <c r="P2275">
        <v>145</v>
      </c>
      <c r="Q2275">
        <v>9</v>
      </c>
      <c r="R2275">
        <v>163</v>
      </c>
      <c r="S2275">
        <v>2</v>
      </c>
      <c r="T2275">
        <v>8</v>
      </c>
      <c r="U2275">
        <v>2</v>
      </c>
      <c r="V2275">
        <v>7</v>
      </c>
      <c r="W2275">
        <v>1</v>
      </c>
      <c r="X2275">
        <v>205</v>
      </c>
      <c r="Y2275">
        <v>1</v>
      </c>
      <c r="Z2275">
        <v>4</v>
      </c>
      <c r="AA2275">
        <v>25</v>
      </c>
      <c r="AB2275">
        <v>0</v>
      </c>
      <c r="AR2275" t="s">
        <v>95</v>
      </c>
      <c r="AW2275" t="s">
        <v>95</v>
      </c>
      <c r="AX2275">
        <v>18</v>
      </c>
      <c r="AY2275">
        <v>145</v>
      </c>
      <c r="AZ2275">
        <v>445</v>
      </c>
      <c r="BA2275">
        <v>749</v>
      </c>
      <c r="BB2275">
        <v>44</v>
      </c>
      <c r="BC2275" t="s">
        <v>96</v>
      </c>
      <c r="BD2275">
        <v>1</v>
      </c>
      <c r="BF2275" t="s">
        <v>2460</v>
      </c>
      <c r="BG2275" s="1">
        <v>44354.364583333336</v>
      </c>
      <c r="BH2275" s="1">
        <v>44354.367754629631</v>
      </c>
      <c r="BI2275" s="1">
        <v>44354.368483796294</v>
      </c>
      <c r="BJ2275" t="s">
        <v>85</v>
      </c>
      <c r="BK2275" t="s">
        <v>86</v>
      </c>
      <c r="BL2275" t="s">
        <v>87</v>
      </c>
    </row>
    <row r="2276" spans="1:64" x14ac:dyDescent="0.3">
      <c r="A2276" t="str">
        <f>"201500C0100"</f>
        <v>201500C0100</v>
      </c>
      <c r="B2276" t="str">
        <f>"201500C01003"</f>
        <v>201500C01003</v>
      </c>
      <c r="C2276" t="str">
        <f t="shared" si="141"/>
        <v>20</v>
      </c>
      <c r="D2276" t="s">
        <v>81</v>
      </c>
      <c r="E2276" t="str">
        <f t="shared" si="143"/>
        <v>316</v>
      </c>
      <c r="F2276" t="s">
        <v>2449</v>
      </c>
      <c r="G2276" t="str">
        <f>"1500"</f>
        <v>1500</v>
      </c>
      <c r="H2276" t="str">
        <f>"0001"</f>
        <v>0001</v>
      </c>
      <c r="I2276" t="s">
        <v>89</v>
      </c>
      <c r="J2276">
        <v>0</v>
      </c>
      <c r="K2276">
        <v>1</v>
      </c>
      <c r="L2276">
        <v>3</v>
      </c>
      <c r="M2276">
        <v>339</v>
      </c>
      <c r="N2276">
        <v>454</v>
      </c>
      <c r="O2276">
        <v>5</v>
      </c>
      <c r="P2276">
        <v>454</v>
      </c>
      <c r="Q2276">
        <v>17</v>
      </c>
      <c r="R2276">
        <v>156</v>
      </c>
      <c r="S2276">
        <v>5</v>
      </c>
      <c r="T2276">
        <v>4</v>
      </c>
      <c r="U2276">
        <v>2</v>
      </c>
      <c r="V2276">
        <v>6</v>
      </c>
      <c r="W2276">
        <v>2</v>
      </c>
      <c r="X2276">
        <v>213</v>
      </c>
      <c r="Y2276">
        <v>0</v>
      </c>
      <c r="Z2276">
        <v>7</v>
      </c>
      <c r="AA2276">
        <v>28</v>
      </c>
      <c r="AB2276">
        <v>2</v>
      </c>
      <c r="AR2276">
        <v>0</v>
      </c>
      <c r="AW2276">
        <v>0</v>
      </c>
      <c r="AX2276">
        <v>12</v>
      </c>
      <c r="AY2276">
        <v>454</v>
      </c>
      <c r="AZ2276">
        <v>454</v>
      </c>
      <c r="BA2276">
        <v>749</v>
      </c>
      <c r="BB2276">
        <v>44</v>
      </c>
      <c r="BD2276">
        <v>1</v>
      </c>
      <c r="BF2276" t="s">
        <v>2461</v>
      </c>
      <c r="BG2276" s="1">
        <v>44354.020833333336</v>
      </c>
      <c r="BH2276" s="1">
        <v>44354.666562500002</v>
      </c>
      <c r="BI2276" s="1">
        <v>44354.66747685185</v>
      </c>
      <c r="BJ2276" t="s">
        <v>85</v>
      </c>
      <c r="BK2276" t="s">
        <v>86</v>
      </c>
      <c r="BL2276" t="s">
        <v>87</v>
      </c>
    </row>
    <row r="2277" spans="1:64" x14ac:dyDescent="0.3">
      <c r="A2277" t="str">
        <f>"201500C0200"</f>
        <v>201500C0200</v>
      </c>
      <c r="B2277" t="str">
        <f>"201500C02003"</f>
        <v>201500C02003</v>
      </c>
      <c r="C2277" t="str">
        <f t="shared" si="141"/>
        <v>20</v>
      </c>
      <c r="D2277" t="s">
        <v>81</v>
      </c>
      <c r="E2277" t="str">
        <f t="shared" si="143"/>
        <v>316</v>
      </c>
      <c r="F2277" t="s">
        <v>2449</v>
      </c>
      <c r="G2277" t="str">
        <f>"1500"</f>
        <v>1500</v>
      </c>
      <c r="H2277" t="str">
        <f>"0002"</f>
        <v>0002</v>
      </c>
      <c r="I2277" t="s">
        <v>89</v>
      </c>
      <c r="J2277">
        <v>0</v>
      </c>
      <c r="K2277">
        <v>1</v>
      </c>
      <c r="L2277">
        <v>3</v>
      </c>
      <c r="M2277">
        <v>340</v>
      </c>
      <c r="N2277">
        <v>452</v>
      </c>
      <c r="O2277">
        <v>2</v>
      </c>
      <c r="P2277">
        <v>452</v>
      </c>
      <c r="Q2277">
        <v>13</v>
      </c>
      <c r="R2277">
        <v>142</v>
      </c>
      <c r="S2277">
        <v>4</v>
      </c>
      <c r="T2277">
        <v>7</v>
      </c>
      <c r="U2277">
        <v>2</v>
      </c>
      <c r="V2277">
        <v>6</v>
      </c>
      <c r="W2277">
        <v>0</v>
      </c>
      <c r="X2277">
        <v>219</v>
      </c>
      <c r="Y2277">
        <v>2</v>
      </c>
      <c r="Z2277">
        <v>9</v>
      </c>
      <c r="AA2277">
        <v>28</v>
      </c>
      <c r="AB2277">
        <v>4</v>
      </c>
      <c r="AR2277">
        <v>5</v>
      </c>
      <c r="AW2277">
        <v>0</v>
      </c>
      <c r="AX2277">
        <v>11</v>
      </c>
      <c r="AY2277">
        <v>452</v>
      </c>
      <c r="AZ2277">
        <v>452</v>
      </c>
      <c r="BA2277">
        <v>748</v>
      </c>
      <c r="BB2277">
        <v>44</v>
      </c>
      <c r="BD2277">
        <v>1</v>
      </c>
      <c r="BF2277" t="s">
        <v>2462</v>
      </c>
      <c r="BG2277" s="1">
        <v>44354.018750000003</v>
      </c>
      <c r="BH2277" s="1">
        <v>44354.036481481482</v>
      </c>
      <c r="BI2277" s="1">
        <v>44354.037210648145</v>
      </c>
      <c r="BJ2277" t="s">
        <v>85</v>
      </c>
      <c r="BK2277" t="s">
        <v>86</v>
      </c>
      <c r="BL2277" t="s">
        <v>87</v>
      </c>
    </row>
    <row r="2278" spans="1:64" x14ac:dyDescent="0.3">
      <c r="A2278" t="str">
        <f>"201501B0000"</f>
        <v>201501B0000</v>
      </c>
      <c r="B2278" t="str">
        <f>"201501B00003"</f>
        <v>201501B00003</v>
      </c>
      <c r="C2278" t="str">
        <f t="shared" si="141"/>
        <v>20</v>
      </c>
      <c r="D2278" t="s">
        <v>81</v>
      </c>
      <c r="E2278" t="str">
        <f t="shared" si="143"/>
        <v>316</v>
      </c>
      <c r="F2278" t="s">
        <v>2449</v>
      </c>
      <c r="G2278" t="str">
        <f>"1501"</f>
        <v>1501</v>
      </c>
      <c r="H2278" t="str">
        <f>"0000"</f>
        <v>0000</v>
      </c>
      <c r="I2278" t="s">
        <v>83</v>
      </c>
      <c r="J2278">
        <v>0</v>
      </c>
      <c r="K2278">
        <v>1</v>
      </c>
      <c r="L2278">
        <v>3</v>
      </c>
      <c r="M2278">
        <v>294</v>
      </c>
      <c r="N2278">
        <v>458</v>
      </c>
      <c r="O2278">
        <v>8</v>
      </c>
      <c r="P2278">
        <v>458</v>
      </c>
      <c r="Q2278">
        <v>17</v>
      </c>
      <c r="R2278">
        <v>152</v>
      </c>
      <c r="S2278">
        <v>4</v>
      </c>
      <c r="T2278">
        <v>6</v>
      </c>
      <c r="U2278">
        <v>3</v>
      </c>
      <c r="V2278">
        <v>7</v>
      </c>
      <c r="W2278">
        <v>2</v>
      </c>
      <c r="X2278">
        <v>226</v>
      </c>
      <c r="Y2278">
        <v>1</v>
      </c>
      <c r="Z2278">
        <v>5</v>
      </c>
      <c r="AA2278">
        <v>18</v>
      </c>
      <c r="AB2278">
        <v>1</v>
      </c>
      <c r="AR2278">
        <v>1</v>
      </c>
      <c r="AW2278" t="s">
        <v>95</v>
      </c>
      <c r="AX2278">
        <v>15</v>
      </c>
      <c r="AY2278">
        <v>458</v>
      </c>
      <c r="AZ2278">
        <v>458</v>
      </c>
      <c r="BA2278">
        <v>708</v>
      </c>
      <c r="BB2278">
        <v>44</v>
      </c>
      <c r="BC2278" t="s">
        <v>96</v>
      </c>
      <c r="BD2278">
        <v>1</v>
      </c>
      <c r="BF2278" t="s">
        <v>2463</v>
      </c>
      <c r="BG2278" s="1">
        <v>44354.020138888889</v>
      </c>
      <c r="BH2278" s="1">
        <v>44354.033854166664</v>
      </c>
      <c r="BI2278" s="1">
        <v>44354.034351851849</v>
      </c>
      <c r="BJ2278" t="s">
        <v>85</v>
      </c>
      <c r="BK2278" t="s">
        <v>86</v>
      </c>
      <c r="BL2278" t="s">
        <v>87</v>
      </c>
    </row>
    <row r="2279" spans="1:64" x14ac:dyDescent="0.3">
      <c r="A2279" t="str">
        <f>"201501C0100"</f>
        <v>201501C0100</v>
      </c>
      <c r="B2279" t="str">
        <f>"201501C01003"</f>
        <v>201501C01003</v>
      </c>
      <c r="C2279" t="str">
        <f t="shared" si="141"/>
        <v>20</v>
      </c>
      <c r="D2279" t="s">
        <v>81</v>
      </c>
      <c r="E2279" t="str">
        <f t="shared" si="143"/>
        <v>316</v>
      </c>
      <c r="F2279" t="s">
        <v>2449</v>
      </c>
      <c r="G2279" t="str">
        <f>"1501"</f>
        <v>1501</v>
      </c>
      <c r="H2279" t="str">
        <f>"0001"</f>
        <v>0001</v>
      </c>
      <c r="I2279" t="s">
        <v>89</v>
      </c>
      <c r="J2279">
        <v>0</v>
      </c>
      <c r="K2279">
        <v>1</v>
      </c>
      <c r="L2279">
        <v>3</v>
      </c>
      <c r="M2279">
        <v>303</v>
      </c>
      <c r="N2279">
        <v>449</v>
      </c>
      <c r="O2279">
        <v>5</v>
      </c>
      <c r="P2279">
        <v>449</v>
      </c>
      <c r="Q2279">
        <v>21</v>
      </c>
      <c r="R2279">
        <v>127</v>
      </c>
      <c r="S2279">
        <v>5</v>
      </c>
      <c r="T2279">
        <v>13</v>
      </c>
      <c r="U2279">
        <v>3</v>
      </c>
      <c r="V2279">
        <v>5</v>
      </c>
      <c r="W2279">
        <v>1</v>
      </c>
      <c r="X2279">
        <v>236</v>
      </c>
      <c r="Y2279">
        <v>0</v>
      </c>
      <c r="Z2279">
        <v>7</v>
      </c>
      <c r="AA2279">
        <v>22</v>
      </c>
      <c r="AB2279">
        <v>1</v>
      </c>
      <c r="AR2279">
        <v>0</v>
      </c>
      <c r="AW2279" t="s">
        <v>95</v>
      </c>
      <c r="AX2279">
        <v>8</v>
      </c>
      <c r="AY2279">
        <v>449</v>
      </c>
      <c r="AZ2279">
        <v>449</v>
      </c>
      <c r="BA2279">
        <v>708</v>
      </c>
      <c r="BB2279">
        <v>44</v>
      </c>
      <c r="BC2279" t="s">
        <v>96</v>
      </c>
      <c r="BD2279">
        <v>1</v>
      </c>
      <c r="BF2279" t="s">
        <v>2464</v>
      </c>
      <c r="BG2279" s="1">
        <v>44354.019444444442</v>
      </c>
      <c r="BH2279" s="1">
        <v>44354.032835648148</v>
      </c>
      <c r="BI2279" s="1">
        <v>44354.033275462964</v>
      </c>
      <c r="BJ2279" t="s">
        <v>85</v>
      </c>
      <c r="BK2279" t="s">
        <v>86</v>
      </c>
      <c r="BL2279" t="s">
        <v>87</v>
      </c>
    </row>
    <row r="2280" spans="1:64" x14ac:dyDescent="0.3">
      <c r="A2280" t="str">
        <f>"201501E0100"</f>
        <v>201501E0100</v>
      </c>
      <c r="B2280" t="str">
        <f>"201501E01003"</f>
        <v>201501E01003</v>
      </c>
      <c r="C2280" t="str">
        <f t="shared" si="141"/>
        <v>20</v>
      </c>
      <c r="D2280" t="s">
        <v>81</v>
      </c>
      <c r="E2280" t="str">
        <f t="shared" si="143"/>
        <v>316</v>
      </c>
      <c r="F2280" t="s">
        <v>2449</v>
      </c>
      <c r="G2280" t="str">
        <f>"1501"</f>
        <v>1501</v>
      </c>
      <c r="H2280" t="str">
        <f>"0001"</f>
        <v>0001</v>
      </c>
      <c r="I2280" t="s">
        <v>122</v>
      </c>
      <c r="J2280">
        <v>0</v>
      </c>
      <c r="K2280">
        <v>1</v>
      </c>
      <c r="L2280">
        <v>3</v>
      </c>
      <c r="M2280">
        <v>252</v>
      </c>
      <c r="N2280">
        <v>310</v>
      </c>
      <c r="O2280">
        <v>0</v>
      </c>
      <c r="P2280" t="s">
        <v>92</v>
      </c>
      <c r="Q2280">
        <v>13</v>
      </c>
      <c r="R2280">
        <v>106</v>
      </c>
      <c r="S2280">
        <v>1</v>
      </c>
      <c r="T2280">
        <v>3</v>
      </c>
      <c r="U2280">
        <v>4</v>
      </c>
      <c r="V2280">
        <v>17</v>
      </c>
      <c r="W2280">
        <v>1</v>
      </c>
      <c r="X2280">
        <v>142</v>
      </c>
      <c r="Y2280">
        <v>3</v>
      </c>
      <c r="Z2280">
        <v>1</v>
      </c>
      <c r="AA2280">
        <v>5</v>
      </c>
      <c r="AB2280">
        <v>1</v>
      </c>
      <c r="AR2280">
        <v>5</v>
      </c>
      <c r="AW2280">
        <v>0</v>
      </c>
      <c r="AX2280">
        <v>8</v>
      </c>
      <c r="AY2280">
        <v>310</v>
      </c>
      <c r="AZ2280">
        <v>310</v>
      </c>
      <c r="BA2280">
        <v>518</v>
      </c>
      <c r="BB2280">
        <v>44</v>
      </c>
      <c r="BD2280">
        <v>1</v>
      </c>
      <c r="BF2280" t="s">
        <v>2465</v>
      </c>
      <c r="BG2280" s="1">
        <v>44354.26666666667</v>
      </c>
      <c r="BH2280" s="1">
        <v>44354.26871527778</v>
      </c>
      <c r="BI2280" s="1">
        <v>44354.269583333335</v>
      </c>
      <c r="BJ2280" t="s">
        <v>85</v>
      </c>
      <c r="BK2280" t="s">
        <v>86</v>
      </c>
      <c r="BL2280" t="s">
        <v>87</v>
      </c>
    </row>
    <row r="2281" spans="1:64" x14ac:dyDescent="0.3">
      <c r="A2281" t="str">
        <f>"201502B0000"</f>
        <v>201502B0000</v>
      </c>
      <c r="B2281" t="str">
        <f>"201502B00003"</f>
        <v>201502B00003</v>
      </c>
      <c r="C2281" t="str">
        <f t="shared" si="141"/>
        <v>20</v>
      </c>
      <c r="D2281" t="s">
        <v>81</v>
      </c>
      <c r="E2281" t="str">
        <f t="shared" si="143"/>
        <v>316</v>
      </c>
      <c r="F2281" t="s">
        <v>2449</v>
      </c>
      <c r="G2281" t="str">
        <f>"1502"</f>
        <v>1502</v>
      </c>
      <c r="H2281" t="str">
        <f>"0000"</f>
        <v>0000</v>
      </c>
      <c r="I2281" t="s">
        <v>83</v>
      </c>
      <c r="J2281">
        <v>0</v>
      </c>
      <c r="K2281">
        <v>1</v>
      </c>
      <c r="L2281">
        <v>3</v>
      </c>
      <c r="M2281">
        <v>288</v>
      </c>
      <c r="N2281">
        <v>342</v>
      </c>
      <c r="O2281">
        <v>5</v>
      </c>
      <c r="P2281">
        <v>342</v>
      </c>
      <c r="Q2281">
        <v>7</v>
      </c>
      <c r="R2281">
        <v>118</v>
      </c>
      <c r="S2281">
        <v>1</v>
      </c>
      <c r="T2281">
        <v>5</v>
      </c>
      <c r="U2281">
        <v>4</v>
      </c>
      <c r="V2281">
        <v>6</v>
      </c>
      <c r="W2281">
        <v>1</v>
      </c>
      <c r="X2281">
        <v>178</v>
      </c>
      <c r="Y2281">
        <v>1</v>
      </c>
      <c r="Z2281">
        <v>1</v>
      </c>
      <c r="AA2281">
        <v>8</v>
      </c>
      <c r="AB2281">
        <v>3</v>
      </c>
      <c r="AR2281">
        <v>2</v>
      </c>
      <c r="AW2281">
        <v>0</v>
      </c>
      <c r="AX2281">
        <v>7</v>
      </c>
      <c r="AY2281" t="s">
        <v>95</v>
      </c>
      <c r="AZ2281">
        <v>342</v>
      </c>
      <c r="BA2281">
        <v>586</v>
      </c>
      <c r="BB2281">
        <v>44</v>
      </c>
      <c r="BD2281">
        <v>1</v>
      </c>
      <c r="BF2281" t="s">
        <v>2466</v>
      </c>
      <c r="BG2281" s="1">
        <v>44354.073611111111</v>
      </c>
      <c r="BH2281" s="1">
        <v>44354.081817129627</v>
      </c>
      <c r="BI2281" s="1">
        <v>44354.082384259258</v>
      </c>
      <c r="BJ2281" t="s">
        <v>85</v>
      </c>
      <c r="BK2281" t="s">
        <v>86</v>
      </c>
      <c r="BL2281" t="s">
        <v>87</v>
      </c>
    </row>
    <row r="2282" spans="1:64" x14ac:dyDescent="0.3">
      <c r="A2282" t="str">
        <f>"201502C0100"</f>
        <v>201502C0100</v>
      </c>
      <c r="B2282" t="str">
        <f>"201502C01003"</f>
        <v>201502C01003</v>
      </c>
      <c r="C2282" t="str">
        <f t="shared" si="141"/>
        <v>20</v>
      </c>
      <c r="D2282" t="s">
        <v>81</v>
      </c>
      <c r="E2282" t="str">
        <f t="shared" si="143"/>
        <v>316</v>
      </c>
      <c r="F2282" t="s">
        <v>2449</v>
      </c>
      <c r="G2282" t="str">
        <f>"1502"</f>
        <v>1502</v>
      </c>
      <c r="H2282" t="str">
        <f>"0001"</f>
        <v>0001</v>
      </c>
      <c r="I2282" t="s">
        <v>89</v>
      </c>
      <c r="J2282">
        <v>0</v>
      </c>
      <c r="K2282">
        <v>1</v>
      </c>
      <c r="L2282">
        <v>3</v>
      </c>
      <c r="M2282">
        <v>296</v>
      </c>
      <c r="N2282">
        <v>334</v>
      </c>
      <c r="O2282">
        <v>9</v>
      </c>
      <c r="P2282">
        <v>334</v>
      </c>
      <c r="Q2282">
        <v>19</v>
      </c>
      <c r="R2282">
        <v>99</v>
      </c>
      <c r="S2282">
        <v>0</v>
      </c>
      <c r="T2282">
        <v>6</v>
      </c>
      <c r="U2282">
        <v>2</v>
      </c>
      <c r="V2282">
        <v>4</v>
      </c>
      <c r="W2282">
        <v>0</v>
      </c>
      <c r="X2282">
        <v>182</v>
      </c>
      <c r="Y2282">
        <v>2</v>
      </c>
      <c r="Z2282">
        <v>1</v>
      </c>
      <c r="AA2282">
        <v>11</v>
      </c>
      <c r="AB2282">
        <v>1</v>
      </c>
      <c r="AR2282">
        <v>0</v>
      </c>
      <c r="AW2282">
        <v>0</v>
      </c>
      <c r="AX2282">
        <v>7</v>
      </c>
      <c r="AY2282">
        <v>334</v>
      </c>
      <c r="AZ2282">
        <v>334</v>
      </c>
      <c r="BA2282">
        <v>586</v>
      </c>
      <c r="BB2282">
        <v>44</v>
      </c>
      <c r="BD2282">
        <v>1</v>
      </c>
      <c r="BF2282" t="s">
        <v>2467</v>
      </c>
      <c r="BG2282" s="1">
        <v>44354.073611111111</v>
      </c>
      <c r="BH2282" s="1">
        <v>44354.080925925926</v>
      </c>
      <c r="BI2282" s="1">
        <v>44354.081423611111</v>
      </c>
      <c r="BJ2282" t="s">
        <v>85</v>
      </c>
      <c r="BK2282" t="s">
        <v>86</v>
      </c>
      <c r="BL2282" t="s">
        <v>87</v>
      </c>
    </row>
    <row r="2283" spans="1:64" x14ac:dyDescent="0.3">
      <c r="A2283" t="str">
        <f>"201502C0200"</f>
        <v>201502C0200</v>
      </c>
      <c r="B2283" t="str">
        <f>"201502C02003"</f>
        <v>201502C02003</v>
      </c>
      <c r="C2283" t="str">
        <f t="shared" si="141"/>
        <v>20</v>
      </c>
      <c r="D2283" t="s">
        <v>81</v>
      </c>
      <c r="E2283" t="str">
        <f t="shared" si="143"/>
        <v>316</v>
      </c>
      <c r="F2283" t="s">
        <v>2449</v>
      </c>
      <c r="G2283" t="str">
        <f>"1502"</f>
        <v>1502</v>
      </c>
      <c r="H2283" t="str">
        <f>"0002"</f>
        <v>0002</v>
      </c>
      <c r="I2283" t="s">
        <v>89</v>
      </c>
      <c r="J2283">
        <v>0</v>
      </c>
      <c r="K2283">
        <v>1</v>
      </c>
      <c r="L2283">
        <v>3</v>
      </c>
      <c r="M2283">
        <v>274</v>
      </c>
      <c r="N2283">
        <v>355</v>
      </c>
      <c r="O2283">
        <v>8</v>
      </c>
      <c r="P2283">
        <v>355</v>
      </c>
      <c r="Q2283">
        <v>10</v>
      </c>
      <c r="R2283">
        <v>87</v>
      </c>
      <c r="S2283">
        <v>5</v>
      </c>
      <c r="T2283">
        <v>4</v>
      </c>
      <c r="U2283">
        <v>2</v>
      </c>
      <c r="V2283">
        <v>4</v>
      </c>
      <c r="W2283">
        <v>1</v>
      </c>
      <c r="X2283">
        <v>205</v>
      </c>
      <c r="Y2283">
        <v>2</v>
      </c>
      <c r="Z2283">
        <v>2</v>
      </c>
      <c r="AA2283">
        <v>15</v>
      </c>
      <c r="AB2283">
        <v>2</v>
      </c>
      <c r="AR2283">
        <v>0</v>
      </c>
      <c r="AW2283">
        <v>0</v>
      </c>
      <c r="AX2283">
        <v>16</v>
      </c>
      <c r="AY2283">
        <v>355</v>
      </c>
      <c r="AZ2283">
        <v>355</v>
      </c>
      <c r="BA2283">
        <v>585</v>
      </c>
      <c r="BB2283">
        <v>44</v>
      </c>
      <c r="BD2283">
        <v>1</v>
      </c>
      <c r="BF2283" t="s">
        <v>2468</v>
      </c>
      <c r="BG2283" s="1">
        <v>44354.381249999999</v>
      </c>
      <c r="BH2283" s="1">
        <v>44354.384189814817</v>
      </c>
      <c r="BI2283" s="1">
        <v>44354.384652777779</v>
      </c>
      <c r="BJ2283" t="s">
        <v>85</v>
      </c>
      <c r="BK2283" t="s">
        <v>86</v>
      </c>
      <c r="BL2283" t="s">
        <v>87</v>
      </c>
    </row>
    <row r="2284" spans="1:64" x14ac:dyDescent="0.3">
      <c r="A2284" t="str">
        <f>"201503B0000"</f>
        <v>201503B0000</v>
      </c>
      <c r="B2284" t="str">
        <f>"201503B00003"</f>
        <v>201503B00003</v>
      </c>
      <c r="C2284" t="str">
        <f t="shared" si="141"/>
        <v>20</v>
      </c>
      <c r="D2284" t="s">
        <v>81</v>
      </c>
      <c r="E2284" t="str">
        <f t="shared" si="143"/>
        <v>316</v>
      </c>
      <c r="F2284" t="s">
        <v>2449</v>
      </c>
      <c r="G2284" t="str">
        <f t="shared" ref="G2284:G2299" si="145">"1503"</f>
        <v>1503</v>
      </c>
      <c r="H2284" t="str">
        <f>"0000"</f>
        <v>0000</v>
      </c>
      <c r="I2284" t="s">
        <v>83</v>
      </c>
      <c r="J2284">
        <v>0</v>
      </c>
      <c r="K2284">
        <v>1</v>
      </c>
      <c r="L2284">
        <v>3</v>
      </c>
      <c r="BA2284">
        <v>741</v>
      </c>
      <c r="BB2284">
        <v>44</v>
      </c>
      <c r="BC2284" t="s">
        <v>381</v>
      </c>
      <c r="BD2284">
        <v>0</v>
      </c>
      <c r="BF2284" t="s">
        <v>2469</v>
      </c>
      <c r="BG2284" s="1">
        <v>44354.695138888892</v>
      </c>
      <c r="BH2284" s="1">
        <v>44354.696203703701</v>
      </c>
      <c r="BI2284" s="1">
        <v>44354.696203703701</v>
      </c>
      <c r="BJ2284" t="s">
        <v>85</v>
      </c>
      <c r="BK2284" t="s">
        <v>86</v>
      </c>
      <c r="BL2284" t="s">
        <v>87</v>
      </c>
    </row>
    <row r="2285" spans="1:64" x14ac:dyDescent="0.3">
      <c r="A2285" t="str">
        <f>"201503C0100"</f>
        <v>201503C0100</v>
      </c>
      <c r="B2285" t="str">
        <f>"201503C01003"</f>
        <v>201503C01003</v>
      </c>
      <c r="C2285" t="str">
        <f t="shared" si="141"/>
        <v>20</v>
      </c>
      <c r="D2285" t="s">
        <v>81</v>
      </c>
      <c r="E2285" t="str">
        <f t="shared" si="143"/>
        <v>316</v>
      </c>
      <c r="F2285" t="s">
        <v>2449</v>
      </c>
      <c r="G2285" t="str">
        <f t="shared" si="145"/>
        <v>1503</v>
      </c>
      <c r="H2285" t="str">
        <f>"0001"</f>
        <v>0001</v>
      </c>
      <c r="I2285" t="s">
        <v>89</v>
      </c>
      <c r="J2285">
        <v>0</v>
      </c>
      <c r="K2285">
        <v>1</v>
      </c>
      <c r="L2285">
        <v>3</v>
      </c>
      <c r="BA2285">
        <v>741</v>
      </c>
      <c r="BB2285">
        <v>44</v>
      </c>
      <c r="BC2285" t="s">
        <v>381</v>
      </c>
      <c r="BD2285">
        <v>0</v>
      </c>
      <c r="BF2285" t="s">
        <v>2470</v>
      </c>
      <c r="BG2285" s="1">
        <v>44354.693055555559</v>
      </c>
      <c r="BH2285" s="1">
        <v>44354.694733796299</v>
      </c>
      <c r="BI2285" s="1">
        <v>44354.694733796299</v>
      </c>
      <c r="BJ2285" t="s">
        <v>85</v>
      </c>
      <c r="BK2285" t="s">
        <v>86</v>
      </c>
      <c r="BL2285" t="s">
        <v>87</v>
      </c>
    </row>
    <row r="2286" spans="1:64" x14ac:dyDescent="0.3">
      <c r="A2286" t="str">
        <f>"201503C0200"</f>
        <v>201503C0200</v>
      </c>
      <c r="B2286" t="str">
        <f>"201503C02003"</f>
        <v>201503C02003</v>
      </c>
      <c r="C2286" t="str">
        <f t="shared" si="141"/>
        <v>20</v>
      </c>
      <c r="D2286" t="s">
        <v>81</v>
      </c>
      <c r="E2286" t="str">
        <f t="shared" si="143"/>
        <v>316</v>
      </c>
      <c r="F2286" t="s">
        <v>2449</v>
      </c>
      <c r="G2286" t="str">
        <f t="shared" si="145"/>
        <v>1503</v>
      </c>
      <c r="H2286" t="str">
        <f>"0002"</f>
        <v>0002</v>
      </c>
      <c r="I2286" t="s">
        <v>89</v>
      </c>
      <c r="J2286">
        <v>0</v>
      </c>
      <c r="K2286">
        <v>1</v>
      </c>
      <c r="L2286">
        <v>3</v>
      </c>
      <c r="BA2286">
        <v>741</v>
      </c>
      <c r="BB2286">
        <v>44</v>
      </c>
      <c r="BC2286" t="s">
        <v>381</v>
      </c>
      <c r="BD2286">
        <v>0</v>
      </c>
      <c r="BF2286" t="s">
        <v>2471</v>
      </c>
      <c r="BG2286" s="1">
        <v>44354.695833333331</v>
      </c>
      <c r="BH2286" s="1">
        <v>44354.697268518517</v>
      </c>
      <c r="BI2286" s="1">
        <v>44354.697268518517</v>
      </c>
      <c r="BJ2286" t="s">
        <v>85</v>
      </c>
      <c r="BK2286" t="s">
        <v>86</v>
      </c>
      <c r="BL2286" t="s">
        <v>87</v>
      </c>
    </row>
    <row r="2287" spans="1:64" x14ac:dyDescent="0.3">
      <c r="A2287" t="str">
        <f>"201503C0300"</f>
        <v>201503C0300</v>
      </c>
      <c r="B2287" t="str">
        <f>"201503C03003"</f>
        <v>201503C03003</v>
      </c>
      <c r="C2287" t="str">
        <f t="shared" si="141"/>
        <v>20</v>
      </c>
      <c r="D2287" t="s">
        <v>81</v>
      </c>
      <c r="E2287" t="str">
        <f t="shared" si="143"/>
        <v>316</v>
      </c>
      <c r="F2287" t="s">
        <v>2449</v>
      </c>
      <c r="G2287" t="str">
        <f t="shared" si="145"/>
        <v>1503</v>
      </c>
      <c r="H2287" t="str">
        <f>"0003"</f>
        <v>0003</v>
      </c>
      <c r="I2287" t="s">
        <v>89</v>
      </c>
      <c r="J2287">
        <v>0</v>
      </c>
      <c r="K2287">
        <v>1</v>
      </c>
      <c r="L2287">
        <v>3</v>
      </c>
      <c r="BA2287">
        <v>741</v>
      </c>
      <c r="BB2287">
        <v>44</v>
      </c>
      <c r="BC2287" t="s">
        <v>381</v>
      </c>
      <c r="BD2287">
        <v>0</v>
      </c>
      <c r="BF2287" t="s">
        <v>2472</v>
      </c>
      <c r="BG2287" s="1">
        <v>44354.694444444445</v>
      </c>
      <c r="BH2287" s="1">
        <v>44354.695451388892</v>
      </c>
      <c r="BI2287" s="1">
        <v>44354.695451388892</v>
      </c>
      <c r="BJ2287" t="s">
        <v>85</v>
      </c>
      <c r="BK2287" t="s">
        <v>86</v>
      </c>
      <c r="BL2287" t="s">
        <v>87</v>
      </c>
    </row>
    <row r="2288" spans="1:64" x14ac:dyDescent="0.3">
      <c r="A2288" t="str">
        <f>"201503E0100"</f>
        <v>201503E0100</v>
      </c>
      <c r="B2288" t="str">
        <f>"201503E01003"</f>
        <v>201503E01003</v>
      </c>
      <c r="C2288" t="str">
        <f t="shared" si="141"/>
        <v>20</v>
      </c>
      <c r="D2288" t="s">
        <v>81</v>
      </c>
      <c r="E2288" t="str">
        <f t="shared" si="143"/>
        <v>316</v>
      </c>
      <c r="F2288" t="s">
        <v>2449</v>
      </c>
      <c r="G2288" t="str">
        <f t="shared" si="145"/>
        <v>1503</v>
      </c>
      <c r="H2288" t="str">
        <f>"0001"</f>
        <v>0001</v>
      </c>
      <c r="I2288" t="s">
        <v>122</v>
      </c>
      <c r="J2288">
        <v>0</v>
      </c>
      <c r="K2288">
        <v>1</v>
      </c>
      <c r="L2288">
        <v>3</v>
      </c>
      <c r="M2288">
        <v>375</v>
      </c>
      <c r="N2288">
        <v>312</v>
      </c>
      <c r="O2288">
        <v>8</v>
      </c>
      <c r="P2288">
        <v>312</v>
      </c>
      <c r="Q2288">
        <v>7</v>
      </c>
      <c r="R2288">
        <v>91</v>
      </c>
      <c r="S2288">
        <v>1</v>
      </c>
      <c r="T2288">
        <v>9</v>
      </c>
      <c r="U2288">
        <v>1</v>
      </c>
      <c r="V2288">
        <v>7</v>
      </c>
      <c r="W2288">
        <v>2</v>
      </c>
      <c r="X2288">
        <v>174</v>
      </c>
      <c r="Y2288">
        <v>1</v>
      </c>
      <c r="Z2288">
        <v>2</v>
      </c>
      <c r="AA2288">
        <v>3</v>
      </c>
      <c r="AB2288">
        <v>0</v>
      </c>
      <c r="AR2288">
        <v>1</v>
      </c>
      <c r="AW2288">
        <v>0</v>
      </c>
      <c r="AX2288">
        <v>13</v>
      </c>
      <c r="AY2288">
        <v>312</v>
      </c>
      <c r="AZ2288">
        <v>312</v>
      </c>
      <c r="BA2288">
        <v>643</v>
      </c>
      <c r="BB2288">
        <v>44</v>
      </c>
      <c r="BD2288">
        <v>1</v>
      </c>
      <c r="BF2288" t="s">
        <v>2473</v>
      </c>
      <c r="BG2288" s="1">
        <v>44353.98541666667</v>
      </c>
      <c r="BH2288" s="1">
        <v>44353.994108796294</v>
      </c>
      <c r="BI2288" s="1">
        <v>44353.994837962964</v>
      </c>
      <c r="BJ2288" t="s">
        <v>85</v>
      </c>
      <c r="BK2288" t="s">
        <v>86</v>
      </c>
      <c r="BL2288" t="s">
        <v>87</v>
      </c>
    </row>
    <row r="2289" spans="1:64" x14ac:dyDescent="0.3">
      <c r="A2289" t="str">
        <f>"201503E0101"</f>
        <v>201503E0101</v>
      </c>
      <c r="B2289" t="str">
        <f>"201503E01013"</f>
        <v>201503E01013</v>
      </c>
      <c r="C2289" t="str">
        <f t="shared" si="141"/>
        <v>20</v>
      </c>
      <c r="D2289" t="s">
        <v>81</v>
      </c>
      <c r="E2289" t="str">
        <f t="shared" si="143"/>
        <v>316</v>
      </c>
      <c r="F2289" t="s">
        <v>2449</v>
      </c>
      <c r="G2289" t="str">
        <f t="shared" si="145"/>
        <v>1503</v>
      </c>
      <c r="H2289" t="str">
        <f>"0001"</f>
        <v>0001</v>
      </c>
      <c r="I2289" t="s">
        <v>122</v>
      </c>
      <c r="J2289">
        <v>1</v>
      </c>
      <c r="K2289">
        <v>1</v>
      </c>
      <c r="L2289">
        <v>3</v>
      </c>
      <c r="M2289">
        <v>373</v>
      </c>
      <c r="N2289">
        <v>314</v>
      </c>
      <c r="O2289">
        <v>6</v>
      </c>
      <c r="P2289">
        <v>314</v>
      </c>
      <c r="Q2289">
        <v>5</v>
      </c>
      <c r="R2289">
        <v>94</v>
      </c>
      <c r="S2289">
        <v>3</v>
      </c>
      <c r="T2289">
        <v>6</v>
      </c>
      <c r="U2289">
        <v>0</v>
      </c>
      <c r="V2289">
        <v>4</v>
      </c>
      <c r="W2289">
        <v>2</v>
      </c>
      <c r="X2289">
        <v>185</v>
      </c>
      <c r="Y2289">
        <v>3</v>
      </c>
      <c r="Z2289">
        <v>1</v>
      </c>
      <c r="AA2289">
        <v>5</v>
      </c>
      <c r="AB2289">
        <v>1</v>
      </c>
      <c r="AR2289">
        <v>1</v>
      </c>
      <c r="AW2289">
        <v>0</v>
      </c>
      <c r="AX2289">
        <v>4</v>
      </c>
      <c r="AY2289">
        <v>314</v>
      </c>
      <c r="AZ2289">
        <v>314</v>
      </c>
      <c r="BA2289">
        <v>643</v>
      </c>
      <c r="BB2289">
        <v>44</v>
      </c>
      <c r="BD2289">
        <v>1</v>
      </c>
      <c r="BF2289" t="s">
        <v>2474</v>
      </c>
      <c r="BG2289" s="1">
        <v>44354.413888888892</v>
      </c>
      <c r="BH2289" s="1">
        <v>44354.416875000003</v>
      </c>
      <c r="BI2289" s="1">
        <v>44354.417337962965</v>
      </c>
      <c r="BJ2289" t="s">
        <v>85</v>
      </c>
      <c r="BK2289" t="s">
        <v>86</v>
      </c>
      <c r="BL2289" t="s">
        <v>87</v>
      </c>
    </row>
    <row r="2290" spans="1:64" x14ac:dyDescent="0.3">
      <c r="A2290" t="str">
        <f>"201503E0200"</f>
        <v>201503E0200</v>
      </c>
      <c r="B2290" t="str">
        <f>"201503E02003"</f>
        <v>201503E02003</v>
      </c>
      <c r="C2290" t="str">
        <f t="shared" si="141"/>
        <v>20</v>
      </c>
      <c r="D2290" t="s">
        <v>81</v>
      </c>
      <c r="E2290" t="str">
        <f t="shared" si="143"/>
        <v>316</v>
      </c>
      <c r="F2290" t="s">
        <v>2449</v>
      </c>
      <c r="G2290" t="str">
        <f t="shared" si="145"/>
        <v>1503</v>
      </c>
      <c r="H2290" t="str">
        <f>"0002"</f>
        <v>0002</v>
      </c>
      <c r="I2290" t="s">
        <v>122</v>
      </c>
      <c r="J2290">
        <v>0</v>
      </c>
      <c r="K2290">
        <v>1</v>
      </c>
      <c r="L2290">
        <v>3</v>
      </c>
      <c r="M2290">
        <v>425</v>
      </c>
      <c r="N2290">
        <v>365</v>
      </c>
      <c r="O2290">
        <v>7</v>
      </c>
      <c r="P2290">
        <v>365</v>
      </c>
      <c r="Q2290">
        <v>11</v>
      </c>
      <c r="R2290">
        <v>91</v>
      </c>
      <c r="S2290">
        <v>0</v>
      </c>
      <c r="T2290">
        <v>6</v>
      </c>
      <c r="U2290">
        <v>0</v>
      </c>
      <c r="V2290">
        <v>10</v>
      </c>
      <c r="W2290">
        <v>0</v>
      </c>
      <c r="X2290">
        <v>221</v>
      </c>
      <c r="Y2290">
        <v>5</v>
      </c>
      <c r="Z2290">
        <v>0</v>
      </c>
      <c r="AA2290">
        <v>15</v>
      </c>
      <c r="AB2290">
        <v>0</v>
      </c>
      <c r="AR2290">
        <v>0</v>
      </c>
      <c r="AW2290">
        <v>0</v>
      </c>
      <c r="AX2290">
        <v>6</v>
      </c>
      <c r="AY2290">
        <v>365</v>
      </c>
      <c r="AZ2290">
        <v>365</v>
      </c>
      <c r="BA2290">
        <v>462</v>
      </c>
      <c r="BB2290">
        <v>44</v>
      </c>
      <c r="BD2290">
        <v>1</v>
      </c>
      <c r="BF2290" t="s">
        <v>2475</v>
      </c>
      <c r="BG2290" s="1">
        <v>44354.504166666666</v>
      </c>
      <c r="BH2290" s="1">
        <v>44354.708923611113</v>
      </c>
      <c r="BI2290" s="1">
        <v>44354.709317129629</v>
      </c>
      <c r="BJ2290" t="s">
        <v>85</v>
      </c>
      <c r="BK2290" t="s">
        <v>86</v>
      </c>
      <c r="BL2290" t="s">
        <v>87</v>
      </c>
    </row>
    <row r="2291" spans="1:64" x14ac:dyDescent="0.3">
      <c r="A2291" t="str">
        <f>"201503E0300"</f>
        <v>201503E0300</v>
      </c>
      <c r="B2291" t="str">
        <f>"201503E03003"</f>
        <v>201503E03003</v>
      </c>
      <c r="C2291" t="str">
        <f t="shared" si="141"/>
        <v>20</v>
      </c>
      <c r="D2291" t="s">
        <v>81</v>
      </c>
      <c r="E2291" t="str">
        <f t="shared" si="143"/>
        <v>316</v>
      </c>
      <c r="F2291" t="s">
        <v>2449</v>
      </c>
      <c r="G2291" t="str">
        <f t="shared" si="145"/>
        <v>1503</v>
      </c>
      <c r="H2291" t="str">
        <f>"0003"</f>
        <v>0003</v>
      </c>
      <c r="I2291" t="s">
        <v>122</v>
      </c>
      <c r="J2291">
        <v>0</v>
      </c>
      <c r="K2291">
        <v>1</v>
      </c>
      <c r="L2291">
        <v>3</v>
      </c>
      <c r="BA2291">
        <v>747</v>
      </c>
      <c r="BB2291">
        <v>44</v>
      </c>
      <c r="BC2291" t="s">
        <v>381</v>
      </c>
      <c r="BD2291">
        <v>0</v>
      </c>
      <c r="BF2291" t="s">
        <v>2476</v>
      </c>
      <c r="BG2291" s="1">
        <v>44354.722916666666</v>
      </c>
      <c r="BH2291" s="1">
        <v>44354.725694444445</v>
      </c>
      <c r="BI2291" s="1">
        <v>44354.725694444445</v>
      </c>
      <c r="BJ2291" t="s">
        <v>85</v>
      </c>
      <c r="BK2291" t="s">
        <v>86</v>
      </c>
      <c r="BL2291" t="s">
        <v>87</v>
      </c>
    </row>
    <row r="2292" spans="1:64" x14ac:dyDescent="0.3">
      <c r="A2292" t="str">
        <f>"201503E0301"</f>
        <v>201503E0301</v>
      </c>
      <c r="B2292" t="str">
        <f>"201503E03013"</f>
        <v>201503E03013</v>
      </c>
      <c r="C2292" t="str">
        <f t="shared" si="141"/>
        <v>20</v>
      </c>
      <c r="D2292" t="s">
        <v>81</v>
      </c>
      <c r="E2292" t="str">
        <f t="shared" si="143"/>
        <v>316</v>
      </c>
      <c r="F2292" t="s">
        <v>2449</v>
      </c>
      <c r="G2292" t="str">
        <f t="shared" si="145"/>
        <v>1503</v>
      </c>
      <c r="H2292" t="str">
        <f>"0003"</f>
        <v>0003</v>
      </c>
      <c r="I2292" t="s">
        <v>122</v>
      </c>
      <c r="J2292">
        <v>1</v>
      </c>
      <c r="K2292">
        <v>1</v>
      </c>
      <c r="L2292">
        <v>3</v>
      </c>
      <c r="M2292">
        <v>400</v>
      </c>
      <c r="N2292">
        <v>334</v>
      </c>
      <c r="O2292">
        <v>5</v>
      </c>
      <c r="P2292">
        <v>333</v>
      </c>
      <c r="Q2292">
        <v>7</v>
      </c>
      <c r="R2292">
        <v>77</v>
      </c>
      <c r="S2292">
        <v>3</v>
      </c>
      <c r="T2292">
        <v>6</v>
      </c>
      <c r="U2292">
        <v>3</v>
      </c>
      <c r="V2292">
        <v>7</v>
      </c>
      <c r="W2292">
        <v>0</v>
      </c>
      <c r="X2292">
        <v>205</v>
      </c>
      <c r="Y2292">
        <v>1</v>
      </c>
      <c r="Z2292">
        <v>1</v>
      </c>
      <c r="AA2292">
        <v>17</v>
      </c>
      <c r="AB2292">
        <v>0</v>
      </c>
      <c r="AR2292">
        <v>1</v>
      </c>
      <c r="AW2292">
        <v>0</v>
      </c>
      <c r="AX2292">
        <v>5</v>
      </c>
      <c r="AY2292">
        <v>333</v>
      </c>
      <c r="AZ2292">
        <v>333</v>
      </c>
      <c r="BA2292">
        <v>747</v>
      </c>
      <c r="BB2292">
        <v>44</v>
      </c>
      <c r="BD2292">
        <v>1</v>
      </c>
      <c r="BF2292" t="s">
        <v>2477</v>
      </c>
      <c r="BG2292" s="1">
        <v>44354.386805555558</v>
      </c>
      <c r="BH2292" s="1">
        <v>44354.399814814817</v>
      </c>
      <c r="BI2292" s="1">
        <v>44354.400208333333</v>
      </c>
      <c r="BJ2292" t="s">
        <v>85</v>
      </c>
      <c r="BK2292" t="s">
        <v>86</v>
      </c>
      <c r="BL2292" t="s">
        <v>87</v>
      </c>
    </row>
    <row r="2293" spans="1:64" x14ac:dyDescent="0.3">
      <c r="A2293" t="str">
        <f>"201503E0302"</f>
        <v>201503E0302</v>
      </c>
      <c r="B2293" t="str">
        <f>"201503E03023"</f>
        <v>201503E03023</v>
      </c>
      <c r="C2293" t="str">
        <f t="shared" si="141"/>
        <v>20</v>
      </c>
      <c r="D2293" t="s">
        <v>81</v>
      </c>
      <c r="E2293" t="str">
        <f t="shared" si="143"/>
        <v>316</v>
      </c>
      <c r="F2293" t="s">
        <v>2449</v>
      </c>
      <c r="G2293" t="str">
        <f t="shared" si="145"/>
        <v>1503</v>
      </c>
      <c r="H2293" t="str">
        <f>"0003"</f>
        <v>0003</v>
      </c>
      <c r="I2293" t="s">
        <v>122</v>
      </c>
      <c r="J2293">
        <v>2</v>
      </c>
      <c r="K2293">
        <v>1</v>
      </c>
      <c r="L2293">
        <v>3</v>
      </c>
      <c r="M2293">
        <v>425</v>
      </c>
      <c r="N2293">
        <v>365</v>
      </c>
      <c r="O2293">
        <v>7</v>
      </c>
      <c r="P2293">
        <v>365</v>
      </c>
      <c r="Q2293">
        <v>11</v>
      </c>
      <c r="R2293">
        <v>91</v>
      </c>
      <c r="S2293">
        <v>0</v>
      </c>
      <c r="T2293">
        <v>6</v>
      </c>
      <c r="U2293" t="s">
        <v>131</v>
      </c>
      <c r="V2293">
        <v>10</v>
      </c>
      <c r="W2293">
        <v>0</v>
      </c>
      <c r="X2293">
        <v>221</v>
      </c>
      <c r="Y2293">
        <v>5</v>
      </c>
      <c r="Z2293">
        <v>0</v>
      </c>
      <c r="AA2293">
        <v>15</v>
      </c>
      <c r="AB2293">
        <v>0</v>
      </c>
      <c r="AR2293">
        <v>0</v>
      </c>
      <c r="AW2293">
        <v>0</v>
      </c>
      <c r="AX2293">
        <v>6</v>
      </c>
      <c r="AY2293">
        <v>365</v>
      </c>
      <c r="AZ2293">
        <v>365</v>
      </c>
      <c r="BA2293">
        <v>746</v>
      </c>
      <c r="BB2293">
        <v>44</v>
      </c>
      <c r="BC2293" t="s">
        <v>96</v>
      </c>
      <c r="BD2293">
        <v>1</v>
      </c>
      <c r="BF2293" t="s">
        <v>2478</v>
      </c>
      <c r="BG2293" s="1">
        <v>44354.504166666666</v>
      </c>
      <c r="BH2293" s="1">
        <v>44354.513032407405</v>
      </c>
      <c r="BI2293" s="1">
        <v>44354.513622685183</v>
      </c>
      <c r="BJ2293" t="s">
        <v>85</v>
      </c>
      <c r="BK2293" t="s">
        <v>86</v>
      </c>
      <c r="BL2293" t="s">
        <v>87</v>
      </c>
    </row>
    <row r="2294" spans="1:64" x14ac:dyDescent="0.3">
      <c r="A2294" t="str">
        <f>"201503E0400"</f>
        <v>201503E0400</v>
      </c>
      <c r="B2294" t="str">
        <f>"201503E04003"</f>
        <v>201503E04003</v>
      </c>
      <c r="C2294" t="str">
        <f t="shared" si="141"/>
        <v>20</v>
      </c>
      <c r="D2294" t="s">
        <v>81</v>
      </c>
      <c r="E2294" t="str">
        <f t="shared" si="143"/>
        <v>316</v>
      </c>
      <c r="F2294" t="s">
        <v>2449</v>
      </c>
      <c r="G2294" t="str">
        <f t="shared" si="145"/>
        <v>1503</v>
      </c>
      <c r="H2294" t="str">
        <f t="shared" ref="H2294:H2299" si="146">"0004"</f>
        <v>0004</v>
      </c>
      <c r="I2294" t="s">
        <v>122</v>
      </c>
      <c r="J2294">
        <v>0</v>
      </c>
      <c r="K2294">
        <v>1</v>
      </c>
      <c r="L2294">
        <v>3</v>
      </c>
      <c r="M2294">
        <v>414</v>
      </c>
      <c r="N2294">
        <v>277</v>
      </c>
      <c r="O2294">
        <v>6</v>
      </c>
      <c r="P2294">
        <v>276</v>
      </c>
      <c r="Q2294">
        <v>12</v>
      </c>
      <c r="R2294">
        <v>78</v>
      </c>
      <c r="S2294">
        <v>2</v>
      </c>
      <c r="T2294">
        <v>7</v>
      </c>
      <c r="U2294">
        <v>2</v>
      </c>
      <c r="V2294">
        <v>4</v>
      </c>
      <c r="W2294">
        <v>0</v>
      </c>
      <c r="X2294">
        <v>142</v>
      </c>
      <c r="Y2294">
        <v>3</v>
      </c>
      <c r="Z2294">
        <v>0</v>
      </c>
      <c r="AA2294">
        <v>10</v>
      </c>
      <c r="AB2294">
        <v>3</v>
      </c>
      <c r="AR2294">
        <v>2</v>
      </c>
      <c r="AW2294" t="s">
        <v>95</v>
      </c>
      <c r="AX2294">
        <v>11</v>
      </c>
      <c r="AY2294">
        <v>276</v>
      </c>
      <c r="AZ2294">
        <v>276</v>
      </c>
      <c r="BA2294">
        <v>648</v>
      </c>
      <c r="BB2294">
        <v>44</v>
      </c>
      <c r="BC2294" t="s">
        <v>96</v>
      </c>
      <c r="BD2294">
        <v>1</v>
      </c>
      <c r="BF2294" t="s">
        <v>2479</v>
      </c>
      <c r="BG2294" s="1">
        <v>44354.056944444441</v>
      </c>
      <c r="BH2294" s="1">
        <v>44354.064780092594</v>
      </c>
      <c r="BI2294" s="1">
        <v>44354.065798611111</v>
      </c>
      <c r="BJ2294" t="s">
        <v>85</v>
      </c>
      <c r="BK2294" t="s">
        <v>86</v>
      </c>
      <c r="BL2294" t="s">
        <v>87</v>
      </c>
    </row>
    <row r="2295" spans="1:64" x14ac:dyDescent="0.3">
      <c r="A2295" t="str">
        <f>"201503E0401"</f>
        <v>201503E0401</v>
      </c>
      <c r="B2295" t="str">
        <f>"201503E04013"</f>
        <v>201503E04013</v>
      </c>
      <c r="C2295" t="str">
        <f t="shared" si="141"/>
        <v>20</v>
      </c>
      <c r="D2295" t="s">
        <v>81</v>
      </c>
      <c r="E2295" t="str">
        <f t="shared" si="143"/>
        <v>316</v>
      </c>
      <c r="F2295" t="s">
        <v>2449</v>
      </c>
      <c r="G2295" t="str">
        <f t="shared" si="145"/>
        <v>1503</v>
      </c>
      <c r="H2295" t="str">
        <f t="shared" si="146"/>
        <v>0004</v>
      </c>
      <c r="I2295" t="s">
        <v>122</v>
      </c>
      <c r="J2295">
        <v>1</v>
      </c>
      <c r="K2295">
        <v>1</v>
      </c>
      <c r="L2295">
        <v>3</v>
      </c>
      <c r="M2295" t="s">
        <v>92</v>
      </c>
      <c r="N2295" t="s">
        <v>92</v>
      </c>
      <c r="O2295" t="s">
        <v>92</v>
      </c>
      <c r="P2295" t="s">
        <v>92</v>
      </c>
      <c r="Q2295">
        <v>5</v>
      </c>
      <c r="R2295">
        <v>73</v>
      </c>
      <c r="S2295">
        <v>2</v>
      </c>
      <c r="T2295">
        <v>6</v>
      </c>
      <c r="U2295">
        <v>3</v>
      </c>
      <c r="V2295">
        <v>2</v>
      </c>
      <c r="W2295">
        <v>1</v>
      </c>
      <c r="X2295">
        <v>158</v>
      </c>
      <c r="Y2295">
        <v>2</v>
      </c>
      <c r="Z2295">
        <v>1</v>
      </c>
      <c r="AA2295">
        <v>2</v>
      </c>
      <c r="AB2295">
        <v>2</v>
      </c>
      <c r="AR2295" t="s">
        <v>95</v>
      </c>
      <c r="AW2295" t="s">
        <v>95</v>
      </c>
      <c r="AX2295">
        <v>4</v>
      </c>
      <c r="AY2295">
        <v>261</v>
      </c>
      <c r="AZ2295">
        <v>261</v>
      </c>
      <c r="BA2295">
        <v>648</v>
      </c>
      <c r="BB2295">
        <v>44</v>
      </c>
      <c r="BC2295" t="s">
        <v>96</v>
      </c>
      <c r="BD2295">
        <v>1</v>
      </c>
      <c r="BF2295" t="s">
        <v>2480</v>
      </c>
      <c r="BG2295" s="1">
        <v>44354.504166666666</v>
      </c>
      <c r="BH2295" s="1">
        <v>44354.626898148148</v>
      </c>
      <c r="BI2295" s="1">
        <v>44354.627372685187</v>
      </c>
      <c r="BJ2295" t="s">
        <v>85</v>
      </c>
      <c r="BK2295" t="s">
        <v>86</v>
      </c>
      <c r="BL2295" t="s">
        <v>87</v>
      </c>
    </row>
    <row r="2296" spans="1:64" x14ac:dyDescent="0.3">
      <c r="A2296" t="str">
        <f>"201503E0402"</f>
        <v>201503E0402</v>
      </c>
      <c r="B2296" t="str">
        <f>"201503E04023"</f>
        <v>201503E04023</v>
      </c>
      <c r="C2296" t="str">
        <f t="shared" si="141"/>
        <v>20</v>
      </c>
      <c r="D2296" t="s">
        <v>81</v>
      </c>
      <c r="E2296" t="str">
        <f t="shared" si="143"/>
        <v>316</v>
      </c>
      <c r="F2296" t="s">
        <v>2449</v>
      </c>
      <c r="G2296" t="str">
        <f t="shared" si="145"/>
        <v>1503</v>
      </c>
      <c r="H2296" t="str">
        <f t="shared" si="146"/>
        <v>0004</v>
      </c>
      <c r="I2296" t="s">
        <v>122</v>
      </c>
      <c r="J2296">
        <v>2</v>
      </c>
      <c r="K2296">
        <v>1</v>
      </c>
      <c r="L2296">
        <v>3</v>
      </c>
      <c r="M2296" t="s">
        <v>92</v>
      </c>
      <c r="N2296" t="s">
        <v>92</v>
      </c>
      <c r="O2296" t="s">
        <v>92</v>
      </c>
      <c r="P2296" t="s">
        <v>92</v>
      </c>
      <c r="Q2296">
        <v>5</v>
      </c>
      <c r="R2296">
        <v>73</v>
      </c>
      <c r="S2296">
        <v>2</v>
      </c>
      <c r="T2296">
        <v>6</v>
      </c>
      <c r="U2296">
        <v>3</v>
      </c>
      <c r="V2296">
        <v>2</v>
      </c>
      <c r="W2296">
        <v>1</v>
      </c>
      <c r="X2296">
        <v>158</v>
      </c>
      <c r="Y2296">
        <v>2</v>
      </c>
      <c r="Z2296">
        <v>1</v>
      </c>
      <c r="AA2296">
        <v>2</v>
      </c>
      <c r="AB2296">
        <v>2</v>
      </c>
      <c r="AR2296" t="s">
        <v>95</v>
      </c>
      <c r="AW2296" t="s">
        <v>95</v>
      </c>
      <c r="AX2296">
        <v>4</v>
      </c>
      <c r="AY2296">
        <v>261</v>
      </c>
      <c r="AZ2296">
        <v>261</v>
      </c>
      <c r="BA2296">
        <v>647</v>
      </c>
      <c r="BB2296">
        <v>44</v>
      </c>
      <c r="BC2296" t="s">
        <v>96</v>
      </c>
      <c r="BD2296">
        <v>1</v>
      </c>
      <c r="BF2296" t="s">
        <v>2481</v>
      </c>
      <c r="BG2296" s="1">
        <v>44354.504166666666</v>
      </c>
      <c r="BH2296" s="1">
        <v>44354.527870370373</v>
      </c>
      <c r="BI2296" s="1">
        <v>44354.529803240737</v>
      </c>
      <c r="BJ2296" t="s">
        <v>85</v>
      </c>
      <c r="BK2296" t="s">
        <v>86</v>
      </c>
      <c r="BL2296" t="s">
        <v>87</v>
      </c>
    </row>
    <row r="2297" spans="1:64" x14ac:dyDescent="0.3">
      <c r="A2297" t="str">
        <f>"201503E0403"</f>
        <v>201503E0403</v>
      </c>
      <c r="B2297" t="str">
        <f>"201503E04033"</f>
        <v>201503E04033</v>
      </c>
      <c r="C2297" t="str">
        <f t="shared" si="141"/>
        <v>20</v>
      </c>
      <c r="D2297" t="s">
        <v>81</v>
      </c>
      <c r="E2297" t="str">
        <f t="shared" ref="E2297:E2325" si="147">"316"</f>
        <v>316</v>
      </c>
      <c r="F2297" t="s">
        <v>2449</v>
      </c>
      <c r="G2297" t="str">
        <f t="shared" si="145"/>
        <v>1503</v>
      </c>
      <c r="H2297" t="str">
        <f t="shared" si="146"/>
        <v>0004</v>
      </c>
      <c r="I2297" t="s">
        <v>122</v>
      </c>
      <c r="J2297">
        <v>3</v>
      </c>
      <c r="K2297">
        <v>1</v>
      </c>
      <c r="L2297">
        <v>3</v>
      </c>
      <c r="M2297">
        <v>402</v>
      </c>
      <c r="N2297">
        <v>289</v>
      </c>
      <c r="O2297">
        <v>0</v>
      </c>
      <c r="P2297" t="s">
        <v>92</v>
      </c>
      <c r="Q2297">
        <v>2</v>
      </c>
      <c r="R2297">
        <v>77</v>
      </c>
      <c r="S2297">
        <v>2</v>
      </c>
      <c r="T2297">
        <v>4</v>
      </c>
      <c r="U2297">
        <v>1</v>
      </c>
      <c r="V2297">
        <v>2</v>
      </c>
      <c r="W2297">
        <v>1</v>
      </c>
      <c r="X2297">
        <v>169</v>
      </c>
      <c r="Y2297">
        <v>7</v>
      </c>
      <c r="Z2297">
        <v>4</v>
      </c>
      <c r="AA2297">
        <v>9</v>
      </c>
      <c r="AB2297">
        <v>0</v>
      </c>
      <c r="AR2297">
        <v>0</v>
      </c>
      <c r="AW2297">
        <v>0</v>
      </c>
      <c r="AX2297">
        <v>7</v>
      </c>
      <c r="AY2297">
        <v>285</v>
      </c>
      <c r="AZ2297">
        <v>285</v>
      </c>
      <c r="BA2297">
        <v>647</v>
      </c>
      <c r="BB2297">
        <v>44</v>
      </c>
      <c r="BD2297">
        <v>1</v>
      </c>
      <c r="BF2297" t="s">
        <v>2482</v>
      </c>
      <c r="BG2297" s="1">
        <v>44354.055555555555</v>
      </c>
      <c r="BH2297" s="1">
        <v>44354.063599537039</v>
      </c>
      <c r="BI2297" s="1">
        <v>44354.064120370371</v>
      </c>
      <c r="BJ2297" t="s">
        <v>85</v>
      </c>
      <c r="BK2297" t="s">
        <v>86</v>
      </c>
      <c r="BL2297" t="s">
        <v>87</v>
      </c>
    </row>
    <row r="2298" spans="1:64" x14ac:dyDescent="0.3">
      <c r="A2298" t="str">
        <f>"201503E0404"</f>
        <v>201503E0404</v>
      </c>
      <c r="B2298" t="str">
        <f>"201503E04043"</f>
        <v>201503E04043</v>
      </c>
      <c r="C2298" t="str">
        <f t="shared" si="141"/>
        <v>20</v>
      </c>
      <c r="D2298" t="s">
        <v>81</v>
      </c>
      <c r="E2298" t="str">
        <f t="shared" si="147"/>
        <v>316</v>
      </c>
      <c r="F2298" t="s">
        <v>2449</v>
      </c>
      <c r="G2298" t="str">
        <f t="shared" si="145"/>
        <v>1503</v>
      </c>
      <c r="H2298" t="str">
        <f t="shared" si="146"/>
        <v>0004</v>
      </c>
      <c r="I2298" t="s">
        <v>122</v>
      </c>
      <c r="J2298">
        <v>4</v>
      </c>
      <c r="K2298">
        <v>1</v>
      </c>
      <c r="L2298">
        <v>3</v>
      </c>
      <c r="M2298">
        <v>404</v>
      </c>
      <c r="N2298">
        <v>286</v>
      </c>
      <c r="O2298">
        <v>10</v>
      </c>
      <c r="P2298">
        <v>0</v>
      </c>
      <c r="Q2298">
        <v>8</v>
      </c>
      <c r="R2298">
        <v>79</v>
      </c>
      <c r="S2298">
        <v>0</v>
      </c>
      <c r="T2298">
        <v>3</v>
      </c>
      <c r="U2298">
        <v>3</v>
      </c>
      <c r="V2298">
        <v>4</v>
      </c>
      <c r="W2298">
        <v>1</v>
      </c>
      <c r="X2298">
        <v>164</v>
      </c>
      <c r="Y2298">
        <v>3</v>
      </c>
      <c r="Z2298">
        <v>1</v>
      </c>
      <c r="AA2298">
        <v>8</v>
      </c>
      <c r="AB2298">
        <v>2</v>
      </c>
      <c r="AR2298">
        <v>2</v>
      </c>
      <c r="AW2298">
        <v>0</v>
      </c>
      <c r="AX2298">
        <v>7</v>
      </c>
      <c r="AY2298">
        <v>286</v>
      </c>
      <c r="AZ2298">
        <v>285</v>
      </c>
      <c r="BA2298">
        <v>647</v>
      </c>
      <c r="BB2298">
        <v>44</v>
      </c>
      <c r="BD2298">
        <v>1</v>
      </c>
      <c r="BF2298" t="s">
        <v>2483</v>
      </c>
      <c r="BG2298" s="1">
        <v>44354.359027777777</v>
      </c>
      <c r="BH2298" s="1">
        <v>44354.364594907405</v>
      </c>
      <c r="BI2298" s="1">
        <v>44354.365104166667</v>
      </c>
      <c r="BJ2298" t="s">
        <v>85</v>
      </c>
      <c r="BK2298" t="s">
        <v>86</v>
      </c>
      <c r="BL2298" t="s">
        <v>87</v>
      </c>
    </row>
    <row r="2299" spans="1:64" x14ac:dyDescent="0.3">
      <c r="A2299" t="str">
        <f>"201503E0405"</f>
        <v>201503E0405</v>
      </c>
      <c r="B2299" t="str">
        <f>"201503E04053"</f>
        <v>201503E04053</v>
      </c>
      <c r="C2299" t="str">
        <f t="shared" si="141"/>
        <v>20</v>
      </c>
      <c r="D2299" t="s">
        <v>81</v>
      </c>
      <c r="E2299" t="str">
        <f t="shared" si="147"/>
        <v>316</v>
      </c>
      <c r="F2299" t="s">
        <v>2449</v>
      </c>
      <c r="G2299" t="str">
        <f t="shared" si="145"/>
        <v>1503</v>
      </c>
      <c r="H2299" t="str">
        <f t="shared" si="146"/>
        <v>0004</v>
      </c>
      <c r="I2299" t="s">
        <v>122</v>
      </c>
      <c r="J2299">
        <v>5</v>
      </c>
      <c r="K2299">
        <v>1</v>
      </c>
      <c r="L2299">
        <v>3</v>
      </c>
      <c r="M2299">
        <v>404</v>
      </c>
      <c r="N2299">
        <v>286</v>
      </c>
      <c r="O2299">
        <v>10</v>
      </c>
      <c r="P2299">
        <v>0</v>
      </c>
      <c r="Q2299">
        <v>8</v>
      </c>
      <c r="R2299">
        <v>79</v>
      </c>
      <c r="S2299">
        <v>0</v>
      </c>
      <c r="T2299">
        <v>3</v>
      </c>
      <c r="U2299">
        <v>3</v>
      </c>
      <c r="V2299">
        <v>4</v>
      </c>
      <c r="W2299">
        <v>1</v>
      </c>
      <c r="X2299">
        <v>164</v>
      </c>
      <c r="Y2299">
        <v>3</v>
      </c>
      <c r="Z2299">
        <v>1</v>
      </c>
      <c r="AA2299">
        <v>8</v>
      </c>
      <c r="AB2299">
        <v>2</v>
      </c>
      <c r="AR2299">
        <v>2</v>
      </c>
      <c r="AW2299">
        <v>0</v>
      </c>
      <c r="AX2299">
        <v>7</v>
      </c>
      <c r="AY2299">
        <v>286</v>
      </c>
      <c r="AZ2299">
        <v>285</v>
      </c>
      <c r="BA2299">
        <v>647</v>
      </c>
      <c r="BB2299">
        <v>44</v>
      </c>
      <c r="BD2299">
        <v>1</v>
      </c>
      <c r="BF2299" t="s">
        <v>2484</v>
      </c>
      <c r="BG2299" s="1">
        <v>44354.359027777777</v>
      </c>
      <c r="BH2299" s="1">
        <v>44354.685833333337</v>
      </c>
      <c r="BI2299" s="1">
        <v>44354.686585648145</v>
      </c>
      <c r="BJ2299" t="s">
        <v>85</v>
      </c>
      <c r="BK2299" t="s">
        <v>86</v>
      </c>
      <c r="BL2299" t="s">
        <v>87</v>
      </c>
    </row>
    <row r="2300" spans="1:64" x14ac:dyDescent="0.3">
      <c r="A2300" t="str">
        <f>"201504B0000"</f>
        <v>201504B0000</v>
      </c>
      <c r="B2300" t="str">
        <f>"201504B00003"</f>
        <v>201504B00003</v>
      </c>
      <c r="C2300" t="str">
        <f t="shared" si="141"/>
        <v>20</v>
      </c>
      <c r="D2300" t="s">
        <v>81</v>
      </c>
      <c r="E2300" t="str">
        <f t="shared" si="147"/>
        <v>316</v>
      </c>
      <c r="F2300" t="s">
        <v>2449</v>
      </c>
      <c r="G2300" t="str">
        <f>"1504"</f>
        <v>1504</v>
      </c>
      <c r="H2300" t="str">
        <f>"0000"</f>
        <v>0000</v>
      </c>
      <c r="I2300" t="s">
        <v>83</v>
      </c>
      <c r="J2300">
        <v>0</v>
      </c>
      <c r="K2300">
        <v>1</v>
      </c>
      <c r="L2300">
        <v>3</v>
      </c>
      <c r="M2300">
        <v>263</v>
      </c>
      <c r="N2300">
        <v>239</v>
      </c>
      <c r="O2300">
        <v>8</v>
      </c>
      <c r="P2300">
        <v>239</v>
      </c>
      <c r="Q2300">
        <v>14</v>
      </c>
      <c r="R2300">
        <v>91</v>
      </c>
      <c r="S2300">
        <v>4</v>
      </c>
      <c r="T2300">
        <v>2</v>
      </c>
      <c r="U2300">
        <v>1</v>
      </c>
      <c r="V2300">
        <v>3</v>
      </c>
      <c r="W2300">
        <v>1</v>
      </c>
      <c r="X2300">
        <v>98</v>
      </c>
      <c r="Y2300">
        <v>2</v>
      </c>
      <c r="Z2300">
        <v>0</v>
      </c>
      <c r="AA2300">
        <v>15</v>
      </c>
      <c r="AB2300">
        <v>0</v>
      </c>
      <c r="AR2300">
        <v>0</v>
      </c>
      <c r="AW2300">
        <v>0</v>
      </c>
      <c r="AX2300">
        <v>8</v>
      </c>
      <c r="AY2300">
        <v>239</v>
      </c>
      <c r="AZ2300">
        <v>239</v>
      </c>
      <c r="BA2300">
        <v>458</v>
      </c>
      <c r="BB2300">
        <v>44</v>
      </c>
      <c r="BD2300">
        <v>1</v>
      </c>
      <c r="BF2300" t="s">
        <v>2485</v>
      </c>
      <c r="BG2300" s="1">
        <v>44354.347222222219</v>
      </c>
      <c r="BH2300" s="1">
        <v>44354.349398148152</v>
      </c>
      <c r="BI2300" s="1">
        <v>44354.350046296298</v>
      </c>
      <c r="BJ2300" t="s">
        <v>85</v>
      </c>
      <c r="BK2300" t="s">
        <v>86</v>
      </c>
      <c r="BL2300" t="s">
        <v>87</v>
      </c>
    </row>
    <row r="2301" spans="1:64" x14ac:dyDescent="0.3">
      <c r="A2301" t="str">
        <f>"201504C0100"</f>
        <v>201504C0100</v>
      </c>
      <c r="B2301" t="str">
        <f>"201504C01003"</f>
        <v>201504C01003</v>
      </c>
      <c r="C2301" t="str">
        <f t="shared" si="141"/>
        <v>20</v>
      </c>
      <c r="D2301" t="s">
        <v>81</v>
      </c>
      <c r="E2301" t="str">
        <f t="shared" si="147"/>
        <v>316</v>
      </c>
      <c r="F2301" t="s">
        <v>2449</v>
      </c>
      <c r="G2301" t="str">
        <f>"1504"</f>
        <v>1504</v>
      </c>
      <c r="H2301" t="str">
        <f>"0001"</f>
        <v>0001</v>
      </c>
      <c r="I2301" t="s">
        <v>89</v>
      </c>
      <c r="J2301">
        <v>0</v>
      </c>
      <c r="K2301">
        <v>1</v>
      </c>
      <c r="L2301">
        <v>3</v>
      </c>
      <c r="M2301">
        <v>272</v>
      </c>
      <c r="N2301">
        <v>229</v>
      </c>
      <c r="O2301">
        <v>6</v>
      </c>
      <c r="P2301">
        <v>230</v>
      </c>
      <c r="Q2301">
        <v>17</v>
      </c>
      <c r="R2301">
        <v>86</v>
      </c>
      <c r="S2301">
        <v>2</v>
      </c>
      <c r="T2301">
        <v>2</v>
      </c>
      <c r="U2301">
        <v>2</v>
      </c>
      <c r="V2301">
        <v>4</v>
      </c>
      <c r="W2301">
        <v>1</v>
      </c>
      <c r="X2301">
        <v>94</v>
      </c>
      <c r="Y2301">
        <v>0</v>
      </c>
      <c r="Z2301">
        <v>0</v>
      </c>
      <c r="AA2301">
        <v>18</v>
      </c>
      <c r="AB2301">
        <v>0</v>
      </c>
      <c r="AR2301">
        <v>3</v>
      </c>
      <c r="AW2301">
        <v>0</v>
      </c>
      <c r="AX2301">
        <v>1</v>
      </c>
      <c r="AY2301">
        <v>230</v>
      </c>
      <c r="AZ2301">
        <v>230</v>
      </c>
      <c r="BA2301">
        <v>458</v>
      </c>
      <c r="BB2301">
        <v>44</v>
      </c>
      <c r="BD2301">
        <v>1</v>
      </c>
      <c r="BF2301" t="s">
        <v>2486</v>
      </c>
      <c r="BG2301" s="1">
        <v>44354.072222222225</v>
      </c>
      <c r="BH2301" s="1">
        <v>44354.081006944441</v>
      </c>
      <c r="BI2301" s="1">
        <v>44354.082812499997</v>
      </c>
      <c r="BJ2301" t="s">
        <v>85</v>
      </c>
      <c r="BK2301" t="s">
        <v>86</v>
      </c>
      <c r="BL2301" t="s">
        <v>87</v>
      </c>
    </row>
    <row r="2302" spans="1:64" x14ac:dyDescent="0.3">
      <c r="A2302" t="str">
        <f>"201505B0000"</f>
        <v>201505B0000</v>
      </c>
      <c r="B2302" t="str">
        <f>"201505B00003"</f>
        <v>201505B00003</v>
      </c>
      <c r="C2302" t="str">
        <f t="shared" si="141"/>
        <v>20</v>
      </c>
      <c r="D2302" t="s">
        <v>81</v>
      </c>
      <c r="E2302" t="str">
        <f t="shared" si="147"/>
        <v>316</v>
      </c>
      <c r="F2302" t="s">
        <v>2449</v>
      </c>
      <c r="G2302" t="str">
        <f t="shared" ref="G2302:G2307" si="148">"1505"</f>
        <v>1505</v>
      </c>
      <c r="H2302" t="str">
        <f>"0000"</f>
        <v>0000</v>
      </c>
      <c r="I2302" t="s">
        <v>83</v>
      </c>
      <c r="J2302">
        <v>0</v>
      </c>
      <c r="K2302">
        <v>1</v>
      </c>
      <c r="L2302">
        <v>3</v>
      </c>
      <c r="M2302">
        <v>381</v>
      </c>
      <c r="N2302">
        <v>309</v>
      </c>
      <c r="O2302">
        <v>3</v>
      </c>
      <c r="P2302">
        <v>309</v>
      </c>
      <c r="Q2302">
        <v>15</v>
      </c>
      <c r="R2302">
        <v>77</v>
      </c>
      <c r="S2302">
        <v>2</v>
      </c>
      <c r="T2302">
        <v>19</v>
      </c>
      <c r="U2302">
        <v>3</v>
      </c>
      <c r="V2302">
        <v>0</v>
      </c>
      <c r="W2302">
        <v>0</v>
      </c>
      <c r="X2302">
        <v>156</v>
      </c>
      <c r="Y2302">
        <v>7</v>
      </c>
      <c r="Z2302">
        <v>2</v>
      </c>
      <c r="AA2302">
        <v>20</v>
      </c>
      <c r="AB2302">
        <v>3</v>
      </c>
      <c r="AR2302">
        <v>0</v>
      </c>
      <c r="AW2302">
        <v>0</v>
      </c>
      <c r="AX2302">
        <v>5</v>
      </c>
      <c r="AY2302">
        <v>309</v>
      </c>
      <c r="AZ2302">
        <v>309</v>
      </c>
      <c r="BA2302">
        <v>646</v>
      </c>
      <c r="BB2302">
        <v>44</v>
      </c>
      <c r="BD2302">
        <v>1</v>
      </c>
      <c r="BF2302" t="s">
        <v>2487</v>
      </c>
      <c r="BG2302" s="1">
        <v>44354.07916666667</v>
      </c>
      <c r="BH2302" s="1">
        <v>44354.089502314811</v>
      </c>
      <c r="BI2302" s="1">
        <v>44354.089988425927</v>
      </c>
      <c r="BJ2302" t="s">
        <v>85</v>
      </c>
      <c r="BK2302" t="s">
        <v>86</v>
      </c>
      <c r="BL2302" t="s">
        <v>87</v>
      </c>
    </row>
    <row r="2303" spans="1:64" x14ac:dyDescent="0.3">
      <c r="A2303" t="str">
        <f>"201505C0100"</f>
        <v>201505C0100</v>
      </c>
      <c r="B2303" t="str">
        <f>"201505C01003"</f>
        <v>201505C01003</v>
      </c>
      <c r="C2303" t="str">
        <f t="shared" si="141"/>
        <v>20</v>
      </c>
      <c r="D2303" t="s">
        <v>81</v>
      </c>
      <c r="E2303" t="str">
        <f t="shared" si="147"/>
        <v>316</v>
      </c>
      <c r="F2303" t="s">
        <v>2449</v>
      </c>
      <c r="G2303" t="str">
        <f t="shared" si="148"/>
        <v>1505</v>
      </c>
      <c r="H2303" t="str">
        <f>"0001"</f>
        <v>0001</v>
      </c>
      <c r="I2303" t="s">
        <v>89</v>
      </c>
      <c r="J2303">
        <v>0</v>
      </c>
      <c r="K2303">
        <v>1</v>
      </c>
      <c r="L2303">
        <v>3</v>
      </c>
      <c r="M2303">
        <v>382</v>
      </c>
      <c r="N2303">
        <v>308</v>
      </c>
      <c r="O2303">
        <v>1</v>
      </c>
      <c r="P2303">
        <v>308</v>
      </c>
      <c r="Q2303">
        <v>9</v>
      </c>
      <c r="R2303">
        <v>103</v>
      </c>
      <c r="S2303">
        <v>1</v>
      </c>
      <c r="T2303">
        <v>12</v>
      </c>
      <c r="U2303">
        <v>2</v>
      </c>
      <c r="V2303">
        <v>4</v>
      </c>
      <c r="W2303">
        <v>0</v>
      </c>
      <c r="X2303">
        <v>151</v>
      </c>
      <c r="Y2303">
        <v>1</v>
      </c>
      <c r="Z2303">
        <v>3</v>
      </c>
      <c r="AA2303">
        <v>9</v>
      </c>
      <c r="AB2303">
        <v>1</v>
      </c>
      <c r="AR2303">
        <v>2</v>
      </c>
      <c r="AW2303">
        <v>0</v>
      </c>
      <c r="AX2303">
        <v>10</v>
      </c>
      <c r="AY2303">
        <v>308</v>
      </c>
      <c r="AZ2303">
        <v>308</v>
      </c>
      <c r="BA2303">
        <v>646</v>
      </c>
      <c r="BB2303">
        <v>44</v>
      </c>
      <c r="BD2303">
        <v>1</v>
      </c>
      <c r="BF2303" t="s">
        <v>2488</v>
      </c>
      <c r="BG2303" s="1">
        <v>44354.07916666667</v>
      </c>
      <c r="BH2303" s="1">
        <v>44354.088692129626</v>
      </c>
      <c r="BI2303" s="1">
        <v>44354.089131944442</v>
      </c>
      <c r="BJ2303" t="s">
        <v>85</v>
      </c>
      <c r="BK2303" t="s">
        <v>86</v>
      </c>
      <c r="BL2303" t="s">
        <v>87</v>
      </c>
    </row>
    <row r="2304" spans="1:64" x14ac:dyDescent="0.3">
      <c r="A2304" t="str">
        <f>"201505C0200"</f>
        <v>201505C0200</v>
      </c>
      <c r="B2304" t="str">
        <f>"201505C02003"</f>
        <v>201505C02003</v>
      </c>
      <c r="C2304" t="str">
        <f t="shared" si="141"/>
        <v>20</v>
      </c>
      <c r="D2304" t="s">
        <v>81</v>
      </c>
      <c r="E2304" t="str">
        <f t="shared" si="147"/>
        <v>316</v>
      </c>
      <c r="F2304" t="s">
        <v>2449</v>
      </c>
      <c r="G2304" t="str">
        <f t="shared" si="148"/>
        <v>1505</v>
      </c>
      <c r="H2304" t="str">
        <f>"0002"</f>
        <v>0002</v>
      </c>
      <c r="I2304" t="s">
        <v>89</v>
      </c>
      <c r="J2304">
        <v>0</v>
      </c>
      <c r="K2304">
        <v>1</v>
      </c>
      <c r="L2304">
        <v>3</v>
      </c>
      <c r="M2304">
        <v>370</v>
      </c>
      <c r="N2304">
        <v>320</v>
      </c>
      <c r="O2304">
        <v>7</v>
      </c>
      <c r="P2304">
        <v>320</v>
      </c>
      <c r="Q2304">
        <v>5</v>
      </c>
      <c r="R2304">
        <v>110</v>
      </c>
      <c r="S2304">
        <v>1</v>
      </c>
      <c r="T2304">
        <v>9</v>
      </c>
      <c r="U2304">
        <v>2</v>
      </c>
      <c r="V2304">
        <v>1</v>
      </c>
      <c r="W2304">
        <v>0</v>
      </c>
      <c r="X2304">
        <v>160</v>
      </c>
      <c r="Y2304">
        <v>14</v>
      </c>
      <c r="Z2304">
        <v>0</v>
      </c>
      <c r="AA2304">
        <v>9</v>
      </c>
      <c r="AB2304">
        <v>2</v>
      </c>
      <c r="AR2304">
        <v>1</v>
      </c>
      <c r="AW2304">
        <v>0</v>
      </c>
      <c r="AX2304">
        <v>6</v>
      </c>
      <c r="AY2304">
        <v>320</v>
      </c>
      <c r="AZ2304">
        <v>320</v>
      </c>
      <c r="BA2304">
        <v>646</v>
      </c>
      <c r="BB2304">
        <v>44</v>
      </c>
      <c r="BD2304">
        <v>1</v>
      </c>
      <c r="BF2304" t="s">
        <v>2489</v>
      </c>
      <c r="BG2304" s="1">
        <v>44354.078472222223</v>
      </c>
      <c r="BH2304" s="1">
        <v>44354.08935185185</v>
      </c>
      <c r="BI2304" s="1">
        <v>44354.089942129627</v>
      </c>
      <c r="BJ2304" t="s">
        <v>85</v>
      </c>
      <c r="BK2304" t="s">
        <v>86</v>
      </c>
      <c r="BL2304" t="s">
        <v>87</v>
      </c>
    </row>
    <row r="2305" spans="1:64" x14ac:dyDescent="0.3">
      <c r="A2305" t="str">
        <f>"201505C0300"</f>
        <v>201505C0300</v>
      </c>
      <c r="B2305" t="str">
        <f>"201505C03003"</f>
        <v>201505C03003</v>
      </c>
      <c r="C2305" t="str">
        <f t="shared" si="141"/>
        <v>20</v>
      </c>
      <c r="D2305" t="s">
        <v>81</v>
      </c>
      <c r="E2305" t="str">
        <f t="shared" si="147"/>
        <v>316</v>
      </c>
      <c r="F2305" t="s">
        <v>2449</v>
      </c>
      <c r="G2305" t="str">
        <f t="shared" si="148"/>
        <v>1505</v>
      </c>
      <c r="H2305" t="str">
        <f>"0003"</f>
        <v>0003</v>
      </c>
      <c r="I2305" t="s">
        <v>89</v>
      </c>
      <c r="J2305">
        <v>0</v>
      </c>
      <c r="K2305">
        <v>1</v>
      </c>
      <c r="L2305">
        <v>3</v>
      </c>
      <c r="M2305">
        <v>360</v>
      </c>
      <c r="N2305">
        <v>329</v>
      </c>
      <c r="O2305">
        <v>5</v>
      </c>
      <c r="P2305">
        <v>329</v>
      </c>
      <c r="Q2305">
        <v>8</v>
      </c>
      <c r="R2305">
        <v>95</v>
      </c>
      <c r="S2305">
        <v>2</v>
      </c>
      <c r="T2305">
        <v>10</v>
      </c>
      <c r="U2305">
        <v>4</v>
      </c>
      <c r="V2305">
        <v>3</v>
      </c>
      <c r="W2305">
        <v>2</v>
      </c>
      <c r="X2305">
        <v>174</v>
      </c>
      <c r="Y2305">
        <v>8</v>
      </c>
      <c r="Z2305">
        <v>2</v>
      </c>
      <c r="AA2305">
        <v>10</v>
      </c>
      <c r="AB2305">
        <v>1</v>
      </c>
      <c r="AR2305">
        <v>1</v>
      </c>
      <c r="AW2305">
        <v>0</v>
      </c>
      <c r="AX2305">
        <v>9</v>
      </c>
      <c r="AY2305">
        <v>329</v>
      </c>
      <c r="AZ2305">
        <v>329</v>
      </c>
      <c r="BA2305">
        <v>645</v>
      </c>
      <c r="BB2305">
        <v>44</v>
      </c>
      <c r="BD2305">
        <v>1</v>
      </c>
      <c r="BF2305" t="s">
        <v>2490</v>
      </c>
      <c r="BG2305" s="1">
        <v>44354.078472222223</v>
      </c>
      <c r="BH2305" s="1">
        <v>44354.088622685187</v>
      </c>
      <c r="BI2305" s="1">
        <v>44354.089155092595</v>
      </c>
      <c r="BJ2305" t="s">
        <v>85</v>
      </c>
      <c r="BK2305" t="s">
        <v>86</v>
      </c>
      <c r="BL2305" t="s">
        <v>87</v>
      </c>
    </row>
    <row r="2306" spans="1:64" x14ac:dyDescent="0.3">
      <c r="A2306" t="str">
        <f>"201505C0400"</f>
        <v>201505C0400</v>
      </c>
      <c r="B2306" t="str">
        <f>"201505C04003"</f>
        <v>201505C04003</v>
      </c>
      <c r="C2306" t="str">
        <f t="shared" si="141"/>
        <v>20</v>
      </c>
      <c r="D2306" t="s">
        <v>81</v>
      </c>
      <c r="E2306" t="str">
        <f t="shared" si="147"/>
        <v>316</v>
      </c>
      <c r="F2306" t="s">
        <v>2449</v>
      </c>
      <c r="G2306" t="str">
        <f t="shared" si="148"/>
        <v>1505</v>
      </c>
      <c r="H2306" t="str">
        <f>"0004"</f>
        <v>0004</v>
      </c>
      <c r="I2306" t="s">
        <v>89</v>
      </c>
      <c r="J2306">
        <v>0</v>
      </c>
      <c r="K2306">
        <v>1</v>
      </c>
      <c r="L2306">
        <v>3</v>
      </c>
      <c r="M2306">
        <v>425</v>
      </c>
      <c r="N2306">
        <v>264</v>
      </c>
      <c r="O2306">
        <v>2</v>
      </c>
      <c r="P2306">
        <v>264</v>
      </c>
      <c r="Q2306">
        <v>6</v>
      </c>
      <c r="R2306">
        <v>84</v>
      </c>
      <c r="S2306">
        <v>1</v>
      </c>
      <c r="T2306">
        <v>10</v>
      </c>
      <c r="U2306">
        <v>0</v>
      </c>
      <c r="V2306">
        <v>6</v>
      </c>
      <c r="W2306">
        <v>1</v>
      </c>
      <c r="X2306">
        <v>136</v>
      </c>
      <c r="Y2306">
        <v>6</v>
      </c>
      <c r="Z2306">
        <v>2</v>
      </c>
      <c r="AA2306">
        <v>7</v>
      </c>
      <c r="AB2306">
        <v>1</v>
      </c>
      <c r="AR2306">
        <v>0</v>
      </c>
      <c r="AW2306">
        <v>0</v>
      </c>
      <c r="AX2306">
        <v>4</v>
      </c>
      <c r="AY2306">
        <v>264</v>
      </c>
      <c r="AZ2306">
        <v>264</v>
      </c>
      <c r="BA2306">
        <v>645</v>
      </c>
      <c r="BB2306">
        <v>44</v>
      </c>
      <c r="BD2306">
        <v>1</v>
      </c>
      <c r="BF2306" t="s">
        <v>2491</v>
      </c>
      <c r="BG2306" s="1">
        <v>44354.077777777777</v>
      </c>
      <c r="BH2306" s="1">
        <v>44354.086134259262</v>
      </c>
      <c r="BI2306" s="1">
        <v>44354.086469907408</v>
      </c>
      <c r="BJ2306" t="s">
        <v>85</v>
      </c>
      <c r="BK2306" t="s">
        <v>86</v>
      </c>
      <c r="BL2306" t="s">
        <v>87</v>
      </c>
    </row>
    <row r="2307" spans="1:64" x14ac:dyDescent="0.3">
      <c r="A2307" t="str">
        <f>"201505C0500"</f>
        <v>201505C0500</v>
      </c>
      <c r="B2307" t="str">
        <f>"201505C05003"</f>
        <v>201505C05003</v>
      </c>
      <c r="C2307" t="str">
        <f t="shared" si="141"/>
        <v>20</v>
      </c>
      <c r="D2307" t="s">
        <v>81</v>
      </c>
      <c r="E2307" t="str">
        <f t="shared" si="147"/>
        <v>316</v>
      </c>
      <c r="F2307" t="s">
        <v>2449</v>
      </c>
      <c r="G2307" t="str">
        <f t="shared" si="148"/>
        <v>1505</v>
      </c>
      <c r="H2307" t="str">
        <f>"0005"</f>
        <v>0005</v>
      </c>
      <c r="I2307" t="s">
        <v>89</v>
      </c>
      <c r="J2307">
        <v>0</v>
      </c>
      <c r="K2307">
        <v>1</v>
      </c>
      <c r="L2307">
        <v>3</v>
      </c>
      <c r="M2307">
        <v>383</v>
      </c>
      <c r="N2307">
        <v>305</v>
      </c>
      <c r="O2307">
        <v>3</v>
      </c>
      <c r="P2307">
        <v>305</v>
      </c>
      <c r="Q2307">
        <v>9</v>
      </c>
      <c r="R2307">
        <v>89</v>
      </c>
      <c r="S2307">
        <v>2</v>
      </c>
      <c r="T2307">
        <v>12</v>
      </c>
      <c r="U2307">
        <v>1</v>
      </c>
      <c r="V2307">
        <v>5</v>
      </c>
      <c r="W2307">
        <v>1</v>
      </c>
      <c r="X2307">
        <v>157</v>
      </c>
      <c r="Y2307">
        <v>5</v>
      </c>
      <c r="Z2307">
        <v>1</v>
      </c>
      <c r="AA2307">
        <v>15</v>
      </c>
      <c r="AB2307">
        <v>2</v>
      </c>
      <c r="AR2307">
        <v>1</v>
      </c>
      <c r="AW2307">
        <v>0</v>
      </c>
      <c r="AX2307">
        <v>5</v>
      </c>
      <c r="AY2307">
        <v>305</v>
      </c>
      <c r="AZ2307">
        <v>305</v>
      </c>
      <c r="BA2307">
        <v>645</v>
      </c>
      <c r="BB2307">
        <v>44</v>
      </c>
      <c r="BD2307">
        <v>1</v>
      </c>
      <c r="BF2307" t="s">
        <v>2492</v>
      </c>
      <c r="BG2307" s="1">
        <v>44354.07708333333</v>
      </c>
      <c r="BH2307" s="1">
        <v>44354.085775462961</v>
      </c>
      <c r="BI2307" s="1">
        <v>44354.086331018516</v>
      </c>
      <c r="BJ2307" t="s">
        <v>85</v>
      </c>
      <c r="BK2307" t="s">
        <v>86</v>
      </c>
      <c r="BL2307" t="s">
        <v>87</v>
      </c>
    </row>
    <row r="2308" spans="1:64" x14ac:dyDescent="0.3">
      <c r="A2308" t="str">
        <f>"201506B0000"</f>
        <v>201506B0000</v>
      </c>
      <c r="B2308" t="str">
        <f>"201506B00003"</f>
        <v>201506B00003</v>
      </c>
      <c r="C2308" t="str">
        <f t="shared" si="141"/>
        <v>20</v>
      </c>
      <c r="D2308" t="s">
        <v>81</v>
      </c>
      <c r="E2308" t="str">
        <f t="shared" si="147"/>
        <v>316</v>
      </c>
      <c r="F2308" t="s">
        <v>2449</v>
      </c>
      <c r="G2308" t="str">
        <f>"1506"</f>
        <v>1506</v>
      </c>
      <c r="H2308" t="str">
        <f>"0000"</f>
        <v>0000</v>
      </c>
      <c r="I2308" t="s">
        <v>83</v>
      </c>
      <c r="J2308">
        <v>0</v>
      </c>
      <c r="K2308">
        <v>1</v>
      </c>
      <c r="L2308">
        <v>3</v>
      </c>
      <c r="M2308">
        <v>318</v>
      </c>
      <c r="N2308">
        <v>294</v>
      </c>
      <c r="O2308">
        <v>7</v>
      </c>
      <c r="P2308">
        <v>292</v>
      </c>
      <c r="Q2308">
        <v>3</v>
      </c>
      <c r="R2308">
        <v>88</v>
      </c>
      <c r="S2308">
        <v>2</v>
      </c>
      <c r="T2308">
        <v>14</v>
      </c>
      <c r="U2308">
        <v>3</v>
      </c>
      <c r="V2308">
        <v>5</v>
      </c>
      <c r="W2308">
        <v>0</v>
      </c>
      <c r="X2308">
        <v>156</v>
      </c>
      <c r="Y2308">
        <v>0</v>
      </c>
      <c r="Z2308">
        <v>1</v>
      </c>
      <c r="AA2308">
        <v>9</v>
      </c>
      <c r="AB2308">
        <v>0</v>
      </c>
      <c r="AR2308">
        <v>0</v>
      </c>
      <c r="AW2308">
        <v>0</v>
      </c>
      <c r="AX2308">
        <v>11</v>
      </c>
      <c r="AY2308">
        <v>292</v>
      </c>
      <c r="AZ2308">
        <v>292</v>
      </c>
      <c r="BA2308">
        <v>568</v>
      </c>
      <c r="BB2308">
        <v>44</v>
      </c>
      <c r="BD2308">
        <v>1</v>
      </c>
      <c r="BF2308" t="s">
        <v>2493</v>
      </c>
      <c r="BG2308" s="1">
        <v>44354.075694444444</v>
      </c>
      <c r="BH2308" s="1">
        <v>44354.083483796298</v>
      </c>
      <c r="BI2308" s="1">
        <v>44354.08388888889</v>
      </c>
      <c r="BJ2308" t="s">
        <v>85</v>
      </c>
      <c r="BK2308" t="s">
        <v>86</v>
      </c>
      <c r="BL2308" t="s">
        <v>87</v>
      </c>
    </row>
    <row r="2309" spans="1:64" x14ac:dyDescent="0.3">
      <c r="A2309" t="str">
        <f>"201506C0100"</f>
        <v>201506C0100</v>
      </c>
      <c r="B2309" t="str">
        <f>"201506C01003"</f>
        <v>201506C01003</v>
      </c>
      <c r="C2309" t="str">
        <f t="shared" si="141"/>
        <v>20</v>
      </c>
      <c r="D2309" t="s">
        <v>81</v>
      </c>
      <c r="E2309" t="str">
        <f t="shared" si="147"/>
        <v>316</v>
      </c>
      <c r="F2309" t="s">
        <v>2449</v>
      </c>
      <c r="G2309" t="str">
        <f>"1506"</f>
        <v>1506</v>
      </c>
      <c r="H2309" t="str">
        <f>"0001"</f>
        <v>0001</v>
      </c>
      <c r="I2309" t="s">
        <v>89</v>
      </c>
      <c r="J2309">
        <v>0</v>
      </c>
      <c r="K2309">
        <v>1</v>
      </c>
      <c r="L2309">
        <v>3</v>
      </c>
      <c r="M2309">
        <v>329</v>
      </c>
      <c r="N2309">
        <v>283</v>
      </c>
      <c r="O2309">
        <v>6</v>
      </c>
      <c r="P2309">
        <v>283</v>
      </c>
      <c r="Q2309">
        <v>7</v>
      </c>
      <c r="R2309">
        <v>97</v>
      </c>
      <c r="S2309">
        <v>2</v>
      </c>
      <c r="T2309">
        <v>3</v>
      </c>
      <c r="U2309">
        <v>2</v>
      </c>
      <c r="V2309">
        <v>3</v>
      </c>
      <c r="W2309">
        <v>3</v>
      </c>
      <c r="X2309">
        <v>146</v>
      </c>
      <c r="Y2309">
        <v>3</v>
      </c>
      <c r="Z2309">
        <v>0</v>
      </c>
      <c r="AA2309">
        <v>10</v>
      </c>
      <c r="AB2309">
        <v>0</v>
      </c>
      <c r="AR2309">
        <v>3</v>
      </c>
      <c r="AW2309">
        <v>0</v>
      </c>
      <c r="AX2309">
        <v>4</v>
      </c>
      <c r="AY2309">
        <v>283</v>
      </c>
      <c r="AZ2309">
        <v>283</v>
      </c>
      <c r="BA2309">
        <v>568</v>
      </c>
      <c r="BB2309">
        <v>44</v>
      </c>
      <c r="BD2309">
        <v>1</v>
      </c>
      <c r="BF2309" t="s">
        <v>2494</v>
      </c>
      <c r="BG2309" s="1">
        <v>44354.076388888891</v>
      </c>
      <c r="BH2309" s="1">
        <v>44354.084745370368</v>
      </c>
      <c r="BI2309" s="1">
        <v>44354.085162037038</v>
      </c>
      <c r="BJ2309" t="s">
        <v>85</v>
      </c>
      <c r="BK2309" t="s">
        <v>86</v>
      </c>
      <c r="BL2309" t="s">
        <v>87</v>
      </c>
    </row>
    <row r="2310" spans="1:64" x14ac:dyDescent="0.3">
      <c r="A2310" t="str">
        <f>"201506C0200"</f>
        <v>201506C0200</v>
      </c>
      <c r="B2310" t="str">
        <f>"201506C02003"</f>
        <v>201506C02003</v>
      </c>
      <c r="C2310" t="str">
        <f t="shared" si="141"/>
        <v>20</v>
      </c>
      <c r="D2310" t="s">
        <v>81</v>
      </c>
      <c r="E2310" t="str">
        <f t="shared" si="147"/>
        <v>316</v>
      </c>
      <c r="F2310" t="s">
        <v>2449</v>
      </c>
      <c r="G2310" t="str">
        <f>"1506"</f>
        <v>1506</v>
      </c>
      <c r="H2310" t="str">
        <f>"0002"</f>
        <v>0002</v>
      </c>
      <c r="I2310" t="s">
        <v>89</v>
      </c>
      <c r="J2310">
        <v>0</v>
      </c>
      <c r="K2310">
        <v>1</v>
      </c>
      <c r="L2310">
        <v>3</v>
      </c>
      <c r="M2310">
        <v>326</v>
      </c>
      <c r="N2310">
        <v>286</v>
      </c>
      <c r="O2310">
        <v>6</v>
      </c>
      <c r="P2310">
        <v>286</v>
      </c>
      <c r="Q2310">
        <v>14</v>
      </c>
      <c r="R2310">
        <v>112</v>
      </c>
      <c r="S2310">
        <v>1</v>
      </c>
      <c r="T2310">
        <v>6</v>
      </c>
      <c r="U2310">
        <v>1</v>
      </c>
      <c r="V2310">
        <v>10</v>
      </c>
      <c r="W2310">
        <v>1</v>
      </c>
      <c r="X2310">
        <v>122</v>
      </c>
      <c r="Y2310">
        <v>0</v>
      </c>
      <c r="Z2310">
        <v>2</v>
      </c>
      <c r="AA2310">
        <v>11</v>
      </c>
      <c r="AB2310">
        <v>1</v>
      </c>
      <c r="AR2310">
        <v>0</v>
      </c>
      <c r="AW2310">
        <v>0</v>
      </c>
      <c r="AX2310">
        <v>5</v>
      </c>
      <c r="AY2310">
        <v>286</v>
      </c>
      <c r="AZ2310">
        <v>286</v>
      </c>
      <c r="BA2310">
        <v>568</v>
      </c>
      <c r="BB2310">
        <v>44</v>
      </c>
      <c r="BD2310">
        <v>1</v>
      </c>
      <c r="BF2310" t="s">
        <v>2495</v>
      </c>
      <c r="BG2310" s="1">
        <v>44354.07708333333</v>
      </c>
      <c r="BH2310" s="1">
        <v>44354.085405092592</v>
      </c>
      <c r="BI2310" s="1">
        <v>44354.086215277777</v>
      </c>
      <c r="BJ2310" t="s">
        <v>85</v>
      </c>
      <c r="BK2310" t="s">
        <v>86</v>
      </c>
      <c r="BL2310" t="s">
        <v>87</v>
      </c>
    </row>
    <row r="2311" spans="1:64" x14ac:dyDescent="0.3">
      <c r="A2311" t="str">
        <f>"201506C0300"</f>
        <v>201506C0300</v>
      </c>
      <c r="B2311" t="str">
        <f>"201506C03003"</f>
        <v>201506C03003</v>
      </c>
      <c r="C2311" t="str">
        <f t="shared" ref="C2311:C2374" si="149">"20"</f>
        <v>20</v>
      </c>
      <c r="D2311" t="s">
        <v>81</v>
      </c>
      <c r="E2311" t="str">
        <f t="shared" si="147"/>
        <v>316</v>
      </c>
      <c r="F2311" t="s">
        <v>2449</v>
      </c>
      <c r="G2311" t="str">
        <f>"1506"</f>
        <v>1506</v>
      </c>
      <c r="H2311" t="str">
        <f>"0003"</f>
        <v>0003</v>
      </c>
      <c r="I2311" t="s">
        <v>89</v>
      </c>
      <c r="J2311">
        <v>0</v>
      </c>
      <c r="K2311">
        <v>1</v>
      </c>
      <c r="L2311">
        <v>3</v>
      </c>
      <c r="M2311">
        <v>327</v>
      </c>
      <c r="N2311">
        <v>285</v>
      </c>
      <c r="O2311">
        <v>7</v>
      </c>
      <c r="P2311">
        <v>285</v>
      </c>
      <c r="Q2311">
        <v>8</v>
      </c>
      <c r="R2311">
        <v>95</v>
      </c>
      <c r="S2311">
        <v>7</v>
      </c>
      <c r="T2311">
        <v>3</v>
      </c>
      <c r="U2311">
        <v>0</v>
      </c>
      <c r="V2311">
        <v>7</v>
      </c>
      <c r="W2311">
        <v>1</v>
      </c>
      <c r="X2311">
        <v>143</v>
      </c>
      <c r="Y2311">
        <v>1</v>
      </c>
      <c r="Z2311">
        <v>2</v>
      </c>
      <c r="AA2311">
        <v>7</v>
      </c>
      <c r="AB2311">
        <v>0</v>
      </c>
      <c r="AR2311">
        <v>1</v>
      </c>
      <c r="AW2311">
        <v>0</v>
      </c>
      <c r="AX2311">
        <v>10</v>
      </c>
      <c r="AY2311">
        <v>285</v>
      </c>
      <c r="AZ2311">
        <v>285</v>
      </c>
      <c r="BA2311">
        <v>568</v>
      </c>
      <c r="BB2311">
        <v>44</v>
      </c>
      <c r="BD2311">
        <v>1</v>
      </c>
      <c r="BF2311" t="s">
        <v>2496</v>
      </c>
      <c r="BG2311" s="1">
        <v>44354.352777777778</v>
      </c>
      <c r="BH2311" s="1">
        <v>44354.357858796298</v>
      </c>
      <c r="BI2311" s="1">
        <v>44354.358842592592</v>
      </c>
      <c r="BJ2311" t="s">
        <v>85</v>
      </c>
      <c r="BK2311" t="s">
        <v>86</v>
      </c>
      <c r="BL2311" t="s">
        <v>87</v>
      </c>
    </row>
    <row r="2312" spans="1:64" x14ac:dyDescent="0.3">
      <c r="A2312" t="str">
        <f>"201506S0100"</f>
        <v>201506S0100</v>
      </c>
      <c r="B2312" t="str">
        <f>"201506S01003E"</f>
        <v>201506S01003E</v>
      </c>
      <c r="C2312" t="str">
        <f t="shared" si="149"/>
        <v>20</v>
      </c>
      <c r="D2312" t="s">
        <v>81</v>
      </c>
      <c r="E2312" t="str">
        <f t="shared" si="147"/>
        <v>316</v>
      </c>
      <c r="F2312" t="s">
        <v>2449</v>
      </c>
      <c r="G2312" t="str">
        <f>"1506"</f>
        <v>1506</v>
      </c>
      <c r="H2312" t="str">
        <f>"0001"</f>
        <v>0001</v>
      </c>
      <c r="I2312" t="s">
        <v>99</v>
      </c>
      <c r="J2312">
        <v>0</v>
      </c>
      <c r="K2312">
        <v>1</v>
      </c>
      <c r="L2312" t="s">
        <v>100</v>
      </c>
      <c r="M2312">
        <v>967</v>
      </c>
      <c r="N2312">
        <v>33</v>
      </c>
      <c r="O2312">
        <v>0</v>
      </c>
      <c r="P2312">
        <v>33</v>
      </c>
      <c r="Q2312">
        <v>0</v>
      </c>
      <c r="R2312">
        <v>15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14</v>
      </c>
      <c r="Y2312">
        <v>0</v>
      </c>
      <c r="Z2312">
        <v>1</v>
      </c>
      <c r="AA2312">
        <v>2</v>
      </c>
      <c r="AB2312">
        <v>0</v>
      </c>
      <c r="AR2312">
        <v>0</v>
      </c>
      <c r="AW2312">
        <v>0</v>
      </c>
      <c r="AX2312">
        <v>0</v>
      </c>
      <c r="AY2312">
        <v>33</v>
      </c>
      <c r="AZ2312">
        <v>33</v>
      </c>
      <c r="BA2312">
        <v>0</v>
      </c>
      <c r="BB2312">
        <v>44</v>
      </c>
      <c r="BD2312">
        <v>1</v>
      </c>
      <c r="BF2312" t="s">
        <v>2497</v>
      </c>
      <c r="BG2312" s="1">
        <v>44354.074305555558</v>
      </c>
      <c r="BH2312" s="1">
        <v>44354.082245370373</v>
      </c>
      <c r="BI2312" s="1">
        <v>44354.082604166666</v>
      </c>
      <c r="BJ2312" t="s">
        <v>85</v>
      </c>
      <c r="BK2312" t="s">
        <v>86</v>
      </c>
      <c r="BL2312" t="s">
        <v>87</v>
      </c>
    </row>
    <row r="2313" spans="1:64" x14ac:dyDescent="0.3">
      <c r="A2313" t="str">
        <f>"201507B0000"</f>
        <v>201507B0000</v>
      </c>
      <c r="B2313" t="str">
        <f>"201507B00003"</f>
        <v>201507B00003</v>
      </c>
      <c r="C2313" t="str">
        <f t="shared" si="149"/>
        <v>20</v>
      </c>
      <c r="D2313" t="s">
        <v>81</v>
      </c>
      <c r="E2313" t="str">
        <f t="shared" si="147"/>
        <v>316</v>
      </c>
      <c r="F2313" t="s">
        <v>2449</v>
      </c>
      <c r="G2313" t="str">
        <f>"1507"</f>
        <v>1507</v>
      </c>
      <c r="H2313" t="str">
        <f>"0000"</f>
        <v>0000</v>
      </c>
      <c r="I2313" t="s">
        <v>83</v>
      </c>
      <c r="J2313">
        <v>0</v>
      </c>
      <c r="K2313">
        <v>1</v>
      </c>
      <c r="L2313">
        <v>3</v>
      </c>
      <c r="M2313">
        <v>264</v>
      </c>
      <c r="N2313">
        <v>295</v>
      </c>
      <c r="O2313">
        <v>3</v>
      </c>
      <c r="P2313">
        <v>294</v>
      </c>
      <c r="Q2313">
        <v>5</v>
      </c>
      <c r="R2313">
        <v>103</v>
      </c>
      <c r="S2313">
        <v>2</v>
      </c>
      <c r="T2313">
        <v>13</v>
      </c>
      <c r="U2313">
        <v>1</v>
      </c>
      <c r="V2313">
        <v>7</v>
      </c>
      <c r="W2313">
        <v>0</v>
      </c>
      <c r="X2313">
        <v>128</v>
      </c>
      <c r="Y2313">
        <v>2</v>
      </c>
      <c r="Z2313">
        <v>0</v>
      </c>
      <c r="AA2313">
        <v>26</v>
      </c>
      <c r="AB2313">
        <v>1</v>
      </c>
      <c r="AR2313">
        <v>2</v>
      </c>
      <c r="AW2313">
        <v>0</v>
      </c>
      <c r="AX2313">
        <v>4</v>
      </c>
      <c r="AY2313">
        <v>294</v>
      </c>
      <c r="AZ2313">
        <v>294</v>
      </c>
      <c r="BA2313">
        <v>515</v>
      </c>
      <c r="BB2313">
        <v>44</v>
      </c>
      <c r="BD2313">
        <v>1</v>
      </c>
      <c r="BF2313" t="s">
        <v>2498</v>
      </c>
      <c r="BG2313" s="1">
        <v>44354</v>
      </c>
      <c r="BH2313" s="1">
        <v>44354.007141203707</v>
      </c>
      <c r="BI2313" s="1">
        <v>44354.007662037038</v>
      </c>
      <c r="BJ2313" t="s">
        <v>85</v>
      </c>
      <c r="BK2313" t="s">
        <v>86</v>
      </c>
      <c r="BL2313" t="s">
        <v>87</v>
      </c>
    </row>
    <row r="2314" spans="1:64" x14ac:dyDescent="0.3">
      <c r="A2314" t="str">
        <f>"201507C0100"</f>
        <v>201507C0100</v>
      </c>
      <c r="B2314" t="str">
        <f>"201507C01003"</f>
        <v>201507C01003</v>
      </c>
      <c r="C2314" t="str">
        <f t="shared" si="149"/>
        <v>20</v>
      </c>
      <c r="D2314" t="s">
        <v>81</v>
      </c>
      <c r="E2314" t="str">
        <f t="shared" si="147"/>
        <v>316</v>
      </c>
      <c r="F2314" t="s">
        <v>2449</v>
      </c>
      <c r="G2314" t="str">
        <f>"1507"</f>
        <v>1507</v>
      </c>
      <c r="H2314" t="str">
        <f>"0001"</f>
        <v>0001</v>
      </c>
      <c r="I2314" t="s">
        <v>89</v>
      </c>
      <c r="J2314">
        <v>0</v>
      </c>
      <c r="K2314">
        <v>1</v>
      </c>
      <c r="L2314">
        <v>3</v>
      </c>
      <c r="M2314">
        <v>302</v>
      </c>
      <c r="N2314">
        <v>257</v>
      </c>
      <c r="O2314">
        <v>5</v>
      </c>
      <c r="P2314">
        <v>257</v>
      </c>
      <c r="Q2314">
        <v>7</v>
      </c>
      <c r="R2314">
        <v>74</v>
      </c>
      <c r="S2314">
        <v>5</v>
      </c>
      <c r="T2314">
        <v>3</v>
      </c>
      <c r="U2314">
        <v>2</v>
      </c>
      <c r="V2314">
        <v>5</v>
      </c>
      <c r="W2314">
        <v>0</v>
      </c>
      <c r="X2314">
        <v>140</v>
      </c>
      <c r="Y2314">
        <v>1</v>
      </c>
      <c r="Z2314">
        <v>3</v>
      </c>
      <c r="AA2314">
        <v>11</v>
      </c>
      <c r="AB2314">
        <v>0</v>
      </c>
      <c r="AR2314">
        <v>1</v>
      </c>
      <c r="AW2314">
        <v>0</v>
      </c>
      <c r="AX2314">
        <v>5</v>
      </c>
      <c r="AY2314">
        <v>257</v>
      </c>
      <c r="AZ2314">
        <v>257</v>
      </c>
      <c r="BA2314">
        <v>515</v>
      </c>
      <c r="BB2314">
        <v>44</v>
      </c>
      <c r="BD2314">
        <v>1</v>
      </c>
      <c r="BF2314" t="s">
        <v>2499</v>
      </c>
      <c r="BG2314" s="1">
        <v>44353.999305555553</v>
      </c>
      <c r="BH2314" s="1">
        <v>44354.008217592593</v>
      </c>
      <c r="BI2314" s="1">
        <v>44354.008773148147</v>
      </c>
      <c r="BJ2314" t="s">
        <v>85</v>
      </c>
      <c r="BK2314" t="s">
        <v>86</v>
      </c>
      <c r="BL2314" t="s">
        <v>87</v>
      </c>
    </row>
    <row r="2315" spans="1:64" x14ac:dyDescent="0.3">
      <c r="A2315" t="str">
        <f>"201507C0200"</f>
        <v>201507C0200</v>
      </c>
      <c r="B2315" t="str">
        <f>"201507C02003"</f>
        <v>201507C02003</v>
      </c>
      <c r="C2315" t="str">
        <f t="shared" si="149"/>
        <v>20</v>
      </c>
      <c r="D2315" t="s">
        <v>81</v>
      </c>
      <c r="E2315" t="str">
        <f t="shared" si="147"/>
        <v>316</v>
      </c>
      <c r="F2315" t="s">
        <v>2449</v>
      </c>
      <c r="G2315" t="str">
        <f>"1507"</f>
        <v>1507</v>
      </c>
      <c r="H2315" t="str">
        <f>"0002"</f>
        <v>0002</v>
      </c>
      <c r="I2315" t="s">
        <v>89</v>
      </c>
      <c r="J2315">
        <v>0</v>
      </c>
      <c r="K2315">
        <v>1</v>
      </c>
      <c r="L2315">
        <v>3</v>
      </c>
      <c r="M2315">
        <v>287</v>
      </c>
      <c r="N2315">
        <v>272</v>
      </c>
      <c r="O2315">
        <v>3</v>
      </c>
      <c r="P2315">
        <v>272</v>
      </c>
      <c r="Q2315">
        <v>8</v>
      </c>
      <c r="R2315">
        <v>95</v>
      </c>
      <c r="S2315">
        <v>2</v>
      </c>
      <c r="T2315">
        <v>3</v>
      </c>
      <c r="U2315">
        <v>0</v>
      </c>
      <c r="V2315">
        <v>5</v>
      </c>
      <c r="W2315">
        <v>0</v>
      </c>
      <c r="X2315">
        <v>142</v>
      </c>
      <c r="Y2315">
        <v>2</v>
      </c>
      <c r="Z2315">
        <v>2</v>
      </c>
      <c r="AA2315">
        <v>7</v>
      </c>
      <c r="AB2315">
        <v>0</v>
      </c>
      <c r="AR2315">
        <v>0</v>
      </c>
      <c r="AW2315">
        <v>0</v>
      </c>
      <c r="AX2315">
        <v>6</v>
      </c>
      <c r="AY2315">
        <v>272</v>
      </c>
      <c r="AZ2315">
        <v>272</v>
      </c>
      <c r="BA2315">
        <v>515</v>
      </c>
      <c r="BB2315">
        <v>44</v>
      </c>
      <c r="BD2315">
        <v>1</v>
      </c>
      <c r="BF2315" t="s">
        <v>2500</v>
      </c>
      <c r="BG2315" s="1">
        <v>44353.998611111114</v>
      </c>
      <c r="BH2315" s="1">
        <v>44354.008090277777</v>
      </c>
      <c r="BI2315" s="1">
        <v>44354.008692129632</v>
      </c>
      <c r="BJ2315" t="s">
        <v>85</v>
      </c>
      <c r="BK2315" t="s">
        <v>86</v>
      </c>
      <c r="BL2315" t="s">
        <v>87</v>
      </c>
    </row>
    <row r="2316" spans="1:64" x14ac:dyDescent="0.3">
      <c r="A2316" t="str">
        <f>"201508B0000"</f>
        <v>201508B0000</v>
      </c>
      <c r="B2316" t="str">
        <f>"201508B00003"</f>
        <v>201508B00003</v>
      </c>
      <c r="C2316" t="str">
        <f t="shared" si="149"/>
        <v>20</v>
      </c>
      <c r="D2316" t="s">
        <v>81</v>
      </c>
      <c r="E2316" t="str">
        <f t="shared" si="147"/>
        <v>316</v>
      </c>
      <c r="F2316" t="s">
        <v>2449</v>
      </c>
      <c r="G2316" t="str">
        <f>"1508"</f>
        <v>1508</v>
      </c>
      <c r="H2316" t="str">
        <f>"0000"</f>
        <v>0000</v>
      </c>
      <c r="I2316" t="s">
        <v>83</v>
      </c>
      <c r="J2316">
        <v>0</v>
      </c>
      <c r="K2316">
        <v>1</v>
      </c>
      <c r="L2316">
        <v>3</v>
      </c>
      <c r="M2316">
        <v>135</v>
      </c>
      <c r="N2316">
        <v>342</v>
      </c>
      <c r="O2316">
        <v>4</v>
      </c>
      <c r="P2316">
        <v>332</v>
      </c>
      <c r="Q2316">
        <v>11</v>
      </c>
      <c r="R2316">
        <v>126</v>
      </c>
      <c r="S2316">
        <v>1</v>
      </c>
      <c r="T2316">
        <v>4</v>
      </c>
      <c r="U2316">
        <v>0</v>
      </c>
      <c r="V2316">
        <v>1</v>
      </c>
      <c r="W2316">
        <v>1</v>
      </c>
      <c r="X2316">
        <v>175</v>
      </c>
      <c r="Y2316">
        <v>0</v>
      </c>
      <c r="Z2316">
        <v>0</v>
      </c>
      <c r="AA2316">
        <v>4</v>
      </c>
      <c r="AB2316">
        <v>0</v>
      </c>
      <c r="AR2316">
        <v>0</v>
      </c>
      <c r="AW2316">
        <v>0</v>
      </c>
      <c r="AX2316">
        <v>9</v>
      </c>
      <c r="AY2316">
        <v>332</v>
      </c>
      <c r="AZ2316">
        <v>332</v>
      </c>
      <c r="BA2316">
        <v>421</v>
      </c>
      <c r="BB2316">
        <v>44</v>
      </c>
      <c r="BD2316">
        <v>1</v>
      </c>
      <c r="BF2316" t="s">
        <v>2501</v>
      </c>
      <c r="BG2316" s="1">
        <v>44354.061805555553</v>
      </c>
      <c r="BH2316" s="1">
        <v>44354.068368055552</v>
      </c>
      <c r="BI2316" s="1">
        <v>44354.068842592591</v>
      </c>
      <c r="BJ2316" t="s">
        <v>85</v>
      </c>
      <c r="BK2316" t="s">
        <v>86</v>
      </c>
      <c r="BL2316" t="s">
        <v>87</v>
      </c>
    </row>
    <row r="2317" spans="1:64" x14ac:dyDescent="0.3">
      <c r="A2317" t="str">
        <f>"201508C0100"</f>
        <v>201508C0100</v>
      </c>
      <c r="B2317" t="str">
        <f>"201508C01003"</f>
        <v>201508C01003</v>
      </c>
      <c r="C2317" t="str">
        <f t="shared" si="149"/>
        <v>20</v>
      </c>
      <c r="D2317" t="s">
        <v>81</v>
      </c>
      <c r="E2317" t="str">
        <f t="shared" si="147"/>
        <v>316</v>
      </c>
      <c r="F2317" t="s">
        <v>2449</v>
      </c>
      <c r="G2317" t="str">
        <f>"1508"</f>
        <v>1508</v>
      </c>
      <c r="H2317" t="str">
        <f>"0001"</f>
        <v>0001</v>
      </c>
      <c r="I2317" t="s">
        <v>89</v>
      </c>
      <c r="J2317">
        <v>0</v>
      </c>
      <c r="K2317">
        <v>1</v>
      </c>
      <c r="L2317">
        <v>3</v>
      </c>
      <c r="M2317">
        <v>139</v>
      </c>
      <c r="N2317">
        <v>469</v>
      </c>
      <c r="O2317">
        <v>5</v>
      </c>
      <c r="P2317">
        <v>324</v>
      </c>
      <c r="Q2317">
        <v>11</v>
      </c>
      <c r="R2317">
        <v>121</v>
      </c>
      <c r="S2317">
        <v>1</v>
      </c>
      <c r="T2317">
        <v>5</v>
      </c>
      <c r="U2317">
        <v>0</v>
      </c>
      <c r="V2317">
        <v>4</v>
      </c>
      <c r="W2317">
        <v>1</v>
      </c>
      <c r="X2317">
        <v>156</v>
      </c>
      <c r="Y2317">
        <v>2</v>
      </c>
      <c r="Z2317">
        <v>0</v>
      </c>
      <c r="AA2317">
        <v>12</v>
      </c>
      <c r="AB2317">
        <v>0</v>
      </c>
      <c r="AR2317">
        <v>0</v>
      </c>
      <c r="AW2317" t="s">
        <v>95</v>
      </c>
      <c r="AX2317">
        <v>11</v>
      </c>
      <c r="AY2317" t="s">
        <v>95</v>
      </c>
      <c r="AZ2317">
        <v>324</v>
      </c>
      <c r="BA2317">
        <v>420</v>
      </c>
      <c r="BB2317">
        <v>44</v>
      </c>
      <c r="BC2317" t="s">
        <v>96</v>
      </c>
      <c r="BD2317">
        <v>1</v>
      </c>
      <c r="BF2317" t="s">
        <v>2502</v>
      </c>
      <c r="BG2317" s="1">
        <v>44354.356249999997</v>
      </c>
      <c r="BH2317" s="1">
        <v>44354.363171296296</v>
      </c>
      <c r="BI2317" s="1">
        <v>44354.363819444443</v>
      </c>
      <c r="BJ2317" t="s">
        <v>85</v>
      </c>
      <c r="BK2317" t="s">
        <v>86</v>
      </c>
      <c r="BL2317" t="s">
        <v>87</v>
      </c>
    </row>
    <row r="2318" spans="1:64" x14ac:dyDescent="0.3">
      <c r="A2318" t="str">
        <f>"201509B0000"</f>
        <v>201509B0000</v>
      </c>
      <c r="B2318" t="str">
        <f>"201509B00003"</f>
        <v>201509B00003</v>
      </c>
      <c r="C2318" t="str">
        <f t="shared" si="149"/>
        <v>20</v>
      </c>
      <c r="D2318" t="s">
        <v>81</v>
      </c>
      <c r="E2318" t="str">
        <f t="shared" si="147"/>
        <v>316</v>
      </c>
      <c r="F2318" t="s">
        <v>2449</v>
      </c>
      <c r="G2318" t="str">
        <f>"1509"</f>
        <v>1509</v>
      </c>
      <c r="H2318" t="str">
        <f>"0000"</f>
        <v>0000</v>
      </c>
      <c r="I2318" t="s">
        <v>83</v>
      </c>
      <c r="J2318">
        <v>0</v>
      </c>
      <c r="K2318">
        <v>1</v>
      </c>
      <c r="L2318">
        <v>3</v>
      </c>
      <c r="BA2318">
        <v>612</v>
      </c>
      <c r="BB2318">
        <v>44</v>
      </c>
      <c r="BC2318" t="s">
        <v>381</v>
      </c>
      <c r="BD2318">
        <v>0</v>
      </c>
      <c r="BF2318" t="s">
        <v>2503</v>
      </c>
      <c r="BG2318" s="1">
        <v>44354.69027777778</v>
      </c>
      <c r="BH2318" s="1">
        <v>44354.691782407404</v>
      </c>
      <c r="BI2318" s="1">
        <v>44354.691782407404</v>
      </c>
      <c r="BJ2318" t="s">
        <v>85</v>
      </c>
      <c r="BK2318" t="s">
        <v>86</v>
      </c>
      <c r="BL2318" t="s">
        <v>87</v>
      </c>
    </row>
    <row r="2319" spans="1:64" x14ac:dyDescent="0.3">
      <c r="A2319" t="str">
        <f>"201509C0100"</f>
        <v>201509C0100</v>
      </c>
      <c r="B2319" t="str">
        <f>"201509C01003"</f>
        <v>201509C01003</v>
      </c>
      <c r="C2319" t="str">
        <f t="shared" si="149"/>
        <v>20</v>
      </c>
      <c r="D2319" t="s">
        <v>81</v>
      </c>
      <c r="E2319" t="str">
        <f t="shared" si="147"/>
        <v>316</v>
      </c>
      <c r="F2319" t="s">
        <v>2449</v>
      </c>
      <c r="G2319" t="str">
        <f>"1509"</f>
        <v>1509</v>
      </c>
      <c r="H2319" t="str">
        <f>"0001"</f>
        <v>0001</v>
      </c>
      <c r="I2319" t="s">
        <v>89</v>
      </c>
      <c r="J2319">
        <v>0</v>
      </c>
      <c r="K2319">
        <v>1</v>
      </c>
      <c r="L2319">
        <v>3</v>
      </c>
      <c r="M2319">
        <v>347</v>
      </c>
      <c r="N2319">
        <v>308</v>
      </c>
      <c r="O2319">
        <v>8</v>
      </c>
      <c r="P2319">
        <v>308</v>
      </c>
      <c r="Q2319">
        <v>13</v>
      </c>
      <c r="R2319">
        <v>91</v>
      </c>
      <c r="S2319">
        <v>0</v>
      </c>
      <c r="T2319">
        <v>9</v>
      </c>
      <c r="U2319">
        <v>2</v>
      </c>
      <c r="V2319">
        <v>6</v>
      </c>
      <c r="W2319">
        <v>1</v>
      </c>
      <c r="X2319">
        <v>153</v>
      </c>
      <c r="Y2319">
        <v>1</v>
      </c>
      <c r="Z2319">
        <v>4</v>
      </c>
      <c r="AA2319">
        <v>8</v>
      </c>
      <c r="AB2319">
        <v>2</v>
      </c>
      <c r="AR2319">
        <v>0</v>
      </c>
      <c r="AW2319">
        <v>0</v>
      </c>
      <c r="AX2319">
        <v>18</v>
      </c>
      <c r="AY2319">
        <v>308</v>
      </c>
      <c r="AZ2319">
        <v>308</v>
      </c>
      <c r="BA2319">
        <v>611</v>
      </c>
      <c r="BB2319">
        <v>44</v>
      </c>
      <c r="BD2319">
        <v>1</v>
      </c>
      <c r="BF2319" t="s">
        <v>2504</v>
      </c>
      <c r="BG2319" s="1">
        <v>44354.385416666664</v>
      </c>
      <c r="BH2319" s="1">
        <v>44354.389143518521</v>
      </c>
      <c r="BI2319" s="1">
        <v>44354.390115740738</v>
      </c>
      <c r="BJ2319" t="s">
        <v>85</v>
      </c>
      <c r="BK2319" t="s">
        <v>86</v>
      </c>
      <c r="BL2319" t="s">
        <v>87</v>
      </c>
    </row>
    <row r="2320" spans="1:64" x14ac:dyDescent="0.3">
      <c r="A2320" t="str">
        <f>"201509C0200"</f>
        <v>201509C0200</v>
      </c>
      <c r="B2320" t="str">
        <f>"201509C02003"</f>
        <v>201509C02003</v>
      </c>
      <c r="C2320" t="str">
        <f t="shared" si="149"/>
        <v>20</v>
      </c>
      <c r="D2320" t="s">
        <v>81</v>
      </c>
      <c r="E2320" t="str">
        <f t="shared" si="147"/>
        <v>316</v>
      </c>
      <c r="F2320" t="s">
        <v>2449</v>
      </c>
      <c r="G2320" t="str">
        <f>"1509"</f>
        <v>1509</v>
      </c>
      <c r="H2320" t="str">
        <f>"0002"</f>
        <v>0002</v>
      </c>
      <c r="I2320" t="s">
        <v>89</v>
      </c>
      <c r="J2320">
        <v>0</v>
      </c>
      <c r="K2320">
        <v>1</v>
      </c>
      <c r="L2320">
        <v>3</v>
      </c>
      <c r="BA2320">
        <v>611</v>
      </c>
      <c r="BB2320">
        <v>44</v>
      </c>
      <c r="BC2320" t="s">
        <v>381</v>
      </c>
      <c r="BD2320">
        <v>0</v>
      </c>
      <c r="BF2320" t="s">
        <v>2505</v>
      </c>
      <c r="BG2320" s="1">
        <v>44354.695833333331</v>
      </c>
      <c r="BH2320" s="1">
        <v>44354.697453703702</v>
      </c>
      <c r="BI2320" s="1">
        <v>44354.697453703702</v>
      </c>
      <c r="BJ2320" t="s">
        <v>85</v>
      </c>
      <c r="BK2320" t="s">
        <v>86</v>
      </c>
      <c r="BL2320" t="s">
        <v>87</v>
      </c>
    </row>
    <row r="2321" spans="1:64" x14ac:dyDescent="0.3">
      <c r="A2321" t="str">
        <f>"201509C0300"</f>
        <v>201509C0300</v>
      </c>
      <c r="B2321" t="str">
        <f>"201509C03003"</f>
        <v>201509C03003</v>
      </c>
      <c r="C2321" t="str">
        <f t="shared" si="149"/>
        <v>20</v>
      </c>
      <c r="D2321" t="s">
        <v>81</v>
      </c>
      <c r="E2321" t="str">
        <f t="shared" si="147"/>
        <v>316</v>
      </c>
      <c r="F2321" t="s">
        <v>2449</v>
      </c>
      <c r="G2321" t="str">
        <f>"1509"</f>
        <v>1509</v>
      </c>
      <c r="H2321" t="str">
        <f>"0003"</f>
        <v>0003</v>
      </c>
      <c r="I2321" t="s">
        <v>89</v>
      </c>
      <c r="J2321">
        <v>0</v>
      </c>
      <c r="K2321">
        <v>1</v>
      </c>
      <c r="L2321">
        <v>3</v>
      </c>
      <c r="BA2321">
        <v>611</v>
      </c>
      <c r="BB2321">
        <v>44</v>
      </c>
      <c r="BC2321" t="s">
        <v>381</v>
      </c>
      <c r="BD2321">
        <v>0</v>
      </c>
      <c r="BF2321" t="s">
        <v>2506</v>
      </c>
      <c r="BG2321" s="1">
        <v>44354.697222222225</v>
      </c>
      <c r="BH2321" s="1">
        <v>44354.697766203702</v>
      </c>
      <c r="BI2321" s="1">
        <v>44354.697766203702</v>
      </c>
      <c r="BJ2321" t="s">
        <v>85</v>
      </c>
      <c r="BK2321" t="s">
        <v>86</v>
      </c>
      <c r="BL2321" t="s">
        <v>87</v>
      </c>
    </row>
    <row r="2322" spans="1:64" x14ac:dyDescent="0.3">
      <c r="A2322" t="str">
        <f>"201510B0000"</f>
        <v>201510B0000</v>
      </c>
      <c r="B2322" t="str">
        <f>"201510B00003"</f>
        <v>201510B00003</v>
      </c>
      <c r="C2322" t="str">
        <f t="shared" si="149"/>
        <v>20</v>
      </c>
      <c r="D2322" t="s">
        <v>81</v>
      </c>
      <c r="E2322" t="str">
        <f t="shared" si="147"/>
        <v>316</v>
      </c>
      <c r="F2322" t="s">
        <v>2449</v>
      </c>
      <c r="G2322" t="str">
        <f>"1510"</f>
        <v>1510</v>
      </c>
      <c r="H2322" t="str">
        <f>"0000"</f>
        <v>0000</v>
      </c>
      <c r="I2322" t="s">
        <v>83</v>
      </c>
      <c r="J2322">
        <v>0</v>
      </c>
      <c r="K2322">
        <v>1</v>
      </c>
      <c r="L2322">
        <v>3</v>
      </c>
      <c r="M2322">
        <v>393</v>
      </c>
      <c r="N2322">
        <v>399</v>
      </c>
      <c r="O2322">
        <v>5</v>
      </c>
      <c r="P2322">
        <v>399</v>
      </c>
      <c r="Q2322">
        <v>13</v>
      </c>
      <c r="R2322">
        <v>120</v>
      </c>
      <c r="S2322">
        <v>0</v>
      </c>
      <c r="T2322">
        <v>6</v>
      </c>
      <c r="U2322">
        <v>3</v>
      </c>
      <c r="V2322">
        <v>6</v>
      </c>
      <c r="W2322">
        <v>0</v>
      </c>
      <c r="X2322">
        <v>220</v>
      </c>
      <c r="Y2322">
        <v>4</v>
      </c>
      <c r="Z2322">
        <v>2</v>
      </c>
      <c r="AA2322">
        <v>13</v>
      </c>
      <c r="AB2322">
        <v>1</v>
      </c>
      <c r="AR2322">
        <v>2</v>
      </c>
      <c r="AW2322">
        <v>0</v>
      </c>
      <c r="AX2322">
        <v>9</v>
      </c>
      <c r="AY2322">
        <v>399</v>
      </c>
      <c r="AZ2322">
        <v>399</v>
      </c>
      <c r="BA2322">
        <v>748</v>
      </c>
      <c r="BB2322">
        <v>44</v>
      </c>
      <c r="BD2322">
        <v>1</v>
      </c>
      <c r="BF2322" t="s">
        <v>2507</v>
      </c>
      <c r="BG2322" s="1">
        <v>44354.043749999997</v>
      </c>
      <c r="BH2322" s="1">
        <v>44354.052407407406</v>
      </c>
      <c r="BI2322" s="1">
        <v>44354.05300925926</v>
      </c>
      <c r="BJ2322" t="s">
        <v>85</v>
      </c>
      <c r="BK2322" t="s">
        <v>86</v>
      </c>
      <c r="BL2322" t="s">
        <v>87</v>
      </c>
    </row>
    <row r="2323" spans="1:64" x14ac:dyDescent="0.3">
      <c r="A2323" t="str">
        <f>"201510C0100"</f>
        <v>201510C0100</v>
      </c>
      <c r="B2323" t="str">
        <f>"201510C01003"</f>
        <v>201510C01003</v>
      </c>
      <c r="C2323" t="str">
        <f t="shared" si="149"/>
        <v>20</v>
      </c>
      <c r="D2323" t="s">
        <v>81</v>
      </c>
      <c r="E2323" t="str">
        <f t="shared" si="147"/>
        <v>316</v>
      </c>
      <c r="F2323" t="s">
        <v>2449</v>
      </c>
      <c r="G2323" t="str">
        <f>"1510"</f>
        <v>1510</v>
      </c>
      <c r="H2323" t="str">
        <f>"0001"</f>
        <v>0001</v>
      </c>
      <c r="I2323" t="s">
        <v>89</v>
      </c>
      <c r="J2323">
        <v>0</v>
      </c>
      <c r="K2323">
        <v>1</v>
      </c>
      <c r="L2323">
        <v>3</v>
      </c>
      <c r="M2323">
        <v>380</v>
      </c>
      <c r="N2323">
        <v>412</v>
      </c>
      <c r="O2323">
        <v>7</v>
      </c>
      <c r="P2323">
        <v>412</v>
      </c>
      <c r="Q2323">
        <v>9</v>
      </c>
      <c r="R2323">
        <v>125</v>
      </c>
      <c r="S2323">
        <v>3</v>
      </c>
      <c r="T2323">
        <v>9</v>
      </c>
      <c r="U2323">
        <v>1</v>
      </c>
      <c r="V2323">
        <v>9</v>
      </c>
      <c r="W2323">
        <v>1</v>
      </c>
      <c r="X2323">
        <v>232</v>
      </c>
      <c r="Y2323">
        <v>1</v>
      </c>
      <c r="Z2323">
        <v>1</v>
      </c>
      <c r="AA2323">
        <v>8</v>
      </c>
      <c r="AB2323">
        <v>2</v>
      </c>
      <c r="AR2323">
        <v>2</v>
      </c>
      <c r="AW2323">
        <v>0</v>
      </c>
      <c r="AX2323">
        <v>9</v>
      </c>
      <c r="AY2323">
        <v>412</v>
      </c>
      <c r="AZ2323">
        <v>412</v>
      </c>
      <c r="BA2323">
        <v>748</v>
      </c>
      <c r="BB2323">
        <v>44</v>
      </c>
      <c r="BD2323">
        <v>1</v>
      </c>
      <c r="BF2323" t="s">
        <v>2508</v>
      </c>
      <c r="BG2323" s="1">
        <v>44354.044444444444</v>
      </c>
      <c r="BH2323" s="1">
        <v>44354.053252314814</v>
      </c>
      <c r="BI2323" s="1">
        <v>44354.053773148145</v>
      </c>
      <c r="BJ2323" t="s">
        <v>85</v>
      </c>
      <c r="BK2323" t="s">
        <v>86</v>
      </c>
      <c r="BL2323" t="s">
        <v>87</v>
      </c>
    </row>
    <row r="2324" spans="1:64" x14ac:dyDescent="0.3">
      <c r="A2324" t="str">
        <f>"201510C0200"</f>
        <v>201510C0200</v>
      </c>
      <c r="B2324" t="str">
        <f>"201510C02003"</f>
        <v>201510C02003</v>
      </c>
      <c r="C2324" t="str">
        <f t="shared" si="149"/>
        <v>20</v>
      </c>
      <c r="D2324" t="s">
        <v>81</v>
      </c>
      <c r="E2324" t="str">
        <f t="shared" si="147"/>
        <v>316</v>
      </c>
      <c r="F2324" t="s">
        <v>2449</v>
      </c>
      <c r="G2324" t="str">
        <f>"1510"</f>
        <v>1510</v>
      </c>
      <c r="H2324" t="str">
        <f>"0002"</f>
        <v>0002</v>
      </c>
      <c r="I2324" t="s">
        <v>89</v>
      </c>
      <c r="J2324">
        <v>0</v>
      </c>
      <c r="K2324">
        <v>1</v>
      </c>
      <c r="L2324">
        <v>3</v>
      </c>
      <c r="M2324" t="s">
        <v>131</v>
      </c>
      <c r="N2324" t="s">
        <v>131</v>
      </c>
      <c r="O2324" t="s">
        <v>131</v>
      </c>
      <c r="P2324" t="s">
        <v>92</v>
      </c>
      <c r="Q2324">
        <v>14</v>
      </c>
      <c r="R2324">
        <v>111</v>
      </c>
      <c r="S2324">
        <v>6</v>
      </c>
      <c r="T2324">
        <v>13</v>
      </c>
      <c r="U2324">
        <v>0</v>
      </c>
      <c r="V2324">
        <v>9</v>
      </c>
      <c r="W2324">
        <v>0</v>
      </c>
      <c r="X2324">
        <v>152</v>
      </c>
      <c r="Y2324">
        <v>1</v>
      </c>
      <c r="Z2324">
        <v>1</v>
      </c>
      <c r="AA2324">
        <v>12</v>
      </c>
      <c r="AB2324">
        <v>3</v>
      </c>
      <c r="AR2324">
        <v>0</v>
      </c>
      <c r="AW2324">
        <v>0</v>
      </c>
      <c r="AX2324">
        <v>7</v>
      </c>
      <c r="AY2324" t="s">
        <v>95</v>
      </c>
      <c r="AZ2324">
        <v>329</v>
      </c>
      <c r="BA2324">
        <v>747</v>
      </c>
      <c r="BB2324">
        <v>44</v>
      </c>
      <c r="BD2324">
        <v>1</v>
      </c>
      <c r="BF2324" t="s">
        <v>2509</v>
      </c>
      <c r="BG2324" s="1">
        <v>44354.50277777778</v>
      </c>
      <c r="BH2324" s="1">
        <v>44354.512094907404</v>
      </c>
      <c r="BI2324" s="1">
        <v>44354.513668981483</v>
      </c>
      <c r="BJ2324" t="s">
        <v>85</v>
      </c>
      <c r="BK2324" t="s">
        <v>86</v>
      </c>
      <c r="BL2324" t="s">
        <v>87</v>
      </c>
    </row>
    <row r="2325" spans="1:64" x14ac:dyDescent="0.3">
      <c r="A2325" t="str">
        <f>"201510C0300"</f>
        <v>201510C0300</v>
      </c>
      <c r="B2325" t="str">
        <f>"201510C03003"</f>
        <v>201510C03003</v>
      </c>
      <c r="C2325" t="str">
        <f t="shared" si="149"/>
        <v>20</v>
      </c>
      <c r="D2325" t="s">
        <v>81</v>
      </c>
      <c r="E2325" t="str">
        <f t="shared" si="147"/>
        <v>316</v>
      </c>
      <c r="F2325" t="s">
        <v>2449</v>
      </c>
      <c r="G2325" t="str">
        <f>"1510"</f>
        <v>1510</v>
      </c>
      <c r="H2325" t="str">
        <f>"0003"</f>
        <v>0003</v>
      </c>
      <c r="I2325" t="s">
        <v>89</v>
      </c>
      <c r="J2325">
        <v>0</v>
      </c>
      <c r="K2325">
        <v>1</v>
      </c>
      <c r="L2325">
        <v>3</v>
      </c>
      <c r="M2325">
        <v>394</v>
      </c>
      <c r="N2325">
        <v>399</v>
      </c>
      <c r="O2325">
        <v>1</v>
      </c>
      <c r="P2325">
        <v>397</v>
      </c>
      <c r="Q2325">
        <v>10</v>
      </c>
      <c r="R2325">
        <v>134</v>
      </c>
      <c r="S2325">
        <v>3</v>
      </c>
      <c r="T2325">
        <v>4</v>
      </c>
      <c r="U2325">
        <v>3</v>
      </c>
      <c r="V2325">
        <v>9</v>
      </c>
      <c r="W2325">
        <v>0</v>
      </c>
      <c r="X2325">
        <v>217</v>
      </c>
      <c r="Y2325">
        <v>4</v>
      </c>
      <c r="Z2325">
        <v>1</v>
      </c>
      <c r="AA2325">
        <v>5</v>
      </c>
      <c r="AB2325">
        <v>1</v>
      </c>
      <c r="AR2325">
        <v>0</v>
      </c>
      <c r="AW2325">
        <v>1</v>
      </c>
      <c r="AX2325">
        <v>5</v>
      </c>
      <c r="AY2325">
        <v>397</v>
      </c>
      <c r="AZ2325">
        <v>397</v>
      </c>
      <c r="BA2325">
        <v>747</v>
      </c>
      <c r="BB2325">
        <v>44</v>
      </c>
      <c r="BD2325">
        <v>1</v>
      </c>
      <c r="BF2325" t="s">
        <v>2510</v>
      </c>
      <c r="BG2325" s="1">
        <v>44354.044444444444</v>
      </c>
      <c r="BH2325" s="1">
        <v>44354.053090277775</v>
      </c>
      <c r="BI2325" s="1">
        <v>44354.05400462963</v>
      </c>
      <c r="BJ2325" t="s">
        <v>85</v>
      </c>
      <c r="BK2325" t="s">
        <v>86</v>
      </c>
      <c r="BL2325" t="s">
        <v>87</v>
      </c>
    </row>
    <row r="2326" spans="1:64" x14ac:dyDescent="0.3">
      <c r="A2326" t="str">
        <f>"201516B0000"</f>
        <v>201516B0000</v>
      </c>
      <c r="B2326" t="str">
        <f>"201516B00003"</f>
        <v>201516B00003</v>
      </c>
      <c r="C2326" t="str">
        <f t="shared" si="149"/>
        <v>20</v>
      </c>
      <c r="D2326" t="s">
        <v>81</v>
      </c>
      <c r="E2326" t="str">
        <f t="shared" ref="E2326:E2357" si="150">"322"</f>
        <v>322</v>
      </c>
      <c r="F2326" t="s">
        <v>2511</v>
      </c>
      <c r="G2326" t="str">
        <f>"1516"</f>
        <v>1516</v>
      </c>
      <c r="H2326" t="str">
        <f>"0000"</f>
        <v>0000</v>
      </c>
      <c r="I2326" t="s">
        <v>83</v>
      </c>
      <c r="J2326">
        <v>0</v>
      </c>
      <c r="K2326">
        <v>1</v>
      </c>
      <c r="L2326">
        <v>3</v>
      </c>
      <c r="BA2326">
        <v>575</v>
      </c>
      <c r="BB2326">
        <v>44</v>
      </c>
      <c r="BC2326" t="s">
        <v>721</v>
      </c>
      <c r="BD2326">
        <v>0</v>
      </c>
      <c r="BF2326" t="s">
        <v>2512</v>
      </c>
      <c r="BG2326" s="1">
        <v>44354.611111111109</v>
      </c>
      <c r="BH2326" s="1">
        <v>44354.628564814811</v>
      </c>
      <c r="BI2326" s="1">
        <v>44354.628564814811</v>
      </c>
      <c r="BJ2326" t="s">
        <v>85</v>
      </c>
      <c r="BK2326" t="s">
        <v>86</v>
      </c>
      <c r="BL2326" t="s">
        <v>87</v>
      </c>
    </row>
    <row r="2327" spans="1:64" x14ac:dyDescent="0.3">
      <c r="A2327" t="str">
        <f>"201516C0100"</f>
        <v>201516C0100</v>
      </c>
      <c r="B2327" t="str">
        <f>"201516C01003"</f>
        <v>201516C01003</v>
      </c>
      <c r="C2327" t="str">
        <f t="shared" si="149"/>
        <v>20</v>
      </c>
      <c r="D2327" t="s">
        <v>81</v>
      </c>
      <c r="E2327" t="str">
        <f t="shared" si="150"/>
        <v>322</v>
      </c>
      <c r="F2327" t="s">
        <v>2511</v>
      </c>
      <c r="G2327" t="str">
        <f>"1516"</f>
        <v>1516</v>
      </c>
      <c r="H2327" t="str">
        <f>"0001"</f>
        <v>0001</v>
      </c>
      <c r="I2327" t="s">
        <v>89</v>
      </c>
      <c r="J2327">
        <v>0</v>
      </c>
      <c r="K2327">
        <v>1</v>
      </c>
      <c r="L2327">
        <v>3</v>
      </c>
      <c r="M2327">
        <v>302</v>
      </c>
      <c r="N2327">
        <v>325</v>
      </c>
      <c r="O2327">
        <v>10</v>
      </c>
      <c r="P2327">
        <v>316</v>
      </c>
      <c r="Q2327">
        <v>3</v>
      </c>
      <c r="R2327">
        <v>4</v>
      </c>
      <c r="S2327">
        <v>30</v>
      </c>
      <c r="T2327">
        <v>48</v>
      </c>
      <c r="U2327">
        <v>12</v>
      </c>
      <c r="V2327">
        <v>14</v>
      </c>
      <c r="W2327">
        <v>17</v>
      </c>
      <c r="X2327">
        <v>63</v>
      </c>
      <c r="Y2327">
        <v>74</v>
      </c>
      <c r="Z2327">
        <v>1</v>
      </c>
      <c r="AB2327">
        <v>41</v>
      </c>
      <c r="AK2327">
        <v>2</v>
      </c>
      <c r="AO2327">
        <v>0</v>
      </c>
      <c r="AP2327">
        <v>0</v>
      </c>
      <c r="AR2327">
        <v>0</v>
      </c>
      <c r="AW2327">
        <v>0</v>
      </c>
      <c r="AX2327">
        <v>7</v>
      </c>
      <c r="AY2327">
        <v>316</v>
      </c>
      <c r="AZ2327">
        <v>316</v>
      </c>
      <c r="BA2327">
        <v>574</v>
      </c>
      <c r="BB2327">
        <v>44</v>
      </c>
      <c r="BD2327">
        <v>1</v>
      </c>
      <c r="BF2327" t="s">
        <v>2513</v>
      </c>
      <c r="BG2327" s="1">
        <v>44354.223611111112</v>
      </c>
      <c r="BH2327" s="1">
        <v>44354.230138888888</v>
      </c>
      <c r="BI2327" s="1">
        <v>44354.230740740742</v>
      </c>
      <c r="BJ2327" t="s">
        <v>85</v>
      </c>
      <c r="BK2327" t="s">
        <v>86</v>
      </c>
      <c r="BL2327" t="s">
        <v>87</v>
      </c>
    </row>
    <row r="2328" spans="1:64" x14ac:dyDescent="0.3">
      <c r="A2328" t="str">
        <f>"201516C0200"</f>
        <v>201516C0200</v>
      </c>
      <c r="B2328" t="str">
        <f>"201516C02003"</f>
        <v>201516C02003</v>
      </c>
      <c r="C2328" t="str">
        <f t="shared" si="149"/>
        <v>20</v>
      </c>
      <c r="D2328" t="s">
        <v>81</v>
      </c>
      <c r="E2328" t="str">
        <f t="shared" si="150"/>
        <v>322</v>
      </c>
      <c r="F2328" t="s">
        <v>2511</v>
      </c>
      <c r="G2328" t="str">
        <f>"1516"</f>
        <v>1516</v>
      </c>
      <c r="H2328" t="str">
        <f>"0002"</f>
        <v>0002</v>
      </c>
      <c r="I2328" t="s">
        <v>89</v>
      </c>
      <c r="J2328">
        <v>0</v>
      </c>
      <c r="K2328">
        <v>1</v>
      </c>
      <c r="L2328">
        <v>3</v>
      </c>
      <c r="M2328">
        <v>290</v>
      </c>
      <c r="N2328">
        <v>330</v>
      </c>
      <c r="O2328">
        <v>9</v>
      </c>
      <c r="P2328">
        <v>328</v>
      </c>
      <c r="Q2328">
        <v>1</v>
      </c>
      <c r="R2328">
        <v>7</v>
      </c>
      <c r="S2328">
        <v>32</v>
      </c>
      <c r="T2328">
        <v>58</v>
      </c>
      <c r="U2328">
        <v>6</v>
      </c>
      <c r="V2328">
        <v>15</v>
      </c>
      <c r="W2328">
        <v>10</v>
      </c>
      <c r="X2328">
        <v>62</v>
      </c>
      <c r="Y2328">
        <v>84</v>
      </c>
      <c r="Z2328">
        <v>1</v>
      </c>
      <c r="AB2328">
        <v>40</v>
      </c>
      <c r="AK2328">
        <v>1</v>
      </c>
      <c r="AO2328">
        <v>0</v>
      </c>
      <c r="AP2328">
        <v>1</v>
      </c>
      <c r="AR2328">
        <v>0</v>
      </c>
      <c r="AW2328">
        <v>0</v>
      </c>
      <c r="AX2328">
        <v>10</v>
      </c>
      <c r="AY2328">
        <v>328</v>
      </c>
      <c r="AZ2328">
        <v>328</v>
      </c>
      <c r="BA2328">
        <v>574</v>
      </c>
      <c r="BB2328">
        <v>44</v>
      </c>
      <c r="BD2328">
        <v>1</v>
      </c>
      <c r="BF2328" t="s">
        <v>2514</v>
      </c>
      <c r="BG2328" s="1">
        <v>44354.222916666666</v>
      </c>
      <c r="BH2328" s="1">
        <v>44354.227453703701</v>
      </c>
      <c r="BI2328" s="1">
        <v>44354.22792824074</v>
      </c>
      <c r="BJ2328" t="s">
        <v>85</v>
      </c>
      <c r="BK2328" t="s">
        <v>86</v>
      </c>
      <c r="BL2328" t="s">
        <v>87</v>
      </c>
    </row>
    <row r="2329" spans="1:64" x14ac:dyDescent="0.3">
      <c r="A2329" t="str">
        <f>"201516C0300"</f>
        <v>201516C0300</v>
      </c>
      <c r="B2329" t="str">
        <f>"201516C03003"</f>
        <v>201516C03003</v>
      </c>
      <c r="C2329" t="str">
        <f t="shared" si="149"/>
        <v>20</v>
      </c>
      <c r="D2329" t="s">
        <v>81</v>
      </c>
      <c r="E2329" t="str">
        <f t="shared" si="150"/>
        <v>322</v>
      </c>
      <c r="F2329" t="s">
        <v>2511</v>
      </c>
      <c r="G2329" t="str">
        <f>"1516"</f>
        <v>1516</v>
      </c>
      <c r="H2329" t="str">
        <f>"0003"</f>
        <v>0003</v>
      </c>
      <c r="I2329" t="s">
        <v>89</v>
      </c>
      <c r="J2329">
        <v>0</v>
      </c>
      <c r="K2329">
        <v>1</v>
      </c>
      <c r="L2329">
        <v>3</v>
      </c>
      <c r="M2329">
        <v>266</v>
      </c>
      <c r="N2329">
        <v>342</v>
      </c>
      <c r="O2329">
        <v>4</v>
      </c>
      <c r="P2329">
        <v>342</v>
      </c>
      <c r="Q2329">
        <v>2</v>
      </c>
      <c r="R2329">
        <v>6</v>
      </c>
      <c r="S2329">
        <v>20</v>
      </c>
      <c r="T2329">
        <v>60</v>
      </c>
      <c r="U2329">
        <v>11</v>
      </c>
      <c r="V2329">
        <v>27</v>
      </c>
      <c r="W2329">
        <v>23</v>
      </c>
      <c r="X2329">
        <v>82</v>
      </c>
      <c r="Y2329">
        <v>75</v>
      </c>
      <c r="Z2329">
        <v>1</v>
      </c>
      <c r="AB2329">
        <v>23</v>
      </c>
      <c r="AK2329">
        <v>0</v>
      </c>
      <c r="AO2329">
        <v>0</v>
      </c>
      <c r="AP2329">
        <v>0</v>
      </c>
      <c r="AR2329">
        <v>0</v>
      </c>
      <c r="AW2329">
        <v>0</v>
      </c>
      <c r="AX2329">
        <v>12</v>
      </c>
      <c r="AY2329">
        <v>342</v>
      </c>
      <c r="AZ2329">
        <v>342</v>
      </c>
      <c r="BA2329">
        <v>574</v>
      </c>
      <c r="BB2329">
        <v>44</v>
      </c>
      <c r="BD2329">
        <v>1</v>
      </c>
      <c r="BF2329" s="2" t="s">
        <v>2515</v>
      </c>
      <c r="BG2329" s="1">
        <v>44354.224305555559</v>
      </c>
      <c r="BH2329" s="1">
        <v>44354.236145833333</v>
      </c>
      <c r="BI2329" s="1">
        <v>44354.236747685187</v>
      </c>
      <c r="BJ2329" t="s">
        <v>85</v>
      </c>
      <c r="BK2329" t="s">
        <v>86</v>
      </c>
      <c r="BL2329" t="s">
        <v>87</v>
      </c>
    </row>
    <row r="2330" spans="1:64" x14ac:dyDescent="0.3">
      <c r="A2330" t="str">
        <f>"201517B0000"</f>
        <v>201517B0000</v>
      </c>
      <c r="B2330" t="str">
        <f>"201517B00003"</f>
        <v>201517B00003</v>
      </c>
      <c r="C2330" t="str">
        <f t="shared" si="149"/>
        <v>20</v>
      </c>
      <c r="D2330" t="s">
        <v>81</v>
      </c>
      <c r="E2330" t="str">
        <f t="shared" si="150"/>
        <v>322</v>
      </c>
      <c r="F2330" t="s">
        <v>2511</v>
      </c>
      <c r="G2330" t="str">
        <f>"1517"</f>
        <v>1517</v>
      </c>
      <c r="H2330" t="str">
        <f>"0000"</f>
        <v>0000</v>
      </c>
      <c r="I2330" t="s">
        <v>83</v>
      </c>
      <c r="J2330">
        <v>0</v>
      </c>
      <c r="K2330">
        <v>1</v>
      </c>
      <c r="L2330">
        <v>3</v>
      </c>
      <c r="M2330">
        <v>370</v>
      </c>
      <c r="N2330">
        <v>385</v>
      </c>
      <c r="O2330">
        <v>10</v>
      </c>
      <c r="P2330">
        <v>385</v>
      </c>
      <c r="Q2330">
        <v>3</v>
      </c>
      <c r="R2330">
        <v>3</v>
      </c>
      <c r="S2330">
        <v>47</v>
      </c>
      <c r="T2330">
        <v>66</v>
      </c>
      <c r="U2330">
        <v>7</v>
      </c>
      <c r="V2330">
        <v>15</v>
      </c>
      <c r="W2330">
        <v>15</v>
      </c>
      <c r="X2330">
        <v>78</v>
      </c>
      <c r="Y2330">
        <v>131</v>
      </c>
      <c r="Z2330">
        <v>0</v>
      </c>
      <c r="AB2330">
        <v>11</v>
      </c>
      <c r="AK2330">
        <v>2</v>
      </c>
      <c r="AO2330">
        <v>0</v>
      </c>
      <c r="AP2330">
        <v>1</v>
      </c>
      <c r="AR2330">
        <v>0</v>
      </c>
      <c r="AW2330">
        <v>0</v>
      </c>
      <c r="AX2330">
        <v>6</v>
      </c>
      <c r="AY2330">
        <v>385</v>
      </c>
      <c r="AZ2330">
        <v>385</v>
      </c>
      <c r="BA2330">
        <v>711</v>
      </c>
      <c r="BB2330">
        <v>44</v>
      </c>
      <c r="BD2330">
        <v>1</v>
      </c>
      <c r="BF2330" t="s">
        <v>2516</v>
      </c>
      <c r="BG2330" s="1">
        <v>44354.054166666669</v>
      </c>
      <c r="BH2330" s="1">
        <v>44354.061469907407</v>
      </c>
      <c r="BI2330" s="1">
        <v>44354.062060185184</v>
      </c>
      <c r="BJ2330" t="s">
        <v>85</v>
      </c>
      <c r="BK2330" t="s">
        <v>86</v>
      </c>
      <c r="BL2330" t="s">
        <v>87</v>
      </c>
    </row>
    <row r="2331" spans="1:64" x14ac:dyDescent="0.3">
      <c r="A2331" t="str">
        <f>"201517C0100"</f>
        <v>201517C0100</v>
      </c>
      <c r="B2331" t="str">
        <f>"201517C01003"</f>
        <v>201517C01003</v>
      </c>
      <c r="C2331" t="str">
        <f t="shared" si="149"/>
        <v>20</v>
      </c>
      <c r="D2331" t="s">
        <v>81</v>
      </c>
      <c r="E2331" t="str">
        <f t="shared" si="150"/>
        <v>322</v>
      </c>
      <c r="F2331" t="s">
        <v>2511</v>
      </c>
      <c r="G2331" t="str">
        <f>"1517"</f>
        <v>1517</v>
      </c>
      <c r="H2331" t="str">
        <f>"0001"</f>
        <v>0001</v>
      </c>
      <c r="I2331" t="s">
        <v>89</v>
      </c>
      <c r="J2331">
        <v>0</v>
      </c>
      <c r="K2331">
        <v>1</v>
      </c>
      <c r="L2331">
        <v>3</v>
      </c>
      <c r="M2331">
        <v>367</v>
      </c>
      <c r="N2331">
        <v>387</v>
      </c>
      <c r="O2331">
        <v>7</v>
      </c>
      <c r="P2331">
        <v>387</v>
      </c>
      <c r="Q2331">
        <v>9</v>
      </c>
      <c r="R2331">
        <v>5</v>
      </c>
      <c r="S2331">
        <v>50</v>
      </c>
      <c r="T2331">
        <v>62</v>
      </c>
      <c r="U2331">
        <v>2</v>
      </c>
      <c r="V2331">
        <v>8</v>
      </c>
      <c r="W2331">
        <v>18</v>
      </c>
      <c r="X2331">
        <v>92</v>
      </c>
      <c r="Y2331">
        <v>117</v>
      </c>
      <c r="Z2331">
        <v>1</v>
      </c>
      <c r="AB2331">
        <v>10</v>
      </c>
      <c r="AK2331">
        <v>3</v>
      </c>
      <c r="AO2331">
        <v>0</v>
      </c>
      <c r="AP2331">
        <v>0</v>
      </c>
      <c r="AR2331">
        <v>0</v>
      </c>
      <c r="AW2331">
        <v>0</v>
      </c>
      <c r="AX2331">
        <v>10</v>
      </c>
      <c r="AY2331">
        <v>387</v>
      </c>
      <c r="AZ2331">
        <v>387</v>
      </c>
      <c r="BA2331">
        <v>710</v>
      </c>
      <c r="BB2331">
        <v>44</v>
      </c>
      <c r="BD2331">
        <v>1</v>
      </c>
      <c r="BF2331" t="s">
        <v>2517</v>
      </c>
      <c r="BG2331" s="1">
        <v>44354.054166666669</v>
      </c>
      <c r="BH2331" s="1">
        <v>44354.536446759259</v>
      </c>
      <c r="BI2331" s="1">
        <v>44354.537453703706</v>
      </c>
      <c r="BJ2331" t="s">
        <v>85</v>
      </c>
      <c r="BK2331" t="s">
        <v>86</v>
      </c>
      <c r="BL2331" t="s">
        <v>87</v>
      </c>
    </row>
    <row r="2332" spans="1:64" x14ac:dyDescent="0.3">
      <c r="A2332" t="str">
        <f>"201518B0000"</f>
        <v>201518B0000</v>
      </c>
      <c r="B2332" t="str">
        <f>"201518B00003"</f>
        <v>201518B00003</v>
      </c>
      <c r="C2332" t="str">
        <f t="shared" si="149"/>
        <v>20</v>
      </c>
      <c r="D2332" t="s">
        <v>81</v>
      </c>
      <c r="E2332" t="str">
        <f t="shared" si="150"/>
        <v>322</v>
      </c>
      <c r="F2332" t="s">
        <v>2511</v>
      </c>
      <c r="G2332" t="str">
        <f t="shared" ref="G2332:G2337" si="151">"1518"</f>
        <v>1518</v>
      </c>
      <c r="H2332" t="str">
        <f>"0000"</f>
        <v>0000</v>
      </c>
      <c r="I2332" t="s">
        <v>83</v>
      </c>
      <c r="J2332">
        <v>0</v>
      </c>
      <c r="K2332">
        <v>1</v>
      </c>
      <c r="L2332">
        <v>3</v>
      </c>
      <c r="M2332">
        <v>295</v>
      </c>
      <c r="N2332">
        <v>379</v>
      </c>
      <c r="O2332">
        <v>10</v>
      </c>
      <c r="P2332">
        <v>379</v>
      </c>
      <c r="Q2332">
        <v>5</v>
      </c>
      <c r="R2332">
        <v>8</v>
      </c>
      <c r="S2332">
        <v>61</v>
      </c>
      <c r="T2332">
        <v>73</v>
      </c>
      <c r="U2332">
        <v>7</v>
      </c>
      <c r="V2332">
        <v>24</v>
      </c>
      <c r="W2332">
        <v>8</v>
      </c>
      <c r="X2332">
        <v>68</v>
      </c>
      <c r="Y2332">
        <v>102</v>
      </c>
      <c r="Z2332">
        <v>4</v>
      </c>
      <c r="AB2332">
        <v>10</v>
      </c>
      <c r="AK2332">
        <v>0</v>
      </c>
      <c r="AO2332">
        <v>0</v>
      </c>
      <c r="AP2332">
        <v>0</v>
      </c>
      <c r="AR2332">
        <v>1</v>
      </c>
      <c r="AW2332">
        <v>0</v>
      </c>
      <c r="AX2332">
        <v>8</v>
      </c>
      <c r="AY2332">
        <v>379</v>
      </c>
      <c r="AZ2332">
        <v>379</v>
      </c>
      <c r="BA2332">
        <v>629</v>
      </c>
      <c r="BB2332">
        <v>44</v>
      </c>
      <c r="BD2332">
        <v>1</v>
      </c>
      <c r="BF2332" t="s">
        <v>2518</v>
      </c>
      <c r="BG2332" s="1">
        <v>44354.102777777778</v>
      </c>
      <c r="BH2332" s="1">
        <v>44354.10701388889</v>
      </c>
      <c r="BI2332" s="1">
        <v>44354.107731481483</v>
      </c>
      <c r="BJ2332" t="s">
        <v>85</v>
      </c>
      <c r="BK2332" t="s">
        <v>86</v>
      </c>
      <c r="BL2332" t="s">
        <v>87</v>
      </c>
    </row>
    <row r="2333" spans="1:64" x14ac:dyDescent="0.3">
      <c r="A2333" t="str">
        <f>"201518C0100"</f>
        <v>201518C0100</v>
      </c>
      <c r="B2333" t="str">
        <f>"201518C01003"</f>
        <v>201518C01003</v>
      </c>
      <c r="C2333" t="str">
        <f t="shared" si="149"/>
        <v>20</v>
      </c>
      <c r="D2333" t="s">
        <v>81</v>
      </c>
      <c r="E2333" t="str">
        <f t="shared" si="150"/>
        <v>322</v>
      </c>
      <c r="F2333" t="s">
        <v>2511</v>
      </c>
      <c r="G2333" t="str">
        <f t="shared" si="151"/>
        <v>1518</v>
      </c>
      <c r="H2333" t="str">
        <f>"0001"</f>
        <v>0001</v>
      </c>
      <c r="I2333" t="s">
        <v>89</v>
      </c>
      <c r="J2333">
        <v>0</v>
      </c>
      <c r="K2333">
        <v>1</v>
      </c>
      <c r="L2333">
        <v>3</v>
      </c>
      <c r="M2333">
        <v>317</v>
      </c>
      <c r="N2333">
        <v>356</v>
      </c>
      <c r="O2333">
        <v>6</v>
      </c>
      <c r="P2333">
        <v>356</v>
      </c>
      <c r="Q2333">
        <v>0</v>
      </c>
      <c r="R2333">
        <v>10</v>
      </c>
      <c r="S2333">
        <v>59</v>
      </c>
      <c r="T2333">
        <v>60</v>
      </c>
      <c r="U2333">
        <v>17</v>
      </c>
      <c r="V2333">
        <v>15</v>
      </c>
      <c r="W2333">
        <v>7</v>
      </c>
      <c r="X2333">
        <v>74</v>
      </c>
      <c r="Y2333">
        <v>80</v>
      </c>
      <c r="Z2333">
        <v>4</v>
      </c>
      <c r="AB2333">
        <v>19</v>
      </c>
      <c r="AK2333">
        <v>4</v>
      </c>
      <c r="AO2333">
        <v>0</v>
      </c>
      <c r="AP2333">
        <v>0</v>
      </c>
      <c r="AR2333">
        <v>0</v>
      </c>
      <c r="AW2333">
        <v>0</v>
      </c>
      <c r="AX2333">
        <v>7</v>
      </c>
      <c r="AY2333">
        <v>356</v>
      </c>
      <c r="AZ2333">
        <v>356</v>
      </c>
      <c r="BA2333">
        <v>629</v>
      </c>
      <c r="BB2333">
        <v>44</v>
      </c>
      <c r="BD2333">
        <v>1</v>
      </c>
      <c r="BF2333" t="s">
        <v>2519</v>
      </c>
      <c r="BG2333" s="1">
        <v>44354.219444444447</v>
      </c>
      <c r="BH2333" s="1">
        <v>44354.232233796298</v>
      </c>
      <c r="BI2333" s="1">
        <v>44354.232743055552</v>
      </c>
      <c r="BJ2333" t="s">
        <v>85</v>
      </c>
      <c r="BK2333" t="s">
        <v>86</v>
      </c>
      <c r="BL2333" t="s">
        <v>87</v>
      </c>
    </row>
    <row r="2334" spans="1:64" x14ac:dyDescent="0.3">
      <c r="A2334" t="str">
        <f>"201518C0200"</f>
        <v>201518C0200</v>
      </c>
      <c r="B2334" t="str">
        <f>"201518C02003"</f>
        <v>201518C02003</v>
      </c>
      <c r="C2334" t="str">
        <f t="shared" si="149"/>
        <v>20</v>
      </c>
      <c r="D2334" t="s">
        <v>81</v>
      </c>
      <c r="E2334" t="str">
        <f t="shared" si="150"/>
        <v>322</v>
      </c>
      <c r="F2334" t="s">
        <v>2511</v>
      </c>
      <c r="G2334" t="str">
        <f t="shared" si="151"/>
        <v>1518</v>
      </c>
      <c r="H2334" t="str">
        <f>"0002"</f>
        <v>0002</v>
      </c>
      <c r="I2334" t="s">
        <v>89</v>
      </c>
      <c r="J2334">
        <v>0</v>
      </c>
      <c r="K2334">
        <v>1</v>
      </c>
      <c r="L2334">
        <v>3</v>
      </c>
      <c r="BA2334">
        <v>629</v>
      </c>
      <c r="BB2334">
        <v>44</v>
      </c>
      <c r="BC2334" t="s">
        <v>721</v>
      </c>
      <c r="BD2334">
        <v>0</v>
      </c>
      <c r="BF2334" t="s">
        <v>2520</v>
      </c>
      <c r="BG2334" s="1">
        <v>44354.634027777778</v>
      </c>
      <c r="BH2334" s="1">
        <v>44354.646099537036</v>
      </c>
      <c r="BI2334" s="1">
        <v>44354.646099537036</v>
      </c>
      <c r="BJ2334" t="s">
        <v>85</v>
      </c>
      <c r="BK2334" t="s">
        <v>86</v>
      </c>
      <c r="BL2334" t="s">
        <v>87</v>
      </c>
    </row>
    <row r="2335" spans="1:64" x14ac:dyDescent="0.3">
      <c r="A2335" t="str">
        <f>"201518C0300"</f>
        <v>201518C0300</v>
      </c>
      <c r="B2335" t="str">
        <f>"201518C03003"</f>
        <v>201518C03003</v>
      </c>
      <c r="C2335" t="str">
        <f t="shared" si="149"/>
        <v>20</v>
      </c>
      <c r="D2335" t="s">
        <v>81</v>
      </c>
      <c r="E2335" t="str">
        <f t="shared" si="150"/>
        <v>322</v>
      </c>
      <c r="F2335" t="s">
        <v>2511</v>
      </c>
      <c r="G2335" t="str">
        <f t="shared" si="151"/>
        <v>1518</v>
      </c>
      <c r="H2335" t="str">
        <f>"0003"</f>
        <v>0003</v>
      </c>
      <c r="I2335" t="s">
        <v>89</v>
      </c>
      <c r="J2335">
        <v>0</v>
      </c>
      <c r="K2335">
        <v>1</v>
      </c>
      <c r="L2335">
        <v>3</v>
      </c>
      <c r="M2335">
        <v>290</v>
      </c>
      <c r="N2335">
        <v>381</v>
      </c>
      <c r="O2335">
        <v>8</v>
      </c>
      <c r="P2335">
        <v>381</v>
      </c>
      <c r="Q2335">
        <v>3</v>
      </c>
      <c r="R2335">
        <v>9</v>
      </c>
      <c r="S2335">
        <v>56</v>
      </c>
      <c r="T2335">
        <v>60</v>
      </c>
      <c r="U2335">
        <v>18</v>
      </c>
      <c r="V2335">
        <v>14</v>
      </c>
      <c r="W2335">
        <v>5</v>
      </c>
      <c r="X2335">
        <v>106</v>
      </c>
      <c r="Y2335">
        <v>72</v>
      </c>
      <c r="Z2335">
        <v>7</v>
      </c>
      <c r="AB2335">
        <v>12</v>
      </c>
      <c r="AK2335">
        <v>3</v>
      </c>
      <c r="AO2335">
        <v>0</v>
      </c>
      <c r="AP2335">
        <v>2</v>
      </c>
      <c r="AR2335">
        <v>0</v>
      </c>
      <c r="AW2335">
        <v>0</v>
      </c>
      <c r="AX2335">
        <v>14</v>
      </c>
      <c r="AY2335">
        <v>381</v>
      </c>
      <c r="AZ2335">
        <v>381</v>
      </c>
      <c r="BA2335">
        <v>628</v>
      </c>
      <c r="BB2335">
        <v>44</v>
      </c>
      <c r="BD2335">
        <v>1</v>
      </c>
      <c r="BF2335" t="s">
        <v>2521</v>
      </c>
      <c r="BG2335" s="1">
        <v>44354.220833333333</v>
      </c>
      <c r="BH2335" s="1">
        <v>44354.231111111112</v>
      </c>
      <c r="BI2335" s="1">
        <v>44354.231574074074</v>
      </c>
      <c r="BJ2335" t="s">
        <v>85</v>
      </c>
      <c r="BK2335" t="s">
        <v>86</v>
      </c>
      <c r="BL2335" t="s">
        <v>87</v>
      </c>
    </row>
    <row r="2336" spans="1:64" x14ac:dyDescent="0.3">
      <c r="A2336" t="str">
        <f>"201518C0400"</f>
        <v>201518C0400</v>
      </c>
      <c r="B2336" t="str">
        <f>"201518C04003"</f>
        <v>201518C04003</v>
      </c>
      <c r="C2336" t="str">
        <f t="shared" si="149"/>
        <v>20</v>
      </c>
      <c r="D2336" t="s">
        <v>81</v>
      </c>
      <c r="E2336" t="str">
        <f t="shared" si="150"/>
        <v>322</v>
      </c>
      <c r="F2336" t="s">
        <v>2511</v>
      </c>
      <c r="G2336" t="str">
        <f t="shared" si="151"/>
        <v>1518</v>
      </c>
      <c r="H2336" t="str">
        <f>"0004"</f>
        <v>0004</v>
      </c>
      <c r="I2336" t="s">
        <v>89</v>
      </c>
      <c r="J2336">
        <v>0</v>
      </c>
      <c r="K2336">
        <v>1</v>
      </c>
      <c r="L2336">
        <v>3</v>
      </c>
      <c r="M2336">
        <v>297</v>
      </c>
      <c r="N2336">
        <v>375</v>
      </c>
      <c r="O2336">
        <v>7</v>
      </c>
      <c r="P2336">
        <v>375</v>
      </c>
      <c r="Q2336">
        <v>1</v>
      </c>
      <c r="R2336">
        <v>10</v>
      </c>
      <c r="S2336">
        <v>65</v>
      </c>
      <c r="T2336">
        <v>61</v>
      </c>
      <c r="U2336">
        <v>17</v>
      </c>
      <c r="V2336">
        <v>15</v>
      </c>
      <c r="W2336">
        <v>2</v>
      </c>
      <c r="X2336">
        <v>83</v>
      </c>
      <c r="Y2336">
        <v>74</v>
      </c>
      <c r="Z2336">
        <v>6</v>
      </c>
      <c r="AB2336">
        <v>17</v>
      </c>
      <c r="AK2336">
        <v>7</v>
      </c>
      <c r="AO2336">
        <v>1</v>
      </c>
      <c r="AP2336">
        <v>0</v>
      </c>
      <c r="AR2336">
        <v>0</v>
      </c>
      <c r="AW2336">
        <v>1</v>
      </c>
      <c r="AX2336">
        <v>15</v>
      </c>
      <c r="AY2336" t="s">
        <v>95</v>
      </c>
      <c r="AZ2336">
        <v>375</v>
      </c>
      <c r="BA2336">
        <v>628</v>
      </c>
      <c r="BB2336">
        <v>44</v>
      </c>
      <c r="BD2336">
        <v>1</v>
      </c>
      <c r="BF2336" t="s">
        <v>2522</v>
      </c>
      <c r="BG2336" s="1">
        <v>44354.219444444447</v>
      </c>
      <c r="BH2336" s="1">
        <v>44354.233819444446</v>
      </c>
      <c r="BI2336" s="1">
        <v>44354.234259259261</v>
      </c>
      <c r="BJ2336" t="s">
        <v>85</v>
      </c>
      <c r="BK2336" t="s">
        <v>86</v>
      </c>
      <c r="BL2336" t="s">
        <v>87</v>
      </c>
    </row>
    <row r="2337" spans="1:64" x14ac:dyDescent="0.3">
      <c r="A2337" t="str">
        <f>"201518S0100"</f>
        <v>201518S0100</v>
      </c>
      <c r="B2337" t="str">
        <f>"201518S01003E"</f>
        <v>201518S01003E</v>
      </c>
      <c r="C2337" t="str">
        <f t="shared" si="149"/>
        <v>20</v>
      </c>
      <c r="D2337" t="s">
        <v>81</v>
      </c>
      <c r="E2337" t="str">
        <f t="shared" si="150"/>
        <v>322</v>
      </c>
      <c r="F2337" t="s">
        <v>2511</v>
      </c>
      <c r="G2337" t="str">
        <f t="shared" si="151"/>
        <v>1518</v>
      </c>
      <c r="H2337" t="str">
        <f>"0001"</f>
        <v>0001</v>
      </c>
      <c r="I2337" t="s">
        <v>99</v>
      </c>
      <c r="J2337">
        <v>0</v>
      </c>
      <c r="K2337">
        <v>1</v>
      </c>
      <c r="L2337" t="s">
        <v>100</v>
      </c>
      <c r="M2337">
        <v>952</v>
      </c>
      <c r="N2337">
        <v>48</v>
      </c>
      <c r="O2337">
        <v>0</v>
      </c>
      <c r="P2337">
        <v>48</v>
      </c>
      <c r="Q2337">
        <v>0</v>
      </c>
      <c r="R2337">
        <v>2</v>
      </c>
      <c r="S2337">
        <v>5</v>
      </c>
      <c r="T2337">
        <v>14</v>
      </c>
      <c r="U2337">
        <v>2</v>
      </c>
      <c r="V2337">
        <v>6</v>
      </c>
      <c r="W2337">
        <v>0</v>
      </c>
      <c r="X2337">
        <v>7</v>
      </c>
      <c r="Y2337">
        <v>8</v>
      </c>
      <c r="Z2337">
        <v>0</v>
      </c>
      <c r="AB2337">
        <v>2</v>
      </c>
      <c r="AK2337">
        <v>0</v>
      </c>
      <c r="AO2337">
        <v>0</v>
      </c>
      <c r="AP2337">
        <v>0</v>
      </c>
      <c r="AR2337">
        <v>0</v>
      </c>
      <c r="AW2337">
        <v>0</v>
      </c>
      <c r="AX2337">
        <v>2</v>
      </c>
      <c r="AY2337">
        <v>48</v>
      </c>
      <c r="AZ2337">
        <v>48</v>
      </c>
      <c r="BA2337">
        <v>0</v>
      </c>
      <c r="BB2337">
        <v>44</v>
      </c>
      <c r="BD2337">
        <v>1</v>
      </c>
      <c r="BF2337" t="s">
        <v>2523</v>
      </c>
      <c r="BG2337" s="1">
        <v>44354.055555555555</v>
      </c>
      <c r="BH2337" s="1">
        <v>44354.061793981484</v>
      </c>
      <c r="BI2337" s="1">
        <v>44354.062291666669</v>
      </c>
      <c r="BJ2337" t="s">
        <v>85</v>
      </c>
      <c r="BK2337" t="s">
        <v>86</v>
      </c>
      <c r="BL2337" t="s">
        <v>87</v>
      </c>
    </row>
    <row r="2338" spans="1:64" x14ac:dyDescent="0.3">
      <c r="A2338" t="str">
        <f>"201519B0000"</f>
        <v>201519B0000</v>
      </c>
      <c r="B2338" t="str">
        <f>"201519B00003"</f>
        <v>201519B00003</v>
      </c>
      <c r="C2338" t="str">
        <f t="shared" si="149"/>
        <v>20</v>
      </c>
      <c r="D2338" t="s">
        <v>81</v>
      </c>
      <c r="E2338" t="str">
        <f t="shared" si="150"/>
        <v>322</v>
      </c>
      <c r="F2338" t="s">
        <v>2511</v>
      </c>
      <c r="G2338" t="str">
        <f t="shared" ref="G2338:G2344" si="152">"1519"</f>
        <v>1519</v>
      </c>
      <c r="H2338" t="str">
        <f>"0000"</f>
        <v>0000</v>
      </c>
      <c r="I2338" t="s">
        <v>83</v>
      </c>
      <c r="J2338">
        <v>0</v>
      </c>
      <c r="K2338">
        <v>1</v>
      </c>
      <c r="L2338">
        <v>3</v>
      </c>
      <c r="M2338">
        <v>302</v>
      </c>
      <c r="N2338">
        <v>389</v>
      </c>
      <c r="O2338">
        <v>1</v>
      </c>
      <c r="P2338" t="s">
        <v>92</v>
      </c>
      <c r="Q2338">
        <v>5</v>
      </c>
      <c r="R2338">
        <v>10</v>
      </c>
      <c r="S2338">
        <v>46</v>
      </c>
      <c r="T2338">
        <v>78</v>
      </c>
      <c r="U2338">
        <v>13</v>
      </c>
      <c r="V2338">
        <v>11</v>
      </c>
      <c r="W2338">
        <v>3</v>
      </c>
      <c r="X2338">
        <v>113</v>
      </c>
      <c r="Y2338">
        <v>71</v>
      </c>
      <c r="Z2338">
        <v>5</v>
      </c>
      <c r="AB2338">
        <v>16</v>
      </c>
      <c r="AK2338">
        <v>2</v>
      </c>
      <c r="AO2338">
        <v>0</v>
      </c>
      <c r="AP2338">
        <v>3</v>
      </c>
      <c r="AR2338">
        <v>0</v>
      </c>
      <c r="AW2338">
        <v>1</v>
      </c>
      <c r="AX2338">
        <v>12</v>
      </c>
      <c r="AY2338">
        <v>389</v>
      </c>
      <c r="AZ2338">
        <v>389</v>
      </c>
      <c r="BA2338">
        <v>647</v>
      </c>
      <c r="BB2338">
        <v>44</v>
      </c>
      <c r="BD2338">
        <v>1</v>
      </c>
      <c r="BF2338" t="s">
        <v>2524</v>
      </c>
      <c r="BG2338" s="1">
        <v>44354.109722222223</v>
      </c>
      <c r="BH2338" s="1">
        <v>44354.116666666669</v>
      </c>
      <c r="BI2338" s="1">
        <v>44354.117766203701</v>
      </c>
      <c r="BJ2338" t="s">
        <v>85</v>
      </c>
      <c r="BK2338" t="s">
        <v>86</v>
      </c>
      <c r="BL2338" t="s">
        <v>87</v>
      </c>
    </row>
    <row r="2339" spans="1:64" x14ac:dyDescent="0.3">
      <c r="A2339" t="str">
        <f>"201519C0100"</f>
        <v>201519C0100</v>
      </c>
      <c r="B2339" t="str">
        <f>"201519C01003"</f>
        <v>201519C01003</v>
      </c>
      <c r="C2339" t="str">
        <f t="shared" si="149"/>
        <v>20</v>
      </c>
      <c r="D2339" t="s">
        <v>81</v>
      </c>
      <c r="E2339" t="str">
        <f t="shared" si="150"/>
        <v>322</v>
      </c>
      <c r="F2339" t="s">
        <v>2511</v>
      </c>
      <c r="G2339" t="str">
        <f t="shared" si="152"/>
        <v>1519</v>
      </c>
      <c r="H2339" t="str">
        <f>"0001"</f>
        <v>0001</v>
      </c>
      <c r="I2339" t="s">
        <v>89</v>
      </c>
      <c r="J2339">
        <v>0</v>
      </c>
      <c r="K2339">
        <v>1</v>
      </c>
      <c r="L2339">
        <v>3</v>
      </c>
      <c r="M2339">
        <v>299</v>
      </c>
      <c r="N2339">
        <v>392</v>
      </c>
      <c r="O2339">
        <v>2</v>
      </c>
      <c r="P2339" t="s">
        <v>92</v>
      </c>
      <c r="Q2339">
        <v>1</v>
      </c>
      <c r="R2339">
        <v>7</v>
      </c>
      <c r="S2339">
        <v>47</v>
      </c>
      <c r="T2339">
        <v>85</v>
      </c>
      <c r="U2339">
        <v>6</v>
      </c>
      <c r="V2339">
        <v>15</v>
      </c>
      <c r="W2339">
        <v>4</v>
      </c>
      <c r="X2339">
        <v>98</v>
      </c>
      <c r="Y2339">
        <v>109</v>
      </c>
      <c r="Z2339">
        <v>1</v>
      </c>
      <c r="AB2339">
        <v>7</v>
      </c>
      <c r="AK2339">
        <v>1</v>
      </c>
      <c r="AO2339">
        <v>1</v>
      </c>
      <c r="AP2339">
        <v>0</v>
      </c>
      <c r="AR2339">
        <v>0</v>
      </c>
      <c r="AW2339">
        <v>0</v>
      </c>
      <c r="AX2339">
        <v>10</v>
      </c>
      <c r="AY2339">
        <v>392</v>
      </c>
      <c r="AZ2339">
        <v>392</v>
      </c>
      <c r="BA2339">
        <v>647</v>
      </c>
      <c r="BB2339">
        <v>44</v>
      </c>
      <c r="BD2339">
        <v>1</v>
      </c>
      <c r="BF2339" t="s">
        <v>2525</v>
      </c>
      <c r="BG2339" s="1">
        <v>44354.109722222223</v>
      </c>
      <c r="BH2339" s="1">
        <v>44354.115358796298</v>
      </c>
      <c r="BI2339" s="1">
        <v>44354.115810185183</v>
      </c>
      <c r="BJ2339" t="s">
        <v>85</v>
      </c>
      <c r="BK2339" t="s">
        <v>86</v>
      </c>
      <c r="BL2339" t="s">
        <v>87</v>
      </c>
    </row>
    <row r="2340" spans="1:64" x14ac:dyDescent="0.3">
      <c r="A2340" t="str">
        <f>"201519C0200"</f>
        <v>201519C0200</v>
      </c>
      <c r="B2340" t="str">
        <f>"201519C02003"</f>
        <v>201519C02003</v>
      </c>
      <c r="C2340" t="str">
        <f t="shared" si="149"/>
        <v>20</v>
      </c>
      <c r="D2340" t="s">
        <v>81</v>
      </c>
      <c r="E2340" t="str">
        <f t="shared" si="150"/>
        <v>322</v>
      </c>
      <c r="F2340" t="s">
        <v>2511</v>
      </c>
      <c r="G2340" t="str">
        <f t="shared" si="152"/>
        <v>1519</v>
      </c>
      <c r="H2340" t="str">
        <f>"0002"</f>
        <v>0002</v>
      </c>
      <c r="I2340" t="s">
        <v>89</v>
      </c>
      <c r="J2340">
        <v>0</v>
      </c>
      <c r="K2340">
        <v>1</v>
      </c>
      <c r="L2340">
        <v>3</v>
      </c>
      <c r="M2340">
        <v>319</v>
      </c>
      <c r="N2340">
        <v>372</v>
      </c>
      <c r="O2340">
        <v>1</v>
      </c>
      <c r="P2340">
        <v>372</v>
      </c>
      <c r="Q2340">
        <v>0</v>
      </c>
      <c r="R2340">
        <v>10</v>
      </c>
      <c r="S2340">
        <v>45</v>
      </c>
      <c r="T2340">
        <v>92</v>
      </c>
      <c r="U2340">
        <v>9</v>
      </c>
      <c r="V2340">
        <v>15</v>
      </c>
      <c r="W2340">
        <v>3</v>
      </c>
      <c r="X2340">
        <v>115</v>
      </c>
      <c r="Y2340">
        <v>64</v>
      </c>
      <c r="Z2340">
        <v>3</v>
      </c>
      <c r="AB2340">
        <v>4</v>
      </c>
      <c r="AK2340">
        <v>4</v>
      </c>
      <c r="AO2340" t="s">
        <v>95</v>
      </c>
      <c r="AP2340" t="s">
        <v>95</v>
      </c>
      <c r="AR2340" t="s">
        <v>95</v>
      </c>
      <c r="AW2340" t="s">
        <v>95</v>
      </c>
      <c r="AX2340">
        <v>8</v>
      </c>
      <c r="AY2340">
        <v>372</v>
      </c>
      <c r="AZ2340">
        <v>372</v>
      </c>
      <c r="BA2340">
        <v>647</v>
      </c>
      <c r="BB2340">
        <v>44</v>
      </c>
      <c r="BC2340" t="s">
        <v>96</v>
      </c>
      <c r="BD2340">
        <v>1</v>
      </c>
      <c r="BF2340" t="s">
        <v>2526</v>
      </c>
      <c r="BG2340" s="1">
        <v>44354.113888888889</v>
      </c>
      <c r="BH2340" s="1">
        <v>44354.118368055555</v>
      </c>
      <c r="BI2340" s="1">
        <v>44354.119189814817</v>
      </c>
      <c r="BJ2340" t="s">
        <v>85</v>
      </c>
      <c r="BK2340" t="s">
        <v>86</v>
      </c>
      <c r="BL2340" t="s">
        <v>87</v>
      </c>
    </row>
    <row r="2341" spans="1:64" x14ac:dyDescent="0.3">
      <c r="A2341" t="str">
        <f>"201519C0300"</f>
        <v>201519C0300</v>
      </c>
      <c r="B2341" t="str">
        <f>"201519C03003"</f>
        <v>201519C03003</v>
      </c>
      <c r="C2341" t="str">
        <f t="shared" si="149"/>
        <v>20</v>
      </c>
      <c r="D2341" t="s">
        <v>81</v>
      </c>
      <c r="E2341" t="str">
        <f t="shared" si="150"/>
        <v>322</v>
      </c>
      <c r="F2341" t="s">
        <v>2511</v>
      </c>
      <c r="G2341" t="str">
        <f t="shared" si="152"/>
        <v>1519</v>
      </c>
      <c r="H2341" t="str">
        <f>"0003"</f>
        <v>0003</v>
      </c>
      <c r="I2341" t="s">
        <v>89</v>
      </c>
      <c r="J2341">
        <v>0</v>
      </c>
      <c r="K2341">
        <v>1</v>
      </c>
      <c r="L2341">
        <v>3</v>
      </c>
      <c r="M2341">
        <v>290</v>
      </c>
      <c r="N2341">
        <v>401</v>
      </c>
      <c r="O2341">
        <v>10</v>
      </c>
      <c r="P2341">
        <v>391</v>
      </c>
      <c r="Q2341">
        <v>4</v>
      </c>
      <c r="R2341">
        <v>11</v>
      </c>
      <c r="S2341">
        <v>44</v>
      </c>
      <c r="T2341">
        <v>87</v>
      </c>
      <c r="U2341">
        <v>9</v>
      </c>
      <c r="V2341">
        <v>20</v>
      </c>
      <c r="W2341">
        <v>5</v>
      </c>
      <c r="X2341">
        <v>88</v>
      </c>
      <c r="Y2341">
        <v>107</v>
      </c>
      <c r="Z2341">
        <v>0</v>
      </c>
      <c r="AB2341">
        <v>11</v>
      </c>
      <c r="AK2341">
        <v>1</v>
      </c>
      <c r="AO2341">
        <v>0</v>
      </c>
      <c r="AP2341">
        <v>0</v>
      </c>
      <c r="AR2341">
        <v>0</v>
      </c>
      <c r="AW2341">
        <v>1</v>
      </c>
      <c r="AX2341">
        <v>13</v>
      </c>
      <c r="AY2341">
        <v>401</v>
      </c>
      <c r="AZ2341">
        <v>401</v>
      </c>
      <c r="BA2341">
        <v>647</v>
      </c>
      <c r="BB2341">
        <v>44</v>
      </c>
      <c r="BD2341">
        <v>1</v>
      </c>
      <c r="BF2341" t="s">
        <v>2527</v>
      </c>
      <c r="BG2341" s="1">
        <v>44354.111805555556</v>
      </c>
      <c r="BH2341" s="1">
        <v>44354.119386574072</v>
      </c>
      <c r="BI2341" s="1">
        <v>44354.120081018518</v>
      </c>
      <c r="BJ2341" t="s">
        <v>85</v>
      </c>
      <c r="BK2341" t="s">
        <v>86</v>
      </c>
      <c r="BL2341" t="s">
        <v>87</v>
      </c>
    </row>
    <row r="2342" spans="1:64" x14ac:dyDescent="0.3">
      <c r="A2342" t="str">
        <f>"201519C0400"</f>
        <v>201519C0400</v>
      </c>
      <c r="B2342" t="str">
        <f>"201519C04003"</f>
        <v>201519C04003</v>
      </c>
      <c r="C2342" t="str">
        <f t="shared" si="149"/>
        <v>20</v>
      </c>
      <c r="D2342" t="s">
        <v>81</v>
      </c>
      <c r="E2342" t="str">
        <f t="shared" si="150"/>
        <v>322</v>
      </c>
      <c r="F2342" t="s">
        <v>2511</v>
      </c>
      <c r="G2342" t="str">
        <f t="shared" si="152"/>
        <v>1519</v>
      </c>
      <c r="H2342" t="str">
        <f>"0004"</f>
        <v>0004</v>
      </c>
      <c r="I2342" t="s">
        <v>89</v>
      </c>
      <c r="J2342">
        <v>0</v>
      </c>
      <c r="K2342">
        <v>1</v>
      </c>
      <c r="L2342">
        <v>3</v>
      </c>
      <c r="M2342">
        <v>320</v>
      </c>
      <c r="N2342">
        <v>371</v>
      </c>
      <c r="O2342">
        <v>5</v>
      </c>
      <c r="P2342" t="s">
        <v>92</v>
      </c>
      <c r="Q2342">
        <v>1</v>
      </c>
      <c r="R2342">
        <v>11</v>
      </c>
      <c r="S2342">
        <v>48</v>
      </c>
      <c r="T2342">
        <v>69</v>
      </c>
      <c r="U2342">
        <v>8</v>
      </c>
      <c r="V2342">
        <v>21</v>
      </c>
      <c r="W2342">
        <v>8</v>
      </c>
      <c r="X2342">
        <v>90</v>
      </c>
      <c r="Y2342">
        <v>98</v>
      </c>
      <c r="Z2342">
        <v>2</v>
      </c>
      <c r="AB2342">
        <v>5</v>
      </c>
      <c r="AK2342">
        <v>2</v>
      </c>
      <c r="AO2342" t="s">
        <v>95</v>
      </c>
      <c r="AP2342" t="s">
        <v>95</v>
      </c>
      <c r="AR2342" t="s">
        <v>95</v>
      </c>
      <c r="AW2342" t="s">
        <v>95</v>
      </c>
      <c r="AX2342">
        <v>7</v>
      </c>
      <c r="AY2342">
        <v>371</v>
      </c>
      <c r="AZ2342">
        <v>370</v>
      </c>
      <c r="BA2342">
        <v>647</v>
      </c>
      <c r="BB2342">
        <v>44</v>
      </c>
      <c r="BC2342" t="s">
        <v>96</v>
      </c>
      <c r="BD2342">
        <v>1</v>
      </c>
      <c r="BF2342" t="s">
        <v>2528</v>
      </c>
      <c r="BG2342" s="1">
        <v>44354.109722222223</v>
      </c>
      <c r="BH2342" s="1">
        <v>44354.12400462963</v>
      </c>
      <c r="BI2342" s="1">
        <v>44354.131157407406</v>
      </c>
      <c r="BJ2342" t="s">
        <v>85</v>
      </c>
      <c r="BK2342" t="s">
        <v>86</v>
      </c>
      <c r="BL2342" t="s">
        <v>87</v>
      </c>
    </row>
    <row r="2343" spans="1:64" x14ac:dyDescent="0.3">
      <c r="A2343" t="str">
        <f>"201519C0500"</f>
        <v>201519C0500</v>
      </c>
      <c r="B2343" t="str">
        <f>"201519C05003"</f>
        <v>201519C05003</v>
      </c>
      <c r="C2343" t="str">
        <f t="shared" si="149"/>
        <v>20</v>
      </c>
      <c r="D2343" t="s">
        <v>81</v>
      </c>
      <c r="E2343" t="str">
        <f t="shared" si="150"/>
        <v>322</v>
      </c>
      <c r="F2343" t="s">
        <v>2511</v>
      </c>
      <c r="G2343" t="str">
        <f t="shared" si="152"/>
        <v>1519</v>
      </c>
      <c r="H2343" t="str">
        <f>"0005"</f>
        <v>0005</v>
      </c>
      <c r="I2343" t="s">
        <v>89</v>
      </c>
      <c r="J2343">
        <v>0</v>
      </c>
      <c r="K2343">
        <v>1</v>
      </c>
      <c r="L2343">
        <v>3</v>
      </c>
      <c r="M2343">
        <v>279</v>
      </c>
      <c r="N2343">
        <v>412</v>
      </c>
      <c r="O2343">
        <v>3</v>
      </c>
      <c r="P2343">
        <v>412</v>
      </c>
      <c r="Q2343">
        <v>4</v>
      </c>
      <c r="R2343">
        <v>11</v>
      </c>
      <c r="S2343">
        <v>42</v>
      </c>
      <c r="T2343">
        <v>94</v>
      </c>
      <c r="U2343">
        <v>13</v>
      </c>
      <c r="V2343">
        <v>15</v>
      </c>
      <c r="W2343">
        <v>4</v>
      </c>
      <c r="X2343">
        <v>113</v>
      </c>
      <c r="Y2343">
        <v>86</v>
      </c>
      <c r="Z2343">
        <v>2</v>
      </c>
      <c r="AB2343">
        <v>4</v>
      </c>
      <c r="AK2343">
        <v>5</v>
      </c>
      <c r="AO2343">
        <v>0</v>
      </c>
      <c r="AP2343">
        <v>0</v>
      </c>
      <c r="AR2343">
        <v>1</v>
      </c>
      <c r="AW2343">
        <v>0</v>
      </c>
      <c r="AX2343">
        <v>18</v>
      </c>
      <c r="AY2343">
        <v>412</v>
      </c>
      <c r="AZ2343">
        <v>412</v>
      </c>
      <c r="BA2343">
        <v>647</v>
      </c>
      <c r="BB2343">
        <v>44</v>
      </c>
      <c r="BD2343">
        <v>1</v>
      </c>
      <c r="BF2343" t="s">
        <v>2529</v>
      </c>
      <c r="BG2343" s="1">
        <v>44354.10833333333</v>
      </c>
      <c r="BH2343" s="1">
        <v>44354.116944444446</v>
      </c>
      <c r="BI2343" s="1">
        <v>44354.117905092593</v>
      </c>
      <c r="BJ2343" t="s">
        <v>85</v>
      </c>
      <c r="BK2343" t="s">
        <v>86</v>
      </c>
      <c r="BL2343" t="s">
        <v>87</v>
      </c>
    </row>
    <row r="2344" spans="1:64" x14ac:dyDescent="0.3">
      <c r="A2344" t="str">
        <f>"201519E0100"</f>
        <v>201519E0100</v>
      </c>
      <c r="B2344" t="str">
        <f>"201519E01003"</f>
        <v>201519E01003</v>
      </c>
      <c r="C2344" t="str">
        <f t="shared" si="149"/>
        <v>20</v>
      </c>
      <c r="D2344" t="s">
        <v>81</v>
      </c>
      <c r="E2344" t="str">
        <f t="shared" si="150"/>
        <v>322</v>
      </c>
      <c r="F2344" t="s">
        <v>2511</v>
      </c>
      <c r="G2344" t="str">
        <f t="shared" si="152"/>
        <v>1519</v>
      </c>
      <c r="H2344" t="str">
        <f>"0001"</f>
        <v>0001</v>
      </c>
      <c r="I2344" t="s">
        <v>122</v>
      </c>
      <c r="J2344">
        <v>0</v>
      </c>
      <c r="K2344">
        <v>1</v>
      </c>
      <c r="L2344">
        <v>3</v>
      </c>
      <c r="M2344">
        <v>246</v>
      </c>
      <c r="N2344">
        <v>291</v>
      </c>
      <c r="O2344">
        <v>3</v>
      </c>
      <c r="P2344">
        <v>291</v>
      </c>
      <c r="Q2344">
        <v>5</v>
      </c>
      <c r="R2344">
        <v>10</v>
      </c>
      <c r="S2344">
        <v>25</v>
      </c>
      <c r="T2344">
        <v>38</v>
      </c>
      <c r="U2344">
        <v>10</v>
      </c>
      <c r="V2344">
        <v>32</v>
      </c>
      <c r="W2344">
        <v>4</v>
      </c>
      <c r="X2344">
        <v>72</v>
      </c>
      <c r="Y2344">
        <v>74</v>
      </c>
      <c r="Z2344">
        <v>3</v>
      </c>
      <c r="AB2344">
        <v>3</v>
      </c>
      <c r="AK2344">
        <v>3</v>
      </c>
      <c r="AO2344">
        <v>1</v>
      </c>
      <c r="AP2344">
        <v>0</v>
      </c>
      <c r="AR2344">
        <v>0</v>
      </c>
      <c r="AW2344">
        <v>0</v>
      </c>
      <c r="AX2344">
        <v>11</v>
      </c>
      <c r="AY2344">
        <v>291</v>
      </c>
      <c r="AZ2344">
        <v>291</v>
      </c>
      <c r="BA2344">
        <v>493</v>
      </c>
      <c r="BB2344">
        <v>44</v>
      </c>
      <c r="BD2344">
        <v>1</v>
      </c>
      <c r="BF2344" t="s">
        <v>2530</v>
      </c>
      <c r="BG2344" s="1">
        <v>44354.057638888888</v>
      </c>
      <c r="BH2344" s="1">
        <v>44354.064282407409</v>
      </c>
      <c r="BI2344" s="1">
        <v>44354.064814814818</v>
      </c>
      <c r="BJ2344" t="s">
        <v>85</v>
      </c>
      <c r="BK2344" t="s">
        <v>86</v>
      </c>
      <c r="BL2344" t="s">
        <v>87</v>
      </c>
    </row>
    <row r="2345" spans="1:64" x14ac:dyDescent="0.3">
      <c r="A2345" t="str">
        <f>"201520B0000"</f>
        <v>201520B0000</v>
      </c>
      <c r="B2345" t="str">
        <f>"201520B00003"</f>
        <v>201520B00003</v>
      </c>
      <c r="C2345" t="str">
        <f t="shared" si="149"/>
        <v>20</v>
      </c>
      <c r="D2345" t="s">
        <v>81</v>
      </c>
      <c r="E2345" t="str">
        <f t="shared" si="150"/>
        <v>322</v>
      </c>
      <c r="F2345" t="s">
        <v>2511</v>
      </c>
      <c r="G2345" t="str">
        <f>"1520"</f>
        <v>1520</v>
      </c>
      <c r="H2345" t="str">
        <f>"0000"</f>
        <v>0000</v>
      </c>
      <c r="I2345" t="s">
        <v>83</v>
      </c>
      <c r="J2345">
        <v>0</v>
      </c>
      <c r="K2345">
        <v>1</v>
      </c>
      <c r="L2345">
        <v>3</v>
      </c>
      <c r="M2345">
        <v>217</v>
      </c>
      <c r="N2345">
        <v>379</v>
      </c>
      <c r="O2345">
        <v>7</v>
      </c>
      <c r="P2345">
        <v>379</v>
      </c>
      <c r="Q2345">
        <v>5</v>
      </c>
      <c r="R2345">
        <v>13</v>
      </c>
      <c r="S2345">
        <v>58</v>
      </c>
      <c r="T2345">
        <v>52</v>
      </c>
      <c r="U2345">
        <v>13</v>
      </c>
      <c r="V2345">
        <v>14</v>
      </c>
      <c r="W2345">
        <v>2</v>
      </c>
      <c r="X2345">
        <v>107</v>
      </c>
      <c r="Y2345">
        <v>92</v>
      </c>
      <c r="Z2345">
        <v>1</v>
      </c>
      <c r="AB2345">
        <v>11</v>
      </c>
      <c r="AK2345">
        <v>3</v>
      </c>
      <c r="AO2345">
        <v>1</v>
      </c>
      <c r="AP2345" t="s">
        <v>95</v>
      </c>
      <c r="AR2345" t="s">
        <v>95</v>
      </c>
      <c r="AW2345" t="s">
        <v>95</v>
      </c>
      <c r="AX2345">
        <v>7</v>
      </c>
      <c r="AY2345">
        <v>379</v>
      </c>
      <c r="AZ2345">
        <v>379</v>
      </c>
      <c r="BA2345">
        <v>552</v>
      </c>
      <c r="BB2345">
        <v>44</v>
      </c>
      <c r="BC2345" t="s">
        <v>96</v>
      </c>
      <c r="BD2345">
        <v>1</v>
      </c>
      <c r="BF2345" t="s">
        <v>2531</v>
      </c>
      <c r="BG2345" s="1">
        <v>44354.105555555558</v>
      </c>
      <c r="BH2345" s="1">
        <v>44354.108657407407</v>
      </c>
      <c r="BI2345" s="1">
        <v>44354.109247685185</v>
      </c>
      <c r="BJ2345" t="s">
        <v>85</v>
      </c>
      <c r="BK2345" t="s">
        <v>86</v>
      </c>
      <c r="BL2345" t="s">
        <v>87</v>
      </c>
    </row>
    <row r="2346" spans="1:64" x14ac:dyDescent="0.3">
      <c r="A2346" t="str">
        <f>"201520C0100"</f>
        <v>201520C0100</v>
      </c>
      <c r="B2346" t="str">
        <f>"201520C01003"</f>
        <v>201520C01003</v>
      </c>
      <c r="C2346" t="str">
        <f t="shared" si="149"/>
        <v>20</v>
      </c>
      <c r="D2346" t="s">
        <v>81</v>
      </c>
      <c r="E2346" t="str">
        <f t="shared" si="150"/>
        <v>322</v>
      </c>
      <c r="F2346" t="s">
        <v>2511</v>
      </c>
      <c r="G2346" t="str">
        <f>"1520"</f>
        <v>1520</v>
      </c>
      <c r="H2346" t="str">
        <f>"0001"</f>
        <v>0001</v>
      </c>
      <c r="I2346" t="s">
        <v>89</v>
      </c>
      <c r="J2346">
        <v>0</v>
      </c>
      <c r="K2346">
        <v>1</v>
      </c>
      <c r="L2346">
        <v>3</v>
      </c>
      <c r="M2346">
        <v>239</v>
      </c>
      <c r="N2346">
        <v>257</v>
      </c>
      <c r="O2346">
        <v>7</v>
      </c>
      <c r="P2346">
        <v>357</v>
      </c>
      <c r="Q2346">
        <v>4</v>
      </c>
      <c r="R2346">
        <v>11</v>
      </c>
      <c r="S2346">
        <v>52</v>
      </c>
      <c r="T2346">
        <v>32</v>
      </c>
      <c r="U2346">
        <v>7</v>
      </c>
      <c r="V2346">
        <v>23</v>
      </c>
      <c r="W2346">
        <v>4</v>
      </c>
      <c r="X2346">
        <v>106</v>
      </c>
      <c r="Y2346">
        <v>86</v>
      </c>
      <c r="Z2346">
        <v>3</v>
      </c>
      <c r="AB2346">
        <v>12</v>
      </c>
      <c r="AK2346">
        <v>5</v>
      </c>
      <c r="AO2346">
        <v>0</v>
      </c>
      <c r="AP2346">
        <v>1</v>
      </c>
      <c r="AR2346">
        <v>0</v>
      </c>
      <c r="AW2346">
        <v>0</v>
      </c>
      <c r="AX2346">
        <v>11</v>
      </c>
      <c r="AY2346">
        <v>357</v>
      </c>
      <c r="AZ2346">
        <v>357</v>
      </c>
      <c r="BA2346">
        <v>552</v>
      </c>
      <c r="BB2346">
        <v>44</v>
      </c>
      <c r="BD2346">
        <v>1</v>
      </c>
      <c r="BF2346" t="s">
        <v>2532</v>
      </c>
      <c r="BG2346" s="1">
        <v>44354.104166666664</v>
      </c>
      <c r="BH2346" s="1">
        <v>44354.108240740738</v>
      </c>
      <c r="BI2346" s="1">
        <v>44354.108807870369</v>
      </c>
      <c r="BJ2346" t="s">
        <v>85</v>
      </c>
      <c r="BK2346" t="s">
        <v>86</v>
      </c>
      <c r="BL2346" t="s">
        <v>87</v>
      </c>
    </row>
    <row r="2347" spans="1:64" x14ac:dyDescent="0.3">
      <c r="A2347" t="str">
        <f>"201520C0200"</f>
        <v>201520C0200</v>
      </c>
      <c r="B2347" t="str">
        <f>"201520C02003"</f>
        <v>201520C02003</v>
      </c>
      <c r="C2347" t="str">
        <f t="shared" si="149"/>
        <v>20</v>
      </c>
      <c r="D2347" t="s">
        <v>81</v>
      </c>
      <c r="E2347" t="str">
        <f t="shared" si="150"/>
        <v>322</v>
      </c>
      <c r="F2347" t="s">
        <v>2511</v>
      </c>
      <c r="G2347" t="str">
        <f>"1520"</f>
        <v>1520</v>
      </c>
      <c r="H2347" t="str">
        <f>"0002"</f>
        <v>0002</v>
      </c>
      <c r="I2347" t="s">
        <v>89</v>
      </c>
      <c r="J2347">
        <v>0</v>
      </c>
      <c r="K2347">
        <v>1</v>
      </c>
      <c r="L2347">
        <v>3</v>
      </c>
      <c r="M2347">
        <v>215</v>
      </c>
      <c r="N2347">
        <v>382</v>
      </c>
      <c r="O2347">
        <v>4</v>
      </c>
      <c r="P2347">
        <v>382</v>
      </c>
      <c r="Q2347">
        <v>4</v>
      </c>
      <c r="R2347">
        <v>5</v>
      </c>
      <c r="S2347">
        <v>47</v>
      </c>
      <c r="T2347">
        <v>67</v>
      </c>
      <c r="U2347">
        <v>13</v>
      </c>
      <c r="V2347">
        <v>10</v>
      </c>
      <c r="W2347">
        <v>4</v>
      </c>
      <c r="X2347">
        <v>103</v>
      </c>
      <c r="Y2347">
        <v>97</v>
      </c>
      <c r="Z2347">
        <v>2</v>
      </c>
      <c r="AB2347">
        <v>14</v>
      </c>
      <c r="AK2347">
        <v>6</v>
      </c>
      <c r="AO2347">
        <v>0</v>
      </c>
      <c r="AP2347">
        <v>0</v>
      </c>
      <c r="AR2347">
        <v>0</v>
      </c>
      <c r="AW2347">
        <v>0</v>
      </c>
      <c r="AX2347">
        <v>10</v>
      </c>
      <c r="AY2347">
        <v>382</v>
      </c>
      <c r="AZ2347">
        <v>382</v>
      </c>
      <c r="BA2347">
        <v>552</v>
      </c>
      <c r="BB2347">
        <v>44</v>
      </c>
      <c r="BD2347">
        <v>1</v>
      </c>
      <c r="BF2347" t="s">
        <v>2533</v>
      </c>
      <c r="BG2347" s="1">
        <v>44354.103472222225</v>
      </c>
      <c r="BH2347" s="1">
        <v>44354.108611111114</v>
      </c>
      <c r="BI2347" s="1">
        <v>44354.109490740739</v>
      </c>
      <c r="BJ2347" t="s">
        <v>85</v>
      </c>
      <c r="BK2347" t="s">
        <v>86</v>
      </c>
      <c r="BL2347" t="s">
        <v>87</v>
      </c>
    </row>
    <row r="2348" spans="1:64" x14ac:dyDescent="0.3">
      <c r="A2348" t="str">
        <f>"201521B0000"</f>
        <v>201521B0000</v>
      </c>
      <c r="B2348" t="str">
        <f>"201521B00003"</f>
        <v>201521B00003</v>
      </c>
      <c r="C2348" t="str">
        <f t="shared" si="149"/>
        <v>20</v>
      </c>
      <c r="D2348" t="s">
        <v>81</v>
      </c>
      <c r="E2348" t="str">
        <f t="shared" si="150"/>
        <v>322</v>
      </c>
      <c r="F2348" t="s">
        <v>2511</v>
      </c>
      <c r="G2348" t="str">
        <f>"1521"</f>
        <v>1521</v>
      </c>
      <c r="H2348" t="str">
        <f>"0000"</f>
        <v>0000</v>
      </c>
      <c r="I2348" t="s">
        <v>83</v>
      </c>
      <c r="J2348">
        <v>0</v>
      </c>
      <c r="K2348">
        <v>1</v>
      </c>
      <c r="L2348">
        <v>3</v>
      </c>
      <c r="M2348">
        <v>192</v>
      </c>
      <c r="N2348">
        <v>264</v>
      </c>
      <c r="O2348">
        <v>11</v>
      </c>
      <c r="P2348" t="s">
        <v>92</v>
      </c>
      <c r="Q2348">
        <v>5</v>
      </c>
      <c r="R2348">
        <v>3</v>
      </c>
      <c r="S2348">
        <v>30</v>
      </c>
      <c r="T2348">
        <v>39</v>
      </c>
      <c r="U2348">
        <v>7</v>
      </c>
      <c r="V2348">
        <v>36</v>
      </c>
      <c r="W2348">
        <v>4</v>
      </c>
      <c r="X2348">
        <v>62</v>
      </c>
      <c r="Y2348">
        <v>49</v>
      </c>
      <c r="Z2348">
        <v>0</v>
      </c>
      <c r="AB2348">
        <v>12</v>
      </c>
      <c r="AK2348">
        <v>0</v>
      </c>
      <c r="AO2348">
        <v>0</v>
      </c>
      <c r="AP2348">
        <v>0</v>
      </c>
      <c r="AR2348">
        <v>0</v>
      </c>
      <c r="AW2348">
        <v>0</v>
      </c>
      <c r="AX2348">
        <v>6</v>
      </c>
      <c r="AY2348">
        <v>254</v>
      </c>
      <c r="AZ2348">
        <v>253</v>
      </c>
      <c r="BA2348">
        <v>401</v>
      </c>
      <c r="BB2348">
        <v>44</v>
      </c>
      <c r="BD2348">
        <v>1</v>
      </c>
      <c r="BF2348" t="s">
        <v>2534</v>
      </c>
      <c r="BG2348" s="1">
        <v>44354.056944444441</v>
      </c>
      <c r="BH2348" s="1">
        <v>44354.065682870372</v>
      </c>
      <c r="BI2348" s="1">
        <v>44354.066284722219</v>
      </c>
      <c r="BJ2348" t="s">
        <v>85</v>
      </c>
      <c r="BK2348" t="s">
        <v>86</v>
      </c>
      <c r="BL2348" t="s">
        <v>87</v>
      </c>
    </row>
    <row r="2349" spans="1:64" x14ac:dyDescent="0.3">
      <c r="A2349" t="str">
        <f>"201521E0100"</f>
        <v>201521E0100</v>
      </c>
      <c r="B2349" t="str">
        <f>"201521E01003"</f>
        <v>201521E01003</v>
      </c>
      <c r="C2349" t="str">
        <f t="shared" si="149"/>
        <v>20</v>
      </c>
      <c r="D2349" t="s">
        <v>81</v>
      </c>
      <c r="E2349" t="str">
        <f t="shared" si="150"/>
        <v>322</v>
      </c>
      <c r="F2349" t="s">
        <v>2511</v>
      </c>
      <c r="G2349" t="str">
        <f>"1521"</f>
        <v>1521</v>
      </c>
      <c r="H2349" t="str">
        <f>"0001"</f>
        <v>0001</v>
      </c>
      <c r="I2349" t="s">
        <v>122</v>
      </c>
      <c r="J2349">
        <v>0</v>
      </c>
      <c r="K2349">
        <v>1</v>
      </c>
      <c r="L2349">
        <v>3</v>
      </c>
      <c r="BA2349">
        <v>589</v>
      </c>
      <c r="BB2349">
        <v>44</v>
      </c>
      <c r="BC2349" t="s">
        <v>721</v>
      </c>
      <c r="BD2349">
        <v>0</v>
      </c>
      <c r="BF2349" t="s">
        <v>2535</v>
      </c>
      <c r="BG2349" s="1">
        <v>44354.634027777778</v>
      </c>
      <c r="BH2349" s="1">
        <v>44354.64634259259</v>
      </c>
      <c r="BI2349" s="1">
        <v>44354.64634259259</v>
      </c>
      <c r="BJ2349" t="s">
        <v>85</v>
      </c>
      <c r="BK2349" t="s">
        <v>86</v>
      </c>
      <c r="BL2349" t="s">
        <v>87</v>
      </c>
    </row>
    <row r="2350" spans="1:64" x14ac:dyDescent="0.3">
      <c r="A2350" t="str">
        <f>"201522B0000"</f>
        <v>201522B0000</v>
      </c>
      <c r="B2350" t="str">
        <f>"201522B00003"</f>
        <v>201522B00003</v>
      </c>
      <c r="C2350" t="str">
        <f t="shared" si="149"/>
        <v>20</v>
      </c>
      <c r="D2350" t="s">
        <v>81</v>
      </c>
      <c r="E2350" t="str">
        <f t="shared" si="150"/>
        <v>322</v>
      </c>
      <c r="F2350" t="s">
        <v>2511</v>
      </c>
      <c r="G2350" t="str">
        <f>"1522"</f>
        <v>1522</v>
      </c>
      <c r="H2350" t="str">
        <f>"0000"</f>
        <v>0000</v>
      </c>
      <c r="I2350" t="s">
        <v>83</v>
      </c>
      <c r="J2350">
        <v>0</v>
      </c>
      <c r="K2350">
        <v>1</v>
      </c>
      <c r="L2350">
        <v>3</v>
      </c>
      <c r="M2350">
        <v>317</v>
      </c>
      <c r="N2350">
        <v>435</v>
      </c>
      <c r="O2350">
        <v>4</v>
      </c>
      <c r="P2350" t="s">
        <v>92</v>
      </c>
      <c r="Q2350">
        <v>1</v>
      </c>
      <c r="R2350">
        <v>12</v>
      </c>
      <c r="S2350">
        <v>54</v>
      </c>
      <c r="T2350">
        <v>51</v>
      </c>
      <c r="U2350">
        <v>11</v>
      </c>
      <c r="V2350">
        <v>21</v>
      </c>
      <c r="W2350">
        <v>5</v>
      </c>
      <c r="X2350">
        <v>98</v>
      </c>
      <c r="Y2350">
        <v>135</v>
      </c>
      <c r="Z2350">
        <v>6</v>
      </c>
      <c r="AB2350">
        <v>26</v>
      </c>
      <c r="AK2350">
        <v>3</v>
      </c>
      <c r="AO2350">
        <v>0</v>
      </c>
      <c r="AP2350">
        <v>0</v>
      </c>
      <c r="AR2350">
        <v>0</v>
      </c>
      <c r="AW2350">
        <v>0</v>
      </c>
      <c r="AX2350">
        <v>12</v>
      </c>
      <c r="AY2350">
        <v>435</v>
      </c>
      <c r="AZ2350">
        <v>435</v>
      </c>
      <c r="BA2350">
        <v>708</v>
      </c>
      <c r="BB2350">
        <v>44</v>
      </c>
      <c r="BD2350">
        <v>1</v>
      </c>
      <c r="BF2350" t="s">
        <v>2536</v>
      </c>
      <c r="BG2350" s="1">
        <v>44354.107638888891</v>
      </c>
      <c r="BH2350" s="1">
        <v>44354.11309027778</v>
      </c>
      <c r="BI2350" s="1">
        <v>44354.113645833335</v>
      </c>
      <c r="BJ2350" t="s">
        <v>85</v>
      </c>
      <c r="BK2350" t="s">
        <v>86</v>
      </c>
      <c r="BL2350" t="s">
        <v>87</v>
      </c>
    </row>
    <row r="2351" spans="1:64" x14ac:dyDescent="0.3">
      <c r="A2351" t="str">
        <f>"201522C0100"</f>
        <v>201522C0100</v>
      </c>
      <c r="B2351" t="str">
        <f>"201522C01003"</f>
        <v>201522C01003</v>
      </c>
      <c r="C2351" t="str">
        <f t="shared" si="149"/>
        <v>20</v>
      </c>
      <c r="D2351" t="s">
        <v>81</v>
      </c>
      <c r="E2351" t="str">
        <f t="shared" si="150"/>
        <v>322</v>
      </c>
      <c r="F2351" t="s">
        <v>2511</v>
      </c>
      <c r="G2351" t="str">
        <f>"1522"</f>
        <v>1522</v>
      </c>
      <c r="H2351" t="str">
        <f>"0001"</f>
        <v>0001</v>
      </c>
      <c r="I2351" t="s">
        <v>89</v>
      </c>
      <c r="J2351">
        <v>0</v>
      </c>
      <c r="K2351">
        <v>1</v>
      </c>
      <c r="L2351">
        <v>3</v>
      </c>
      <c r="M2351">
        <v>348</v>
      </c>
      <c r="N2351">
        <v>403</v>
      </c>
      <c r="O2351">
        <v>1</v>
      </c>
      <c r="P2351">
        <v>403</v>
      </c>
      <c r="Q2351">
        <v>1</v>
      </c>
      <c r="R2351">
        <v>6</v>
      </c>
      <c r="S2351">
        <v>37</v>
      </c>
      <c r="T2351">
        <v>52</v>
      </c>
      <c r="U2351">
        <v>16</v>
      </c>
      <c r="V2351">
        <v>32</v>
      </c>
      <c r="W2351">
        <v>6</v>
      </c>
      <c r="X2351">
        <v>85</v>
      </c>
      <c r="Y2351">
        <v>106</v>
      </c>
      <c r="Z2351">
        <v>0</v>
      </c>
      <c r="AB2351">
        <v>49</v>
      </c>
      <c r="AK2351">
        <v>1</v>
      </c>
      <c r="AO2351">
        <v>0</v>
      </c>
      <c r="AP2351">
        <v>0</v>
      </c>
      <c r="AR2351">
        <v>0</v>
      </c>
      <c r="AW2351">
        <v>0</v>
      </c>
      <c r="AX2351">
        <v>11</v>
      </c>
      <c r="AY2351">
        <v>402</v>
      </c>
      <c r="AZ2351">
        <v>402</v>
      </c>
      <c r="BA2351">
        <v>707</v>
      </c>
      <c r="BB2351">
        <v>44</v>
      </c>
      <c r="BD2351">
        <v>1</v>
      </c>
      <c r="BF2351" t="s">
        <v>2537</v>
      </c>
      <c r="BG2351" s="1">
        <v>44354.056944444441</v>
      </c>
      <c r="BH2351" s="1">
        <v>44354.063148148147</v>
      </c>
      <c r="BI2351" s="1">
        <v>44354.063796296294</v>
      </c>
      <c r="BJ2351" t="s">
        <v>85</v>
      </c>
      <c r="BK2351" t="s">
        <v>86</v>
      </c>
      <c r="BL2351" t="s">
        <v>87</v>
      </c>
    </row>
    <row r="2352" spans="1:64" x14ac:dyDescent="0.3">
      <c r="A2352" t="str">
        <f>"201522C0200"</f>
        <v>201522C0200</v>
      </c>
      <c r="B2352" t="str">
        <f>"201522C02003"</f>
        <v>201522C02003</v>
      </c>
      <c r="C2352" t="str">
        <f t="shared" si="149"/>
        <v>20</v>
      </c>
      <c r="D2352" t="s">
        <v>81</v>
      </c>
      <c r="E2352" t="str">
        <f t="shared" si="150"/>
        <v>322</v>
      </c>
      <c r="F2352" t="s">
        <v>2511</v>
      </c>
      <c r="G2352" t="str">
        <f>"1522"</f>
        <v>1522</v>
      </c>
      <c r="H2352" t="str">
        <f>"0002"</f>
        <v>0002</v>
      </c>
      <c r="I2352" t="s">
        <v>89</v>
      </c>
      <c r="J2352">
        <v>0</v>
      </c>
      <c r="K2352">
        <v>1</v>
      </c>
      <c r="L2352">
        <v>3</v>
      </c>
      <c r="M2352">
        <v>362</v>
      </c>
      <c r="N2352">
        <v>389</v>
      </c>
      <c r="O2352">
        <v>4</v>
      </c>
      <c r="P2352">
        <v>389</v>
      </c>
      <c r="Q2352">
        <v>3</v>
      </c>
      <c r="R2352">
        <v>11</v>
      </c>
      <c r="S2352">
        <v>30</v>
      </c>
      <c r="T2352">
        <v>60</v>
      </c>
      <c r="U2352">
        <v>10</v>
      </c>
      <c r="V2352">
        <v>19</v>
      </c>
      <c r="W2352">
        <v>6</v>
      </c>
      <c r="X2352">
        <v>84</v>
      </c>
      <c r="Y2352">
        <v>120</v>
      </c>
      <c r="Z2352">
        <v>0</v>
      </c>
      <c r="AB2352">
        <v>31</v>
      </c>
      <c r="AK2352">
        <v>1</v>
      </c>
      <c r="AO2352">
        <v>0</v>
      </c>
      <c r="AP2352">
        <v>1</v>
      </c>
      <c r="AR2352">
        <v>1</v>
      </c>
      <c r="AW2352">
        <v>0</v>
      </c>
      <c r="AX2352">
        <v>12</v>
      </c>
      <c r="AY2352">
        <v>389</v>
      </c>
      <c r="AZ2352">
        <v>389</v>
      </c>
      <c r="BA2352">
        <v>707</v>
      </c>
      <c r="BB2352">
        <v>44</v>
      </c>
      <c r="BD2352">
        <v>1</v>
      </c>
      <c r="BF2352" t="s">
        <v>2538</v>
      </c>
      <c r="BG2352" s="1">
        <v>44354.106944444444</v>
      </c>
      <c r="BH2352" s="1">
        <v>44354.116377314815</v>
      </c>
      <c r="BI2352" s="1">
        <v>44354.117118055554</v>
      </c>
      <c r="BJ2352" t="s">
        <v>85</v>
      </c>
      <c r="BK2352" t="s">
        <v>86</v>
      </c>
      <c r="BL2352" t="s">
        <v>87</v>
      </c>
    </row>
    <row r="2353" spans="1:64" x14ac:dyDescent="0.3">
      <c r="A2353" t="str">
        <f>"201522C0300"</f>
        <v>201522C0300</v>
      </c>
      <c r="B2353" t="str">
        <f>"201522C03003"</f>
        <v>201522C03003</v>
      </c>
      <c r="C2353" t="str">
        <f t="shared" si="149"/>
        <v>20</v>
      </c>
      <c r="D2353" t="s">
        <v>81</v>
      </c>
      <c r="E2353" t="str">
        <f t="shared" si="150"/>
        <v>322</v>
      </c>
      <c r="F2353" t="s">
        <v>2511</v>
      </c>
      <c r="G2353" t="str">
        <f>"1522"</f>
        <v>1522</v>
      </c>
      <c r="H2353" t="str">
        <f>"0003"</f>
        <v>0003</v>
      </c>
      <c r="I2353" t="s">
        <v>89</v>
      </c>
      <c r="J2353">
        <v>0</v>
      </c>
      <c r="K2353">
        <v>1</v>
      </c>
      <c r="L2353">
        <v>3</v>
      </c>
      <c r="M2353">
        <v>322</v>
      </c>
      <c r="N2353">
        <v>429</v>
      </c>
      <c r="O2353">
        <v>3</v>
      </c>
      <c r="P2353" t="s">
        <v>92</v>
      </c>
      <c r="Q2353">
        <v>3</v>
      </c>
      <c r="R2353">
        <v>10</v>
      </c>
      <c r="S2353">
        <v>49</v>
      </c>
      <c r="T2353">
        <v>62</v>
      </c>
      <c r="U2353">
        <v>11</v>
      </c>
      <c r="V2353">
        <v>32</v>
      </c>
      <c r="W2353">
        <v>9</v>
      </c>
      <c r="X2353">
        <v>78</v>
      </c>
      <c r="Y2353">
        <v>136</v>
      </c>
      <c r="Z2353">
        <v>3</v>
      </c>
      <c r="AB2353">
        <v>24</v>
      </c>
      <c r="AK2353">
        <v>1</v>
      </c>
      <c r="AO2353">
        <v>0</v>
      </c>
      <c r="AP2353">
        <v>0</v>
      </c>
      <c r="AR2353">
        <v>1</v>
      </c>
      <c r="AW2353">
        <v>0</v>
      </c>
      <c r="AX2353">
        <v>10</v>
      </c>
      <c r="AY2353">
        <v>429</v>
      </c>
      <c r="AZ2353">
        <v>429</v>
      </c>
      <c r="BA2353">
        <v>707</v>
      </c>
      <c r="BB2353">
        <v>44</v>
      </c>
      <c r="BD2353">
        <v>1</v>
      </c>
      <c r="BF2353" t="s">
        <v>2539</v>
      </c>
      <c r="BG2353" s="1">
        <v>44354.109027777777</v>
      </c>
      <c r="BH2353" s="1">
        <v>44354.115879629629</v>
      </c>
      <c r="BI2353" s="1">
        <v>44354.116585648146</v>
      </c>
      <c r="BJ2353" t="s">
        <v>85</v>
      </c>
      <c r="BK2353" t="s">
        <v>86</v>
      </c>
      <c r="BL2353" t="s">
        <v>87</v>
      </c>
    </row>
    <row r="2354" spans="1:64" x14ac:dyDescent="0.3">
      <c r="A2354" t="str">
        <f>"201523B0000"</f>
        <v>201523B0000</v>
      </c>
      <c r="B2354" t="str">
        <f>"201523B00003"</f>
        <v>201523B00003</v>
      </c>
      <c r="C2354" t="str">
        <f t="shared" si="149"/>
        <v>20</v>
      </c>
      <c r="D2354" t="s">
        <v>81</v>
      </c>
      <c r="E2354" t="str">
        <f t="shared" si="150"/>
        <v>322</v>
      </c>
      <c r="F2354" t="s">
        <v>2511</v>
      </c>
      <c r="G2354" t="str">
        <f>"1523"</f>
        <v>1523</v>
      </c>
      <c r="H2354" t="str">
        <f>"0000"</f>
        <v>0000</v>
      </c>
      <c r="I2354" t="s">
        <v>83</v>
      </c>
      <c r="J2354">
        <v>0</v>
      </c>
      <c r="K2354">
        <v>1</v>
      </c>
      <c r="L2354">
        <v>3</v>
      </c>
      <c r="M2354">
        <v>220</v>
      </c>
      <c r="N2354">
        <v>301</v>
      </c>
      <c r="O2354">
        <v>5</v>
      </c>
      <c r="P2354">
        <v>296</v>
      </c>
      <c r="Q2354">
        <v>3</v>
      </c>
      <c r="R2354">
        <v>17</v>
      </c>
      <c r="S2354">
        <v>3</v>
      </c>
      <c r="T2354">
        <v>10</v>
      </c>
      <c r="U2354">
        <v>6</v>
      </c>
      <c r="V2354">
        <v>3</v>
      </c>
      <c r="W2354">
        <v>4</v>
      </c>
      <c r="X2354">
        <v>106</v>
      </c>
      <c r="Y2354">
        <v>131</v>
      </c>
      <c r="Z2354">
        <v>9</v>
      </c>
      <c r="AB2354">
        <v>4</v>
      </c>
      <c r="AK2354">
        <v>0</v>
      </c>
      <c r="AO2354">
        <v>0</v>
      </c>
      <c r="AP2354">
        <v>0</v>
      </c>
      <c r="AR2354">
        <v>0</v>
      </c>
      <c r="AW2354">
        <v>0</v>
      </c>
      <c r="AX2354">
        <v>4</v>
      </c>
      <c r="AY2354">
        <v>300</v>
      </c>
      <c r="AZ2354">
        <v>300</v>
      </c>
      <c r="BA2354">
        <v>476</v>
      </c>
      <c r="BB2354">
        <v>44</v>
      </c>
      <c r="BD2354">
        <v>1</v>
      </c>
      <c r="BF2354" t="s">
        <v>2540</v>
      </c>
      <c r="BG2354" s="1">
        <v>44354.220138888886</v>
      </c>
      <c r="BH2354" s="1">
        <v>44354.232129629629</v>
      </c>
      <c r="BI2354" s="1">
        <v>44354.232395833336</v>
      </c>
      <c r="BJ2354" t="s">
        <v>85</v>
      </c>
      <c r="BK2354" t="s">
        <v>86</v>
      </c>
      <c r="BL2354" t="s">
        <v>87</v>
      </c>
    </row>
    <row r="2355" spans="1:64" x14ac:dyDescent="0.3">
      <c r="A2355" t="str">
        <f>"201523C0100"</f>
        <v>201523C0100</v>
      </c>
      <c r="B2355" t="str">
        <f>"201523C01003"</f>
        <v>201523C01003</v>
      </c>
      <c r="C2355" t="str">
        <f t="shared" si="149"/>
        <v>20</v>
      </c>
      <c r="D2355" t="s">
        <v>81</v>
      </c>
      <c r="E2355" t="str">
        <f t="shared" si="150"/>
        <v>322</v>
      </c>
      <c r="F2355" t="s">
        <v>2511</v>
      </c>
      <c r="G2355" t="str">
        <f>"1523"</f>
        <v>1523</v>
      </c>
      <c r="H2355" t="str">
        <f>"0001"</f>
        <v>0001</v>
      </c>
      <c r="I2355" t="s">
        <v>89</v>
      </c>
      <c r="J2355">
        <v>0</v>
      </c>
      <c r="K2355">
        <v>1</v>
      </c>
      <c r="L2355">
        <v>3</v>
      </c>
      <c r="M2355">
        <v>204</v>
      </c>
      <c r="N2355">
        <v>315</v>
      </c>
      <c r="O2355">
        <v>4</v>
      </c>
      <c r="P2355">
        <v>315</v>
      </c>
      <c r="Q2355">
        <v>1</v>
      </c>
      <c r="R2355">
        <v>4</v>
      </c>
      <c r="S2355">
        <v>1</v>
      </c>
      <c r="T2355">
        <v>11</v>
      </c>
      <c r="U2355">
        <v>7</v>
      </c>
      <c r="V2355">
        <v>5</v>
      </c>
      <c r="W2355">
        <v>1</v>
      </c>
      <c r="X2355">
        <v>121</v>
      </c>
      <c r="Y2355">
        <v>141</v>
      </c>
      <c r="Z2355">
        <v>7</v>
      </c>
      <c r="AB2355">
        <v>4</v>
      </c>
      <c r="AK2355">
        <v>0</v>
      </c>
      <c r="AO2355">
        <v>1</v>
      </c>
      <c r="AP2355">
        <v>0</v>
      </c>
      <c r="AR2355">
        <v>0</v>
      </c>
      <c r="AW2355">
        <v>0</v>
      </c>
      <c r="AX2355">
        <v>11</v>
      </c>
      <c r="AY2355">
        <v>315</v>
      </c>
      <c r="AZ2355">
        <v>315</v>
      </c>
      <c r="BA2355">
        <v>475</v>
      </c>
      <c r="BB2355">
        <v>44</v>
      </c>
      <c r="BD2355">
        <v>1</v>
      </c>
      <c r="BF2355" t="s">
        <v>2541</v>
      </c>
      <c r="BG2355" s="1">
        <v>44354.220833333333</v>
      </c>
      <c r="BH2355" s="1">
        <v>44354.23164351852</v>
      </c>
      <c r="BI2355" s="1">
        <v>44354.232314814813</v>
      </c>
      <c r="BJ2355" t="s">
        <v>85</v>
      </c>
      <c r="BK2355" t="s">
        <v>86</v>
      </c>
      <c r="BL2355" t="s">
        <v>87</v>
      </c>
    </row>
    <row r="2356" spans="1:64" x14ac:dyDescent="0.3">
      <c r="A2356" t="str">
        <f>"201524B0000"</f>
        <v>201524B0000</v>
      </c>
      <c r="B2356" t="str">
        <f>"201524B00003"</f>
        <v>201524B00003</v>
      </c>
      <c r="C2356" t="str">
        <f t="shared" si="149"/>
        <v>20</v>
      </c>
      <c r="D2356" t="s">
        <v>81</v>
      </c>
      <c r="E2356" t="str">
        <f t="shared" si="150"/>
        <v>322</v>
      </c>
      <c r="F2356" t="s">
        <v>2511</v>
      </c>
      <c r="G2356" t="str">
        <f>"1524"</f>
        <v>1524</v>
      </c>
      <c r="H2356" t="str">
        <f>"0000"</f>
        <v>0000</v>
      </c>
      <c r="I2356" t="s">
        <v>83</v>
      </c>
      <c r="J2356">
        <v>0</v>
      </c>
      <c r="K2356">
        <v>1</v>
      </c>
      <c r="L2356">
        <v>3</v>
      </c>
      <c r="M2356">
        <v>218</v>
      </c>
      <c r="N2356">
        <v>254</v>
      </c>
      <c r="O2356">
        <v>3</v>
      </c>
      <c r="P2356">
        <v>254</v>
      </c>
      <c r="Q2356">
        <v>3</v>
      </c>
      <c r="R2356">
        <v>11</v>
      </c>
      <c r="S2356">
        <v>6</v>
      </c>
      <c r="T2356">
        <v>26</v>
      </c>
      <c r="U2356">
        <v>8</v>
      </c>
      <c r="V2356">
        <v>1</v>
      </c>
      <c r="W2356">
        <v>2</v>
      </c>
      <c r="X2356">
        <v>100</v>
      </c>
      <c r="Y2356">
        <v>60</v>
      </c>
      <c r="Z2356">
        <v>6</v>
      </c>
      <c r="AB2356">
        <v>13</v>
      </c>
      <c r="AK2356">
        <v>1</v>
      </c>
      <c r="AO2356">
        <v>0</v>
      </c>
      <c r="AP2356">
        <v>0</v>
      </c>
      <c r="AR2356">
        <v>0</v>
      </c>
      <c r="AW2356">
        <v>0</v>
      </c>
      <c r="AX2356">
        <v>17</v>
      </c>
      <c r="AY2356">
        <v>254</v>
      </c>
      <c r="AZ2356">
        <v>254</v>
      </c>
      <c r="BA2356">
        <v>428</v>
      </c>
      <c r="BB2356">
        <v>44</v>
      </c>
      <c r="BD2356">
        <v>1</v>
      </c>
      <c r="BF2356" t="s">
        <v>2542</v>
      </c>
      <c r="BG2356" s="1">
        <v>44354.112500000003</v>
      </c>
      <c r="BH2356" s="1">
        <v>44354.120127314818</v>
      </c>
      <c r="BI2356" s="1">
        <v>44354.120428240742</v>
      </c>
      <c r="BJ2356" t="s">
        <v>85</v>
      </c>
      <c r="BK2356" t="s">
        <v>86</v>
      </c>
      <c r="BL2356" t="s">
        <v>87</v>
      </c>
    </row>
    <row r="2357" spans="1:64" x14ac:dyDescent="0.3">
      <c r="A2357" t="str">
        <f>"201525B0000"</f>
        <v>201525B0000</v>
      </c>
      <c r="B2357" t="str">
        <f>"201525B00003"</f>
        <v>201525B00003</v>
      </c>
      <c r="C2357" t="str">
        <f t="shared" si="149"/>
        <v>20</v>
      </c>
      <c r="D2357" t="s">
        <v>81</v>
      </c>
      <c r="E2357" t="str">
        <f t="shared" si="150"/>
        <v>322</v>
      </c>
      <c r="F2357" t="s">
        <v>2511</v>
      </c>
      <c r="G2357" t="str">
        <f>"1525"</f>
        <v>1525</v>
      </c>
      <c r="H2357" t="str">
        <f>"0000"</f>
        <v>0000</v>
      </c>
      <c r="I2357" t="s">
        <v>83</v>
      </c>
      <c r="J2357">
        <v>0</v>
      </c>
      <c r="K2357">
        <v>1</v>
      </c>
      <c r="L2357">
        <v>3</v>
      </c>
      <c r="M2357">
        <v>264</v>
      </c>
      <c r="N2357">
        <v>371</v>
      </c>
      <c r="O2357">
        <v>6</v>
      </c>
      <c r="P2357">
        <v>371</v>
      </c>
      <c r="Q2357">
        <v>2</v>
      </c>
      <c r="R2357">
        <v>7</v>
      </c>
      <c r="S2357">
        <v>7</v>
      </c>
      <c r="T2357">
        <v>156</v>
      </c>
      <c r="U2357">
        <v>8</v>
      </c>
      <c r="V2357">
        <v>25</v>
      </c>
      <c r="W2357">
        <v>1</v>
      </c>
      <c r="X2357">
        <v>86</v>
      </c>
      <c r="Y2357">
        <v>44</v>
      </c>
      <c r="Z2357">
        <v>7</v>
      </c>
      <c r="AB2357">
        <v>8</v>
      </c>
      <c r="AK2357">
        <v>3</v>
      </c>
      <c r="AO2357" t="s">
        <v>95</v>
      </c>
      <c r="AP2357" t="s">
        <v>95</v>
      </c>
      <c r="AR2357" t="s">
        <v>95</v>
      </c>
      <c r="AW2357" t="s">
        <v>95</v>
      </c>
      <c r="AX2357">
        <v>17</v>
      </c>
      <c r="AY2357">
        <v>371</v>
      </c>
      <c r="AZ2357">
        <v>371</v>
      </c>
      <c r="BA2357">
        <v>591</v>
      </c>
      <c r="BB2357">
        <v>44</v>
      </c>
      <c r="BC2357" t="s">
        <v>96</v>
      </c>
      <c r="BD2357">
        <v>1</v>
      </c>
      <c r="BF2357" t="s">
        <v>2543</v>
      </c>
      <c r="BG2357" s="1">
        <v>44354.287499999999</v>
      </c>
      <c r="BH2357" s="1">
        <v>44354.302951388891</v>
      </c>
      <c r="BI2357" s="1">
        <v>44354.303819444445</v>
      </c>
      <c r="BJ2357" t="s">
        <v>85</v>
      </c>
      <c r="BK2357" t="s">
        <v>86</v>
      </c>
      <c r="BL2357" t="s">
        <v>87</v>
      </c>
    </row>
    <row r="2358" spans="1:64" x14ac:dyDescent="0.3">
      <c r="A2358" t="str">
        <f>"201525C0100"</f>
        <v>201525C0100</v>
      </c>
      <c r="B2358" t="str">
        <f>"201525C01003"</f>
        <v>201525C01003</v>
      </c>
      <c r="C2358" t="str">
        <f t="shared" si="149"/>
        <v>20</v>
      </c>
      <c r="D2358" t="s">
        <v>81</v>
      </c>
      <c r="E2358" t="str">
        <f t="shared" ref="E2358:E2386" si="153">"322"</f>
        <v>322</v>
      </c>
      <c r="F2358" t="s">
        <v>2511</v>
      </c>
      <c r="G2358" t="str">
        <f>"1525"</f>
        <v>1525</v>
      </c>
      <c r="H2358" t="str">
        <f>"0001"</f>
        <v>0001</v>
      </c>
      <c r="I2358" t="s">
        <v>89</v>
      </c>
      <c r="J2358">
        <v>0</v>
      </c>
      <c r="K2358">
        <v>1</v>
      </c>
      <c r="L2358">
        <v>3</v>
      </c>
      <c r="M2358">
        <v>265</v>
      </c>
      <c r="N2358">
        <v>369</v>
      </c>
      <c r="O2358">
        <v>1</v>
      </c>
      <c r="P2358">
        <v>369</v>
      </c>
      <c r="Q2358">
        <v>3</v>
      </c>
      <c r="R2358">
        <v>10</v>
      </c>
      <c r="S2358">
        <v>25</v>
      </c>
      <c r="T2358">
        <v>118</v>
      </c>
      <c r="U2358">
        <v>17</v>
      </c>
      <c r="V2358">
        <v>29</v>
      </c>
      <c r="W2358">
        <v>1</v>
      </c>
      <c r="X2358">
        <v>94</v>
      </c>
      <c r="Y2358">
        <v>29</v>
      </c>
      <c r="Z2358">
        <v>3</v>
      </c>
      <c r="AB2358">
        <v>19</v>
      </c>
      <c r="AK2358" t="s">
        <v>95</v>
      </c>
      <c r="AO2358" t="s">
        <v>95</v>
      </c>
      <c r="AP2358" t="s">
        <v>95</v>
      </c>
      <c r="AR2358" t="s">
        <v>95</v>
      </c>
      <c r="AW2358" t="s">
        <v>95</v>
      </c>
      <c r="AX2358" t="s">
        <v>95</v>
      </c>
      <c r="AY2358" t="s">
        <v>95</v>
      </c>
      <c r="AZ2358">
        <v>348</v>
      </c>
      <c r="BA2358">
        <v>590</v>
      </c>
      <c r="BB2358">
        <v>44</v>
      </c>
      <c r="BC2358" t="s">
        <v>96</v>
      </c>
      <c r="BD2358">
        <v>1</v>
      </c>
      <c r="BF2358" t="s">
        <v>2544</v>
      </c>
      <c r="BG2358" s="1">
        <v>44354.288194444445</v>
      </c>
      <c r="BH2358" s="1">
        <v>44354.295254629629</v>
      </c>
      <c r="BI2358" s="1">
        <v>44354.295925925922</v>
      </c>
      <c r="BJ2358" t="s">
        <v>85</v>
      </c>
      <c r="BK2358" t="s">
        <v>86</v>
      </c>
      <c r="BL2358" t="s">
        <v>87</v>
      </c>
    </row>
    <row r="2359" spans="1:64" x14ac:dyDescent="0.3">
      <c r="A2359" t="str">
        <f>"201527B0000"</f>
        <v>201527B0000</v>
      </c>
      <c r="B2359" t="str">
        <f>"201527B00003"</f>
        <v>201527B00003</v>
      </c>
      <c r="C2359" t="str">
        <f t="shared" si="149"/>
        <v>20</v>
      </c>
      <c r="D2359" t="s">
        <v>81</v>
      </c>
      <c r="E2359" t="str">
        <f t="shared" si="153"/>
        <v>322</v>
      </c>
      <c r="F2359" t="s">
        <v>2511</v>
      </c>
      <c r="G2359" t="str">
        <f>"1527"</f>
        <v>1527</v>
      </c>
      <c r="H2359" t="str">
        <f>"0000"</f>
        <v>0000</v>
      </c>
      <c r="I2359" t="s">
        <v>83</v>
      </c>
      <c r="J2359">
        <v>0</v>
      </c>
      <c r="K2359">
        <v>1</v>
      </c>
      <c r="L2359">
        <v>3</v>
      </c>
      <c r="M2359">
        <v>303</v>
      </c>
      <c r="N2359">
        <v>340</v>
      </c>
      <c r="O2359">
        <v>1</v>
      </c>
      <c r="P2359">
        <v>340</v>
      </c>
      <c r="Q2359">
        <v>5</v>
      </c>
      <c r="R2359">
        <v>9</v>
      </c>
      <c r="S2359">
        <v>32</v>
      </c>
      <c r="T2359">
        <v>90</v>
      </c>
      <c r="U2359">
        <v>4</v>
      </c>
      <c r="V2359">
        <v>6</v>
      </c>
      <c r="W2359">
        <v>7</v>
      </c>
      <c r="X2359">
        <v>66</v>
      </c>
      <c r="Y2359">
        <v>77</v>
      </c>
      <c r="Z2359">
        <v>7</v>
      </c>
      <c r="AB2359">
        <v>22</v>
      </c>
      <c r="AK2359">
        <v>1</v>
      </c>
      <c r="AO2359">
        <v>1</v>
      </c>
      <c r="AP2359">
        <v>0</v>
      </c>
      <c r="AR2359">
        <v>0</v>
      </c>
      <c r="AW2359">
        <v>0</v>
      </c>
      <c r="AX2359">
        <v>12</v>
      </c>
      <c r="AY2359">
        <v>340</v>
      </c>
      <c r="AZ2359">
        <v>339</v>
      </c>
      <c r="BA2359">
        <v>599</v>
      </c>
      <c r="BB2359">
        <v>44</v>
      </c>
      <c r="BD2359">
        <v>1</v>
      </c>
      <c r="BF2359" t="s">
        <v>2545</v>
      </c>
      <c r="BG2359" s="1">
        <v>44354.056250000001</v>
      </c>
      <c r="BH2359" s="1">
        <v>44354.063599537039</v>
      </c>
      <c r="BI2359" s="1">
        <v>44354.064363425925</v>
      </c>
      <c r="BJ2359" t="s">
        <v>85</v>
      </c>
      <c r="BK2359" t="s">
        <v>86</v>
      </c>
      <c r="BL2359" t="s">
        <v>87</v>
      </c>
    </row>
    <row r="2360" spans="1:64" x14ac:dyDescent="0.3">
      <c r="A2360" t="str">
        <f>"201527C0100"</f>
        <v>201527C0100</v>
      </c>
      <c r="B2360" t="str">
        <f>"201527C01003"</f>
        <v>201527C01003</v>
      </c>
      <c r="C2360" t="str">
        <f t="shared" si="149"/>
        <v>20</v>
      </c>
      <c r="D2360" t="s">
        <v>81</v>
      </c>
      <c r="E2360" t="str">
        <f t="shared" si="153"/>
        <v>322</v>
      </c>
      <c r="F2360" t="s">
        <v>2511</v>
      </c>
      <c r="G2360" t="str">
        <f>"1527"</f>
        <v>1527</v>
      </c>
      <c r="H2360" t="str">
        <f>"0001"</f>
        <v>0001</v>
      </c>
      <c r="I2360" t="s">
        <v>89</v>
      </c>
      <c r="J2360">
        <v>0</v>
      </c>
      <c r="K2360">
        <v>1</v>
      </c>
      <c r="L2360">
        <v>3</v>
      </c>
      <c r="M2360">
        <v>260</v>
      </c>
      <c r="N2360">
        <v>383</v>
      </c>
      <c r="O2360">
        <v>2</v>
      </c>
      <c r="P2360" t="s">
        <v>92</v>
      </c>
      <c r="Q2360">
        <v>6</v>
      </c>
      <c r="R2360">
        <v>11</v>
      </c>
      <c r="S2360">
        <v>45</v>
      </c>
      <c r="T2360">
        <v>125</v>
      </c>
      <c r="U2360">
        <v>2</v>
      </c>
      <c r="V2360">
        <v>12</v>
      </c>
      <c r="W2360">
        <v>7</v>
      </c>
      <c r="X2360">
        <v>74</v>
      </c>
      <c r="Y2360">
        <v>57</v>
      </c>
      <c r="Z2360">
        <v>5</v>
      </c>
      <c r="AB2360">
        <v>15</v>
      </c>
      <c r="AK2360">
        <v>4</v>
      </c>
      <c r="AO2360" t="s">
        <v>95</v>
      </c>
      <c r="AP2360" t="s">
        <v>95</v>
      </c>
      <c r="AR2360" t="s">
        <v>95</v>
      </c>
      <c r="AW2360" t="s">
        <v>95</v>
      </c>
      <c r="AX2360">
        <v>20</v>
      </c>
      <c r="AY2360">
        <v>383</v>
      </c>
      <c r="AZ2360">
        <v>383</v>
      </c>
      <c r="BA2360">
        <v>599</v>
      </c>
      <c r="BB2360">
        <v>44</v>
      </c>
      <c r="BC2360" t="s">
        <v>96</v>
      </c>
      <c r="BD2360">
        <v>1</v>
      </c>
      <c r="BF2360" s="2" t="s">
        <v>2546</v>
      </c>
      <c r="BG2360" s="1">
        <v>44354.056250000001</v>
      </c>
      <c r="BH2360" s="1">
        <v>44354.0625462963</v>
      </c>
      <c r="BI2360" s="1">
        <v>44354.063379629632</v>
      </c>
      <c r="BJ2360" t="s">
        <v>85</v>
      </c>
      <c r="BK2360" t="s">
        <v>86</v>
      </c>
      <c r="BL2360" t="s">
        <v>87</v>
      </c>
    </row>
    <row r="2361" spans="1:64" x14ac:dyDescent="0.3">
      <c r="A2361" t="str">
        <f>"201527C0200"</f>
        <v>201527C0200</v>
      </c>
      <c r="B2361" t="str">
        <f>"201527C02003"</f>
        <v>201527C02003</v>
      </c>
      <c r="C2361" t="str">
        <f t="shared" si="149"/>
        <v>20</v>
      </c>
      <c r="D2361" t="s">
        <v>81</v>
      </c>
      <c r="E2361" t="str">
        <f t="shared" si="153"/>
        <v>322</v>
      </c>
      <c r="F2361" t="s">
        <v>2511</v>
      </c>
      <c r="G2361" t="str">
        <f>"1527"</f>
        <v>1527</v>
      </c>
      <c r="H2361" t="str">
        <f>"0002"</f>
        <v>0002</v>
      </c>
      <c r="I2361" t="s">
        <v>89</v>
      </c>
      <c r="J2361">
        <v>0</v>
      </c>
      <c r="K2361">
        <v>1</v>
      </c>
      <c r="L2361">
        <v>3</v>
      </c>
      <c r="M2361">
        <v>319</v>
      </c>
      <c r="N2361">
        <v>323</v>
      </c>
      <c r="O2361">
        <v>7</v>
      </c>
      <c r="P2361">
        <v>322</v>
      </c>
      <c r="Q2361">
        <v>6</v>
      </c>
      <c r="R2361">
        <v>7</v>
      </c>
      <c r="S2361">
        <v>31</v>
      </c>
      <c r="T2361">
        <v>87</v>
      </c>
      <c r="U2361">
        <v>6</v>
      </c>
      <c r="V2361">
        <v>4</v>
      </c>
      <c r="W2361">
        <v>9</v>
      </c>
      <c r="X2361">
        <v>92</v>
      </c>
      <c r="Y2361">
        <v>43</v>
      </c>
      <c r="Z2361">
        <v>9</v>
      </c>
      <c r="AB2361">
        <v>12</v>
      </c>
      <c r="AK2361">
        <v>1</v>
      </c>
      <c r="AO2361" t="s">
        <v>95</v>
      </c>
      <c r="AP2361" t="s">
        <v>95</v>
      </c>
      <c r="AR2361">
        <v>2</v>
      </c>
      <c r="AW2361" t="s">
        <v>95</v>
      </c>
      <c r="AX2361">
        <v>13</v>
      </c>
      <c r="AY2361">
        <v>322</v>
      </c>
      <c r="AZ2361">
        <v>322</v>
      </c>
      <c r="BA2361">
        <v>598</v>
      </c>
      <c r="BB2361">
        <v>44</v>
      </c>
      <c r="BC2361" t="s">
        <v>96</v>
      </c>
      <c r="BD2361">
        <v>1</v>
      </c>
      <c r="BF2361" t="s">
        <v>2547</v>
      </c>
      <c r="BG2361" s="1">
        <v>44354.055555555555</v>
      </c>
      <c r="BH2361" s="1">
        <v>44354.063356481478</v>
      </c>
      <c r="BI2361" s="1">
        <v>44354.064062500001</v>
      </c>
      <c r="BJ2361" t="s">
        <v>85</v>
      </c>
      <c r="BK2361" t="s">
        <v>86</v>
      </c>
      <c r="BL2361" t="s">
        <v>87</v>
      </c>
    </row>
    <row r="2362" spans="1:64" x14ac:dyDescent="0.3">
      <c r="A2362" t="str">
        <f>"201527C0300"</f>
        <v>201527C0300</v>
      </c>
      <c r="B2362" t="str">
        <f>"201527C03003"</f>
        <v>201527C03003</v>
      </c>
      <c r="C2362" t="str">
        <f t="shared" si="149"/>
        <v>20</v>
      </c>
      <c r="D2362" t="s">
        <v>81</v>
      </c>
      <c r="E2362" t="str">
        <f t="shared" si="153"/>
        <v>322</v>
      </c>
      <c r="F2362" t="s">
        <v>2511</v>
      </c>
      <c r="G2362" t="str">
        <f>"1527"</f>
        <v>1527</v>
      </c>
      <c r="H2362" t="str">
        <f>"0003"</f>
        <v>0003</v>
      </c>
      <c r="I2362" t="s">
        <v>89</v>
      </c>
      <c r="J2362">
        <v>0</v>
      </c>
      <c r="K2362">
        <v>1</v>
      </c>
      <c r="L2362">
        <v>3</v>
      </c>
      <c r="BA2362">
        <v>598</v>
      </c>
      <c r="BB2362">
        <v>44</v>
      </c>
      <c r="BC2362" t="s">
        <v>721</v>
      </c>
      <c r="BD2362">
        <v>0</v>
      </c>
      <c r="BF2362" t="s">
        <v>2548</v>
      </c>
      <c r="BG2362" s="1">
        <v>44354.634722222225</v>
      </c>
      <c r="BH2362" s="1">
        <v>44354.646562499998</v>
      </c>
      <c r="BI2362" s="1">
        <v>44354.646562499998</v>
      </c>
      <c r="BJ2362" t="s">
        <v>85</v>
      </c>
      <c r="BK2362" t="s">
        <v>86</v>
      </c>
      <c r="BL2362" t="s">
        <v>87</v>
      </c>
    </row>
    <row r="2363" spans="1:64" x14ac:dyDescent="0.3">
      <c r="A2363" t="str">
        <f>"201528B0000"</f>
        <v>201528B0000</v>
      </c>
      <c r="B2363" t="str">
        <f>"201528B00003"</f>
        <v>201528B00003</v>
      </c>
      <c r="C2363" t="str">
        <f t="shared" si="149"/>
        <v>20</v>
      </c>
      <c r="D2363" t="s">
        <v>81</v>
      </c>
      <c r="E2363" t="str">
        <f t="shared" si="153"/>
        <v>322</v>
      </c>
      <c r="F2363" t="s">
        <v>2511</v>
      </c>
      <c r="G2363" t="str">
        <f>"1528"</f>
        <v>1528</v>
      </c>
      <c r="H2363" t="str">
        <f>"0000"</f>
        <v>0000</v>
      </c>
      <c r="I2363" t="s">
        <v>83</v>
      </c>
      <c r="J2363">
        <v>0</v>
      </c>
      <c r="K2363">
        <v>1</v>
      </c>
      <c r="L2363">
        <v>3</v>
      </c>
      <c r="M2363">
        <v>271</v>
      </c>
      <c r="N2363">
        <v>313</v>
      </c>
      <c r="O2363">
        <v>8</v>
      </c>
      <c r="P2363">
        <v>0</v>
      </c>
      <c r="Q2363">
        <v>2</v>
      </c>
      <c r="R2363">
        <v>10</v>
      </c>
      <c r="S2363">
        <v>39</v>
      </c>
      <c r="T2363">
        <v>85</v>
      </c>
      <c r="U2363">
        <v>12</v>
      </c>
      <c r="V2363">
        <v>11</v>
      </c>
      <c r="W2363">
        <v>3</v>
      </c>
      <c r="X2363">
        <v>62</v>
      </c>
      <c r="Y2363">
        <v>58</v>
      </c>
      <c r="Z2363">
        <v>4</v>
      </c>
      <c r="AB2363">
        <v>14</v>
      </c>
      <c r="AK2363">
        <v>2</v>
      </c>
      <c r="AO2363">
        <v>0</v>
      </c>
      <c r="AP2363">
        <v>0</v>
      </c>
      <c r="AR2363">
        <v>0</v>
      </c>
      <c r="AW2363">
        <v>0</v>
      </c>
      <c r="AX2363">
        <v>11</v>
      </c>
      <c r="AY2363">
        <v>313</v>
      </c>
      <c r="AZ2363">
        <v>313</v>
      </c>
      <c r="BA2363">
        <v>540</v>
      </c>
      <c r="BB2363">
        <v>44</v>
      </c>
      <c r="BD2363">
        <v>1</v>
      </c>
      <c r="BF2363" t="s">
        <v>2549</v>
      </c>
      <c r="BG2363" s="1">
        <v>44354.050694444442</v>
      </c>
      <c r="BH2363" s="1">
        <v>44354.058599537035</v>
      </c>
      <c r="BI2363" s="1">
        <v>44354.059247685182</v>
      </c>
      <c r="BJ2363" t="s">
        <v>85</v>
      </c>
      <c r="BK2363" t="s">
        <v>86</v>
      </c>
      <c r="BL2363" t="s">
        <v>87</v>
      </c>
    </row>
    <row r="2364" spans="1:64" x14ac:dyDescent="0.3">
      <c r="A2364" t="str">
        <f>"201528C0100"</f>
        <v>201528C0100</v>
      </c>
      <c r="B2364" t="str">
        <f>"201528C01003"</f>
        <v>201528C01003</v>
      </c>
      <c r="C2364" t="str">
        <f t="shared" si="149"/>
        <v>20</v>
      </c>
      <c r="D2364" t="s">
        <v>81</v>
      </c>
      <c r="E2364" t="str">
        <f t="shared" si="153"/>
        <v>322</v>
      </c>
      <c r="F2364" t="s">
        <v>2511</v>
      </c>
      <c r="G2364" t="str">
        <f>"1528"</f>
        <v>1528</v>
      </c>
      <c r="H2364" t="str">
        <f>"0001"</f>
        <v>0001</v>
      </c>
      <c r="I2364" t="s">
        <v>89</v>
      </c>
      <c r="J2364">
        <v>0</v>
      </c>
      <c r="K2364">
        <v>1</v>
      </c>
      <c r="L2364">
        <v>3</v>
      </c>
      <c r="M2364">
        <v>265</v>
      </c>
      <c r="N2364">
        <v>319</v>
      </c>
      <c r="O2364">
        <v>9</v>
      </c>
      <c r="P2364" t="s">
        <v>92</v>
      </c>
      <c r="Q2364">
        <v>2</v>
      </c>
      <c r="R2364">
        <v>14</v>
      </c>
      <c r="S2364">
        <v>38</v>
      </c>
      <c r="T2364">
        <v>108</v>
      </c>
      <c r="U2364">
        <v>3</v>
      </c>
      <c r="V2364">
        <v>5</v>
      </c>
      <c r="W2364">
        <v>7</v>
      </c>
      <c r="X2364">
        <v>66</v>
      </c>
      <c r="Y2364">
        <v>48</v>
      </c>
      <c r="Z2364">
        <v>9</v>
      </c>
      <c r="AB2364">
        <v>12</v>
      </c>
      <c r="AK2364">
        <v>0</v>
      </c>
      <c r="AO2364">
        <v>0</v>
      </c>
      <c r="AP2364">
        <v>0</v>
      </c>
      <c r="AR2364">
        <v>0</v>
      </c>
      <c r="AW2364">
        <v>0</v>
      </c>
      <c r="AX2364">
        <v>7</v>
      </c>
      <c r="AY2364">
        <v>319</v>
      </c>
      <c r="AZ2364">
        <v>319</v>
      </c>
      <c r="BA2364">
        <v>540</v>
      </c>
      <c r="BB2364">
        <v>44</v>
      </c>
      <c r="BD2364">
        <v>1</v>
      </c>
      <c r="BF2364" t="s">
        <v>2550</v>
      </c>
      <c r="BG2364" s="1">
        <v>44354.050694444442</v>
      </c>
      <c r="BH2364" s="1">
        <v>44354.057893518519</v>
      </c>
      <c r="BI2364" s="1">
        <v>44354.058263888888</v>
      </c>
      <c r="BJ2364" t="s">
        <v>85</v>
      </c>
      <c r="BK2364" t="s">
        <v>86</v>
      </c>
      <c r="BL2364" t="s">
        <v>87</v>
      </c>
    </row>
    <row r="2365" spans="1:64" x14ac:dyDescent="0.3">
      <c r="A2365" t="str">
        <f>"201528C0200"</f>
        <v>201528C0200</v>
      </c>
      <c r="B2365" t="str">
        <f>"201528C02003"</f>
        <v>201528C02003</v>
      </c>
      <c r="C2365" t="str">
        <f t="shared" si="149"/>
        <v>20</v>
      </c>
      <c r="D2365" t="s">
        <v>81</v>
      </c>
      <c r="E2365" t="str">
        <f t="shared" si="153"/>
        <v>322</v>
      </c>
      <c r="F2365" t="s">
        <v>2511</v>
      </c>
      <c r="G2365" t="str">
        <f>"1528"</f>
        <v>1528</v>
      </c>
      <c r="H2365" t="str">
        <f>"0002"</f>
        <v>0002</v>
      </c>
      <c r="I2365" t="s">
        <v>89</v>
      </c>
      <c r="J2365">
        <v>0</v>
      </c>
      <c r="K2365">
        <v>1</v>
      </c>
      <c r="L2365">
        <v>3</v>
      </c>
      <c r="M2365">
        <v>260</v>
      </c>
      <c r="N2365">
        <v>324</v>
      </c>
      <c r="O2365">
        <v>6</v>
      </c>
      <c r="P2365">
        <v>324</v>
      </c>
      <c r="Q2365">
        <v>5</v>
      </c>
      <c r="R2365">
        <v>16</v>
      </c>
      <c r="S2365">
        <v>32</v>
      </c>
      <c r="T2365">
        <v>89</v>
      </c>
      <c r="U2365">
        <v>6</v>
      </c>
      <c r="V2365">
        <v>7</v>
      </c>
      <c r="W2365">
        <v>4</v>
      </c>
      <c r="X2365">
        <v>78</v>
      </c>
      <c r="Y2365">
        <v>54</v>
      </c>
      <c r="Z2365">
        <v>7</v>
      </c>
      <c r="AB2365">
        <v>8</v>
      </c>
      <c r="AK2365">
        <v>1</v>
      </c>
      <c r="AO2365">
        <v>1</v>
      </c>
      <c r="AP2365">
        <v>0</v>
      </c>
      <c r="AR2365">
        <v>0</v>
      </c>
      <c r="AW2365">
        <v>0</v>
      </c>
      <c r="AX2365">
        <v>16</v>
      </c>
      <c r="AY2365" t="s">
        <v>95</v>
      </c>
      <c r="AZ2365">
        <v>324</v>
      </c>
      <c r="BA2365">
        <v>540</v>
      </c>
      <c r="BB2365">
        <v>44</v>
      </c>
      <c r="BD2365">
        <v>1</v>
      </c>
      <c r="BF2365" t="s">
        <v>2551</v>
      </c>
      <c r="BG2365" s="1">
        <v>44354.05</v>
      </c>
      <c r="BH2365" s="1">
        <v>44354.066180555557</v>
      </c>
      <c r="BI2365" s="1">
        <v>44354.066759259258</v>
      </c>
      <c r="BJ2365" t="s">
        <v>85</v>
      </c>
      <c r="BK2365" t="s">
        <v>86</v>
      </c>
      <c r="BL2365" t="s">
        <v>87</v>
      </c>
    </row>
    <row r="2366" spans="1:64" x14ac:dyDescent="0.3">
      <c r="A2366" t="str">
        <f>"201529B0000"</f>
        <v>201529B0000</v>
      </c>
      <c r="B2366" t="str">
        <f>"201529B00003"</f>
        <v>201529B00003</v>
      </c>
      <c r="C2366" t="str">
        <f t="shared" si="149"/>
        <v>20</v>
      </c>
      <c r="D2366" t="s">
        <v>81</v>
      </c>
      <c r="E2366" t="str">
        <f t="shared" si="153"/>
        <v>322</v>
      </c>
      <c r="F2366" t="s">
        <v>2511</v>
      </c>
      <c r="G2366" t="str">
        <f t="shared" ref="G2366:G2371" si="154">"1529"</f>
        <v>1529</v>
      </c>
      <c r="H2366" t="str">
        <f>"0000"</f>
        <v>0000</v>
      </c>
      <c r="I2366" t="s">
        <v>83</v>
      </c>
      <c r="J2366">
        <v>0</v>
      </c>
      <c r="K2366">
        <v>1</v>
      </c>
      <c r="L2366">
        <v>3</v>
      </c>
      <c r="M2366">
        <v>279</v>
      </c>
      <c r="N2366">
        <v>361</v>
      </c>
      <c r="O2366">
        <v>6</v>
      </c>
      <c r="P2366">
        <v>361</v>
      </c>
      <c r="Q2366">
        <v>0</v>
      </c>
      <c r="R2366">
        <v>0</v>
      </c>
      <c r="S2366">
        <v>0</v>
      </c>
      <c r="T2366">
        <v>84</v>
      </c>
      <c r="U2366">
        <v>5</v>
      </c>
      <c r="V2366">
        <v>16</v>
      </c>
      <c r="W2366">
        <v>4</v>
      </c>
      <c r="X2366">
        <v>81</v>
      </c>
      <c r="Y2366">
        <v>75</v>
      </c>
      <c r="Z2366">
        <v>7</v>
      </c>
      <c r="AB2366">
        <v>13</v>
      </c>
      <c r="AK2366">
        <v>58</v>
      </c>
      <c r="AO2366">
        <v>0</v>
      </c>
      <c r="AP2366">
        <v>0</v>
      </c>
      <c r="AR2366">
        <v>0</v>
      </c>
      <c r="AW2366" t="s">
        <v>95</v>
      </c>
      <c r="AX2366">
        <v>18</v>
      </c>
      <c r="AY2366">
        <v>361</v>
      </c>
      <c r="AZ2366">
        <v>361</v>
      </c>
      <c r="BA2366">
        <v>596</v>
      </c>
      <c r="BB2366">
        <v>44</v>
      </c>
      <c r="BC2366" t="s">
        <v>96</v>
      </c>
      <c r="BD2366">
        <v>1</v>
      </c>
      <c r="BF2366" t="s">
        <v>2552</v>
      </c>
      <c r="BG2366" s="1">
        <v>44354.113194444442</v>
      </c>
      <c r="BH2366" s="1">
        <v>44354.118136574078</v>
      </c>
      <c r="BI2366" s="1">
        <v>44354.119004629632</v>
      </c>
      <c r="BJ2366" t="s">
        <v>85</v>
      </c>
      <c r="BK2366" t="s">
        <v>86</v>
      </c>
      <c r="BL2366" t="s">
        <v>87</v>
      </c>
    </row>
    <row r="2367" spans="1:64" x14ac:dyDescent="0.3">
      <c r="A2367" t="str">
        <f>"201529C0100"</f>
        <v>201529C0100</v>
      </c>
      <c r="B2367" t="str">
        <f>"201529C01003"</f>
        <v>201529C01003</v>
      </c>
      <c r="C2367" t="str">
        <f t="shared" si="149"/>
        <v>20</v>
      </c>
      <c r="D2367" t="s">
        <v>81</v>
      </c>
      <c r="E2367" t="str">
        <f t="shared" si="153"/>
        <v>322</v>
      </c>
      <c r="F2367" t="s">
        <v>2511</v>
      </c>
      <c r="G2367" t="str">
        <f t="shared" si="154"/>
        <v>1529</v>
      </c>
      <c r="H2367" t="str">
        <f>"0001"</f>
        <v>0001</v>
      </c>
      <c r="I2367" t="s">
        <v>89</v>
      </c>
      <c r="J2367">
        <v>0</v>
      </c>
      <c r="K2367">
        <v>1</v>
      </c>
      <c r="L2367">
        <v>3</v>
      </c>
      <c r="M2367">
        <v>292</v>
      </c>
      <c r="N2367" t="s">
        <v>131</v>
      </c>
      <c r="O2367">
        <v>2</v>
      </c>
      <c r="P2367" t="s">
        <v>131</v>
      </c>
      <c r="Q2367">
        <v>0</v>
      </c>
      <c r="R2367">
        <v>0</v>
      </c>
      <c r="S2367">
        <v>0</v>
      </c>
      <c r="T2367">
        <v>91</v>
      </c>
      <c r="U2367">
        <v>7</v>
      </c>
      <c r="V2367">
        <v>15</v>
      </c>
      <c r="W2367">
        <v>4</v>
      </c>
      <c r="X2367">
        <v>58</v>
      </c>
      <c r="Y2367">
        <v>70</v>
      </c>
      <c r="Z2367">
        <v>8</v>
      </c>
      <c r="AB2367">
        <v>5</v>
      </c>
      <c r="AK2367">
        <v>71</v>
      </c>
      <c r="AO2367">
        <v>0</v>
      </c>
      <c r="AP2367">
        <v>0</v>
      </c>
      <c r="AR2367">
        <v>0</v>
      </c>
      <c r="AW2367">
        <v>0</v>
      </c>
      <c r="AX2367">
        <v>18</v>
      </c>
      <c r="AY2367" t="s">
        <v>95</v>
      </c>
      <c r="AZ2367">
        <v>347</v>
      </c>
      <c r="BA2367">
        <v>595</v>
      </c>
      <c r="BB2367">
        <v>44</v>
      </c>
      <c r="BD2367">
        <v>1</v>
      </c>
      <c r="BF2367" t="s">
        <v>2553</v>
      </c>
      <c r="BG2367" s="1">
        <v>44354.113194444442</v>
      </c>
      <c r="BH2367" s="1">
        <v>44354.117835648147</v>
      </c>
      <c r="BI2367" s="1">
        <v>44354.119849537034</v>
      </c>
      <c r="BJ2367" t="s">
        <v>85</v>
      </c>
      <c r="BK2367" t="s">
        <v>86</v>
      </c>
      <c r="BL2367" t="s">
        <v>87</v>
      </c>
    </row>
    <row r="2368" spans="1:64" x14ac:dyDescent="0.3">
      <c r="A2368" t="str">
        <f>"201529C0200"</f>
        <v>201529C0200</v>
      </c>
      <c r="B2368" t="str">
        <f>"201529C02003"</f>
        <v>201529C02003</v>
      </c>
      <c r="C2368" t="str">
        <f t="shared" si="149"/>
        <v>20</v>
      </c>
      <c r="D2368" t="s">
        <v>81</v>
      </c>
      <c r="E2368" t="str">
        <f t="shared" si="153"/>
        <v>322</v>
      </c>
      <c r="F2368" t="s">
        <v>2511</v>
      </c>
      <c r="G2368" t="str">
        <f t="shared" si="154"/>
        <v>1529</v>
      </c>
      <c r="H2368" t="str">
        <f>"0002"</f>
        <v>0002</v>
      </c>
      <c r="I2368" t="s">
        <v>89</v>
      </c>
      <c r="J2368">
        <v>0</v>
      </c>
      <c r="K2368">
        <v>1</v>
      </c>
      <c r="L2368">
        <v>3</v>
      </c>
      <c r="M2368">
        <v>297</v>
      </c>
      <c r="N2368">
        <v>342</v>
      </c>
      <c r="O2368">
        <v>3</v>
      </c>
      <c r="P2368">
        <v>342</v>
      </c>
      <c r="Q2368">
        <v>1</v>
      </c>
      <c r="R2368">
        <v>21</v>
      </c>
      <c r="S2368">
        <v>37</v>
      </c>
      <c r="T2368">
        <v>75</v>
      </c>
      <c r="U2368">
        <v>5</v>
      </c>
      <c r="V2368">
        <v>14</v>
      </c>
      <c r="W2368">
        <v>4</v>
      </c>
      <c r="X2368">
        <v>81</v>
      </c>
      <c r="Y2368">
        <v>65</v>
      </c>
      <c r="Z2368">
        <v>3</v>
      </c>
      <c r="AB2368">
        <v>20</v>
      </c>
      <c r="AK2368">
        <v>0</v>
      </c>
      <c r="AO2368">
        <v>0</v>
      </c>
      <c r="AP2368">
        <v>0</v>
      </c>
      <c r="AR2368">
        <v>0</v>
      </c>
      <c r="AW2368">
        <v>1</v>
      </c>
      <c r="AX2368">
        <v>12</v>
      </c>
      <c r="AY2368">
        <v>342</v>
      </c>
      <c r="AZ2368">
        <v>339</v>
      </c>
      <c r="BA2368">
        <v>595</v>
      </c>
      <c r="BB2368">
        <v>44</v>
      </c>
      <c r="BD2368">
        <v>1</v>
      </c>
      <c r="BF2368" t="s">
        <v>2554</v>
      </c>
      <c r="BG2368" s="1">
        <v>44354.111805555556</v>
      </c>
      <c r="BH2368" s="1">
        <v>44354.117592592593</v>
      </c>
      <c r="BI2368" s="1">
        <v>44354.117812500001</v>
      </c>
      <c r="BJ2368" t="s">
        <v>85</v>
      </c>
      <c r="BK2368" t="s">
        <v>86</v>
      </c>
      <c r="BL2368" t="s">
        <v>87</v>
      </c>
    </row>
    <row r="2369" spans="1:64" x14ac:dyDescent="0.3">
      <c r="A2369" t="str">
        <f>"201529C0300"</f>
        <v>201529C0300</v>
      </c>
      <c r="B2369" t="str">
        <f>"201529C03003"</f>
        <v>201529C03003</v>
      </c>
      <c r="C2369" t="str">
        <f t="shared" si="149"/>
        <v>20</v>
      </c>
      <c r="D2369" t="s">
        <v>81</v>
      </c>
      <c r="E2369" t="str">
        <f t="shared" si="153"/>
        <v>322</v>
      </c>
      <c r="F2369" t="s">
        <v>2511</v>
      </c>
      <c r="G2369" t="str">
        <f t="shared" si="154"/>
        <v>1529</v>
      </c>
      <c r="H2369" t="str">
        <f>"0003"</f>
        <v>0003</v>
      </c>
      <c r="I2369" t="s">
        <v>89</v>
      </c>
      <c r="J2369">
        <v>0</v>
      </c>
      <c r="K2369">
        <v>1</v>
      </c>
      <c r="L2369">
        <v>3</v>
      </c>
      <c r="M2369">
        <v>300</v>
      </c>
      <c r="N2369">
        <v>338</v>
      </c>
      <c r="O2369">
        <v>2</v>
      </c>
      <c r="P2369">
        <v>339</v>
      </c>
      <c r="Q2369" t="s">
        <v>95</v>
      </c>
      <c r="R2369" t="s">
        <v>95</v>
      </c>
      <c r="S2369" t="s">
        <v>95</v>
      </c>
      <c r="T2369">
        <v>89</v>
      </c>
      <c r="U2369">
        <v>6</v>
      </c>
      <c r="V2369">
        <v>17</v>
      </c>
      <c r="W2369">
        <v>1</v>
      </c>
      <c r="X2369">
        <v>69</v>
      </c>
      <c r="Y2369">
        <v>79</v>
      </c>
      <c r="Z2369">
        <v>1</v>
      </c>
      <c r="AB2369">
        <v>10</v>
      </c>
      <c r="AK2369">
        <v>58</v>
      </c>
      <c r="AO2369" t="s">
        <v>95</v>
      </c>
      <c r="AP2369" t="s">
        <v>95</v>
      </c>
      <c r="AR2369" t="s">
        <v>95</v>
      </c>
      <c r="AW2369" t="s">
        <v>95</v>
      </c>
      <c r="AX2369">
        <v>9</v>
      </c>
      <c r="AY2369" t="s">
        <v>95</v>
      </c>
      <c r="AZ2369">
        <v>339</v>
      </c>
      <c r="BA2369">
        <v>595</v>
      </c>
      <c r="BB2369">
        <v>44</v>
      </c>
      <c r="BC2369" t="s">
        <v>96</v>
      </c>
      <c r="BD2369">
        <v>1</v>
      </c>
      <c r="BF2369" t="s">
        <v>2555</v>
      </c>
      <c r="BG2369" s="1">
        <v>44354.058333333334</v>
      </c>
      <c r="BH2369" s="1">
        <v>44354.065960648149</v>
      </c>
      <c r="BI2369" s="1">
        <v>44354.066388888888</v>
      </c>
      <c r="BJ2369" t="s">
        <v>85</v>
      </c>
      <c r="BK2369" t="s">
        <v>86</v>
      </c>
      <c r="BL2369" t="s">
        <v>87</v>
      </c>
    </row>
    <row r="2370" spans="1:64" x14ac:dyDescent="0.3">
      <c r="A2370" t="str">
        <f>"201529E0100"</f>
        <v>201529E0100</v>
      </c>
      <c r="B2370" t="str">
        <f>"201529E01003"</f>
        <v>201529E01003</v>
      </c>
      <c r="C2370" t="str">
        <f t="shared" si="149"/>
        <v>20</v>
      </c>
      <c r="D2370" t="s">
        <v>81</v>
      </c>
      <c r="E2370" t="str">
        <f t="shared" si="153"/>
        <v>322</v>
      </c>
      <c r="F2370" t="s">
        <v>2511</v>
      </c>
      <c r="G2370" t="str">
        <f t="shared" si="154"/>
        <v>1529</v>
      </c>
      <c r="H2370" t="str">
        <f>"0001"</f>
        <v>0001</v>
      </c>
      <c r="I2370" t="s">
        <v>122</v>
      </c>
      <c r="J2370">
        <v>0</v>
      </c>
      <c r="K2370">
        <v>1</v>
      </c>
      <c r="L2370">
        <v>3</v>
      </c>
      <c r="M2370">
        <v>115</v>
      </c>
      <c r="N2370">
        <v>209</v>
      </c>
      <c r="O2370">
        <v>5</v>
      </c>
      <c r="P2370">
        <v>209</v>
      </c>
      <c r="Q2370">
        <v>0</v>
      </c>
      <c r="R2370">
        <v>3</v>
      </c>
      <c r="S2370">
        <v>10</v>
      </c>
      <c r="T2370">
        <v>83</v>
      </c>
      <c r="U2370">
        <v>2</v>
      </c>
      <c r="V2370">
        <v>3</v>
      </c>
      <c r="W2370">
        <v>0</v>
      </c>
      <c r="X2370">
        <v>62</v>
      </c>
      <c r="Y2370">
        <v>27</v>
      </c>
      <c r="Z2370">
        <v>0</v>
      </c>
      <c r="AB2370">
        <v>13</v>
      </c>
      <c r="AK2370">
        <v>0</v>
      </c>
      <c r="AO2370">
        <v>0</v>
      </c>
      <c r="AP2370">
        <v>0</v>
      </c>
      <c r="AR2370">
        <v>0</v>
      </c>
      <c r="AW2370">
        <v>0</v>
      </c>
      <c r="AX2370">
        <v>6</v>
      </c>
      <c r="AY2370">
        <v>209</v>
      </c>
      <c r="AZ2370">
        <v>209</v>
      </c>
      <c r="BA2370">
        <v>280</v>
      </c>
      <c r="BB2370">
        <v>44</v>
      </c>
      <c r="BD2370">
        <v>1</v>
      </c>
      <c r="BF2370" t="s">
        <v>2556</v>
      </c>
      <c r="BG2370" s="1">
        <v>44354.112500000003</v>
      </c>
      <c r="BH2370" s="1">
        <v>44354.117256944446</v>
      </c>
      <c r="BI2370" s="1">
        <v>44354.117569444446</v>
      </c>
      <c r="BJ2370" t="s">
        <v>85</v>
      </c>
      <c r="BK2370" t="s">
        <v>86</v>
      </c>
      <c r="BL2370" t="s">
        <v>87</v>
      </c>
    </row>
    <row r="2371" spans="1:64" x14ac:dyDescent="0.3">
      <c r="A2371" t="str">
        <f>"201529E0200"</f>
        <v>201529E0200</v>
      </c>
      <c r="B2371" t="str">
        <f>"201529E02003"</f>
        <v>201529E02003</v>
      </c>
      <c r="C2371" t="str">
        <f t="shared" si="149"/>
        <v>20</v>
      </c>
      <c r="D2371" t="s">
        <v>81</v>
      </c>
      <c r="E2371" t="str">
        <f t="shared" si="153"/>
        <v>322</v>
      </c>
      <c r="F2371" t="s">
        <v>2511</v>
      </c>
      <c r="G2371" t="str">
        <f t="shared" si="154"/>
        <v>1529</v>
      </c>
      <c r="H2371" t="str">
        <f>"0002"</f>
        <v>0002</v>
      </c>
      <c r="I2371" t="s">
        <v>122</v>
      </c>
      <c r="J2371">
        <v>0</v>
      </c>
      <c r="K2371">
        <v>1</v>
      </c>
      <c r="L2371">
        <v>3</v>
      </c>
      <c r="M2371">
        <v>92</v>
      </c>
      <c r="N2371">
        <v>473</v>
      </c>
      <c r="O2371">
        <v>6</v>
      </c>
      <c r="P2371">
        <v>173</v>
      </c>
      <c r="Q2371">
        <v>1</v>
      </c>
      <c r="R2371">
        <v>9</v>
      </c>
      <c r="S2371">
        <v>14</v>
      </c>
      <c r="T2371">
        <v>62</v>
      </c>
      <c r="U2371">
        <v>2</v>
      </c>
      <c r="V2371">
        <v>6</v>
      </c>
      <c r="W2371">
        <v>4</v>
      </c>
      <c r="X2371">
        <v>36</v>
      </c>
      <c r="Y2371">
        <v>23</v>
      </c>
      <c r="Z2371">
        <v>4</v>
      </c>
      <c r="AB2371">
        <v>10</v>
      </c>
      <c r="AK2371">
        <v>0</v>
      </c>
      <c r="AO2371">
        <v>0</v>
      </c>
      <c r="AP2371">
        <v>0</v>
      </c>
      <c r="AR2371">
        <v>0</v>
      </c>
      <c r="AW2371">
        <v>0</v>
      </c>
      <c r="AX2371">
        <v>2</v>
      </c>
      <c r="AY2371" t="s">
        <v>95</v>
      </c>
      <c r="AZ2371">
        <v>173</v>
      </c>
      <c r="BA2371">
        <v>221</v>
      </c>
      <c r="BB2371">
        <v>44</v>
      </c>
      <c r="BD2371">
        <v>1</v>
      </c>
      <c r="BF2371" s="2" t="s">
        <v>2557</v>
      </c>
      <c r="BG2371" s="1">
        <v>44354.113194444442</v>
      </c>
      <c r="BH2371" s="1">
        <v>44354.117997685185</v>
      </c>
      <c r="BI2371" s="1">
        <v>44354.118541666663</v>
      </c>
      <c r="BJ2371" t="s">
        <v>85</v>
      </c>
      <c r="BK2371" t="s">
        <v>86</v>
      </c>
      <c r="BL2371" t="s">
        <v>87</v>
      </c>
    </row>
    <row r="2372" spans="1:64" x14ac:dyDescent="0.3">
      <c r="A2372" t="str">
        <f>"201530B0000"</f>
        <v>201530B0000</v>
      </c>
      <c r="B2372" t="str">
        <f>"201530B00003"</f>
        <v>201530B00003</v>
      </c>
      <c r="C2372" t="str">
        <f t="shared" si="149"/>
        <v>20</v>
      </c>
      <c r="D2372" t="s">
        <v>81</v>
      </c>
      <c r="E2372" t="str">
        <f t="shared" si="153"/>
        <v>322</v>
      </c>
      <c r="F2372" t="s">
        <v>2511</v>
      </c>
      <c r="G2372" t="str">
        <f>"1530"</f>
        <v>1530</v>
      </c>
      <c r="H2372" t="str">
        <f>"0000"</f>
        <v>0000</v>
      </c>
      <c r="I2372" t="s">
        <v>83</v>
      </c>
      <c r="J2372">
        <v>0</v>
      </c>
      <c r="K2372">
        <v>1</v>
      </c>
      <c r="L2372">
        <v>3</v>
      </c>
      <c r="M2372">
        <v>275</v>
      </c>
      <c r="N2372">
        <v>299</v>
      </c>
      <c r="O2372">
        <v>2</v>
      </c>
      <c r="P2372">
        <v>299</v>
      </c>
      <c r="Q2372">
        <v>2</v>
      </c>
      <c r="R2372">
        <v>8</v>
      </c>
      <c r="S2372">
        <v>83</v>
      </c>
      <c r="T2372">
        <v>71</v>
      </c>
      <c r="U2372">
        <v>7</v>
      </c>
      <c r="V2372">
        <v>6</v>
      </c>
      <c r="W2372">
        <v>2</v>
      </c>
      <c r="X2372">
        <v>44</v>
      </c>
      <c r="Y2372">
        <v>44</v>
      </c>
      <c r="Z2372">
        <v>3</v>
      </c>
      <c r="AB2372">
        <v>12</v>
      </c>
      <c r="AK2372">
        <v>4</v>
      </c>
      <c r="AO2372">
        <v>1</v>
      </c>
      <c r="AP2372">
        <v>2</v>
      </c>
      <c r="AR2372">
        <v>2</v>
      </c>
      <c r="AW2372">
        <v>0</v>
      </c>
      <c r="AX2372">
        <v>10</v>
      </c>
      <c r="AY2372">
        <v>299</v>
      </c>
      <c r="AZ2372">
        <v>301</v>
      </c>
      <c r="BA2372">
        <v>530</v>
      </c>
      <c r="BB2372">
        <v>44</v>
      </c>
      <c r="BD2372">
        <v>1</v>
      </c>
      <c r="BF2372" t="s">
        <v>2558</v>
      </c>
      <c r="BG2372" s="1">
        <v>44354.22152777778</v>
      </c>
      <c r="BH2372" s="1">
        <v>44354.230138888888</v>
      </c>
      <c r="BI2372" s="1">
        <v>44354.234074074076</v>
      </c>
      <c r="BJ2372" t="s">
        <v>85</v>
      </c>
      <c r="BK2372" t="s">
        <v>86</v>
      </c>
      <c r="BL2372" t="s">
        <v>87</v>
      </c>
    </row>
    <row r="2373" spans="1:64" x14ac:dyDescent="0.3">
      <c r="A2373" t="str">
        <f>"201530C0100"</f>
        <v>201530C0100</v>
      </c>
      <c r="B2373" t="str">
        <f>"201530C01003"</f>
        <v>201530C01003</v>
      </c>
      <c r="C2373" t="str">
        <f t="shared" si="149"/>
        <v>20</v>
      </c>
      <c r="D2373" t="s">
        <v>81</v>
      </c>
      <c r="E2373" t="str">
        <f t="shared" si="153"/>
        <v>322</v>
      </c>
      <c r="F2373" t="s">
        <v>2511</v>
      </c>
      <c r="G2373" t="str">
        <f>"1530"</f>
        <v>1530</v>
      </c>
      <c r="H2373" t="str">
        <f>"0001"</f>
        <v>0001</v>
      </c>
      <c r="I2373" t="s">
        <v>89</v>
      </c>
      <c r="J2373">
        <v>0</v>
      </c>
      <c r="K2373">
        <v>1</v>
      </c>
      <c r="L2373">
        <v>3</v>
      </c>
      <c r="M2373">
        <v>267</v>
      </c>
      <c r="N2373">
        <v>307</v>
      </c>
      <c r="O2373">
        <v>3</v>
      </c>
      <c r="P2373">
        <v>307</v>
      </c>
      <c r="Q2373">
        <v>2</v>
      </c>
      <c r="R2373">
        <v>9</v>
      </c>
      <c r="S2373">
        <v>77</v>
      </c>
      <c r="T2373">
        <v>77</v>
      </c>
      <c r="U2373">
        <v>6</v>
      </c>
      <c r="V2373">
        <v>8</v>
      </c>
      <c r="W2373">
        <v>2</v>
      </c>
      <c r="X2373">
        <v>55</v>
      </c>
      <c r="Y2373">
        <v>43</v>
      </c>
      <c r="Z2373">
        <v>5</v>
      </c>
      <c r="AB2373">
        <v>8</v>
      </c>
      <c r="AK2373">
        <v>6</v>
      </c>
      <c r="AO2373">
        <v>0</v>
      </c>
      <c r="AP2373">
        <v>0</v>
      </c>
      <c r="AR2373">
        <v>1</v>
      </c>
      <c r="AW2373">
        <v>0</v>
      </c>
      <c r="AX2373">
        <v>8</v>
      </c>
      <c r="AY2373">
        <v>307</v>
      </c>
      <c r="AZ2373">
        <v>307</v>
      </c>
      <c r="BA2373">
        <v>530</v>
      </c>
      <c r="BB2373">
        <v>44</v>
      </c>
      <c r="BD2373">
        <v>1</v>
      </c>
      <c r="BF2373" t="s">
        <v>2559</v>
      </c>
      <c r="BG2373" s="1">
        <v>44354.222222222219</v>
      </c>
      <c r="BH2373" s="1">
        <v>44354.229004629633</v>
      </c>
      <c r="BI2373" s="1">
        <v>44354.22965277778</v>
      </c>
      <c r="BJ2373" t="s">
        <v>85</v>
      </c>
      <c r="BK2373" t="s">
        <v>86</v>
      </c>
      <c r="BL2373" t="s">
        <v>87</v>
      </c>
    </row>
    <row r="2374" spans="1:64" x14ac:dyDescent="0.3">
      <c r="A2374" t="str">
        <f>"201530C0200"</f>
        <v>201530C0200</v>
      </c>
      <c r="B2374" t="str">
        <f>"201530C02003"</f>
        <v>201530C02003</v>
      </c>
      <c r="C2374" t="str">
        <f t="shared" si="149"/>
        <v>20</v>
      </c>
      <c r="D2374" t="s">
        <v>81</v>
      </c>
      <c r="E2374" t="str">
        <f t="shared" si="153"/>
        <v>322</v>
      </c>
      <c r="F2374" t="s">
        <v>2511</v>
      </c>
      <c r="G2374" t="str">
        <f>"1530"</f>
        <v>1530</v>
      </c>
      <c r="H2374" t="str">
        <f>"0002"</f>
        <v>0002</v>
      </c>
      <c r="I2374" t="s">
        <v>89</v>
      </c>
      <c r="J2374">
        <v>0</v>
      </c>
      <c r="K2374">
        <v>1</v>
      </c>
      <c r="L2374">
        <v>3</v>
      </c>
      <c r="BA2374">
        <v>529</v>
      </c>
      <c r="BB2374">
        <v>44</v>
      </c>
      <c r="BC2374" t="s">
        <v>721</v>
      </c>
      <c r="BD2374">
        <v>0</v>
      </c>
      <c r="BF2374" t="s">
        <v>2560</v>
      </c>
      <c r="BG2374" s="1">
        <v>44354.634722222225</v>
      </c>
      <c r="BH2374" s="1">
        <v>44354.647060185183</v>
      </c>
      <c r="BI2374" s="1">
        <v>44354.647060185183</v>
      </c>
      <c r="BJ2374" t="s">
        <v>85</v>
      </c>
      <c r="BK2374" t="s">
        <v>86</v>
      </c>
      <c r="BL2374" t="s">
        <v>87</v>
      </c>
    </row>
    <row r="2375" spans="1:64" x14ac:dyDescent="0.3">
      <c r="A2375" t="str">
        <f>"201531B0000"</f>
        <v>201531B0000</v>
      </c>
      <c r="B2375" t="str">
        <f>"201531B00003"</f>
        <v>201531B00003</v>
      </c>
      <c r="C2375" t="str">
        <f t="shared" ref="C2375:C2438" si="155">"20"</f>
        <v>20</v>
      </c>
      <c r="D2375" t="s">
        <v>81</v>
      </c>
      <c r="E2375" t="str">
        <f t="shared" si="153"/>
        <v>322</v>
      </c>
      <c r="F2375" t="s">
        <v>2511</v>
      </c>
      <c r="G2375" t="str">
        <f>"1531"</f>
        <v>1531</v>
      </c>
      <c r="H2375" t="str">
        <f>"0000"</f>
        <v>0000</v>
      </c>
      <c r="I2375" t="s">
        <v>83</v>
      </c>
      <c r="J2375">
        <v>0</v>
      </c>
      <c r="K2375">
        <v>1</v>
      </c>
      <c r="L2375">
        <v>3</v>
      </c>
      <c r="M2375">
        <v>231</v>
      </c>
      <c r="N2375">
        <v>400</v>
      </c>
      <c r="O2375">
        <v>1</v>
      </c>
      <c r="P2375">
        <v>400</v>
      </c>
      <c r="Q2375">
        <v>0</v>
      </c>
      <c r="R2375">
        <v>8</v>
      </c>
      <c r="S2375">
        <v>24</v>
      </c>
      <c r="T2375">
        <v>86</v>
      </c>
      <c r="U2375">
        <v>1</v>
      </c>
      <c r="V2375">
        <v>3</v>
      </c>
      <c r="W2375">
        <v>4</v>
      </c>
      <c r="X2375">
        <v>140</v>
      </c>
      <c r="Y2375">
        <v>108</v>
      </c>
      <c r="Z2375">
        <v>8</v>
      </c>
      <c r="AB2375">
        <v>13</v>
      </c>
      <c r="AK2375">
        <v>0</v>
      </c>
      <c r="AO2375">
        <v>0</v>
      </c>
      <c r="AP2375">
        <v>0</v>
      </c>
      <c r="AR2375">
        <v>0</v>
      </c>
      <c r="AW2375">
        <v>0</v>
      </c>
      <c r="AX2375">
        <v>5</v>
      </c>
      <c r="AY2375">
        <v>400</v>
      </c>
      <c r="AZ2375">
        <v>400</v>
      </c>
      <c r="BA2375">
        <v>587</v>
      </c>
      <c r="BB2375">
        <v>44</v>
      </c>
      <c r="BD2375">
        <v>1</v>
      </c>
      <c r="BF2375" t="s">
        <v>2561</v>
      </c>
      <c r="BG2375" s="1">
        <v>44354.054861111108</v>
      </c>
      <c r="BH2375" s="1">
        <v>44354.06659722222</v>
      </c>
      <c r="BI2375" s="1">
        <v>44354.067766203705</v>
      </c>
      <c r="BJ2375" t="s">
        <v>85</v>
      </c>
      <c r="BK2375" t="s">
        <v>86</v>
      </c>
      <c r="BL2375" t="s">
        <v>87</v>
      </c>
    </row>
    <row r="2376" spans="1:64" x14ac:dyDescent="0.3">
      <c r="A2376" t="str">
        <f>"201531C0100"</f>
        <v>201531C0100</v>
      </c>
      <c r="B2376" t="str">
        <f>"201531C01003"</f>
        <v>201531C01003</v>
      </c>
      <c r="C2376" t="str">
        <f t="shared" si="155"/>
        <v>20</v>
      </c>
      <c r="D2376" t="s">
        <v>81</v>
      </c>
      <c r="E2376" t="str">
        <f t="shared" si="153"/>
        <v>322</v>
      </c>
      <c r="F2376" t="s">
        <v>2511</v>
      </c>
      <c r="G2376" t="str">
        <f>"1531"</f>
        <v>1531</v>
      </c>
      <c r="H2376" t="str">
        <f>"0001"</f>
        <v>0001</v>
      </c>
      <c r="I2376" t="s">
        <v>89</v>
      </c>
      <c r="J2376">
        <v>0</v>
      </c>
      <c r="K2376">
        <v>1</v>
      </c>
      <c r="L2376">
        <v>3</v>
      </c>
      <c r="M2376">
        <v>224</v>
      </c>
      <c r="N2376">
        <v>630</v>
      </c>
      <c r="O2376">
        <v>0</v>
      </c>
      <c r="P2376">
        <v>406</v>
      </c>
      <c r="Q2376">
        <v>0</v>
      </c>
      <c r="R2376">
        <v>16</v>
      </c>
      <c r="S2376">
        <v>40</v>
      </c>
      <c r="T2376">
        <v>96</v>
      </c>
      <c r="U2376">
        <v>4</v>
      </c>
      <c r="V2376">
        <v>2</v>
      </c>
      <c r="W2376">
        <v>6</v>
      </c>
      <c r="X2376">
        <v>97</v>
      </c>
      <c r="Y2376">
        <v>127</v>
      </c>
      <c r="Z2376">
        <v>3</v>
      </c>
      <c r="AB2376">
        <v>3</v>
      </c>
      <c r="AK2376">
        <v>0</v>
      </c>
      <c r="AO2376">
        <v>1</v>
      </c>
      <c r="AP2376">
        <v>0</v>
      </c>
      <c r="AR2376">
        <v>1</v>
      </c>
      <c r="AW2376">
        <v>0</v>
      </c>
      <c r="AX2376">
        <v>10</v>
      </c>
      <c r="AY2376">
        <v>406</v>
      </c>
      <c r="AZ2376">
        <v>406</v>
      </c>
      <c r="BA2376">
        <v>587</v>
      </c>
      <c r="BB2376">
        <v>44</v>
      </c>
      <c r="BD2376">
        <v>1</v>
      </c>
      <c r="BF2376" t="s">
        <v>2562</v>
      </c>
      <c r="BG2376" s="1">
        <v>44354.054861111108</v>
      </c>
      <c r="BH2376" s="1">
        <v>44354.061701388891</v>
      </c>
      <c r="BI2376" s="1">
        <v>44354.062083333331</v>
      </c>
      <c r="BJ2376" t="s">
        <v>85</v>
      </c>
      <c r="BK2376" t="s">
        <v>86</v>
      </c>
      <c r="BL2376" t="s">
        <v>87</v>
      </c>
    </row>
    <row r="2377" spans="1:64" x14ac:dyDescent="0.3">
      <c r="A2377" t="str">
        <f>"201531C0200"</f>
        <v>201531C0200</v>
      </c>
      <c r="B2377" t="str">
        <f>"201531C02003"</f>
        <v>201531C02003</v>
      </c>
      <c r="C2377" t="str">
        <f t="shared" si="155"/>
        <v>20</v>
      </c>
      <c r="D2377" t="s">
        <v>81</v>
      </c>
      <c r="E2377" t="str">
        <f t="shared" si="153"/>
        <v>322</v>
      </c>
      <c r="F2377" t="s">
        <v>2511</v>
      </c>
      <c r="G2377" t="str">
        <f>"1531"</f>
        <v>1531</v>
      </c>
      <c r="H2377" t="str">
        <f>"0002"</f>
        <v>0002</v>
      </c>
      <c r="I2377" t="s">
        <v>89</v>
      </c>
      <c r="J2377">
        <v>0</v>
      </c>
      <c r="K2377">
        <v>1</v>
      </c>
      <c r="L2377">
        <v>3</v>
      </c>
      <c r="M2377">
        <v>240</v>
      </c>
      <c r="N2377">
        <v>390</v>
      </c>
      <c r="O2377">
        <v>1</v>
      </c>
      <c r="P2377">
        <v>391</v>
      </c>
      <c r="Q2377">
        <v>1</v>
      </c>
      <c r="R2377">
        <v>9</v>
      </c>
      <c r="S2377">
        <v>20</v>
      </c>
      <c r="T2377">
        <v>60</v>
      </c>
      <c r="U2377">
        <v>2</v>
      </c>
      <c r="V2377">
        <v>5</v>
      </c>
      <c r="W2377">
        <v>4</v>
      </c>
      <c r="X2377">
        <v>118</v>
      </c>
      <c r="Y2377">
        <v>150</v>
      </c>
      <c r="Z2377">
        <v>4</v>
      </c>
      <c r="AB2377">
        <v>2</v>
      </c>
      <c r="AK2377">
        <v>1</v>
      </c>
      <c r="AO2377">
        <v>0</v>
      </c>
      <c r="AP2377">
        <v>1</v>
      </c>
      <c r="AR2377">
        <v>0</v>
      </c>
      <c r="AW2377">
        <v>0</v>
      </c>
      <c r="AX2377">
        <v>14</v>
      </c>
      <c r="AY2377">
        <v>391</v>
      </c>
      <c r="AZ2377">
        <v>391</v>
      </c>
      <c r="BA2377">
        <v>586</v>
      </c>
      <c r="BB2377">
        <v>44</v>
      </c>
      <c r="BD2377">
        <v>1</v>
      </c>
      <c r="BF2377" t="s">
        <v>2563</v>
      </c>
      <c r="BG2377" s="1">
        <v>44354.054166666669</v>
      </c>
      <c r="BH2377" s="1">
        <v>44354.067210648151</v>
      </c>
      <c r="BI2377" s="1">
        <v>44354.06759259259</v>
      </c>
      <c r="BJ2377" t="s">
        <v>85</v>
      </c>
      <c r="BK2377" t="s">
        <v>86</v>
      </c>
      <c r="BL2377" t="s">
        <v>87</v>
      </c>
    </row>
    <row r="2378" spans="1:64" x14ac:dyDescent="0.3">
      <c r="A2378" t="str">
        <f>"201532B0000"</f>
        <v>201532B0000</v>
      </c>
      <c r="B2378" t="str">
        <f>"201532B00003"</f>
        <v>201532B00003</v>
      </c>
      <c r="C2378" t="str">
        <f t="shared" si="155"/>
        <v>20</v>
      </c>
      <c r="D2378" t="s">
        <v>81</v>
      </c>
      <c r="E2378" t="str">
        <f t="shared" si="153"/>
        <v>322</v>
      </c>
      <c r="F2378" t="s">
        <v>2511</v>
      </c>
      <c r="G2378" t="str">
        <f>"1532"</f>
        <v>1532</v>
      </c>
      <c r="H2378" t="str">
        <f>"0000"</f>
        <v>0000</v>
      </c>
      <c r="I2378" t="s">
        <v>83</v>
      </c>
      <c r="J2378">
        <v>0</v>
      </c>
      <c r="K2378">
        <v>1</v>
      </c>
      <c r="L2378">
        <v>3</v>
      </c>
      <c r="BA2378">
        <v>668</v>
      </c>
      <c r="BB2378">
        <v>44</v>
      </c>
      <c r="BC2378" t="s">
        <v>721</v>
      </c>
      <c r="BD2378">
        <v>0</v>
      </c>
      <c r="BF2378" s="2" t="s">
        <v>2564</v>
      </c>
      <c r="BG2378" s="1">
        <v>44354.609027777777</v>
      </c>
      <c r="BH2378" s="1">
        <v>44354.626215277778</v>
      </c>
      <c r="BI2378" s="1">
        <v>44354.626215277778</v>
      </c>
      <c r="BJ2378" t="s">
        <v>85</v>
      </c>
      <c r="BK2378" t="s">
        <v>86</v>
      </c>
      <c r="BL2378" t="s">
        <v>87</v>
      </c>
    </row>
    <row r="2379" spans="1:64" x14ac:dyDescent="0.3">
      <c r="A2379" t="str">
        <f>"201532E0100"</f>
        <v>201532E0100</v>
      </c>
      <c r="B2379" t="str">
        <f>"201532E01003"</f>
        <v>201532E01003</v>
      </c>
      <c r="C2379" t="str">
        <f t="shared" si="155"/>
        <v>20</v>
      </c>
      <c r="D2379" t="s">
        <v>81</v>
      </c>
      <c r="E2379" t="str">
        <f t="shared" si="153"/>
        <v>322</v>
      </c>
      <c r="F2379" t="s">
        <v>2511</v>
      </c>
      <c r="G2379" t="str">
        <f>"1532"</f>
        <v>1532</v>
      </c>
      <c r="H2379" t="str">
        <f>"0001"</f>
        <v>0001</v>
      </c>
      <c r="I2379" t="s">
        <v>122</v>
      </c>
      <c r="J2379">
        <v>0</v>
      </c>
      <c r="K2379">
        <v>1</v>
      </c>
      <c r="L2379">
        <v>3</v>
      </c>
      <c r="M2379">
        <v>302</v>
      </c>
      <c r="N2379">
        <v>444</v>
      </c>
      <c r="O2379">
        <v>9</v>
      </c>
      <c r="P2379">
        <v>444</v>
      </c>
      <c r="Q2379">
        <v>2</v>
      </c>
      <c r="R2379">
        <v>11</v>
      </c>
      <c r="S2379">
        <v>22</v>
      </c>
      <c r="T2379">
        <v>103</v>
      </c>
      <c r="U2379">
        <v>10</v>
      </c>
      <c r="V2379">
        <v>14</v>
      </c>
      <c r="W2379">
        <v>1</v>
      </c>
      <c r="X2379">
        <v>137</v>
      </c>
      <c r="Y2379">
        <v>111</v>
      </c>
      <c r="Z2379">
        <v>3</v>
      </c>
      <c r="AB2379">
        <v>7</v>
      </c>
      <c r="AK2379">
        <v>4</v>
      </c>
      <c r="AO2379">
        <v>0</v>
      </c>
      <c r="AP2379">
        <v>0</v>
      </c>
      <c r="AR2379">
        <v>0</v>
      </c>
      <c r="AW2379">
        <v>0</v>
      </c>
      <c r="AX2379">
        <v>19</v>
      </c>
      <c r="AY2379">
        <v>444</v>
      </c>
      <c r="AZ2379">
        <v>444</v>
      </c>
      <c r="BA2379">
        <v>700</v>
      </c>
      <c r="BB2379">
        <v>44</v>
      </c>
      <c r="BD2379">
        <v>1</v>
      </c>
      <c r="BF2379" t="s">
        <v>2565</v>
      </c>
      <c r="BG2379" s="1">
        <v>44354.222222222219</v>
      </c>
      <c r="BH2379" s="1">
        <v>44354.229583333334</v>
      </c>
      <c r="BI2379" s="1">
        <v>44354.230115740742</v>
      </c>
      <c r="BJ2379" t="s">
        <v>85</v>
      </c>
      <c r="BK2379" t="s">
        <v>86</v>
      </c>
      <c r="BL2379" t="s">
        <v>87</v>
      </c>
    </row>
    <row r="2380" spans="1:64" x14ac:dyDescent="0.3">
      <c r="A2380" t="str">
        <f>"201533B0000"</f>
        <v>201533B0000</v>
      </c>
      <c r="B2380" t="str">
        <f>"201533B00003"</f>
        <v>201533B00003</v>
      </c>
      <c r="C2380" t="str">
        <f t="shared" si="155"/>
        <v>20</v>
      </c>
      <c r="D2380" t="s">
        <v>81</v>
      </c>
      <c r="E2380" t="str">
        <f t="shared" si="153"/>
        <v>322</v>
      </c>
      <c r="F2380" t="s">
        <v>2511</v>
      </c>
      <c r="G2380" t="str">
        <f>"1533"</f>
        <v>1533</v>
      </c>
      <c r="H2380" t="str">
        <f>"0000"</f>
        <v>0000</v>
      </c>
      <c r="I2380" t="s">
        <v>83</v>
      </c>
      <c r="J2380">
        <v>0</v>
      </c>
      <c r="K2380">
        <v>1</v>
      </c>
      <c r="L2380">
        <v>3</v>
      </c>
      <c r="M2380">
        <v>313</v>
      </c>
      <c r="N2380">
        <v>429</v>
      </c>
      <c r="O2380">
        <v>1</v>
      </c>
      <c r="P2380">
        <v>429</v>
      </c>
      <c r="Q2380">
        <v>4</v>
      </c>
      <c r="R2380">
        <v>8</v>
      </c>
      <c r="S2380">
        <v>21</v>
      </c>
      <c r="T2380">
        <v>38</v>
      </c>
      <c r="U2380">
        <v>2</v>
      </c>
      <c r="V2380">
        <v>58</v>
      </c>
      <c r="W2380">
        <v>12</v>
      </c>
      <c r="X2380">
        <v>176</v>
      </c>
      <c r="Y2380">
        <v>72</v>
      </c>
      <c r="Z2380">
        <v>1</v>
      </c>
      <c r="AB2380">
        <v>19</v>
      </c>
      <c r="AK2380">
        <v>3</v>
      </c>
      <c r="AO2380">
        <v>0</v>
      </c>
      <c r="AP2380">
        <v>0</v>
      </c>
      <c r="AR2380">
        <v>0</v>
      </c>
      <c r="AW2380">
        <v>0</v>
      </c>
      <c r="AX2380">
        <v>15</v>
      </c>
      <c r="AY2380">
        <v>429</v>
      </c>
      <c r="AZ2380">
        <v>429</v>
      </c>
      <c r="BA2380">
        <v>698</v>
      </c>
      <c r="BB2380">
        <v>44</v>
      </c>
      <c r="BD2380">
        <v>1</v>
      </c>
      <c r="BF2380" t="s">
        <v>2566</v>
      </c>
      <c r="BG2380" s="1">
        <v>44354.053472222222</v>
      </c>
      <c r="BH2380" s="1">
        <v>44354.067997685182</v>
      </c>
      <c r="BI2380" s="1">
        <v>44354.068194444444</v>
      </c>
      <c r="BJ2380" t="s">
        <v>85</v>
      </c>
      <c r="BK2380" t="s">
        <v>86</v>
      </c>
      <c r="BL2380" t="s">
        <v>87</v>
      </c>
    </row>
    <row r="2381" spans="1:64" x14ac:dyDescent="0.3">
      <c r="A2381" t="str">
        <f>"201533C0100"</f>
        <v>201533C0100</v>
      </c>
      <c r="B2381" t="str">
        <f>"201533C01003"</f>
        <v>201533C01003</v>
      </c>
      <c r="C2381" t="str">
        <f t="shared" si="155"/>
        <v>20</v>
      </c>
      <c r="D2381" t="s">
        <v>81</v>
      </c>
      <c r="E2381" t="str">
        <f t="shared" si="153"/>
        <v>322</v>
      </c>
      <c r="F2381" t="s">
        <v>2511</v>
      </c>
      <c r="G2381" t="str">
        <f>"1533"</f>
        <v>1533</v>
      </c>
      <c r="H2381" t="str">
        <f>"0001"</f>
        <v>0001</v>
      </c>
      <c r="I2381" t="s">
        <v>89</v>
      </c>
      <c r="J2381">
        <v>0</v>
      </c>
      <c r="K2381">
        <v>1</v>
      </c>
      <c r="L2381">
        <v>3</v>
      </c>
      <c r="M2381">
        <v>316</v>
      </c>
      <c r="N2381">
        <v>425</v>
      </c>
      <c r="O2381">
        <v>2</v>
      </c>
      <c r="P2381">
        <v>425</v>
      </c>
      <c r="Q2381">
        <v>2</v>
      </c>
      <c r="R2381">
        <v>16</v>
      </c>
      <c r="S2381">
        <v>25</v>
      </c>
      <c r="T2381">
        <v>50</v>
      </c>
      <c r="U2381">
        <v>6</v>
      </c>
      <c r="V2381">
        <v>44</v>
      </c>
      <c r="W2381">
        <v>7</v>
      </c>
      <c r="X2381">
        <v>163</v>
      </c>
      <c r="Y2381">
        <v>80</v>
      </c>
      <c r="Z2381">
        <v>3</v>
      </c>
      <c r="AB2381">
        <v>15</v>
      </c>
      <c r="AK2381">
        <v>2</v>
      </c>
      <c r="AO2381" t="s">
        <v>95</v>
      </c>
      <c r="AP2381" t="s">
        <v>95</v>
      </c>
      <c r="AR2381">
        <v>1</v>
      </c>
      <c r="AW2381" t="s">
        <v>95</v>
      </c>
      <c r="AX2381">
        <v>11</v>
      </c>
      <c r="AY2381">
        <v>425</v>
      </c>
      <c r="AZ2381">
        <v>425</v>
      </c>
      <c r="BA2381">
        <v>697</v>
      </c>
      <c r="BB2381">
        <v>44</v>
      </c>
      <c r="BC2381" t="s">
        <v>96</v>
      </c>
      <c r="BD2381">
        <v>1</v>
      </c>
      <c r="BF2381" t="s">
        <v>2567</v>
      </c>
      <c r="BG2381" s="1">
        <v>44354.052777777775</v>
      </c>
      <c r="BH2381" s="1">
        <v>44354.059363425928</v>
      </c>
      <c r="BI2381" s="1">
        <v>44354.05982638889</v>
      </c>
      <c r="BJ2381" t="s">
        <v>85</v>
      </c>
      <c r="BK2381" t="s">
        <v>86</v>
      </c>
      <c r="BL2381" t="s">
        <v>87</v>
      </c>
    </row>
    <row r="2382" spans="1:64" x14ac:dyDescent="0.3">
      <c r="A2382" t="str">
        <f>"201533E0100"</f>
        <v>201533E0100</v>
      </c>
      <c r="B2382" t="str">
        <f>"201533E01003"</f>
        <v>201533E01003</v>
      </c>
      <c r="C2382" t="str">
        <f t="shared" si="155"/>
        <v>20</v>
      </c>
      <c r="D2382" t="s">
        <v>81</v>
      </c>
      <c r="E2382" t="str">
        <f t="shared" si="153"/>
        <v>322</v>
      </c>
      <c r="F2382" t="s">
        <v>2511</v>
      </c>
      <c r="G2382" t="str">
        <f>"1533"</f>
        <v>1533</v>
      </c>
      <c r="H2382" t="str">
        <f>"0001"</f>
        <v>0001</v>
      </c>
      <c r="I2382" t="s">
        <v>122</v>
      </c>
      <c r="J2382">
        <v>0</v>
      </c>
      <c r="K2382">
        <v>1</v>
      </c>
      <c r="L2382">
        <v>3</v>
      </c>
      <c r="M2382">
        <v>229</v>
      </c>
      <c r="N2382">
        <v>296</v>
      </c>
      <c r="O2382">
        <v>3</v>
      </c>
      <c r="P2382">
        <v>296</v>
      </c>
      <c r="Q2382">
        <v>4</v>
      </c>
      <c r="R2382">
        <v>6</v>
      </c>
      <c r="S2382">
        <v>11</v>
      </c>
      <c r="T2382">
        <v>32</v>
      </c>
      <c r="U2382">
        <v>2</v>
      </c>
      <c r="V2382">
        <v>35</v>
      </c>
      <c r="W2382">
        <v>2</v>
      </c>
      <c r="X2382">
        <v>130</v>
      </c>
      <c r="Y2382">
        <v>59</v>
      </c>
      <c r="Z2382">
        <v>1</v>
      </c>
      <c r="AB2382">
        <v>5</v>
      </c>
      <c r="AK2382">
        <v>0</v>
      </c>
      <c r="AO2382">
        <v>0</v>
      </c>
      <c r="AP2382">
        <v>0</v>
      </c>
      <c r="AR2382">
        <v>0</v>
      </c>
      <c r="AW2382">
        <v>0</v>
      </c>
      <c r="AX2382">
        <v>0</v>
      </c>
      <c r="AY2382">
        <v>0</v>
      </c>
      <c r="AZ2382">
        <v>287</v>
      </c>
      <c r="BA2382">
        <v>481</v>
      </c>
      <c r="BB2382">
        <v>44</v>
      </c>
      <c r="BD2382">
        <v>1</v>
      </c>
      <c r="BF2382" t="s">
        <v>2568</v>
      </c>
      <c r="BG2382" s="1">
        <v>44354.052777777775</v>
      </c>
      <c r="BH2382" s="1">
        <v>44354.059745370374</v>
      </c>
      <c r="BI2382" s="1">
        <v>44354.059965277775</v>
      </c>
      <c r="BJ2382" t="s">
        <v>85</v>
      </c>
      <c r="BK2382" t="s">
        <v>86</v>
      </c>
      <c r="BL2382" t="s">
        <v>87</v>
      </c>
    </row>
    <row r="2383" spans="1:64" x14ac:dyDescent="0.3">
      <c r="A2383" t="str">
        <f>"201533E0101"</f>
        <v>201533E0101</v>
      </c>
      <c r="B2383" t="str">
        <f>"201533E01013"</f>
        <v>201533E01013</v>
      </c>
      <c r="C2383" t="str">
        <f t="shared" si="155"/>
        <v>20</v>
      </c>
      <c r="D2383" t="s">
        <v>81</v>
      </c>
      <c r="E2383" t="str">
        <f t="shared" si="153"/>
        <v>322</v>
      </c>
      <c r="F2383" t="s">
        <v>2511</v>
      </c>
      <c r="G2383" t="str">
        <f>"1533"</f>
        <v>1533</v>
      </c>
      <c r="H2383" t="str">
        <f>"0001"</f>
        <v>0001</v>
      </c>
      <c r="I2383" t="s">
        <v>122</v>
      </c>
      <c r="J2383">
        <v>1</v>
      </c>
      <c r="K2383">
        <v>1</v>
      </c>
      <c r="L2383">
        <v>3</v>
      </c>
      <c r="M2383">
        <v>255</v>
      </c>
      <c r="N2383">
        <v>269</v>
      </c>
      <c r="O2383">
        <v>5</v>
      </c>
      <c r="P2383">
        <v>269</v>
      </c>
      <c r="Q2383">
        <v>1</v>
      </c>
      <c r="R2383">
        <v>3</v>
      </c>
      <c r="S2383">
        <v>10</v>
      </c>
      <c r="T2383">
        <v>40</v>
      </c>
      <c r="U2383">
        <v>2</v>
      </c>
      <c r="V2383">
        <v>22</v>
      </c>
      <c r="W2383">
        <v>3</v>
      </c>
      <c r="X2383">
        <v>101</v>
      </c>
      <c r="Y2383">
        <v>73</v>
      </c>
      <c r="Z2383">
        <v>1</v>
      </c>
      <c r="AB2383">
        <v>6</v>
      </c>
      <c r="AK2383" t="s">
        <v>95</v>
      </c>
      <c r="AO2383" t="s">
        <v>95</v>
      </c>
      <c r="AP2383" t="s">
        <v>95</v>
      </c>
      <c r="AR2383">
        <v>1</v>
      </c>
      <c r="AW2383">
        <v>1</v>
      </c>
      <c r="AX2383">
        <v>5</v>
      </c>
      <c r="AY2383">
        <v>269</v>
      </c>
      <c r="AZ2383">
        <v>269</v>
      </c>
      <c r="BA2383">
        <v>480</v>
      </c>
      <c r="BB2383">
        <v>44</v>
      </c>
      <c r="BC2383" t="s">
        <v>96</v>
      </c>
      <c r="BD2383">
        <v>1</v>
      </c>
      <c r="BF2383" t="s">
        <v>2569</v>
      </c>
      <c r="BG2383" s="1">
        <v>44354.052083333336</v>
      </c>
      <c r="BH2383" s="1">
        <v>44354.071689814817</v>
      </c>
      <c r="BI2383" s="1">
        <v>44354.07236111111</v>
      </c>
      <c r="BJ2383" t="s">
        <v>85</v>
      </c>
      <c r="BK2383" t="s">
        <v>86</v>
      </c>
      <c r="BL2383" t="s">
        <v>87</v>
      </c>
    </row>
    <row r="2384" spans="1:64" x14ac:dyDescent="0.3">
      <c r="A2384" t="str">
        <f>"201534B0000"</f>
        <v>201534B0000</v>
      </c>
      <c r="B2384" t="str">
        <f>"201534B00003"</f>
        <v>201534B00003</v>
      </c>
      <c r="C2384" t="str">
        <f t="shared" si="155"/>
        <v>20</v>
      </c>
      <c r="D2384" t="s">
        <v>81</v>
      </c>
      <c r="E2384" t="str">
        <f t="shared" si="153"/>
        <v>322</v>
      </c>
      <c r="F2384" t="s">
        <v>2511</v>
      </c>
      <c r="G2384" t="str">
        <f>"1534"</f>
        <v>1534</v>
      </c>
      <c r="H2384" t="str">
        <f>"0000"</f>
        <v>0000</v>
      </c>
      <c r="I2384" t="s">
        <v>83</v>
      </c>
      <c r="J2384">
        <v>0</v>
      </c>
      <c r="K2384">
        <v>1</v>
      </c>
      <c r="L2384">
        <v>3</v>
      </c>
      <c r="M2384">
        <v>310</v>
      </c>
      <c r="N2384">
        <v>399</v>
      </c>
      <c r="O2384">
        <v>5</v>
      </c>
      <c r="P2384">
        <v>399</v>
      </c>
      <c r="Q2384">
        <v>6</v>
      </c>
      <c r="R2384">
        <v>20</v>
      </c>
      <c r="S2384">
        <v>29</v>
      </c>
      <c r="T2384">
        <v>47</v>
      </c>
      <c r="U2384">
        <v>2</v>
      </c>
      <c r="V2384">
        <v>16</v>
      </c>
      <c r="W2384">
        <v>8</v>
      </c>
      <c r="X2384">
        <v>161</v>
      </c>
      <c r="Y2384">
        <v>77</v>
      </c>
      <c r="Z2384">
        <v>6</v>
      </c>
      <c r="AB2384">
        <v>4</v>
      </c>
      <c r="AK2384">
        <v>2</v>
      </c>
      <c r="AO2384">
        <v>0</v>
      </c>
      <c r="AP2384">
        <v>1</v>
      </c>
      <c r="AR2384">
        <v>1</v>
      </c>
      <c r="AW2384">
        <v>0</v>
      </c>
      <c r="AX2384">
        <v>19</v>
      </c>
      <c r="AY2384">
        <v>399</v>
      </c>
      <c r="AZ2384">
        <v>399</v>
      </c>
      <c r="BA2384">
        <v>665</v>
      </c>
      <c r="BB2384">
        <v>44</v>
      </c>
      <c r="BD2384">
        <v>1</v>
      </c>
      <c r="BF2384" t="s">
        <v>2570</v>
      </c>
      <c r="BG2384" s="1">
        <v>44354.052083333336</v>
      </c>
      <c r="BH2384" s="1">
        <v>44354.070532407408</v>
      </c>
      <c r="BI2384" s="1">
        <v>44354.070821759262</v>
      </c>
      <c r="BJ2384" t="s">
        <v>85</v>
      </c>
      <c r="BK2384" t="s">
        <v>86</v>
      </c>
      <c r="BL2384" t="s">
        <v>87</v>
      </c>
    </row>
    <row r="2385" spans="1:64" x14ac:dyDescent="0.3">
      <c r="A2385" t="str">
        <f>"201534C0100"</f>
        <v>201534C0100</v>
      </c>
      <c r="B2385" t="str">
        <f>"201534C01003"</f>
        <v>201534C01003</v>
      </c>
      <c r="C2385" t="str">
        <f t="shared" si="155"/>
        <v>20</v>
      </c>
      <c r="D2385" t="s">
        <v>81</v>
      </c>
      <c r="E2385" t="str">
        <f t="shared" si="153"/>
        <v>322</v>
      </c>
      <c r="F2385" t="s">
        <v>2511</v>
      </c>
      <c r="G2385" t="str">
        <f>"1534"</f>
        <v>1534</v>
      </c>
      <c r="H2385" t="str">
        <f>"0001"</f>
        <v>0001</v>
      </c>
      <c r="I2385" t="s">
        <v>89</v>
      </c>
      <c r="J2385">
        <v>0</v>
      </c>
      <c r="K2385">
        <v>1</v>
      </c>
      <c r="L2385">
        <v>3</v>
      </c>
      <c r="M2385">
        <v>309</v>
      </c>
      <c r="N2385">
        <v>400</v>
      </c>
      <c r="O2385">
        <v>6</v>
      </c>
      <c r="P2385">
        <v>400</v>
      </c>
      <c r="Q2385">
        <v>2</v>
      </c>
      <c r="R2385">
        <v>21</v>
      </c>
      <c r="S2385">
        <v>32</v>
      </c>
      <c r="T2385">
        <v>61</v>
      </c>
      <c r="U2385">
        <v>7</v>
      </c>
      <c r="V2385">
        <v>25</v>
      </c>
      <c r="W2385">
        <v>4</v>
      </c>
      <c r="X2385">
        <v>133</v>
      </c>
      <c r="Y2385">
        <v>82</v>
      </c>
      <c r="Z2385">
        <v>6</v>
      </c>
      <c r="AB2385">
        <v>8</v>
      </c>
      <c r="AK2385">
        <v>3</v>
      </c>
      <c r="AO2385">
        <v>0</v>
      </c>
      <c r="AP2385">
        <v>0</v>
      </c>
      <c r="AR2385">
        <v>1</v>
      </c>
      <c r="AW2385">
        <v>0</v>
      </c>
      <c r="AX2385">
        <v>14</v>
      </c>
      <c r="AY2385">
        <v>400</v>
      </c>
      <c r="AZ2385">
        <v>399</v>
      </c>
      <c r="BA2385">
        <v>665</v>
      </c>
      <c r="BB2385">
        <v>44</v>
      </c>
      <c r="BD2385">
        <v>1</v>
      </c>
      <c r="BF2385" t="s">
        <v>2571</v>
      </c>
      <c r="BG2385" s="1">
        <v>44354.051388888889</v>
      </c>
      <c r="BH2385" s="1">
        <v>44354.059201388889</v>
      </c>
      <c r="BI2385" s="1">
        <v>44354.063518518517</v>
      </c>
      <c r="BJ2385" t="s">
        <v>85</v>
      </c>
      <c r="BK2385" t="s">
        <v>86</v>
      </c>
      <c r="BL2385" t="s">
        <v>87</v>
      </c>
    </row>
    <row r="2386" spans="1:64" x14ac:dyDescent="0.3">
      <c r="A2386" t="str">
        <f>"201534C0200"</f>
        <v>201534C0200</v>
      </c>
      <c r="B2386" t="str">
        <f>"201534C02003"</f>
        <v>201534C02003</v>
      </c>
      <c r="C2386" t="str">
        <f t="shared" si="155"/>
        <v>20</v>
      </c>
      <c r="D2386" t="s">
        <v>81</v>
      </c>
      <c r="E2386" t="str">
        <f t="shared" si="153"/>
        <v>322</v>
      </c>
      <c r="F2386" t="s">
        <v>2511</v>
      </c>
      <c r="G2386" t="str">
        <f>"1534"</f>
        <v>1534</v>
      </c>
      <c r="H2386" t="str">
        <f>"0002"</f>
        <v>0002</v>
      </c>
      <c r="I2386" t="s">
        <v>89</v>
      </c>
      <c r="J2386">
        <v>0</v>
      </c>
      <c r="K2386">
        <v>1</v>
      </c>
      <c r="L2386">
        <v>3</v>
      </c>
      <c r="M2386">
        <v>330</v>
      </c>
      <c r="N2386">
        <v>379</v>
      </c>
      <c r="O2386">
        <v>5</v>
      </c>
      <c r="P2386">
        <v>379</v>
      </c>
      <c r="Q2386">
        <v>4</v>
      </c>
      <c r="R2386">
        <v>18</v>
      </c>
      <c r="S2386">
        <v>27</v>
      </c>
      <c r="T2386">
        <v>46</v>
      </c>
      <c r="U2386">
        <v>3</v>
      </c>
      <c r="V2386">
        <v>20</v>
      </c>
      <c r="W2386">
        <v>6</v>
      </c>
      <c r="X2386">
        <v>154</v>
      </c>
      <c r="Y2386">
        <v>67</v>
      </c>
      <c r="Z2386">
        <v>4</v>
      </c>
      <c r="AB2386">
        <v>12</v>
      </c>
      <c r="AK2386">
        <v>2</v>
      </c>
      <c r="AO2386" t="s">
        <v>95</v>
      </c>
      <c r="AP2386" t="s">
        <v>95</v>
      </c>
      <c r="AR2386" t="s">
        <v>95</v>
      </c>
      <c r="AW2386" t="s">
        <v>95</v>
      </c>
      <c r="AX2386">
        <v>16</v>
      </c>
      <c r="AY2386">
        <v>379</v>
      </c>
      <c r="AZ2386">
        <v>379</v>
      </c>
      <c r="BA2386">
        <v>665</v>
      </c>
      <c r="BB2386">
        <v>44</v>
      </c>
      <c r="BC2386" t="s">
        <v>96</v>
      </c>
      <c r="BD2386">
        <v>1</v>
      </c>
      <c r="BF2386" t="s">
        <v>2572</v>
      </c>
      <c r="BG2386" s="1">
        <v>44354.05</v>
      </c>
      <c r="BH2386" s="1">
        <v>44354.056319444448</v>
      </c>
      <c r="BI2386" s="1">
        <v>44354.056886574072</v>
      </c>
      <c r="BJ2386" t="s">
        <v>85</v>
      </c>
      <c r="BK2386" t="s">
        <v>86</v>
      </c>
      <c r="BL2386" t="s">
        <v>87</v>
      </c>
    </row>
    <row r="2387" spans="1:64" x14ac:dyDescent="0.3">
      <c r="A2387" t="str">
        <f>"201544B0000"</f>
        <v>201544B0000</v>
      </c>
      <c r="B2387" t="str">
        <f>"201544B00003"</f>
        <v>201544B00003</v>
      </c>
      <c r="C2387" t="str">
        <f t="shared" si="155"/>
        <v>20</v>
      </c>
      <c r="D2387" t="s">
        <v>81</v>
      </c>
      <c r="E2387" t="str">
        <f t="shared" ref="E2387:E2407" si="156">"325"</f>
        <v>325</v>
      </c>
      <c r="F2387" t="s">
        <v>2573</v>
      </c>
      <c r="G2387" t="str">
        <f>"1544"</f>
        <v>1544</v>
      </c>
      <c r="H2387" t="str">
        <f>"0000"</f>
        <v>0000</v>
      </c>
      <c r="I2387" t="s">
        <v>83</v>
      </c>
      <c r="J2387">
        <v>0</v>
      </c>
      <c r="K2387">
        <v>1</v>
      </c>
      <c r="L2387">
        <v>3</v>
      </c>
      <c r="M2387">
        <v>303</v>
      </c>
      <c r="N2387">
        <v>396</v>
      </c>
      <c r="O2387">
        <v>1</v>
      </c>
      <c r="P2387">
        <v>396</v>
      </c>
      <c r="Q2387">
        <v>143</v>
      </c>
      <c r="R2387">
        <v>2</v>
      </c>
      <c r="S2387">
        <v>2</v>
      </c>
      <c r="U2387">
        <v>1</v>
      </c>
      <c r="X2387">
        <v>237</v>
      </c>
      <c r="Z2387">
        <v>3</v>
      </c>
      <c r="AA2387">
        <v>2</v>
      </c>
      <c r="AW2387">
        <v>0</v>
      </c>
      <c r="AX2387">
        <v>6</v>
      </c>
      <c r="AY2387">
        <v>396</v>
      </c>
      <c r="AZ2387">
        <v>396</v>
      </c>
      <c r="BA2387">
        <v>655</v>
      </c>
      <c r="BB2387">
        <v>44</v>
      </c>
      <c r="BD2387">
        <v>1</v>
      </c>
      <c r="BF2387" t="s">
        <v>2574</v>
      </c>
      <c r="BG2387" s="1">
        <v>44354.305555555555</v>
      </c>
      <c r="BH2387" s="1">
        <v>44354.309699074074</v>
      </c>
      <c r="BI2387" s="1">
        <v>44354.310115740744</v>
      </c>
      <c r="BJ2387" t="s">
        <v>85</v>
      </c>
      <c r="BK2387" t="s">
        <v>86</v>
      </c>
      <c r="BL2387" t="s">
        <v>87</v>
      </c>
    </row>
    <row r="2388" spans="1:64" x14ac:dyDescent="0.3">
      <c r="A2388" t="str">
        <f>"201544C0100"</f>
        <v>201544C0100</v>
      </c>
      <c r="B2388" t="str">
        <f>"201544C01003"</f>
        <v>201544C01003</v>
      </c>
      <c r="C2388" t="str">
        <f t="shared" si="155"/>
        <v>20</v>
      </c>
      <c r="D2388" t="s">
        <v>81</v>
      </c>
      <c r="E2388" t="str">
        <f t="shared" si="156"/>
        <v>325</v>
      </c>
      <c r="F2388" t="s">
        <v>2573</v>
      </c>
      <c r="G2388" t="str">
        <f>"1544"</f>
        <v>1544</v>
      </c>
      <c r="H2388" t="str">
        <f>"0001"</f>
        <v>0001</v>
      </c>
      <c r="I2388" t="s">
        <v>89</v>
      </c>
      <c r="J2388">
        <v>0</v>
      </c>
      <c r="K2388">
        <v>1</v>
      </c>
      <c r="L2388">
        <v>3</v>
      </c>
      <c r="M2388">
        <v>302</v>
      </c>
      <c r="N2388">
        <v>395</v>
      </c>
      <c r="O2388">
        <v>0</v>
      </c>
      <c r="P2388">
        <v>395</v>
      </c>
      <c r="Q2388">
        <v>141</v>
      </c>
      <c r="R2388">
        <v>2</v>
      </c>
      <c r="S2388">
        <v>2</v>
      </c>
      <c r="U2388">
        <v>1</v>
      </c>
      <c r="X2388">
        <v>235</v>
      </c>
      <c r="Z2388">
        <v>1</v>
      </c>
      <c r="AA2388">
        <v>6</v>
      </c>
      <c r="AW2388">
        <v>0</v>
      </c>
      <c r="AX2388">
        <v>6</v>
      </c>
      <c r="AY2388">
        <v>395</v>
      </c>
      <c r="AZ2388">
        <v>394</v>
      </c>
      <c r="BA2388">
        <v>654</v>
      </c>
      <c r="BB2388">
        <v>44</v>
      </c>
      <c r="BD2388">
        <v>1</v>
      </c>
      <c r="BF2388" t="s">
        <v>2575</v>
      </c>
      <c r="BG2388" s="1">
        <v>44354.317361111112</v>
      </c>
      <c r="BH2388" s="1">
        <v>44354.320416666669</v>
      </c>
      <c r="BI2388" s="1">
        <v>44354.320590277777</v>
      </c>
      <c r="BJ2388" t="s">
        <v>85</v>
      </c>
      <c r="BK2388" t="s">
        <v>86</v>
      </c>
      <c r="BL2388" t="s">
        <v>87</v>
      </c>
    </row>
    <row r="2389" spans="1:64" x14ac:dyDescent="0.3">
      <c r="A2389" t="str">
        <f>"201545B0000"</f>
        <v>201545B0000</v>
      </c>
      <c r="B2389" t="str">
        <f>"201545B00003"</f>
        <v>201545B00003</v>
      </c>
      <c r="C2389" t="str">
        <f t="shared" si="155"/>
        <v>20</v>
      </c>
      <c r="D2389" t="s">
        <v>81</v>
      </c>
      <c r="E2389" t="str">
        <f t="shared" si="156"/>
        <v>325</v>
      </c>
      <c r="F2389" t="s">
        <v>2573</v>
      </c>
      <c r="G2389" t="str">
        <f>"1545"</f>
        <v>1545</v>
      </c>
      <c r="H2389" t="str">
        <f>"0000"</f>
        <v>0000</v>
      </c>
      <c r="I2389" t="s">
        <v>83</v>
      </c>
      <c r="J2389">
        <v>0</v>
      </c>
      <c r="K2389">
        <v>1</v>
      </c>
      <c r="L2389">
        <v>3</v>
      </c>
      <c r="M2389">
        <v>237</v>
      </c>
      <c r="N2389">
        <v>317</v>
      </c>
      <c r="O2389">
        <v>2</v>
      </c>
      <c r="P2389">
        <v>317</v>
      </c>
      <c r="Q2389">
        <v>115</v>
      </c>
      <c r="R2389">
        <v>0</v>
      </c>
      <c r="S2389">
        <v>0</v>
      </c>
      <c r="U2389">
        <v>0</v>
      </c>
      <c r="X2389">
        <v>197</v>
      </c>
      <c r="Z2389">
        <v>0</v>
      </c>
      <c r="AA2389">
        <v>1</v>
      </c>
      <c r="AW2389">
        <v>0</v>
      </c>
      <c r="AX2389">
        <v>4</v>
      </c>
      <c r="AY2389">
        <v>317</v>
      </c>
      <c r="AZ2389">
        <v>317</v>
      </c>
      <c r="BA2389">
        <v>510</v>
      </c>
      <c r="BB2389">
        <v>44</v>
      </c>
      <c r="BD2389">
        <v>1</v>
      </c>
      <c r="BF2389" t="s">
        <v>2576</v>
      </c>
      <c r="BG2389" s="1">
        <v>44354.304861111108</v>
      </c>
      <c r="BH2389" s="1">
        <v>44354.308842592596</v>
      </c>
      <c r="BI2389" s="1">
        <v>44354.309548611112</v>
      </c>
      <c r="BJ2389" t="s">
        <v>85</v>
      </c>
      <c r="BK2389" t="s">
        <v>86</v>
      </c>
      <c r="BL2389" t="s">
        <v>87</v>
      </c>
    </row>
    <row r="2390" spans="1:64" x14ac:dyDescent="0.3">
      <c r="A2390" t="str">
        <f>"201545C0100"</f>
        <v>201545C0100</v>
      </c>
      <c r="B2390" t="str">
        <f>"201545C01003"</f>
        <v>201545C01003</v>
      </c>
      <c r="C2390" t="str">
        <f t="shared" si="155"/>
        <v>20</v>
      </c>
      <c r="D2390" t="s">
        <v>81</v>
      </c>
      <c r="E2390" t="str">
        <f t="shared" si="156"/>
        <v>325</v>
      </c>
      <c r="F2390" t="s">
        <v>2573</v>
      </c>
      <c r="G2390" t="str">
        <f>"1545"</f>
        <v>1545</v>
      </c>
      <c r="H2390" t="str">
        <f>"0001"</f>
        <v>0001</v>
      </c>
      <c r="I2390" t="s">
        <v>89</v>
      </c>
      <c r="J2390">
        <v>0</v>
      </c>
      <c r="K2390">
        <v>1</v>
      </c>
      <c r="L2390">
        <v>3</v>
      </c>
      <c r="M2390">
        <v>264</v>
      </c>
      <c r="N2390">
        <v>289</v>
      </c>
      <c r="O2390">
        <v>2</v>
      </c>
      <c r="P2390">
        <v>289</v>
      </c>
      <c r="Q2390">
        <v>96</v>
      </c>
      <c r="R2390">
        <v>1</v>
      </c>
      <c r="S2390">
        <v>0</v>
      </c>
      <c r="U2390">
        <v>0</v>
      </c>
      <c r="X2390">
        <v>182</v>
      </c>
      <c r="Z2390">
        <v>3</v>
      </c>
      <c r="AA2390">
        <v>1</v>
      </c>
      <c r="AW2390">
        <v>0</v>
      </c>
      <c r="AX2390">
        <v>6</v>
      </c>
      <c r="AY2390">
        <v>289</v>
      </c>
      <c r="AZ2390">
        <v>289</v>
      </c>
      <c r="BA2390">
        <v>509</v>
      </c>
      <c r="BB2390">
        <v>44</v>
      </c>
      <c r="BD2390">
        <v>1</v>
      </c>
      <c r="BF2390" t="s">
        <v>2577</v>
      </c>
      <c r="BG2390" s="1">
        <v>44354.305555555555</v>
      </c>
      <c r="BH2390" s="1">
        <v>44354.309467592589</v>
      </c>
      <c r="BI2390" s="1">
        <v>44354.30972222222</v>
      </c>
      <c r="BJ2390" t="s">
        <v>85</v>
      </c>
      <c r="BK2390" t="s">
        <v>86</v>
      </c>
      <c r="BL2390" t="s">
        <v>87</v>
      </c>
    </row>
    <row r="2391" spans="1:64" x14ac:dyDescent="0.3">
      <c r="A2391" t="str">
        <f>"201545C0200"</f>
        <v>201545C0200</v>
      </c>
      <c r="B2391" t="str">
        <f>"201545C02003"</f>
        <v>201545C02003</v>
      </c>
      <c r="C2391" t="str">
        <f t="shared" si="155"/>
        <v>20</v>
      </c>
      <c r="D2391" t="s">
        <v>81</v>
      </c>
      <c r="E2391" t="str">
        <f t="shared" si="156"/>
        <v>325</v>
      </c>
      <c r="F2391" t="s">
        <v>2573</v>
      </c>
      <c r="G2391" t="str">
        <f>"1545"</f>
        <v>1545</v>
      </c>
      <c r="H2391" t="str">
        <f>"0002"</f>
        <v>0002</v>
      </c>
      <c r="I2391" t="s">
        <v>89</v>
      </c>
      <c r="J2391">
        <v>0</v>
      </c>
      <c r="K2391">
        <v>1</v>
      </c>
      <c r="L2391">
        <v>3</v>
      </c>
      <c r="M2391">
        <v>247</v>
      </c>
      <c r="N2391">
        <v>305</v>
      </c>
      <c r="O2391">
        <v>1</v>
      </c>
      <c r="P2391">
        <v>305</v>
      </c>
      <c r="Q2391">
        <v>98</v>
      </c>
      <c r="R2391">
        <v>2</v>
      </c>
      <c r="S2391">
        <v>1</v>
      </c>
      <c r="U2391">
        <v>1</v>
      </c>
      <c r="X2391">
        <v>192</v>
      </c>
      <c r="Z2391">
        <v>1</v>
      </c>
      <c r="AA2391">
        <v>4</v>
      </c>
      <c r="AW2391">
        <v>0</v>
      </c>
      <c r="AX2391">
        <v>6</v>
      </c>
      <c r="AY2391">
        <v>305</v>
      </c>
      <c r="AZ2391">
        <v>305</v>
      </c>
      <c r="BA2391">
        <v>509</v>
      </c>
      <c r="BB2391">
        <v>44</v>
      </c>
      <c r="BD2391">
        <v>1</v>
      </c>
      <c r="BF2391" t="s">
        <v>2578</v>
      </c>
      <c r="BG2391" s="1">
        <v>44354.304861111108</v>
      </c>
      <c r="BH2391" s="1">
        <v>44354.30914351852</v>
      </c>
      <c r="BI2391" s="1">
        <v>44354.309814814813</v>
      </c>
      <c r="BJ2391" t="s">
        <v>85</v>
      </c>
      <c r="BK2391" t="s">
        <v>86</v>
      </c>
      <c r="BL2391" t="s">
        <v>87</v>
      </c>
    </row>
    <row r="2392" spans="1:64" x14ac:dyDescent="0.3">
      <c r="A2392" t="str">
        <f>"201546B0000"</f>
        <v>201546B0000</v>
      </c>
      <c r="B2392" t="str">
        <f>"201546B00003"</f>
        <v>201546B00003</v>
      </c>
      <c r="C2392" t="str">
        <f t="shared" si="155"/>
        <v>20</v>
      </c>
      <c r="D2392" t="s">
        <v>81</v>
      </c>
      <c r="E2392" t="str">
        <f t="shared" si="156"/>
        <v>325</v>
      </c>
      <c r="F2392" t="s">
        <v>2573</v>
      </c>
      <c r="G2392" t="str">
        <f>"1546"</f>
        <v>1546</v>
      </c>
      <c r="H2392" t="str">
        <f>"0000"</f>
        <v>0000</v>
      </c>
      <c r="I2392" t="s">
        <v>83</v>
      </c>
      <c r="J2392">
        <v>0</v>
      </c>
      <c r="K2392">
        <v>1</v>
      </c>
      <c r="L2392">
        <v>3</v>
      </c>
      <c r="M2392">
        <v>218</v>
      </c>
      <c r="N2392">
        <v>335</v>
      </c>
      <c r="O2392">
        <v>3</v>
      </c>
      <c r="P2392">
        <v>335</v>
      </c>
      <c r="Q2392">
        <v>127</v>
      </c>
      <c r="R2392">
        <v>1</v>
      </c>
      <c r="S2392">
        <v>1</v>
      </c>
      <c r="U2392">
        <v>3</v>
      </c>
      <c r="X2392">
        <v>192</v>
      </c>
      <c r="Z2392">
        <v>2</v>
      </c>
      <c r="AA2392">
        <v>2</v>
      </c>
      <c r="AW2392">
        <v>0</v>
      </c>
      <c r="AX2392">
        <v>7</v>
      </c>
      <c r="AY2392">
        <v>335</v>
      </c>
      <c r="AZ2392">
        <v>335</v>
      </c>
      <c r="BA2392">
        <v>509</v>
      </c>
      <c r="BB2392">
        <v>44</v>
      </c>
      <c r="BD2392">
        <v>1</v>
      </c>
      <c r="BF2392" t="s">
        <v>2579</v>
      </c>
      <c r="BG2392" s="1">
        <v>44354.304166666669</v>
      </c>
      <c r="BH2392" s="1">
        <v>44354.307997685188</v>
      </c>
      <c r="BI2392" s="1">
        <v>44354.30846064815</v>
      </c>
      <c r="BJ2392" t="s">
        <v>85</v>
      </c>
      <c r="BK2392" t="s">
        <v>86</v>
      </c>
      <c r="BL2392" t="s">
        <v>87</v>
      </c>
    </row>
    <row r="2393" spans="1:64" x14ac:dyDescent="0.3">
      <c r="A2393" t="str">
        <f>"201546C0100"</f>
        <v>201546C0100</v>
      </c>
      <c r="B2393" t="str">
        <f>"201546C01003"</f>
        <v>201546C01003</v>
      </c>
      <c r="C2393" t="str">
        <f t="shared" si="155"/>
        <v>20</v>
      </c>
      <c r="D2393" t="s">
        <v>81</v>
      </c>
      <c r="E2393" t="str">
        <f t="shared" si="156"/>
        <v>325</v>
      </c>
      <c r="F2393" t="s">
        <v>2573</v>
      </c>
      <c r="G2393" t="str">
        <f>"1546"</f>
        <v>1546</v>
      </c>
      <c r="H2393" t="str">
        <f>"0001"</f>
        <v>0001</v>
      </c>
      <c r="I2393" t="s">
        <v>89</v>
      </c>
      <c r="J2393">
        <v>0</v>
      </c>
      <c r="K2393">
        <v>1</v>
      </c>
      <c r="L2393">
        <v>3</v>
      </c>
      <c r="M2393">
        <v>223</v>
      </c>
      <c r="N2393">
        <v>330</v>
      </c>
      <c r="O2393" t="s">
        <v>92</v>
      </c>
      <c r="P2393">
        <v>330</v>
      </c>
      <c r="Q2393">
        <v>141</v>
      </c>
      <c r="R2393">
        <v>4</v>
      </c>
      <c r="S2393">
        <v>0</v>
      </c>
      <c r="U2393">
        <v>2</v>
      </c>
      <c r="X2393">
        <v>175</v>
      </c>
      <c r="Z2393">
        <v>2</v>
      </c>
      <c r="AA2393">
        <v>2</v>
      </c>
      <c r="AW2393">
        <v>0</v>
      </c>
      <c r="AX2393">
        <v>4</v>
      </c>
      <c r="AY2393">
        <v>330</v>
      </c>
      <c r="AZ2393">
        <v>330</v>
      </c>
      <c r="BA2393">
        <v>509</v>
      </c>
      <c r="BB2393">
        <v>44</v>
      </c>
      <c r="BD2393">
        <v>1</v>
      </c>
      <c r="BF2393" s="2" t="s">
        <v>2580</v>
      </c>
      <c r="BG2393" s="1">
        <v>44354.318055555559</v>
      </c>
      <c r="BH2393" s="1">
        <v>44354.320115740738</v>
      </c>
      <c r="BI2393" s="1">
        <v>44354.320509259262</v>
      </c>
      <c r="BJ2393" t="s">
        <v>85</v>
      </c>
      <c r="BK2393" t="s">
        <v>86</v>
      </c>
      <c r="BL2393" t="s">
        <v>87</v>
      </c>
    </row>
    <row r="2394" spans="1:64" x14ac:dyDescent="0.3">
      <c r="A2394" t="str">
        <f>"201547B0000"</f>
        <v>201547B0000</v>
      </c>
      <c r="B2394" t="str">
        <f>"201547B00003"</f>
        <v>201547B00003</v>
      </c>
      <c r="C2394" t="str">
        <f t="shared" si="155"/>
        <v>20</v>
      </c>
      <c r="D2394" t="s">
        <v>81</v>
      </c>
      <c r="E2394" t="str">
        <f t="shared" si="156"/>
        <v>325</v>
      </c>
      <c r="F2394" t="s">
        <v>2573</v>
      </c>
      <c r="G2394" t="str">
        <f>"1547"</f>
        <v>1547</v>
      </c>
      <c r="H2394" t="str">
        <f>"0000"</f>
        <v>0000</v>
      </c>
      <c r="I2394" t="s">
        <v>83</v>
      </c>
      <c r="J2394">
        <v>0</v>
      </c>
      <c r="K2394">
        <v>1</v>
      </c>
      <c r="L2394">
        <v>3</v>
      </c>
      <c r="M2394">
        <v>225</v>
      </c>
      <c r="N2394">
        <v>303</v>
      </c>
      <c r="O2394">
        <v>1</v>
      </c>
      <c r="P2394">
        <v>303</v>
      </c>
      <c r="Q2394">
        <v>94</v>
      </c>
      <c r="R2394">
        <v>2</v>
      </c>
      <c r="S2394">
        <v>1</v>
      </c>
      <c r="U2394">
        <v>0</v>
      </c>
      <c r="X2394">
        <v>191</v>
      </c>
      <c r="Z2394">
        <v>3</v>
      </c>
      <c r="AA2394">
        <v>4</v>
      </c>
      <c r="AW2394">
        <v>0</v>
      </c>
      <c r="AX2394">
        <v>8</v>
      </c>
      <c r="AY2394">
        <v>303</v>
      </c>
      <c r="AZ2394">
        <v>303</v>
      </c>
      <c r="BA2394">
        <v>484</v>
      </c>
      <c r="BB2394">
        <v>44</v>
      </c>
      <c r="BD2394">
        <v>1</v>
      </c>
      <c r="BF2394" t="s">
        <v>2581</v>
      </c>
      <c r="BG2394" s="1">
        <v>44354.305555555555</v>
      </c>
      <c r="BH2394" s="1">
        <v>44354.309259259258</v>
      </c>
      <c r="BI2394" s="1">
        <v>44354.309618055559</v>
      </c>
      <c r="BJ2394" t="s">
        <v>85</v>
      </c>
      <c r="BK2394" t="s">
        <v>86</v>
      </c>
      <c r="BL2394" t="s">
        <v>87</v>
      </c>
    </row>
    <row r="2395" spans="1:64" x14ac:dyDescent="0.3">
      <c r="A2395" t="str">
        <f>"201547C0100"</f>
        <v>201547C0100</v>
      </c>
      <c r="B2395" t="str">
        <f>"201547C01003"</f>
        <v>201547C01003</v>
      </c>
      <c r="C2395" t="str">
        <f t="shared" si="155"/>
        <v>20</v>
      </c>
      <c r="D2395" t="s">
        <v>81</v>
      </c>
      <c r="E2395" t="str">
        <f t="shared" si="156"/>
        <v>325</v>
      </c>
      <c r="F2395" t="s">
        <v>2573</v>
      </c>
      <c r="G2395" t="str">
        <f>"1547"</f>
        <v>1547</v>
      </c>
      <c r="H2395" t="str">
        <f>"0001"</f>
        <v>0001</v>
      </c>
      <c r="I2395" t="s">
        <v>89</v>
      </c>
      <c r="J2395">
        <v>0</v>
      </c>
      <c r="K2395">
        <v>1</v>
      </c>
      <c r="L2395">
        <v>3</v>
      </c>
      <c r="M2395">
        <v>237</v>
      </c>
      <c r="N2395">
        <v>291</v>
      </c>
      <c r="O2395">
        <v>3</v>
      </c>
      <c r="P2395">
        <v>291</v>
      </c>
      <c r="Q2395">
        <v>105</v>
      </c>
      <c r="R2395">
        <v>2</v>
      </c>
      <c r="S2395">
        <v>0</v>
      </c>
      <c r="U2395">
        <v>4</v>
      </c>
      <c r="X2395">
        <v>169</v>
      </c>
      <c r="Z2395">
        <v>2</v>
      </c>
      <c r="AA2395">
        <v>3</v>
      </c>
      <c r="AW2395">
        <v>1</v>
      </c>
      <c r="AX2395">
        <v>5</v>
      </c>
      <c r="AY2395">
        <v>291</v>
      </c>
      <c r="AZ2395">
        <v>291</v>
      </c>
      <c r="BA2395">
        <v>484</v>
      </c>
      <c r="BB2395">
        <v>44</v>
      </c>
      <c r="BD2395">
        <v>1</v>
      </c>
      <c r="BF2395" t="s">
        <v>2582</v>
      </c>
      <c r="BG2395" s="1">
        <v>44353.877685185187</v>
      </c>
      <c r="BH2395" s="1">
        <v>44353.878912037035</v>
      </c>
      <c r="BI2395" s="1">
        <v>44353.879224537035</v>
      </c>
      <c r="BJ2395" t="s">
        <v>197</v>
      </c>
      <c r="BK2395" t="s">
        <v>198</v>
      </c>
      <c r="BL2395" t="s">
        <v>87</v>
      </c>
    </row>
    <row r="2396" spans="1:64" x14ac:dyDescent="0.3">
      <c r="A2396" t="str">
        <f>"201548B0000"</f>
        <v>201548B0000</v>
      </c>
      <c r="B2396" t="str">
        <f>"201548B00003"</f>
        <v>201548B00003</v>
      </c>
      <c r="C2396" t="str">
        <f t="shared" si="155"/>
        <v>20</v>
      </c>
      <c r="D2396" t="s">
        <v>81</v>
      </c>
      <c r="E2396" t="str">
        <f t="shared" si="156"/>
        <v>325</v>
      </c>
      <c r="F2396" t="s">
        <v>2573</v>
      </c>
      <c r="G2396" t="str">
        <f>"1548"</f>
        <v>1548</v>
      </c>
      <c r="H2396" t="str">
        <f>"0000"</f>
        <v>0000</v>
      </c>
      <c r="I2396" t="s">
        <v>83</v>
      </c>
      <c r="J2396">
        <v>0</v>
      </c>
      <c r="K2396">
        <v>1</v>
      </c>
      <c r="L2396">
        <v>3</v>
      </c>
      <c r="M2396">
        <v>336</v>
      </c>
      <c r="N2396">
        <v>386</v>
      </c>
      <c r="O2396">
        <v>0</v>
      </c>
      <c r="P2396">
        <v>386</v>
      </c>
      <c r="Q2396">
        <v>126</v>
      </c>
      <c r="R2396">
        <v>5</v>
      </c>
      <c r="S2396">
        <v>2</v>
      </c>
      <c r="U2396">
        <v>4</v>
      </c>
      <c r="X2396">
        <v>231</v>
      </c>
      <c r="Z2396">
        <v>3</v>
      </c>
      <c r="AA2396">
        <v>4</v>
      </c>
      <c r="AW2396">
        <v>0</v>
      </c>
      <c r="AX2396">
        <v>11</v>
      </c>
      <c r="AY2396">
        <v>386</v>
      </c>
      <c r="AZ2396">
        <v>386</v>
      </c>
      <c r="BA2396">
        <v>678</v>
      </c>
      <c r="BB2396">
        <v>44</v>
      </c>
      <c r="BD2396">
        <v>1</v>
      </c>
      <c r="BF2396" t="s">
        <v>2583</v>
      </c>
      <c r="BG2396" s="1">
        <v>44354.305555555555</v>
      </c>
      <c r="BH2396" s="1">
        <v>44354.309374999997</v>
      </c>
      <c r="BI2396" s="1">
        <v>44354.309791666667</v>
      </c>
      <c r="BJ2396" t="s">
        <v>85</v>
      </c>
      <c r="BK2396" t="s">
        <v>86</v>
      </c>
      <c r="BL2396" t="s">
        <v>87</v>
      </c>
    </row>
    <row r="2397" spans="1:64" x14ac:dyDescent="0.3">
      <c r="A2397" t="str">
        <f>"201548C0100"</f>
        <v>201548C0100</v>
      </c>
      <c r="B2397" t="str">
        <f>"201548C01003"</f>
        <v>201548C01003</v>
      </c>
      <c r="C2397" t="str">
        <f t="shared" si="155"/>
        <v>20</v>
      </c>
      <c r="D2397" t="s">
        <v>81</v>
      </c>
      <c r="E2397" t="str">
        <f t="shared" si="156"/>
        <v>325</v>
      </c>
      <c r="F2397" t="s">
        <v>2573</v>
      </c>
      <c r="G2397" t="str">
        <f>"1548"</f>
        <v>1548</v>
      </c>
      <c r="H2397" t="str">
        <f>"0001"</f>
        <v>0001</v>
      </c>
      <c r="I2397" t="s">
        <v>89</v>
      </c>
      <c r="J2397">
        <v>0</v>
      </c>
      <c r="K2397">
        <v>1</v>
      </c>
      <c r="L2397">
        <v>3</v>
      </c>
      <c r="M2397">
        <v>338</v>
      </c>
      <c r="N2397">
        <v>383</v>
      </c>
      <c r="O2397">
        <v>0</v>
      </c>
      <c r="P2397">
        <v>383</v>
      </c>
      <c r="Q2397">
        <v>122</v>
      </c>
      <c r="R2397">
        <v>3</v>
      </c>
      <c r="S2397">
        <v>2</v>
      </c>
      <c r="U2397">
        <v>1</v>
      </c>
      <c r="X2397">
        <v>244</v>
      </c>
      <c r="Z2397">
        <v>1</v>
      </c>
      <c r="AA2397">
        <v>3</v>
      </c>
      <c r="AW2397">
        <v>0</v>
      </c>
      <c r="AX2397">
        <v>7</v>
      </c>
      <c r="AY2397">
        <v>383</v>
      </c>
      <c r="AZ2397">
        <v>383</v>
      </c>
      <c r="BA2397">
        <v>677</v>
      </c>
      <c r="BB2397">
        <v>44</v>
      </c>
      <c r="BD2397">
        <v>1</v>
      </c>
      <c r="BF2397" t="s">
        <v>2584</v>
      </c>
      <c r="BG2397" s="1">
        <v>44354.316666666666</v>
      </c>
      <c r="BH2397" s="1">
        <v>44354.32104166667</v>
      </c>
      <c r="BI2397" s="1">
        <v>44354.321666666663</v>
      </c>
      <c r="BJ2397" t="s">
        <v>85</v>
      </c>
      <c r="BK2397" t="s">
        <v>86</v>
      </c>
      <c r="BL2397" t="s">
        <v>87</v>
      </c>
    </row>
    <row r="2398" spans="1:64" x14ac:dyDescent="0.3">
      <c r="A2398" t="str">
        <f>"201549B0000"</f>
        <v>201549B0000</v>
      </c>
      <c r="B2398" t="str">
        <f>"201549B00003"</f>
        <v>201549B00003</v>
      </c>
      <c r="C2398" t="str">
        <f t="shared" si="155"/>
        <v>20</v>
      </c>
      <c r="D2398" t="s">
        <v>81</v>
      </c>
      <c r="E2398" t="str">
        <f t="shared" si="156"/>
        <v>325</v>
      </c>
      <c r="F2398" t="s">
        <v>2573</v>
      </c>
      <c r="G2398" t="str">
        <f>"1549"</f>
        <v>1549</v>
      </c>
      <c r="H2398" t="str">
        <f>"0000"</f>
        <v>0000</v>
      </c>
      <c r="I2398" t="s">
        <v>83</v>
      </c>
      <c r="J2398">
        <v>0</v>
      </c>
      <c r="K2398">
        <v>1</v>
      </c>
      <c r="L2398">
        <v>3</v>
      </c>
      <c r="M2398" t="s">
        <v>131</v>
      </c>
      <c r="N2398">
        <v>347</v>
      </c>
      <c r="O2398">
        <v>1</v>
      </c>
      <c r="P2398">
        <v>347</v>
      </c>
      <c r="Q2398">
        <v>56</v>
      </c>
      <c r="R2398">
        <v>7</v>
      </c>
      <c r="S2398">
        <v>2</v>
      </c>
      <c r="U2398">
        <v>0</v>
      </c>
      <c r="X2398">
        <v>260</v>
      </c>
      <c r="Z2398">
        <v>2</v>
      </c>
      <c r="AA2398">
        <v>5</v>
      </c>
      <c r="AW2398">
        <v>0</v>
      </c>
      <c r="AX2398">
        <v>15</v>
      </c>
      <c r="AY2398">
        <v>347</v>
      </c>
      <c r="AZ2398">
        <v>347</v>
      </c>
      <c r="BA2398">
        <v>510</v>
      </c>
      <c r="BB2398">
        <v>44</v>
      </c>
      <c r="BD2398">
        <v>1</v>
      </c>
      <c r="BF2398" t="s">
        <v>2585</v>
      </c>
      <c r="BG2398" s="1">
        <v>44354.304166666669</v>
      </c>
      <c r="BH2398" s="1">
        <v>44354.308078703703</v>
      </c>
      <c r="BI2398" s="1">
        <v>44354.308425925927</v>
      </c>
      <c r="BJ2398" t="s">
        <v>85</v>
      </c>
      <c r="BK2398" t="s">
        <v>86</v>
      </c>
      <c r="BL2398" t="s">
        <v>87</v>
      </c>
    </row>
    <row r="2399" spans="1:64" x14ac:dyDescent="0.3">
      <c r="A2399" t="str">
        <f>"201549C0100"</f>
        <v>201549C0100</v>
      </c>
      <c r="B2399" t="str">
        <f>"201549C01003"</f>
        <v>201549C01003</v>
      </c>
      <c r="C2399" t="str">
        <f t="shared" si="155"/>
        <v>20</v>
      </c>
      <c r="D2399" t="s">
        <v>81</v>
      </c>
      <c r="E2399" t="str">
        <f t="shared" si="156"/>
        <v>325</v>
      </c>
      <c r="F2399" t="s">
        <v>2573</v>
      </c>
      <c r="G2399" t="str">
        <f>"1549"</f>
        <v>1549</v>
      </c>
      <c r="H2399" t="str">
        <f>"0001"</f>
        <v>0001</v>
      </c>
      <c r="I2399" t="s">
        <v>89</v>
      </c>
      <c r="J2399">
        <v>0</v>
      </c>
      <c r="K2399">
        <v>1</v>
      </c>
      <c r="L2399">
        <v>3</v>
      </c>
      <c r="M2399">
        <v>221</v>
      </c>
      <c r="N2399">
        <v>333</v>
      </c>
      <c r="O2399">
        <v>2</v>
      </c>
      <c r="P2399" t="s">
        <v>92</v>
      </c>
      <c r="Q2399">
        <v>55</v>
      </c>
      <c r="R2399">
        <v>8</v>
      </c>
      <c r="S2399">
        <v>0</v>
      </c>
      <c r="U2399">
        <v>4</v>
      </c>
      <c r="X2399">
        <v>247</v>
      </c>
      <c r="Z2399">
        <v>1</v>
      </c>
      <c r="AA2399">
        <v>2</v>
      </c>
      <c r="AW2399">
        <v>0</v>
      </c>
      <c r="AX2399">
        <v>16</v>
      </c>
      <c r="AY2399">
        <v>333</v>
      </c>
      <c r="AZ2399">
        <v>333</v>
      </c>
      <c r="BA2399">
        <v>510</v>
      </c>
      <c r="BB2399">
        <v>44</v>
      </c>
      <c r="BD2399">
        <v>1</v>
      </c>
      <c r="BF2399" t="s">
        <v>2586</v>
      </c>
      <c r="BG2399" s="1">
        <v>44354.316666666666</v>
      </c>
      <c r="BH2399" s="1">
        <v>44354.321111111109</v>
      </c>
      <c r="BI2399" s="1">
        <v>44354.321412037039</v>
      </c>
      <c r="BJ2399" t="s">
        <v>85</v>
      </c>
      <c r="BK2399" t="s">
        <v>86</v>
      </c>
      <c r="BL2399" t="s">
        <v>87</v>
      </c>
    </row>
    <row r="2400" spans="1:64" x14ac:dyDescent="0.3">
      <c r="A2400" t="str">
        <f>"201549E0100"</f>
        <v>201549E0100</v>
      </c>
      <c r="B2400" t="str">
        <f>"201549E01003"</f>
        <v>201549E01003</v>
      </c>
      <c r="C2400" t="str">
        <f t="shared" si="155"/>
        <v>20</v>
      </c>
      <c r="D2400" t="s">
        <v>81</v>
      </c>
      <c r="E2400" t="str">
        <f t="shared" si="156"/>
        <v>325</v>
      </c>
      <c r="F2400" t="s">
        <v>2573</v>
      </c>
      <c r="G2400" t="str">
        <f>"1549"</f>
        <v>1549</v>
      </c>
      <c r="H2400" t="str">
        <f>"0001"</f>
        <v>0001</v>
      </c>
      <c r="I2400" t="s">
        <v>122</v>
      </c>
      <c r="J2400">
        <v>0</v>
      </c>
      <c r="K2400">
        <v>1</v>
      </c>
      <c r="L2400">
        <v>3</v>
      </c>
      <c r="M2400" t="s">
        <v>92</v>
      </c>
      <c r="N2400">
        <v>264</v>
      </c>
      <c r="O2400">
        <v>1</v>
      </c>
      <c r="P2400">
        <v>264</v>
      </c>
      <c r="Q2400">
        <v>41</v>
      </c>
      <c r="R2400">
        <v>3</v>
      </c>
      <c r="S2400">
        <v>3</v>
      </c>
      <c r="U2400">
        <v>4</v>
      </c>
      <c r="X2400">
        <v>200</v>
      </c>
      <c r="Z2400">
        <v>3</v>
      </c>
      <c r="AA2400">
        <v>4</v>
      </c>
      <c r="AW2400">
        <v>0</v>
      </c>
      <c r="AX2400">
        <v>6</v>
      </c>
      <c r="AY2400">
        <v>264</v>
      </c>
      <c r="AZ2400">
        <v>264</v>
      </c>
      <c r="BA2400">
        <v>425</v>
      </c>
      <c r="BB2400">
        <v>44</v>
      </c>
      <c r="BD2400">
        <v>1</v>
      </c>
      <c r="BF2400" t="s">
        <v>2587</v>
      </c>
      <c r="BG2400" s="1">
        <v>44354.317361111112</v>
      </c>
      <c r="BH2400" s="1">
        <v>44354.3202662037</v>
      </c>
      <c r="BI2400" s="1">
        <v>44354.320740740739</v>
      </c>
      <c r="BJ2400" t="s">
        <v>85</v>
      </c>
      <c r="BK2400" t="s">
        <v>86</v>
      </c>
      <c r="BL2400" t="s">
        <v>87</v>
      </c>
    </row>
    <row r="2401" spans="1:64" x14ac:dyDescent="0.3">
      <c r="A2401" t="str">
        <f>"201550B0000"</f>
        <v>201550B0000</v>
      </c>
      <c r="B2401" t="str">
        <f>"201550B00003"</f>
        <v>201550B00003</v>
      </c>
      <c r="C2401" t="str">
        <f t="shared" si="155"/>
        <v>20</v>
      </c>
      <c r="D2401" t="s">
        <v>81</v>
      </c>
      <c r="E2401" t="str">
        <f t="shared" si="156"/>
        <v>325</v>
      </c>
      <c r="F2401" t="s">
        <v>2573</v>
      </c>
      <c r="G2401" t="str">
        <f>"1550"</f>
        <v>1550</v>
      </c>
      <c r="H2401" t="str">
        <f>"0000"</f>
        <v>0000</v>
      </c>
      <c r="I2401" t="s">
        <v>83</v>
      </c>
      <c r="J2401">
        <v>0</v>
      </c>
      <c r="K2401">
        <v>1</v>
      </c>
      <c r="L2401">
        <v>3</v>
      </c>
      <c r="M2401">
        <v>304</v>
      </c>
      <c r="N2401">
        <v>708</v>
      </c>
      <c r="O2401">
        <v>0</v>
      </c>
      <c r="P2401">
        <v>404</v>
      </c>
      <c r="Q2401">
        <v>88</v>
      </c>
      <c r="R2401">
        <v>6</v>
      </c>
      <c r="S2401">
        <v>1</v>
      </c>
      <c r="U2401">
        <v>2</v>
      </c>
      <c r="X2401">
        <v>273</v>
      </c>
      <c r="Z2401">
        <v>6</v>
      </c>
      <c r="AA2401">
        <v>5</v>
      </c>
      <c r="AW2401">
        <v>0</v>
      </c>
      <c r="AX2401">
        <v>23</v>
      </c>
      <c r="AY2401">
        <v>404</v>
      </c>
      <c r="AZ2401">
        <v>404</v>
      </c>
      <c r="BA2401">
        <v>664</v>
      </c>
      <c r="BB2401">
        <v>44</v>
      </c>
      <c r="BD2401">
        <v>1</v>
      </c>
      <c r="BF2401" t="s">
        <v>2588</v>
      </c>
      <c r="BG2401" s="1">
        <v>44354.317361111112</v>
      </c>
      <c r="BH2401" s="1">
        <v>44354.320462962962</v>
      </c>
      <c r="BI2401" s="1">
        <v>44354.320763888885</v>
      </c>
      <c r="BJ2401" t="s">
        <v>85</v>
      </c>
      <c r="BK2401" t="s">
        <v>86</v>
      </c>
      <c r="BL2401" t="s">
        <v>87</v>
      </c>
    </row>
    <row r="2402" spans="1:64" x14ac:dyDescent="0.3">
      <c r="A2402" t="str">
        <f>"201550E0100"</f>
        <v>201550E0100</v>
      </c>
      <c r="B2402" t="str">
        <f>"201550E01003"</f>
        <v>201550E01003</v>
      </c>
      <c r="C2402" t="str">
        <f t="shared" si="155"/>
        <v>20</v>
      </c>
      <c r="D2402" t="s">
        <v>81</v>
      </c>
      <c r="E2402" t="str">
        <f t="shared" si="156"/>
        <v>325</v>
      </c>
      <c r="F2402" t="s">
        <v>2573</v>
      </c>
      <c r="G2402" t="str">
        <f>"1550"</f>
        <v>1550</v>
      </c>
      <c r="H2402" t="str">
        <f>"0001"</f>
        <v>0001</v>
      </c>
      <c r="I2402" t="s">
        <v>122</v>
      </c>
      <c r="J2402">
        <v>0</v>
      </c>
      <c r="K2402">
        <v>1</v>
      </c>
      <c r="L2402">
        <v>3</v>
      </c>
      <c r="M2402">
        <v>210</v>
      </c>
      <c r="N2402">
        <v>264</v>
      </c>
      <c r="O2402">
        <v>0</v>
      </c>
      <c r="P2402" t="s">
        <v>92</v>
      </c>
      <c r="Q2402">
        <v>71</v>
      </c>
      <c r="R2402">
        <v>5</v>
      </c>
      <c r="S2402">
        <v>2</v>
      </c>
      <c r="U2402">
        <v>2</v>
      </c>
      <c r="X2402">
        <v>176</v>
      </c>
      <c r="Z2402">
        <v>2</v>
      </c>
      <c r="AA2402">
        <v>2</v>
      </c>
      <c r="AW2402">
        <v>0</v>
      </c>
      <c r="AX2402">
        <v>0</v>
      </c>
      <c r="AY2402">
        <v>264</v>
      </c>
      <c r="AZ2402">
        <v>260</v>
      </c>
      <c r="BA2402">
        <v>431</v>
      </c>
      <c r="BB2402">
        <v>44</v>
      </c>
      <c r="BD2402">
        <v>1</v>
      </c>
      <c r="BF2402" t="s">
        <v>2589</v>
      </c>
      <c r="BG2402" s="1">
        <v>44354.306250000001</v>
      </c>
      <c r="BH2402" s="1">
        <v>44354.311469907407</v>
      </c>
      <c r="BI2402" s="1">
        <v>44354.311851851853</v>
      </c>
      <c r="BJ2402" t="s">
        <v>85</v>
      </c>
      <c r="BK2402" t="s">
        <v>86</v>
      </c>
      <c r="BL2402" t="s">
        <v>87</v>
      </c>
    </row>
    <row r="2403" spans="1:64" x14ac:dyDescent="0.3">
      <c r="A2403" t="str">
        <f>"201550E0101"</f>
        <v>201550E0101</v>
      </c>
      <c r="B2403" t="str">
        <f>"201550E01013"</f>
        <v>201550E01013</v>
      </c>
      <c r="C2403" t="str">
        <f t="shared" si="155"/>
        <v>20</v>
      </c>
      <c r="D2403" t="s">
        <v>81</v>
      </c>
      <c r="E2403" t="str">
        <f t="shared" si="156"/>
        <v>325</v>
      </c>
      <c r="F2403" t="s">
        <v>2573</v>
      </c>
      <c r="G2403" t="str">
        <f>"1550"</f>
        <v>1550</v>
      </c>
      <c r="H2403" t="str">
        <f>"0001"</f>
        <v>0001</v>
      </c>
      <c r="I2403" t="s">
        <v>122</v>
      </c>
      <c r="J2403">
        <v>1</v>
      </c>
      <c r="K2403">
        <v>1</v>
      </c>
      <c r="L2403">
        <v>3</v>
      </c>
      <c r="M2403" t="s">
        <v>92</v>
      </c>
      <c r="N2403" t="s">
        <v>92</v>
      </c>
      <c r="O2403" t="s">
        <v>92</v>
      </c>
      <c r="P2403" t="s">
        <v>92</v>
      </c>
      <c r="Q2403">
        <v>58</v>
      </c>
      <c r="R2403">
        <v>3</v>
      </c>
      <c r="S2403">
        <v>2</v>
      </c>
      <c r="U2403">
        <v>0</v>
      </c>
      <c r="X2403">
        <v>213</v>
      </c>
      <c r="Z2403">
        <v>2</v>
      </c>
      <c r="AA2403">
        <v>8</v>
      </c>
      <c r="AW2403">
        <v>0</v>
      </c>
      <c r="AX2403">
        <v>0</v>
      </c>
      <c r="AY2403">
        <v>286</v>
      </c>
      <c r="AZ2403">
        <v>286</v>
      </c>
      <c r="BA2403">
        <v>431</v>
      </c>
      <c r="BB2403">
        <v>44</v>
      </c>
      <c r="BD2403">
        <v>1</v>
      </c>
      <c r="BF2403" t="s">
        <v>2590</v>
      </c>
      <c r="BG2403" s="1">
        <v>44354.306250000001</v>
      </c>
      <c r="BH2403" s="1">
        <v>44354.311539351853</v>
      </c>
      <c r="BI2403" s="1">
        <v>44354.311874999999</v>
      </c>
      <c r="BJ2403" t="s">
        <v>85</v>
      </c>
      <c r="BK2403" t="s">
        <v>86</v>
      </c>
      <c r="BL2403" t="s">
        <v>87</v>
      </c>
    </row>
    <row r="2404" spans="1:64" x14ac:dyDescent="0.3">
      <c r="A2404" t="str">
        <f>"201550E0200"</f>
        <v>201550E0200</v>
      </c>
      <c r="B2404" t="str">
        <f>"201550E02003"</f>
        <v>201550E02003</v>
      </c>
      <c r="C2404" t="str">
        <f t="shared" si="155"/>
        <v>20</v>
      </c>
      <c r="D2404" t="s">
        <v>81</v>
      </c>
      <c r="E2404" t="str">
        <f t="shared" si="156"/>
        <v>325</v>
      </c>
      <c r="F2404" t="s">
        <v>2573</v>
      </c>
      <c r="G2404" t="str">
        <f>"1550"</f>
        <v>1550</v>
      </c>
      <c r="H2404" t="str">
        <f>"0002"</f>
        <v>0002</v>
      </c>
      <c r="I2404" t="s">
        <v>122</v>
      </c>
      <c r="J2404">
        <v>0</v>
      </c>
      <c r="K2404">
        <v>1</v>
      </c>
      <c r="L2404">
        <v>3</v>
      </c>
      <c r="M2404">
        <v>158</v>
      </c>
      <c r="N2404">
        <v>312</v>
      </c>
      <c r="O2404">
        <v>5</v>
      </c>
      <c r="P2404" t="s">
        <v>92</v>
      </c>
      <c r="Q2404">
        <v>48</v>
      </c>
      <c r="R2404">
        <v>4</v>
      </c>
      <c r="S2404">
        <v>1</v>
      </c>
      <c r="U2404">
        <v>3</v>
      </c>
      <c r="X2404">
        <v>249</v>
      </c>
      <c r="Z2404">
        <v>1</v>
      </c>
      <c r="AA2404">
        <v>3</v>
      </c>
      <c r="AW2404">
        <v>0</v>
      </c>
      <c r="AX2404">
        <v>3</v>
      </c>
      <c r="AY2404">
        <v>312</v>
      </c>
      <c r="AZ2404">
        <v>312</v>
      </c>
      <c r="BA2404">
        <v>426</v>
      </c>
      <c r="BB2404">
        <v>44</v>
      </c>
      <c r="BD2404">
        <v>1</v>
      </c>
      <c r="BF2404" t="s">
        <v>2591</v>
      </c>
      <c r="BG2404" s="1">
        <v>44353.841041666667</v>
      </c>
      <c r="BH2404" s="1">
        <v>44353.84306712963</v>
      </c>
      <c r="BI2404" s="1">
        <v>44353.843553240738</v>
      </c>
      <c r="BJ2404" t="s">
        <v>197</v>
      </c>
      <c r="BK2404" t="s">
        <v>198</v>
      </c>
      <c r="BL2404" t="s">
        <v>87</v>
      </c>
    </row>
    <row r="2405" spans="1:64" x14ac:dyDescent="0.3">
      <c r="A2405" t="str">
        <f>"201551B0000"</f>
        <v>201551B0000</v>
      </c>
      <c r="B2405" t="str">
        <f>"201551B00003"</f>
        <v>201551B00003</v>
      </c>
      <c r="C2405" t="str">
        <f t="shared" si="155"/>
        <v>20</v>
      </c>
      <c r="D2405" t="s">
        <v>81</v>
      </c>
      <c r="E2405" t="str">
        <f t="shared" si="156"/>
        <v>325</v>
      </c>
      <c r="F2405" t="s">
        <v>2573</v>
      </c>
      <c r="G2405" t="str">
        <f>"1551"</f>
        <v>1551</v>
      </c>
      <c r="H2405" t="str">
        <f>"0000"</f>
        <v>0000</v>
      </c>
      <c r="I2405" t="s">
        <v>83</v>
      </c>
      <c r="J2405">
        <v>0</v>
      </c>
      <c r="K2405">
        <v>1</v>
      </c>
      <c r="L2405">
        <v>3</v>
      </c>
      <c r="M2405">
        <v>97</v>
      </c>
      <c r="N2405">
        <v>162</v>
      </c>
      <c r="O2405">
        <v>1</v>
      </c>
      <c r="P2405">
        <v>1</v>
      </c>
      <c r="Q2405">
        <v>64</v>
      </c>
      <c r="R2405">
        <v>1</v>
      </c>
      <c r="S2405">
        <v>1</v>
      </c>
      <c r="U2405">
        <v>1</v>
      </c>
      <c r="X2405">
        <v>86</v>
      </c>
      <c r="Z2405">
        <v>1</v>
      </c>
      <c r="AA2405">
        <v>3</v>
      </c>
      <c r="AW2405">
        <v>1</v>
      </c>
      <c r="AX2405">
        <v>3</v>
      </c>
      <c r="AY2405">
        <v>162</v>
      </c>
      <c r="AZ2405">
        <v>161</v>
      </c>
      <c r="BA2405">
        <v>215</v>
      </c>
      <c r="BB2405">
        <v>44</v>
      </c>
      <c r="BD2405">
        <v>1</v>
      </c>
      <c r="BF2405" t="s">
        <v>2592</v>
      </c>
      <c r="BG2405" s="1">
        <v>44354.305555555555</v>
      </c>
      <c r="BH2405" s="1">
        <v>44354.310081018521</v>
      </c>
      <c r="BI2405" s="1">
        <v>44354.310474537036</v>
      </c>
      <c r="BJ2405" t="s">
        <v>85</v>
      </c>
      <c r="BK2405" t="s">
        <v>86</v>
      </c>
      <c r="BL2405" t="s">
        <v>87</v>
      </c>
    </row>
    <row r="2406" spans="1:64" x14ac:dyDescent="0.3">
      <c r="A2406" t="str">
        <f>"201552B0000"</f>
        <v>201552B0000</v>
      </c>
      <c r="B2406" t="str">
        <f>"201552B00003"</f>
        <v>201552B00003</v>
      </c>
      <c r="C2406" t="str">
        <f t="shared" si="155"/>
        <v>20</v>
      </c>
      <c r="D2406" t="s">
        <v>81</v>
      </c>
      <c r="E2406" t="str">
        <f t="shared" si="156"/>
        <v>325</v>
      </c>
      <c r="F2406" t="s">
        <v>2573</v>
      </c>
      <c r="G2406" t="str">
        <f>"1552"</f>
        <v>1552</v>
      </c>
      <c r="H2406" t="str">
        <f>"0000"</f>
        <v>0000</v>
      </c>
      <c r="I2406" t="s">
        <v>83</v>
      </c>
      <c r="J2406">
        <v>0</v>
      </c>
      <c r="K2406">
        <v>1</v>
      </c>
      <c r="L2406">
        <v>3</v>
      </c>
      <c r="M2406">
        <v>101</v>
      </c>
      <c r="N2406">
        <v>159</v>
      </c>
      <c r="O2406">
        <v>0</v>
      </c>
      <c r="P2406" t="s">
        <v>92</v>
      </c>
      <c r="Q2406">
        <v>47</v>
      </c>
      <c r="R2406">
        <v>9</v>
      </c>
      <c r="S2406">
        <v>0</v>
      </c>
      <c r="U2406">
        <v>3</v>
      </c>
      <c r="X2406">
        <v>87</v>
      </c>
      <c r="Z2406">
        <v>4</v>
      </c>
      <c r="AA2406">
        <v>3</v>
      </c>
      <c r="AW2406">
        <v>0</v>
      </c>
      <c r="AX2406">
        <v>0</v>
      </c>
      <c r="AY2406">
        <v>159</v>
      </c>
      <c r="AZ2406">
        <v>153</v>
      </c>
      <c r="BA2406">
        <v>216</v>
      </c>
      <c r="BB2406">
        <v>44</v>
      </c>
      <c r="BD2406">
        <v>1</v>
      </c>
      <c r="BF2406" t="s">
        <v>2593</v>
      </c>
      <c r="BG2406" s="1">
        <v>44354.306250000001</v>
      </c>
      <c r="BH2406" s="1">
        <v>44354.311064814814</v>
      </c>
      <c r="BI2406" s="1">
        <v>44354.311562499999</v>
      </c>
      <c r="BJ2406" t="s">
        <v>85</v>
      </c>
      <c r="BK2406" t="s">
        <v>86</v>
      </c>
      <c r="BL2406" t="s">
        <v>87</v>
      </c>
    </row>
    <row r="2407" spans="1:64" x14ac:dyDescent="0.3">
      <c r="A2407" t="str">
        <f>"201552E0100"</f>
        <v>201552E0100</v>
      </c>
      <c r="B2407" t="str">
        <f>"201552E01003"</f>
        <v>201552E01003</v>
      </c>
      <c r="C2407" t="str">
        <f t="shared" si="155"/>
        <v>20</v>
      </c>
      <c r="D2407" t="s">
        <v>81</v>
      </c>
      <c r="E2407" t="str">
        <f t="shared" si="156"/>
        <v>325</v>
      </c>
      <c r="F2407" t="s">
        <v>2573</v>
      </c>
      <c r="G2407" t="str">
        <f>"1552"</f>
        <v>1552</v>
      </c>
      <c r="H2407" t="str">
        <f>"0001"</f>
        <v>0001</v>
      </c>
      <c r="I2407" t="s">
        <v>122</v>
      </c>
      <c r="J2407">
        <v>0</v>
      </c>
      <c r="K2407">
        <v>1</v>
      </c>
      <c r="L2407">
        <v>3</v>
      </c>
      <c r="M2407">
        <v>209</v>
      </c>
      <c r="N2407">
        <v>531</v>
      </c>
      <c r="O2407">
        <v>0</v>
      </c>
      <c r="P2407">
        <v>322</v>
      </c>
      <c r="Q2407">
        <v>45</v>
      </c>
      <c r="R2407">
        <v>3</v>
      </c>
      <c r="S2407">
        <v>1</v>
      </c>
      <c r="U2407">
        <v>2</v>
      </c>
      <c r="X2407">
        <v>262</v>
      </c>
      <c r="Z2407">
        <v>5</v>
      </c>
      <c r="AA2407">
        <v>0</v>
      </c>
      <c r="AW2407">
        <v>0</v>
      </c>
      <c r="AX2407">
        <v>4</v>
      </c>
      <c r="AY2407">
        <v>322</v>
      </c>
      <c r="AZ2407">
        <v>322</v>
      </c>
      <c r="BA2407">
        <v>487</v>
      </c>
      <c r="BB2407">
        <v>44</v>
      </c>
      <c r="BD2407">
        <v>1</v>
      </c>
      <c r="BF2407" t="s">
        <v>2594</v>
      </c>
      <c r="BG2407" s="1">
        <v>44354.306250000001</v>
      </c>
      <c r="BH2407" s="1">
        <v>44354.310729166667</v>
      </c>
      <c r="BI2407" s="1">
        <v>44354.311435185184</v>
      </c>
      <c r="BJ2407" t="s">
        <v>85</v>
      </c>
      <c r="BK2407" t="s">
        <v>86</v>
      </c>
      <c r="BL2407" t="s">
        <v>87</v>
      </c>
    </row>
    <row r="2408" spans="1:64" x14ac:dyDescent="0.3">
      <c r="A2408" t="str">
        <f>"201564B0000"</f>
        <v>201564B0000</v>
      </c>
      <c r="B2408" t="str">
        <f>"201564B00003"</f>
        <v>201564B00003</v>
      </c>
      <c r="C2408" t="str">
        <f t="shared" si="155"/>
        <v>20</v>
      </c>
      <c r="D2408" t="s">
        <v>81</v>
      </c>
      <c r="E2408" t="str">
        <f t="shared" ref="E2408:E2439" si="157">"332"</f>
        <v>332</v>
      </c>
      <c r="F2408" t="s">
        <v>2595</v>
      </c>
      <c r="G2408" t="str">
        <f>"1564"</f>
        <v>1564</v>
      </c>
      <c r="H2408" t="str">
        <f>"0000"</f>
        <v>0000</v>
      </c>
      <c r="I2408" t="s">
        <v>83</v>
      </c>
      <c r="J2408">
        <v>0</v>
      </c>
      <c r="K2408">
        <v>1</v>
      </c>
      <c r="L2408">
        <v>3</v>
      </c>
      <c r="M2408">
        <v>174</v>
      </c>
      <c r="N2408">
        <v>360</v>
      </c>
      <c r="O2408">
        <v>0</v>
      </c>
      <c r="P2408">
        <v>360</v>
      </c>
      <c r="Q2408">
        <v>0</v>
      </c>
      <c r="R2408">
        <v>120</v>
      </c>
      <c r="S2408">
        <v>1</v>
      </c>
      <c r="U2408">
        <v>35</v>
      </c>
      <c r="V2408">
        <v>5</v>
      </c>
      <c r="W2408">
        <v>72</v>
      </c>
      <c r="X2408">
        <v>103</v>
      </c>
      <c r="Y2408">
        <v>16</v>
      </c>
      <c r="Z2408">
        <v>1</v>
      </c>
      <c r="AB2408">
        <v>0</v>
      </c>
      <c r="AF2408">
        <v>2</v>
      </c>
      <c r="AG2408">
        <v>1</v>
      </c>
      <c r="AH2408">
        <v>0</v>
      </c>
      <c r="AI2408">
        <v>0</v>
      </c>
      <c r="AW2408" t="s">
        <v>95</v>
      </c>
      <c r="AX2408">
        <v>4</v>
      </c>
      <c r="AY2408">
        <v>360</v>
      </c>
      <c r="AZ2408">
        <v>360</v>
      </c>
      <c r="BA2408">
        <v>490</v>
      </c>
      <c r="BB2408">
        <v>44</v>
      </c>
      <c r="BC2408" t="s">
        <v>96</v>
      </c>
      <c r="BD2408">
        <v>1</v>
      </c>
      <c r="BF2408" t="s">
        <v>2596</v>
      </c>
      <c r="BG2408" s="1">
        <v>44353.993055555555</v>
      </c>
      <c r="BH2408" s="1">
        <v>44353.997442129628</v>
      </c>
      <c r="BI2408" s="1">
        <v>44353.998240740744</v>
      </c>
      <c r="BJ2408" t="s">
        <v>85</v>
      </c>
      <c r="BK2408" t="s">
        <v>86</v>
      </c>
      <c r="BL2408" t="s">
        <v>87</v>
      </c>
    </row>
    <row r="2409" spans="1:64" x14ac:dyDescent="0.3">
      <c r="A2409" t="str">
        <f>"201564C0100"</f>
        <v>201564C0100</v>
      </c>
      <c r="B2409" t="str">
        <f>"201564C01003"</f>
        <v>201564C01003</v>
      </c>
      <c r="C2409" t="str">
        <f t="shared" si="155"/>
        <v>20</v>
      </c>
      <c r="D2409" t="s">
        <v>81</v>
      </c>
      <c r="E2409" t="str">
        <f t="shared" si="157"/>
        <v>332</v>
      </c>
      <c r="F2409" t="s">
        <v>2595</v>
      </c>
      <c r="G2409" t="str">
        <f>"1564"</f>
        <v>1564</v>
      </c>
      <c r="H2409" t="str">
        <f>"0001"</f>
        <v>0001</v>
      </c>
      <c r="I2409" t="s">
        <v>89</v>
      </c>
      <c r="J2409">
        <v>0</v>
      </c>
      <c r="K2409">
        <v>1</v>
      </c>
      <c r="L2409">
        <v>3</v>
      </c>
      <c r="M2409">
        <v>197</v>
      </c>
      <c r="N2409">
        <v>335</v>
      </c>
      <c r="O2409">
        <v>0</v>
      </c>
      <c r="P2409">
        <v>335</v>
      </c>
      <c r="Q2409">
        <v>2</v>
      </c>
      <c r="R2409">
        <v>123</v>
      </c>
      <c r="S2409">
        <v>1</v>
      </c>
      <c r="U2409">
        <v>21</v>
      </c>
      <c r="V2409">
        <v>4</v>
      </c>
      <c r="W2409">
        <v>69</v>
      </c>
      <c r="X2409">
        <v>87</v>
      </c>
      <c r="Y2409">
        <v>15</v>
      </c>
      <c r="Z2409">
        <v>3</v>
      </c>
      <c r="AB2409">
        <v>3</v>
      </c>
      <c r="AF2409">
        <v>2</v>
      </c>
      <c r="AG2409">
        <v>1</v>
      </c>
      <c r="AH2409">
        <v>0</v>
      </c>
      <c r="AI2409">
        <v>0</v>
      </c>
      <c r="AW2409">
        <v>0</v>
      </c>
      <c r="AX2409">
        <v>4</v>
      </c>
      <c r="AY2409">
        <v>335</v>
      </c>
      <c r="AZ2409">
        <v>335</v>
      </c>
      <c r="BA2409">
        <v>489</v>
      </c>
      <c r="BB2409">
        <v>44</v>
      </c>
      <c r="BD2409">
        <v>1</v>
      </c>
      <c r="BF2409" t="s">
        <v>2597</v>
      </c>
      <c r="BG2409" s="1">
        <v>44353.951388888891</v>
      </c>
      <c r="BH2409" s="1">
        <v>44353.957708333335</v>
      </c>
      <c r="BI2409" s="1">
        <v>44353.958564814813</v>
      </c>
      <c r="BJ2409" t="s">
        <v>85</v>
      </c>
      <c r="BK2409" t="s">
        <v>86</v>
      </c>
      <c r="BL2409" t="s">
        <v>87</v>
      </c>
    </row>
    <row r="2410" spans="1:64" x14ac:dyDescent="0.3">
      <c r="A2410" t="str">
        <f>"201564E0100"</f>
        <v>201564E0100</v>
      </c>
      <c r="B2410" t="str">
        <f>"201564E01003"</f>
        <v>201564E01003</v>
      </c>
      <c r="C2410" t="str">
        <f t="shared" si="155"/>
        <v>20</v>
      </c>
      <c r="D2410" t="s">
        <v>81</v>
      </c>
      <c r="E2410" t="str">
        <f t="shared" si="157"/>
        <v>332</v>
      </c>
      <c r="F2410" t="s">
        <v>2595</v>
      </c>
      <c r="G2410" t="str">
        <f>"1564"</f>
        <v>1564</v>
      </c>
      <c r="H2410" t="str">
        <f>"0001"</f>
        <v>0001</v>
      </c>
      <c r="I2410" t="s">
        <v>122</v>
      </c>
      <c r="J2410">
        <v>0</v>
      </c>
      <c r="K2410">
        <v>1</v>
      </c>
      <c r="L2410">
        <v>3</v>
      </c>
      <c r="M2410">
        <v>92</v>
      </c>
      <c r="N2410">
        <v>151</v>
      </c>
      <c r="O2410">
        <v>0</v>
      </c>
      <c r="P2410">
        <v>151</v>
      </c>
      <c r="Q2410">
        <v>2</v>
      </c>
      <c r="R2410">
        <v>40</v>
      </c>
      <c r="S2410">
        <v>2</v>
      </c>
      <c r="U2410">
        <v>4</v>
      </c>
      <c r="V2410">
        <v>1</v>
      </c>
      <c r="W2410">
        <v>71</v>
      </c>
      <c r="X2410">
        <v>11</v>
      </c>
      <c r="Y2410">
        <v>4</v>
      </c>
      <c r="Z2410">
        <v>1</v>
      </c>
      <c r="AB2410">
        <v>1</v>
      </c>
      <c r="AF2410">
        <v>6</v>
      </c>
      <c r="AG2410">
        <v>0</v>
      </c>
      <c r="AH2410">
        <v>0</v>
      </c>
      <c r="AI2410">
        <v>0</v>
      </c>
      <c r="AW2410">
        <v>0</v>
      </c>
      <c r="AX2410">
        <v>8</v>
      </c>
      <c r="AY2410">
        <v>151</v>
      </c>
      <c r="AZ2410">
        <v>151</v>
      </c>
      <c r="BA2410">
        <v>199</v>
      </c>
      <c r="BB2410">
        <v>44</v>
      </c>
      <c r="BD2410">
        <v>1</v>
      </c>
      <c r="BF2410" t="s">
        <v>2598</v>
      </c>
      <c r="BG2410" s="1">
        <v>44354.056250000001</v>
      </c>
      <c r="BH2410" s="1">
        <v>44354.061898148146</v>
      </c>
      <c r="BI2410" s="1">
        <v>44354.062222222223</v>
      </c>
      <c r="BJ2410" t="s">
        <v>85</v>
      </c>
      <c r="BK2410" t="s">
        <v>86</v>
      </c>
      <c r="BL2410" t="s">
        <v>87</v>
      </c>
    </row>
    <row r="2411" spans="1:64" x14ac:dyDescent="0.3">
      <c r="A2411" t="str">
        <f>"201565B0000"</f>
        <v>201565B0000</v>
      </c>
      <c r="B2411" t="str">
        <f>"201565B00003"</f>
        <v>201565B00003</v>
      </c>
      <c r="C2411" t="str">
        <f t="shared" si="155"/>
        <v>20</v>
      </c>
      <c r="D2411" t="s">
        <v>81</v>
      </c>
      <c r="E2411" t="str">
        <f t="shared" si="157"/>
        <v>332</v>
      </c>
      <c r="F2411" t="s">
        <v>2595</v>
      </c>
      <c r="G2411" t="str">
        <f>"1565"</f>
        <v>1565</v>
      </c>
      <c r="H2411" t="str">
        <f>"0000"</f>
        <v>0000</v>
      </c>
      <c r="I2411" t="s">
        <v>83</v>
      </c>
      <c r="J2411">
        <v>0</v>
      </c>
      <c r="K2411">
        <v>1</v>
      </c>
      <c r="L2411">
        <v>3</v>
      </c>
      <c r="M2411">
        <v>161</v>
      </c>
      <c r="N2411">
        <v>296</v>
      </c>
      <c r="O2411">
        <v>0</v>
      </c>
      <c r="P2411">
        <v>296</v>
      </c>
      <c r="Q2411">
        <v>1</v>
      </c>
      <c r="R2411">
        <v>85</v>
      </c>
      <c r="S2411">
        <v>0</v>
      </c>
      <c r="U2411">
        <v>33</v>
      </c>
      <c r="V2411">
        <v>5</v>
      </c>
      <c r="W2411">
        <v>42</v>
      </c>
      <c r="X2411">
        <v>97</v>
      </c>
      <c r="Y2411">
        <v>18</v>
      </c>
      <c r="Z2411">
        <v>2</v>
      </c>
      <c r="AB2411">
        <v>4</v>
      </c>
      <c r="AF2411">
        <v>3</v>
      </c>
      <c r="AG2411">
        <v>0</v>
      </c>
      <c r="AH2411">
        <v>0</v>
      </c>
      <c r="AI2411">
        <v>0</v>
      </c>
      <c r="AW2411">
        <v>0</v>
      </c>
      <c r="AX2411">
        <v>6</v>
      </c>
      <c r="AY2411">
        <v>296</v>
      </c>
      <c r="AZ2411">
        <v>296</v>
      </c>
      <c r="BA2411">
        <v>413</v>
      </c>
      <c r="BB2411">
        <v>44</v>
      </c>
      <c r="BD2411">
        <v>1</v>
      </c>
      <c r="BF2411" t="s">
        <v>2599</v>
      </c>
      <c r="BG2411" s="1">
        <v>44353.986111111109</v>
      </c>
      <c r="BH2411" s="1">
        <v>44353.994479166664</v>
      </c>
      <c r="BI2411" s="1">
        <v>44353.995081018518</v>
      </c>
      <c r="BJ2411" t="s">
        <v>85</v>
      </c>
      <c r="BK2411" t="s">
        <v>86</v>
      </c>
      <c r="BL2411" t="s">
        <v>87</v>
      </c>
    </row>
    <row r="2412" spans="1:64" x14ac:dyDescent="0.3">
      <c r="A2412" t="str">
        <f>"201565C0100"</f>
        <v>201565C0100</v>
      </c>
      <c r="B2412" t="str">
        <f>"201565C01003"</f>
        <v>201565C01003</v>
      </c>
      <c r="C2412" t="str">
        <f t="shared" si="155"/>
        <v>20</v>
      </c>
      <c r="D2412" t="s">
        <v>81</v>
      </c>
      <c r="E2412" t="str">
        <f t="shared" si="157"/>
        <v>332</v>
      </c>
      <c r="F2412" t="s">
        <v>2595</v>
      </c>
      <c r="G2412" t="str">
        <f>"1565"</f>
        <v>1565</v>
      </c>
      <c r="H2412" t="str">
        <f>"0001"</f>
        <v>0001</v>
      </c>
      <c r="I2412" t="s">
        <v>89</v>
      </c>
      <c r="J2412">
        <v>0</v>
      </c>
      <c r="K2412">
        <v>1</v>
      </c>
      <c r="L2412">
        <v>3</v>
      </c>
      <c r="M2412">
        <v>141</v>
      </c>
      <c r="N2412">
        <v>315</v>
      </c>
      <c r="O2412">
        <v>2</v>
      </c>
      <c r="P2412">
        <v>315</v>
      </c>
      <c r="Q2412">
        <v>2</v>
      </c>
      <c r="R2412">
        <v>134</v>
      </c>
      <c r="S2412">
        <v>2</v>
      </c>
      <c r="U2412">
        <v>22</v>
      </c>
      <c r="V2412">
        <v>3</v>
      </c>
      <c r="W2412">
        <v>45</v>
      </c>
      <c r="X2412">
        <v>85</v>
      </c>
      <c r="Y2412">
        <v>18</v>
      </c>
      <c r="Z2412">
        <v>1</v>
      </c>
      <c r="AB2412">
        <v>0</v>
      </c>
      <c r="AF2412">
        <v>0</v>
      </c>
      <c r="AG2412">
        <v>0</v>
      </c>
      <c r="AH2412">
        <v>0</v>
      </c>
      <c r="AI2412">
        <v>0</v>
      </c>
      <c r="AW2412">
        <v>0</v>
      </c>
      <c r="AX2412">
        <v>3</v>
      </c>
      <c r="AY2412">
        <v>315</v>
      </c>
      <c r="AZ2412">
        <v>315</v>
      </c>
      <c r="BA2412">
        <v>412</v>
      </c>
      <c r="BB2412">
        <v>44</v>
      </c>
      <c r="BD2412">
        <v>1</v>
      </c>
      <c r="BF2412" t="s">
        <v>2600</v>
      </c>
      <c r="BG2412" s="1">
        <v>44353.96597222222</v>
      </c>
      <c r="BH2412" s="1">
        <v>44353.96770833333</v>
      </c>
      <c r="BI2412" s="1">
        <v>44353.9684375</v>
      </c>
      <c r="BJ2412" t="s">
        <v>85</v>
      </c>
      <c r="BK2412" t="s">
        <v>86</v>
      </c>
      <c r="BL2412" t="s">
        <v>87</v>
      </c>
    </row>
    <row r="2413" spans="1:64" x14ac:dyDescent="0.3">
      <c r="A2413" t="str">
        <f>"201566B0000"</f>
        <v>201566B0000</v>
      </c>
      <c r="B2413" t="str">
        <f>"201566B00003"</f>
        <v>201566B00003</v>
      </c>
      <c r="C2413" t="str">
        <f t="shared" si="155"/>
        <v>20</v>
      </c>
      <c r="D2413" t="s">
        <v>81</v>
      </c>
      <c r="E2413" t="str">
        <f t="shared" si="157"/>
        <v>332</v>
      </c>
      <c r="F2413" t="s">
        <v>2595</v>
      </c>
      <c r="G2413" t="str">
        <f>"1566"</f>
        <v>1566</v>
      </c>
      <c r="H2413" t="str">
        <f>"0000"</f>
        <v>0000</v>
      </c>
      <c r="I2413" t="s">
        <v>83</v>
      </c>
      <c r="J2413">
        <v>0</v>
      </c>
      <c r="K2413">
        <v>1</v>
      </c>
      <c r="L2413">
        <v>3</v>
      </c>
      <c r="M2413">
        <v>279</v>
      </c>
      <c r="N2413">
        <v>411</v>
      </c>
      <c r="O2413">
        <v>0</v>
      </c>
      <c r="P2413">
        <v>411</v>
      </c>
      <c r="Q2413">
        <v>3</v>
      </c>
      <c r="R2413">
        <v>156</v>
      </c>
      <c r="S2413">
        <v>3</v>
      </c>
      <c r="U2413">
        <v>16</v>
      </c>
      <c r="V2413">
        <v>5</v>
      </c>
      <c r="W2413">
        <v>130</v>
      </c>
      <c r="X2413">
        <v>68</v>
      </c>
      <c r="Y2413">
        <v>20</v>
      </c>
      <c r="Z2413">
        <v>2</v>
      </c>
      <c r="AB2413">
        <v>0</v>
      </c>
      <c r="AF2413">
        <v>0</v>
      </c>
      <c r="AG2413">
        <v>0</v>
      </c>
      <c r="AH2413">
        <v>0</v>
      </c>
      <c r="AI2413">
        <v>0</v>
      </c>
      <c r="AW2413">
        <v>0</v>
      </c>
      <c r="AX2413">
        <v>8</v>
      </c>
      <c r="AY2413" t="s">
        <v>95</v>
      </c>
      <c r="AZ2413">
        <v>411</v>
      </c>
      <c r="BA2413">
        <v>646</v>
      </c>
      <c r="BB2413">
        <v>44</v>
      </c>
      <c r="BD2413">
        <v>1</v>
      </c>
      <c r="BF2413" t="s">
        <v>2601</v>
      </c>
      <c r="BG2413" s="1">
        <v>44354.03402777778</v>
      </c>
      <c r="BH2413" s="1">
        <v>44354.04105324074</v>
      </c>
      <c r="BI2413" s="1">
        <v>44354.041539351849</v>
      </c>
      <c r="BJ2413" t="s">
        <v>85</v>
      </c>
      <c r="BK2413" t="s">
        <v>86</v>
      </c>
      <c r="BL2413" t="s">
        <v>87</v>
      </c>
    </row>
    <row r="2414" spans="1:64" x14ac:dyDescent="0.3">
      <c r="A2414" t="str">
        <f>"201566C0100"</f>
        <v>201566C0100</v>
      </c>
      <c r="B2414" t="str">
        <f>"201566C01003"</f>
        <v>201566C01003</v>
      </c>
      <c r="C2414" t="str">
        <f t="shared" si="155"/>
        <v>20</v>
      </c>
      <c r="D2414" t="s">
        <v>81</v>
      </c>
      <c r="E2414" t="str">
        <f t="shared" si="157"/>
        <v>332</v>
      </c>
      <c r="F2414" t="s">
        <v>2595</v>
      </c>
      <c r="G2414" t="str">
        <f>"1566"</f>
        <v>1566</v>
      </c>
      <c r="H2414" t="str">
        <f>"0001"</f>
        <v>0001</v>
      </c>
      <c r="I2414" t="s">
        <v>89</v>
      </c>
      <c r="J2414">
        <v>0</v>
      </c>
      <c r="K2414">
        <v>1</v>
      </c>
      <c r="L2414">
        <v>3</v>
      </c>
      <c r="M2414" t="s">
        <v>92</v>
      </c>
      <c r="N2414" t="s">
        <v>92</v>
      </c>
      <c r="O2414" t="s">
        <v>92</v>
      </c>
      <c r="P2414">
        <v>442</v>
      </c>
      <c r="Q2414">
        <v>2</v>
      </c>
      <c r="R2414">
        <v>149</v>
      </c>
      <c r="S2414">
        <v>2</v>
      </c>
      <c r="U2414">
        <v>38</v>
      </c>
      <c r="V2414">
        <v>5</v>
      </c>
      <c r="W2414">
        <v>153</v>
      </c>
      <c r="X2414">
        <v>50</v>
      </c>
      <c r="Y2414">
        <v>23</v>
      </c>
      <c r="Z2414">
        <v>2</v>
      </c>
      <c r="AB2414">
        <v>0</v>
      </c>
      <c r="AF2414">
        <v>2</v>
      </c>
      <c r="AG2414">
        <v>1</v>
      </c>
      <c r="AH2414">
        <v>0</v>
      </c>
      <c r="AI2414">
        <v>2</v>
      </c>
      <c r="AW2414">
        <v>0</v>
      </c>
      <c r="AX2414">
        <v>13</v>
      </c>
      <c r="AY2414">
        <v>442</v>
      </c>
      <c r="AZ2414">
        <v>442</v>
      </c>
      <c r="BA2414">
        <v>645</v>
      </c>
      <c r="BB2414">
        <v>44</v>
      </c>
      <c r="BD2414">
        <v>1</v>
      </c>
      <c r="BF2414" t="s">
        <v>2602</v>
      </c>
      <c r="BG2414" s="1">
        <v>44354.038888888892</v>
      </c>
      <c r="BH2414" s="1">
        <v>44354.048043981478</v>
      </c>
      <c r="BI2414" s="1">
        <v>44354.048321759263</v>
      </c>
      <c r="BJ2414" t="s">
        <v>85</v>
      </c>
      <c r="BK2414" t="s">
        <v>86</v>
      </c>
      <c r="BL2414" t="s">
        <v>87</v>
      </c>
    </row>
    <row r="2415" spans="1:64" x14ac:dyDescent="0.3">
      <c r="A2415" t="str">
        <f>"201567B0000"</f>
        <v>201567B0000</v>
      </c>
      <c r="B2415" t="str">
        <f>"201567B00003"</f>
        <v>201567B00003</v>
      </c>
      <c r="C2415" t="str">
        <f t="shared" si="155"/>
        <v>20</v>
      </c>
      <c r="D2415" t="s">
        <v>81</v>
      </c>
      <c r="E2415" t="str">
        <f t="shared" si="157"/>
        <v>332</v>
      </c>
      <c r="F2415" t="s">
        <v>2595</v>
      </c>
      <c r="G2415" t="str">
        <f>"1567"</f>
        <v>1567</v>
      </c>
      <c r="H2415" t="str">
        <f>"0000"</f>
        <v>0000</v>
      </c>
      <c r="I2415" t="s">
        <v>83</v>
      </c>
      <c r="J2415">
        <v>0</v>
      </c>
      <c r="K2415">
        <v>1</v>
      </c>
      <c r="L2415">
        <v>3</v>
      </c>
      <c r="M2415">
        <v>242</v>
      </c>
      <c r="N2415">
        <v>355</v>
      </c>
      <c r="O2415">
        <v>1</v>
      </c>
      <c r="P2415" t="s">
        <v>92</v>
      </c>
      <c r="Q2415" t="s">
        <v>95</v>
      </c>
      <c r="R2415">
        <v>136</v>
      </c>
      <c r="S2415">
        <v>2</v>
      </c>
      <c r="U2415">
        <v>40</v>
      </c>
      <c r="V2415" t="s">
        <v>95</v>
      </c>
      <c r="W2415">
        <v>72</v>
      </c>
      <c r="X2415">
        <v>76</v>
      </c>
      <c r="Y2415">
        <v>13</v>
      </c>
      <c r="Z2415">
        <v>2</v>
      </c>
      <c r="AB2415">
        <v>2</v>
      </c>
      <c r="AF2415" t="s">
        <v>95</v>
      </c>
      <c r="AG2415" t="s">
        <v>95</v>
      </c>
      <c r="AH2415" t="s">
        <v>95</v>
      </c>
      <c r="AI2415" t="s">
        <v>95</v>
      </c>
      <c r="AW2415" t="s">
        <v>95</v>
      </c>
      <c r="AX2415">
        <v>11</v>
      </c>
      <c r="AY2415" t="s">
        <v>95</v>
      </c>
      <c r="AZ2415">
        <v>354</v>
      </c>
      <c r="BA2415">
        <v>553</v>
      </c>
      <c r="BB2415">
        <v>44</v>
      </c>
      <c r="BC2415" t="s">
        <v>96</v>
      </c>
      <c r="BD2415">
        <v>1</v>
      </c>
      <c r="BF2415" t="s">
        <v>2603</v>
      </c>
      <c r="BG2415" s="1">
        <v>44354.030555555553</v>
      </c>
      <c r="BH2415" s="1">
        <v>44354.039861111109</v>
      </c>
      <c r="BI2415" s="1">
        <v>44354.040810185186</v>
      </c>
      <c r="BJ2415" t="s">
        <v>85</v>
      </c>
      <c r="BK2415" t="s">
        <v>86</v>
      </c>
      <c r="BL2415" t="s">
        <v>87</v>
      </c>
    </row>
    <row r="2416" spans="1:64" x14ac:dyDescent="0.3">
      <c r="A2416" t="str">
        <f>"201567C0100"</f>
        <v>201567C0100</v>
      </c>
      <c r="B2416" t="str">
        <f>"201567C01003"</f>
        <v>201567C01003</v>
      </c>
      <c r="C2416" t="str">
        <f t="shared" si="155"/>
        <v>20</v>
      </c>
      <c r="D2416" t="s">
        <v>81</v>
      </c>
      <c r="E2416" t="str">
        <f t="shared" si="157"/>
        <v>332</v>
      </c>
      <c r="F2416" t="s">
        <v>2595</v>
      </c>
      <c r="G2416" t="str">
        <f>"1567"</f>
        <v>1567</v>
      </c>
      <c r="H2416" t="str">
        <f>"0001"</f>
        <v>0001</v>
      </c>
      <c r="I2416" t="s">
        <v>89</v>
      </c>
      <c r="J2416">
        <v>0</v>
      </c>
      <c r="K2416">
        <v>1</v>
      </c>
      <c r="L2416">
        <v>3</v>
      </c>
      <c r="M2416" t="s">
        <v>92</v>
      </c>
      <c r="N2416" t="s">
        <v>92</v>
      </c>
      <c r="O2416" t="s">
        <v>92</v>
      </c>
      <c r="P2416">
        <v>354</v>
      </c>
      <c r="Q2416">
        <v>2</v>
      </c>
      <c r="R2416">
        <v>109</v>
      </c>
      <c r="S2416">
        <v>5</v>
      </c>
      <c r="U2416">
        <v>49</v>
      </c>
      <c r="V2416">
        <v>2</v>
      </c>
      <c r="W2416">
        <v>78</v>
      </c>
      <c r="X2416">
        <v>78</v>
      </c>
      <c r="Y2416">
        <v>15</v>
      </c>
      <c r="Z2416">
        <v>3</v>
      </c>
      <c r="AB2416">
        <v>1</v>
      </c>
      <c r="AF2416">
        <v>0</v>
      </c>
      <c r="AG2416">
        <v>0</v>
      </c>
      <c r="AH2416">
        <v>0</v>
      </c>
      <c r="AI2416">
        <v>0</v>
      </c>
      <c r="AW2416">
        <v>0</v>
      </c>
      <c r="AX2416">
        <v>12</v>
      </c>
      <c r="AY2416">
        <v>354</v>
      </c>
      <c r="AZ2416">
        <v>354</v>
      </c>
      <c r="BA2416">
        <v>553</v>
      </c>
      <c r="BB2416">
        <v>44</v>
      </c>
      <c r="BD2416">
        <v>1</v>
      </c>
      <c r="BF2416" t="s">
        <v>2604</v>
      </c>
      <c r="BG2416" s="1">
        <v>44354.03125</v>
      </c>
      <c r="BH2416" s="1">
        <v>44354.040694444448</v>
      </c>
      <c r="BI2416" s="1">
        <v>44354.041388888887</v>
      </c>
      <c r="BJ2416" t="s">
        <v>85</v>
      </c>
      <c r="BK2416" t="s">
        <v>86</v>
      </c>
      <c r="BL2416" t="s">
        <v>87</v>
      </c>
    </row>
    <row r="2417" spans="1:64" x14ac:dyDescent="0.3">
      <c r="A2417" t="str">
        <f>"201568B0000"</f>
        <v>201568B0000</v>
      </c>
      <c r="B2417" t="str">
        <f>"201568B00003"</f>
        <v>201568B00003</v>
      </c>
      <c r="C2417" t="str">
        <f t="shared" si="155"/>
        <v>20</v>
      </c>
      <c r="D2417" t="s">
        <v>81</v>
      </c>
      <c r="E2417" t="str">
        <f t="shared" si="157"/>
        <v>332</v>
      </c>
      <c r="F2417" t="s">
        <v>2595</v>
      </c>
      <c r="G2417" t="str">
        <f>"1568"</f>
        <v>1568</v>
      </c>
      <c r="H2417" t="str">
        <f>"0000"</f>
        <v>0000</v>
      </c>
      <c r="I2417" t="s">
        <v>83</v>
      </c>
      <c r="J2417">
        <v>0</v>
      </c>
      <c r="K2417">
        <v>1</v>
      </c>
      <c r="L2417">
        <v>3</v>
      </c>
      <c r="M2417">
        <v>238</v>
      </c>
      <c r="N2417">
        <v>382</v>
      </c>
      <c r="O2417">
        <v>1</v>
      </c>
      <c r="P2417">
        <v>382</v>
      </c>
      <c r="Q2417">
        <v>0</v>
      </c>
      <c r="R2417">
        <v>101</v>
      </c>
      <c r="S2417">
        <v>2</v>
      </c>
      <c r="U2417">
        <v>35</v>
      </c>
      <c r="V2417">
        <v>1</v>
      </c>
      <c r="W2417">
        <v>20</v>
      </c>
      <c r="X2417">
        <v>194</v>
      </c>
      <c r="Y2417">
        <v>16</v>
      </c>
      <c r="Z2417">
        <v>1</v>
      </c>
      <c r="AB2417">
        <v>0</v>
      </c>
      <c r="AF2417">
        <v>2</v>
      </c>
      <c r="AG2417">
        <v>0</v>
      </c>
      <c r="AH2417">
        <v>0</v>
      </c>
      <c r="AI2417">
        <v>0</v>
      </c>
      <c r="AW2417">
        <v>0</v>
      </c>
      <c r="AX2417">
        <v>10</v>
      </c>
      <c r="AY2417">
        <v>382</v>
      </c>
      <c r="AZ2417">
        <v>382</v>
      </c>
      <c r="BA2417">
        <v>576</v>
      </c>
      <c r="BB2417">
        <v>44</v>
      </c>
      <c r="BD2417">
        <v>1</v>
      </c>
      <c r="BF2417" t="s">
        <v>2605</v>
      </c>
      <c r="BG2417" s="1">
        <v>44354.156944444447</v>
      </c>
      <c r="BH2417" s="1">
        <v>44354.160636574074</v>
      </c>
      <c r="BI2417" s="1">
        <v>44354.161226851851</v>
      </c>
      <c r="BJ2417" t="s">
        <v>85</v>
      </c>
      <c r="BK2417" t="s">
        <v>86</v>
      </c>
      <c r="BL2417" t="s">
        <v>87</v>
      </c>
    </row>
    <row r="2418" spans="1:64" x14ac:dyDescent="0.3">
      <c r="A2418" t="str">
        <f>"201568C0100"</f>
        <v>201568C0100</v>
      </c>
      <c r="B2418" t="str">
        <f>"201568C01003"</f>
        <v>201568C01003</v>
      </c>
      <c r="C2418" t="str">
        <f t="shared" si="155"/>
        <v>20</v>
      </c>
      <c r="D2418" t="s">
        <v>81</v>
      </c>
      <c r="E2418" t="str">
        <f t="shared" si="157"/>
        <v>332</v>
      </c>
      <c r="F2418" t="s">
        <v>2595</v>
      </c>
      <c r="G2418" t="str">
        <f>"1568"</f>
        <v>1568</v>
      </c>
      <c r="H2418" t="str">
        <f>"0001"</f>
        <v>0001</v>
      </c>
      <c r="I2418" t="s">
        <v>89</v>
      </c>
      <c r="J2418">
        <v>0</v>
      </c>
      <c r="K2418">
        <v>1</v>
      </c>
      <c r="L2418">
        <v>3</v>
      </c>
      <c r="M2418">
        <v>227</v>
      </c>
      <c r="N2418">
        <v>392</v>
      </c>
      <c r="O2418">
        <v>0</v>
      </c>
      <c r="P2418">
        <v>392</v>
      </c>
      <c r="Q2418">
        <v>1</v>
      </c>
      <c r="R2418">
        <v>101</v>
      </c>
      <c r="S2418">
        <v>2</v>
      </c>
      <c r="U2418">
        <v>27</v>
      </c>
      <c r="V2418">
        <v>2</v>
      </c>
      <c r="W2418">
        <v>41</v>
      </c>
      <c r="X2418">
        <v>192</v>
      </c>
      <c r="Y2418">
        <v>10</v>
      </c>
      <c r="Z2418">
        <v>2</v>
      </c>
      <c r="AB2418">
        <v>2</v>
      </c>
      <c r="AF2418">
        <v>1</v>
      </c>
      <c r="AG2418">
        <v>1</v>
      </c>
      <c r="AH2418">
        <v>0</v>
      </c>
      <c r="AI2418">
        <v>0</v>
      </c>
      <c r="AW2418">
        <v>0</v>
      </c>
      <c r="AX2418">
        <v>10</v>
      </c>
      <c r="AY2418">
        <v>392</v>
      </c>
      <c r="AZ2418">
        <v>392</v>
      </c>
      <c r="BA2418">
        <v>575</v>
      </c>
      <c r="BB2418">
        <v>44</v>
      </c>
      <c r="BD2418">
        <v>1</v>
      </c>
      <c r="BF2418" t="s">
        <v>2606</v>
      </c>
      <c r="BG2418" s="1">
        <v>44354.149305555555</v>
      </c>
      <c r="BH2418" s="1">
        <v>44354.167083333334</v>
      </c>
      <c r="BI2418" s="1">
        <v>44354.167546296296</v>
      </c>
      <c r="BJ2418" t="s">
        <v>85</v>
      </c>
      <c r="BK2418" t="s">
        <v>86</v>
      </c>
      <c r="BL2418" t="s">
        <v>87</v>
      </c>
    </row>
    <row r="2419" spans="1:64" x14ac:dyDescent="0.3">
      <c r="A2419" t="str">
        <f>"201568E0100"</f>
        <v>201568E0100</v>
      </c>
      <c r="B2419" t="str">
        <f>"201568E01003"</f>
        <v>201568E01003</v>
      </c>
      <c r="C2419" t="str">
        <f t="shared" si="155"/>
        <v>20</v>
      </c>
      <c r="D2419" t="s">
        <v>81</v>
      </c>
      <c r="E2419" t="str">
        <f t="shared" si="157"/>
        <v>332</v>
      </c>
      <c r="F2419" t="s">
        <v>2595</v>
      </c>
      <c r="G2419" t="str">
        <f>"1568"</f>
        <v>1568</v>
      </c>
      <c r="H2419" t="str">
        <f>"0001"</f>
        <v>0001</v>
      </c>
      <c r="I2419" t="s">
        <v>122</v>
      </c>
      <c r="J2419">
        <v>0</v>
      </c>
      <c r="K2419">
        <v>1</v>
      </c>
      <c r="L2419">
        <v>3</v>
      </c>
      <c r="M2419">
        <v>225</v>
      </c>
      <c r="N2419">
        <v>225</v>
      </c>
      <c r="O2419">
        <v>0</v>
      </c>
      <c r="P2419" t="s">
        <v>92</v>
      </c>
      <c r="Q2419">
        <v>5</v>
      </c>
      <c r="R2419">
        <v>69</v>
      </c>
      <c r="S2419">
        <v>1</v>
      </c>
      <c r="U2419">
        <v>14</v>
      </c>
      <c r="V2419">
        <v>1</v>
      </c>
      <c r="W2419">
        <v>7</v>
      </c>
      <c r="X2419">
        <v>112</v>
      </c>
      <c r="Y2419">
        <v>6</v>
      </c>
      <c r="Z2419">
        <v>0</v>
      </c>
      <c r="AB2419">
        <v>1</v>
      </c>
      <c r="AF2419">
        <v>1</v>
      </c>
      <c r="AG2419">
        <v>0</v>
      </c>
      <c r="AH2419">
        <v>0</v>
      </c>
      <c r="AI2419">
        <v>0</v>
      </c>
      <c r="AW2419">
        <v>0</v>
      </c>
      <c r="AX2419">
        <v>5</v>
      </c>
      <c r="AY2419" t="s">
        <v>95</v>
      </c>
      <c r="AZ2419">
        <v>222</v>
      </c>
      <c r="BA2419">
        <v>426</v>
      </c>
      <c r="BB2419">
        <v>44</v>
      </c>
      <c r="BD2419">
        <v>1</v>
      </c>
      <c r="BF2419" t="s">
        <v>2607</v>
      </c>
      <c r="BG2419" s="1">
        <v>44354.150694444441</v>
      </c>
      <c r="BH2419" s="1">
        <v>44354.15556712963</v>
      </c>
      <c r="BI2419" s="1">
        <v>44354.157569444447</v>
      </c>
      <c r="BJ2419" t="s">
        <v>85</v>
      </c>
      <c r="BK2419" t="s">
        <v>86</v>
      </c>
      <c r="BL2419" t="s">
        <v>1390</v>
      </c>
    </row>
    <row r="2420" spans="1:64" x14ac:dyDescent="0.3">
      <c r="A2420" t="str">
        <f>"201568E0101"</f>
        <v>201568E0101</v>
      </c>
      <c r="B2420" t="str">
        <f>"201568E01013"</f>
        <v>201568E01013</v>
      </c>
      <c r="C2420" t="str">
        <f t="shared" si="155"/>
        <v>20</v>
      </c>
      <c r="D2420" t="s">
        <v>81</v>
      </c>
      <c r="E2420" t="str">
        <f t="shared" si="157"/>
        <v>332</v>
      </c>
      <c r="F2420" t="s">
        <v>2595</v>
      </c>
      <c r="G2420" t="str">
        <f>"1568"</f>
        <v>1568</v>
      </c>
      <c r="H2420" t="str">
        <f>"0001"</f>
        <v>0001</v>
      </c>
      <c r="I2420" t="s">
        <v>122</v>
      </c>
      <c r="J2420">
        <v>1</v>
      </c>
      <c r="K2420">
        <v>1</v>
      </c>
      <c r="L2420">
        <v>3</v>
      </c>
      <c r="M2420">
        <v>182</v>
      </c>
      <c r="N2420">
        <v>288</v>
      </c>
      <c r="O2420">
        <v>7</v>
      </c>
      <c r="P2420" t="s">
        <v>92</v>
      </c>
      <c r="Q2420">
        <v>9</v>
      </c>
      <c r="R2420">
        <v>106</v>
      </c>
      <c r="S2420">
        <v>0</v>
      </c>
      <c r="U2420">
        <v>17</v>
      </c>
      <c r="V2420">
        <v>2</v>
      </c>
      <c r="W2420">
        <v>17</v>
      </c>
      <c r="X2420">
        <v>111</v>
      </c>
      <c r="Y2420">
        <v>15</v>
      </c>
      <c r="Z2420">
        <v>0</v>
      </c>
      <c r="AB2420">
        <v>0</v>
      </c>
      <c r="AF2420">
        <v>0</v>
      </c>
      <c r="AG2420">
        <v>0</v>
      </c>
      <c r="AH2420">
        <v>0</v>
      </c>
      <c r="AI2420">
        <v>0</v>
      </c>
      <c r="AW2420">
        <v>0</v>
      </c>
      <c r="AX2420">
        <v>11</v>
      </c>
      <c r="AY2420">
        <v>11</v>
      </c>
      <c r="AZ2420">
        <v>288</v>
      </c>
      <c r="BA2420">
        <v>426</v>
      </c>
      <c r="BB2420">
        <v>44</v>
      </c>
      <c r="BD2420">
        <v>1</v>
      </c>
      <c r="BF2420" t="s">
        <v>2608</v>
      </c>
      <c r="BG2420" s="1">
        <v>44354.158333333333</v>
      </c>
      <c r="BH2420" s="1">
        <v>44354.167141203703</v>
      </c>
      <c r="BI2420" s="1">
        <v>44354.167627314811</v>
      </c>
      <c r="BJ2420" t="s">
        <v>85</v>
      </c>
      <c r="BK2420" t="s">
        <v>86</v>
      </c>
      <c r="BL2420" t="s">
        <v>87</v>
      </c>
    </row>
    <row r="2421" spans="1:64" x14ac:dyDescent="0.3">
      <c r="A2421" t="str">
        <f>"201569B0000"</f>
        <v>201569B0000</v>
      </c>
      <c r="B2421" t="str">
        <f>"201569B00003"</f>
        <v>201569B00003</v>
      </c>
      <c r="C2421" t="str">
        <f t="shared" si="155"/>
        <v>20</v>
      </c>
      <c r="D2421" t="s">
        <v>81</v>
      </c>
      <c r="E2421" t="str">
        <f t="shared" si="157"/>
        <v>332</v>
      </c>
      <c r="F2421" t="s">
        <v>2595</v>
      </c>
      <c r="G2421" t="str">
        <f>"1569"</f>
        <v>1569</v>
      </c>
      <c r="H2421" t="str">
        <f>"0000"</f>
        <v>0000</v>
      </c>
      <c r="I2421" t="s">
        <v>83</v>
      </c>
      <c r="J2421">
        <v>0</v>
      </c>
      <c r="K2421">
        <v>1</v>
      </c>
      <c r="L2421">
        <v>3</v>
      </c>
      <c r="M2421">
        <v>323</v>
      </c>
      <c r="N2421" t="s">
        <v>92</v>
      </c>
      <c r="O2421" t="s">
        <v>92</v>
      </c>
      <c r="P2421">
        <v>375</v>
      </c>
      <c r="Q2421">
        <v>1</v>
      </c>
      <c r="R2421">
        <v>105</v>
      </c>
      <c r="S2421">
        <v>4</v>
      </c>
      <c r="U2421">
        <v>51</v>
      </c>
      <c r="V2421">
        <v>5</v>
      </c>
      <c r="W2421">
        <v>30</v>
      </c>
      <c r="X2421">
        <v>122</v>
      </c>
      <c r="Y2421">
        <v>40</v>
      </c>
      <c r="Z2421">
        <v>5</v>
      </c>
      <c r="AB2421">
        <v>1</v>
      </c>
      <c r="AF2421">
        <v>3</v>
      </c>
      <c r="AG2421">
        <v>0</v>
      </c>
      <c r="AH2421">
        <v>0</v>
      </c>
      <c r="AI2421">
        <v>0</v>
      </c>
      <c r="AW2421">
        <v>0</v>
      </c>
      <c r="AX2421">
        <v>8</v>
      </c>
      <c r="AY2421">
        <v>375</v>
      </c>
      <c r="AZ2421">
        <v>375</v>
      </c>
      <c r="BA2421">
        <v>655</v>
      </c>
      <c r="BB2421">
        <v>44</v>
      </c>
      <c r="BD2421">
        <v>1</v>
      </c>
      <c r="BF2421" t="s">
        <v>2609</v>
      </c>
      <c r="BG2421" s="1">
        <v>44354.128472222219</v>
      </c>
      <c r="BH2421" s="1">
        <v>44354.130289351851</v>
      </c>
      <c r="BI2421" s="1">
        <v>44354.130787037036</v>
      </c>
      <c r="BJ2421" t="s">
        <v>85</v>
      </c>
      <c r="BK2421" t="s">
        <v>86</v>
      </c>
      <c r="BL2421" t="s">
        <v>87</v>
      </c>
    </row>
    <row r="2422" spans="1:64" x14ac:dyDescent="0.3">
      <c r="A2422" t="str">
        <f>"201569C0100"</f>
        <v>201569C0100</v>
      </c>
      <c r="B2422" t="str">
        <f>"201569C01003"</f>
        <v>201569C01003</v>
      </c>
      <c r="C2422" t="str">
        <f t="shared" si="155"/>
        <v>20</v>
      </c>
      <c r="D2422" t="s">
        <v>81</v>
      </c>
      <c r="E2422" t="str">
        <f t="shared" si="157"/>
        <v>332</v>
      </c>
      <c r="F2422" t="s">
        <v>2595</v>
      </c>
      <c r="G2422" t="str">
        <f>"1569"</f>
        <v>1569</v>
      </c>
      <c r="H2422" t="str">
        <f>"0001"</f>
        <v>0001</v>
      </c>
      <c r="I2422" t="s">
        <v>89</v>
      </c>
      <c r="J2422">
        <v>0</v>
      </c>
      <c r="K2422">
        <v>1</v>
      </c>
      <c r="L2422">
        <v>3</v>
      </c>
      <c r="BA2422">
        <v>655</v>
      </c>
      <c r="BB2422">
        <v>44</v>
      </c>
      <c r="BC2422" t="s">
        <v>381</v>
      </c>
      <c r="BD2422">
        <v>0</v>
      </c>
      <c r="BF2422" t="s">
        <v>2610</v>
      </c>
      <c r="BG2422" s="1">
        <v>44354.294444444444</v>
      </c>
      <c r="BH2422" s="1">
        <v>44354.295486111114</v>
      </c>
      <c r="BI2422" s="1">
        <v>44354.295486111114</v>
      </c>
      <c r="BJ2422" t="s">
        <v>85</v>
      </c>
      <c r="BK2422" t="s">
        <v>86</v>
      </c>
      <c r="BL2422" t="s">
        <v>87</v>
      </c>
    </row>
    <row r="2423" spans="1:64" x14ac:dyDescent="0.3">
      <c r="A2423" t="str">
        <f>"201569C0200"</f>
        <v>201569C0200</v>
      </c>
      <c r="B2423" t="str">
        <f>"201569C02003"</f>
        <v>201569C02003</v>
      </c>
      <c r="C2423" t="str">
        <f t="shared" si="155"/>
        <v>20</v>
      </c>
      <c r="D2423" t="s">
        <v>81</v>
      </c>
      <c r="E2423" t="str">
        <f t="shared" si="157"/>
        <v>332</v>
      </c>
      <c r="F2423" t="s">
        <v>2595</v>
      </c>
      <c r="G2423" t="str">
        <f>"1569"</f>
        <v>1569</v>
      </c>
      <c r="H2423" t="str">
        <f>"0002"</f>
        <v>0002</v>
      </c>
      <c r="I2423" t="s">
        <v>89</v>
      </c>
      <c r="J2423">
        <v>0</v>
      </c>
      <c r="K2423">
        <v>1</v>
      </c>
      <c r="L2423">
        <v>3</v>
      </c>
      <c r="M2423">
        <v>326</v>
      </c>
      <c r="N2423">
        <v>373</v>
      </c>
      <c r="O2423">
        <v>5</v>
      </c>
      <c r="P2423">
        <v>368</v>
      </c>
      <c r="Q2423">
        <v>1</v>
      </c>
      <c r="R2423">
        <v>120</v>
      </c>
      <c r="S2423">
        <v>3</v>
      </c>
      <c r="U2423">
        <v>39</v>
      </c>
      <c r="V2423">
        <v>4</v>
      </c>
      <c r="W2423">
        <v>27</v>
      </c>
      <c r="X2423">
        <v>125</v>
      </c>
      <c r="Y2423">
        <v>27</v>
      </c>
      <c r="Z2423">
        <v>4</v>
      </c>
      <c r="AB2423">
        <v>1</v>
      </c>
      <c r="AF2423">
        <v>3</v>
      </c>
      <c r="AG2423">
        <v>1</v>
      </c>
      <c r="AH2423">
        <v>0</v>
      </c>
      <c r="AI2423">
        <v>0</v>
      </c>
      <c r="AW2423">
        <v>0</v>
      </c>
      <c r="AX2423">
        <v>17</v>
      </c>
      <c r="AY2423">
        <v>373</v>
      </c>
      <c r="AZ2423">
        <v>372</v>
      </c>
      <c r="BA2423">
        <v>655</v>
      </c>
      <c r="BB2423">
        <v>44</v>
      </c>
      <c r="BD2423">
        <v>1</v>
      </c>
      <c r="BF2423" t="s">
        <v>2611</v>
      </c>
      <c r="BG2423" s="1">
        <v>44354.123611111114</v>
      </c>
      <c r="BH2423" s="1">
        <v>44354.125486111108</v>
      </c>
      <c r="BI2423" s="1">
        <v>44354.126736111109</v>
      </c>
      <c r="BJ2423" t="s">
        <v>85</v>
      </c>
      <c r="BK2423" t="s">
        <v>86</v>
      </c>
      <c r="BL2423" t="s">
        <v>87</v>
      </c>
    </row>
    <row r="2424" spans="1:64" x14ac:dyDescent="0.3">
      <c r="A2424" t="str">
        <f>"201570B0000"</f>
        <v>201570B0000</v>
      </c>
      <c r="B2424" t="str">
        <f>"201570B00003"</f>
        <v>201570B00003</v>
      </c>
      <c r="C2424" t="str">
        <f t="shared" si="155"/>
        <v>20</v>
      </c>
      <c r="D2424" t="s">
        <v>81</v>
      </c>
      <c r="E2424" t="str">
        <f t="shared" si="157"/>
        <v>332</v>
      </c>
      <c r="F2424" t="s">
        <v>2595</v>
      </c>
      <c r="G2424" t="str">
        <f>"1570"</f>
        <v>1570</v>
      </c>
      <c r="H2424" t="str">
        <f>"0000"</f>
        <v>0000</v>
      </c>
      <c r="I2424" t="s">
        <v>83</v>
      </c>
      <c r="J2424">
        <v>0</v>
      </c>
      <c r="K2424">
        <v>1</v>
      </c>
      <c r="L2424">
        <v>3</v>
      </c>
      <c r="M2424">
        <v>373</v>
      </c>
      <c r="N2424">
        <v>385</v>
      </c>
      <c r="O2424">
        <v>5</v>
      </c>
      <c r="P2424">
        <v>385</v>
      </c>
      <c r="Q2424">
        <v>3</v>
      </c>
      <c r="R2424">
        <v>119</v>
      </c>
      <c r="S2424">
        <v>5</v>
      </c>
      <c r="U2424">
        <v>23</v>
      </c>
      <c r="V2424">
        <v>2</v>
      </c>
      <c r="W2424">
        <v>30</v>
      </c>
      <c r="X2424">
        <v>139</v>
      </c>
      <c r="Y2424">
        <v>42</v>
      </c>
      <c r="Z2424">
        <v>2</v>
      </c>
      <c r="AB2424">
        <v>3</v>
      </c>
      <c r="AF2424">
        <v>3</v>
      </c>
      <c r="AG2424">
        <v>3</v>
      </c>
      <c r="AH2424">
        <v>0</v>
      </c>
      <c r="AI2424">
        <v>1</v>
      </c>
      <c r="AW2424">
        <v>0</v>
      </c>
      <c r="AX2424">
        <v>10</v>
      </c>
      <c r="AY2424">
        <v>385</v>
      </c>
      <c r="AZ2424">
        <v>385</v>
      </c>
      <c r="BA2424">
        <v>714</v>
      </c>
      <c r="BB2424">
        <v>44</v>
      </c>
      <c r="BD2424">
        <v>1</v>
      </c>
      <c r="BF2424" t="s">
        <v>2612</v>
      </c>
      <c r="BG2424" s="1">
        <v>44354.095833333333</v>
      </c>
      <c r="BH2424" s="1">
        <v>44354.098807870374</v>
      </c>
      <c r="BI2424" s="1">
        <v>44354.099212962959</v>
      </c>
      <c r="BJ2424" t="s">
        <v>85</v>
      </c>
      <c r="BK2424" t="s">
        <v>86</v>
      </c>
      <c r="BL2424" t="s">
        <v>87</v>
      </c>
    </row>
    <row r="2425" spans="1:64" x14ac:dyDescent="0.3">
      <c r="A2425" t="str">
        <f>"201570C0100"</f>
        <v>201570C0100</v>
      </c>
      <c r="B2425" t="str">
        <f>"201570C01003"</f>
        <v>201570C01003</v>
      </c>
      <c r="C2425" t="str">
        <f t="shared" si="155"/>
        <v>20</v>
      </c>
      <c r="D2425" t="s">
        <v>81</v>
      </c>
      <c r="E2425" t="str">
        <f t="shared" si="157"/>
        <v>332</v>
      </c>
      <c r="F2425" t="s">
        <v>2595</v>
      </c>
      <c r="G2425" t="str">
        <f>"1570"</f>
        <v>1570</v>
      </c>
      <c r="H2425" t="str">
        <f>"0001"</f>
        <v>0001</v>
      </c>
      <c r="I2425" t="s">
        <v>89</v>
      </c>
      <c r="J2425">
        <v>0</v>
      </c>
      <c r="K2425">
        <v>1</v>
      </c>
      <c r="L2425">
        <v>3</v>
      </c>
      <c r="M2425">
        <v>384</v>
      </c>
      <c r="N2425">
        <v>374</v>
      </c>
      <c r="O2425">
        <v>1</v>
      </c>
      <c r="P2425">
        <v>374</v>
      </c>
      <c r="Q2425">
        <v>3</v>
      </c>
      <c r="R2425">
        <v>103</v>
      </c>
      <c r="S2425">
        <v>4</v>
      </c>
      <c r="U2425">
        <v>44</v>
      </c>
      <c r="V2425">
        <v>3</v>
      </c>
      <c r="W2425">
        <v>34</v>
      </c>
      <c r="X2425">
        <v>136</v>
      </c>
      <c r="Y2425">
        <v>25</v>
      </c>
      <c r="Z2425">
        <v>2</v>
      </c>
      <c r="AB2425">
        <v>5</v>
      </c>
      <c r="AF2425">
        <v>3</v>
      </c>
      <c r="AG2425">
        <v>1</v>
      </c>
      <c r="AH2425">
        <v>0</v>
      </c>
      <c r="AI2425">
        <v>1</v>
      </c>
      <c r="AW2425">
        <v>0</v>
      </c>
      <c r="AX2425">
        <v>10</v>
      </c>
      <c r="AY2425">
        <v>374</v>
      </c>
      <c r="AZ2425">
        <v>374</v>
      </c>
      <c r="BA2425">
        <v>714</v>
      </c>
      <c r="BB2425">
        <v>44</v>
      </c>
      <c r="BD2425">
        <v>1</v>
      </c>
      <c r="BF2425" t="s">
        <v>2613</v>
      </c>
      <c r="BG2425" s="1">
        <v>44354.093055555553</v>
      </c>
      <c r="BH2425" s="1">
        <v>44354.097708333335</v>
      </c>
      <c r="BI2425" s="1">
        <v>44354.098275462966</v>
      </c>
      <c r="BJ2425" t="s">
        <v>85</v>
      </c>
      <c r="BK2425" t="s">
        <v>86</v>
      </c>
      <c r="BL2425" t="s">
        <v>87</v>
      </c>
    </row>
    <row r="2426" spans="1:64" x14ac:dyDescent="0.3">
      <c r="A2426" t="str">
        <f>"201570C0200"</f>
        <v>201570C0200</v>
      </c>
      <c r="B2426" t="str">
        <f>"201570C02003"</f>
        <v>201570C02003</v>
      </c>
      <c r="C2426" t="str">
        <f t="shared" si="155"/>
        <v>20</v>
      </c>
      <c r="D2426" t="s">
        <v>81</v>
      </c>
      <c r="E2426" t="str">
        <f t="shared" si="157"/>
        <v>332</v>
      </c>
      <c r="F2426" t="s">
        <v>2595</v>
      </c>
      <c r="G2426" t="str">
        <f>"1570"</f>
        <v>1570</v>
      </c>
      <c r="H2426" t="str">
        <f>"0002"</f>
        <v>0002</v>
      </c>
      <c r="I2426" t="s">
        <v>89</v>
      </c>
      <c r="J2426">
        <v>0</v>
      </c>
      <c r="K2426">
        <v>1</v>
      </c>
      <c r="L2426">
        <v>3</v>
      </c>
      <c r="M2426">
        <v>364</v>
      </c>
      <c r="N2426">
        <v>394</v>
      </c>
      <c r="O2426">
        <v>2</v>
      </c>
      <c r="P2426">
        <v>394</v>
      </c>
      <c r="Q2426">
        <v>5</v>
      </c>
      <c r="R2426">
        <v>18</v>
      </c>
      <c r="S2426">
        <v>7</v>
      </c>
      <c r="U2426">
        <v>34</v>
      </c>
      <c r="V2426">
        <v>5</v>
      </c>
      <c r="W2426">
        <v>41</v>
      </c>
      <c r="X2426">
        <v>132</v>
      </c>
      <c r="Y2426">
        <v>41</v>
      </c>
      <c r="Z2426">
        <v>0</v>
      </c>
      <c r="AB2426">
        <v>0</v>
      </c>
      <c r="AF2426">
        <v>4</v>
      </c>
      <c r="AG2426" t="s">
        <v>95</v>
      </c>
      <c r="AH2426" t="s">
        <v>95</v>
      </c>
      <c r="AI2426" t="s">
        <v>95</v>
      </c>
      <c r="AW2426">
        <v>1</v>
      </c>
      <c r="AX2426">
        <v>6</v>
      </c>
      <c r="AY2426">
        <v>394</v>
      </c>
      <c r="AZ2426">
        <v>294</v>
      </c>
      <c r="BA2426">
        <v>714</v>
      </c>
      <c r="BB2426">
        <v>44</v>
      </c>
      <c r="BC2426" t="s">
        <v>96</v>
      </c>
      <c r="BD2426">
        <v>1</v>
      </c>
      <c r="BF2426" s="2" t="s">
        <v>2614</v>
      </c>
      <c r="BG2426" s="1">
        <v>44354.088888888888</v>
      </c>
      <c r="BH2426" s="1">
        <v>44354.095312500001</v>
      </c>
      <c r="BI2426" s="1">
        <v>44354.096076388887</v>
      </c>
      <c r="BJ2426" t="s">
        <v>85</v>
      </c>
      <c r="BK2426" t="s">
        <v>86</v>
      </c>
      <c r="BL2426" t="s">
        <v>87</v>
      </c>
    </row>
    <row r="2427" spans="1:64" x14ac:dyDescent="0.3">
      <c r="A2427" t="str">
        <f>"201570C0300"</f>
        <v>201570C0300</v>
      </c>
      <c r="B2427" t="str">
        <f>"201570C03003"</f>
        <v>201570C03003</v>
      </c>
      <c r="C2427" t="str">
        <f t="shared" si="155"/>
        <v>20</v>
      </c>
      <c r="D2427" t="s">
        <v>81</v>
      </c>
      <c r="E2427" t="str">
        <f t="shared" si="157"/>
        <v>332</v>
      </c>
      <c r="F2427" t="s">
        <v>2595</v>
      </c>
      <c r="G2427" t="str">
        <f>"1570"</f>
        <v>1570</v>
      </c>
      <c r="H2427" t="str">
        <f>"0003"</f>
        <v>0003</v>
      </c>
      <c r="I2427" t="s">
        <v>89</v>
      </c>
      <c r="J2427">
        <v>0</v>
      </c>
      <c r="K2427">
        <v>1</v>
      </c>
      <c r="L2427">
        <v>3</v>
      </c>
      <c r="M2427">
        <v>373</v>
      </c>
      <c r="N2427">
        <v>385</v>
      </c>
      <c r="O2427">
        <v>5</v>
      </c>
      <c r="P2427">
        <v>385</v>
      </c>
      <c r="Q2427">
        <v>1</v>
      </c>
      <c r="R2427">
        <v>120</v>
      </c>
      <c r="S2427">
        <v>7</v>
      </c>
      <c r="U2427">
        <v>33</v>
      </c>
      <c r="V2427">
        <v>4</v>
      </c>
      <c r="W2427">
        <v>23</v>
      </c>
      <c r="X2427">
        <v>154</v>
      </c>
      <c r="Y2427">
        <v>22</v>
      </c>
      <c r="Z2427">
        <v>2</v>
      </c>
      <c r="AB2427">
        <v>8</v>
      </c>
      <c r="AF2427">
        <v>1</v>
      </c>
      <c r="AG2427">
        <v>2</v>
      </c>
      <c r="AH2427">
        <v>0</v>
      </c>
      <c r="AI2427">
        <v>1</v>
      </c>
      <c r="AW2427">
        <v>0</v>
      </c>
      <c r="AX2427">
        <v>7</v>
      </c>
      <c r="AY2427">
        <v>385</v>
      </c>
      <c r="AZ2427">
        <v>385</v>
      </c>
      <c r="BA2427">
        <v>714</v>
      </c>
      <c r="BB2427">
        <v>44</v>
      </c>
      <c r="BD2427">
        <v>1</v>
      </c>
      <c r="BF2427" t="s">
        <v>2615</v>
      </c>
      <c r="BG2427" s="1">
        <v>44354.092361111114</v>
      </c>
      <c r="BH2427" s="1">
        <v>44354.096979166665</v>
      </c>
      <c r="BI2427" s="1">
        <v>44354.099398148152</v>
      </c>
      <c r="BJ2427" t="s">
        <v>85</v>
      </c>
      <c r="BK2427" t="s">
        <v>86</v>
      </c>
      <c r="BL2427" t="s">
        <v>87</v>
      </c>
    </row>
    <row r="2428" spans="1:64" x14ac:dyDescent="0.3">
      <c r="A2428" t="str">
        <f>"201571B0000"</f>
        <v>201571B0000</v>
      </c>
      <c r="B2428" t="str">
        <f>"201571B00003"</f>
        <v>201571B00003</v>
      </c>
      <c r="C2428" t="str">
        <f t="shared" si="155"/>
        <v>20</v>
      </c>
      <c r="D2428" t="s">
        <v>81</v>
      </c>
      <c r="E2428" t="str">
        <f t="shared" si="157"/>
        <v>332</v>
      </c>
      <c r="F2428" t="s">
        <v>2595</v>
      </c>
      <c r="G2428" t="str">
        <f>"1571"</f>
        <v>1571</v>
      </c>
      <c r="H2428" t="str">
        <f>"0000"</f>
        <v>0000</v>
      </c>
      <c r="I2428" t="s">
        <v>83</v>
      </c>
      <c r="J2428">
        <v>0</v>
      </c>
      <c r="K2428">
        <v>1</v>
      </c>
      <c r="L2428">
        <v>3</v>
      </c>
      <c r="M2428">
        <v>245</v>
      </c>
      <c r="N2428">
        <v>333</v>
      </c>
      <c r="O2428">
        <v>3</v>
      </c>
      <c r="P2428">
        <v>333</v>
      </c>
      <c r="Q2428">
        <v>1</v>
      </c>
      <c r="R2428">
        <v>102</v>
      </c>
      <c r="S2428">
        <v>12</v>
      </c>
      <c r="U2428">
        <v>44</v>
      </c>
      <c r="V2428">
        <v>2</v>
      </c>
      <c r="W2428">
        <v>23</v>
      </c>
      <c r="X2428">
        <v>108</v>
      </c>
      <c r="Y2428">
        <v>26</v>
      </c>
      <c r="Z2428">
        <v>3</v>
      </c>
      <c r="AB2428">
        <v>2</v>
      </c>
      <c r="AF2428">
        <v>2</v>
      </c>
      <c r="AG2428">
        <v>0</v>
      </c>
      <c r="AH2428">
        <v>0</v>
      </c>
      <c r="AI2428">
        <v>0</v>
      </c>
      <c r="AW2428">
        <v>0</v>
      </c>
      <c r="AX2428">
        <v>8</v>
      </c>
      <c r="AY2428">
        <v>333</v>
      </c>
      <c r="AZ2428">
        <v>333</v>
      </c>
      <c r="BA2428">
        <v>534</v>
      </c>
      <c r="BB2428">
        <v>44</v>
      </c>
      <c r="BD2428">
        <v>1</v>
      </c>
      <c r="BF2428" t="s">
        <v>2616</v>
      </c>
      <c r="BG2428" s="1">
        <v>44354.07916666667</v>
      </c>
      <c r="BH2428" s="1">
        <v>44354.0862037037</v>
      </c>
      <c r="BI2428" s="1">
        <v>44354.087071759262</v>
      </c>
      <c r="BJ2428" t="s">
        <v>85</v>
      </c>
      <c r="BK2428" t="s">
        <v>86</v>
      </c>
      <c r="BL2428" t="s">
        <v>87</v>
      </c>
    </row>
    <row r="2429" spans="1:64" x14ac:dyDescent="0.3">
      <c r="A2429" t="str">
        <f>"201571C0100"</f>
        <v>201571C0100</v>
      </c>
      <c r="B2429" t="str">
        <f>"201571C01003"</f>
        <v>201571C01003</v>
      </c>
      <c r="C2429" t="str">
        <f t="shared" si="155"/>
        <v>20</v>
      </c>
      <c r="D2429" t="s">
        <v>81</v>
      </c>
      <c r="E2429" t="str">
        <f t="shared" si="157"/>
        <v>332</v>
      </c>
      <c r="F2429" t="s">
        <v>2595</v>
      </c>
      <c r="G2429" t="str">
        <f>"1571"</f>
        <v>1571</v>
      </c>
      <c r="H2429" t="str">
        <f>"0001"</f>
        <v>0001</v>
      </c>
      <c r="I2429" t="s">
        <v>89</v>
      </c>
      <c r="J2429">
        <v>0</v>
      </c>
      <c r="K2429">
        <v>1</v>
      </c>
      <c r="L2429">
        <v>3</v>
      </c>
      <c r="M2429">
        <v>273</v>
      </c>
      <c r="N2429">
        <v>304</v>
      </c>
      <c r="O2429">
        <v>3</v>
      </c>
      <c r="P2429">
        <v>304</v>
      </c>
      <c r="Q2429">
        <v>3</v>
      </c>
      <c r="R2429">
        <v>82</v>
      </c>
      <c r="S2429">
        <v>4</v>
      </c>
      <c r="U2429">
        <v>52</v>
      </c>
      <c r="V2429">
        <v>1</v>
      </c>
      <c r="W2429">
        <v>26</v>
      </c>
      <c r="X2429">
        <v>86</v>
      </c>
      <c r="Y2429">
        <v>24</v>
      </c>
      <c r="Z2429">
        <v>2</v>
      </c>
      <c r="AB2429">
        <v>6</v>
      </c>
      <c r="AF2429">
        <v>5</v>
      </c>
      <c r="AG2429">
        <v>0</v>
      </c>
      <c r="AH2429">
        <v>0</v>
      </c>
      <c r="AI2429">
        <v>0</v>
      </c>
      <c r="AW2429">
        <v>0</v>
      </c>
      <c r="AX2429">
        <v>11</v>
      </c>
      <c r="AY2429">
        <v>304</v>
      </c>
      <c r="AZ2429">
        <v>302</v>
      </c>
      <c r="BA2429">
        <v>533</v>
      </c>
      <c r="BB2429">
        <v>44</v>
      </c>
      <c r="BD2429">
        <v>1</v>
      </c>
      <c r="BF2429" t="s">
        <v>2617</v>
      </c>
      <c r="BG2429" s="1">
        <v>44353.770833333336</v>
      </c>
      <c r="BH2429" s="1">
        <v>44354.09275462963</v>
      </c>
      <c r="BI2429" s="1">
        <v>44354.093472222223</v>
      </c>
      <c r="BJ2429" t="s">
        <v>85</v>
      </c>
      <c r="BK2429" t="s">
        <v>86</v>
      </c>
      <c r="BL2429" t="s">
        <v>1390</v>
      </c>
    </row>
    <row r="2430" spans="1:64" x14ac:dyDescent="0.3">
      <c r="A2430" t="str">
        <f>"201572B0000"</f>
        <v>201572B0000</v>
      </c>
      <c r="B2430" t="str">
        <f>"201572B00003"</f>
        <v>201572B00003</v>
      </c>
      <c r="C2430" t="str">
        <f t="shared" si="155"/>
        <v>20</v>
      </c>
      <c r="D2430" t="s">
        <v>81</v>
      </c>
      <c r="E2430" t="str">
        <f t="shared" si="157"/>
        <v>332</v>
      </c>
      <c r="F2430" t="s">
        <v>2595</v>
      </c>
      <c r="G2430" t="str">
        <f>"1572"</f>
        <v>1572</v>
      </c>
      <c r="H2430" t="str">
        <f>"0000"</f>
        <v>0000</v>
      </c>
      <c r="I2430" t="s">
        <v>83</v>
      </c>
      <c r="J2430">
        <v>0</v>
      </c>
      <c r="K2430">
        <v>1</v>
      </c>
      <c r="L2430">
        <v>3</v>
      </c>
      <c r="M2430" t="s">
        <v>131</v>
      </c>
      <c r="N2430" t="s">
        <v>131</v>
      </c>
      <c r="O2430" t="s">
        <v>131</v>
      </c>
      <c r="P2430" t="s">
        <v>131</v>
      </c>
      <c r="Q2430" t="s">
        <v>131</v>
      </c>
      <c r="R2430" t="s">
        <v>131</v>
      </c>
      <c r="S2430" t="s">
        <v>131</v>
      </c>
      <c r="U2430" t="s">
        <v>131</v>
      </c>
      <c r="V2430" t="s">
        <v>131</v>
      </c>
      <c r="W2430" t="s">
        <v>131</v>
      </c>
      <c r="X2430" t="s">
        <v>131</v>
      </c>
      <c r="Y2430" t="s">
        <v>131</v>
      </c>
      <c r="Z2430" t="s">
        <v>131</v>
      </c>
      <c r="AB2430" t="s">
        <v>131</v>
      </c>
      <c r="AF2430" t="s">
        <v>131</v>
      </c>
      <c r="AG2430" t="s">
        <v>131</v>
      </c>
      <c r="AH2430" t="s">
        <v>131</v>
      </c>
      <c r="AI2430" t="s">
        <v>131</v>
      </c>
      <c r="AW2430" t="s">
        <v>131</v>
      </c>
      <c r="AX2430" t="s">
        <v>131</v>
      </c>
      <c r="BA2430">
        <v>651</v>
      </c>
      <c r="BB2430">
        <v>44</v>
      </c>
      <c r="BC2430" t="s">
        <v>712</v>
      </c>
      <c r="BD2430">
        <v>0</v>
      </c>
      <c r="BF2430" t="s">
        <v>2618</v>
      </c>
      <c r="BG2430" s="1">
        <v>44354.127083333333</v>
      </c>
      <c r="BH2430" s="1">
        <v>44354.133692129632</v>
      </c>
      <c r="BI2430" s="1">
        <v>44354.136631944442</v>
      </c>
      <c r="BJ2430" t="s">
        <v>85</v>
      </c>
      <c r="BK2430" t="s">
        <v>86</v>
      </c>
      <c r="BL2430" t="s">
        <v>1390</v>
      </c>
    </row>
    <row r="2431" spans="1:64" x14ac:dyDescent="0.3">
      <c r="A2431" t="str">
        <f>"201572C0100"</f>
        <v>201572C0100</v>
      </c>
      <c r="B2431" t="str">
        <f>"201572C01003"</f>
        <v>201572C01003</v>
      </c>
      <c r="C2431" t="str">
        <f t="shared" si="155"/>
        <v>20</v>
      </c>
      <c r="D2431" t="s">
        <v>81</v>
      </c>
      <c r="E2431" t="str">
        <f t="shared" si="157"/>
        <v>332</v>
      </c>
      <c r="F2431" t="s">
        <v>2595</v>
      </c>
      <c r="G2431" t="str">
        <f>"1572"</f>
        <v>1572</v>
      </c>
      <c r="H2431" t="str">
        <f>"0001"</f>
        <v>0001</v>
      </c>
      <c r="I2431" t="s">
        <v>89</v>
      </c>
      <c r="J2431">
        <v>0</v>
      </c>
      <c r="K2431">
        <v>1</v>
      </c>
      <c r="L2431">
        <v>3</v>
      </c>
      <c r="M2431">
        <v>345</v>
      </c>
      <c r="N2431">
        <v>349</v>
      </c>
      <c r="O2431">
        <v>7</v>
      </c>
      <c r="P2431" t="s">
        <v>92</v>
      </c>
      <c r="Q2431">
        <v>0</v>
      </c>
      <c r="R2431">
        <v>77</v>
      </c>
      <c r="S2431">
        <v>7</v>
      </c>
      <c r="U2431">
        <v>39</v>
      </c>
      <c r="V2431">
        <v>1</v>
      </c>
      <c r="W2431">
        <v>37</v>
      </c>
      <c r="X2431">
        <v>146</v>
      </c>
      <c r="Y2431">
        <v>26</v>
      </c>
      <c r="Z2431">
        <v>3</v>
      </c>
      <c r="AB2431">
        <v>4</v>
      </c>
      <c r="AF2431">
        <v>0</v>
      </c>
      <c r="AG2431">
        <v>0</v>
      </c>
      <c r="AH2431">
        <v>0</v>
      </c>
      <c r="AI2431">
        <v>0</v>
      </c>
      <c r="AW2431">
        <v>0</v>
      </c>
      <c r="AX2431">
        <v>9</v>
      </c>
      <c r="AY2431">
        <v>349</v>
      </c>
      <c r="AZ2431">
        <v>349</v>
      </c>
      <c r="BA2431">
        <v>650</v>
      </c>
      <c r="BB2431">
        <v>44</v>
      </c>
      <c r="BD2431">
        <v>1</v>
      </c>
      <c r="BF2431" t="s">
        <v>2619</v>
      </c>
      <c r="BG2431" s="1">
        <v>44354.088194444441</v>
      </c>
      <c r="BH2431" s="1">
        <v>44354.094201388885</v>
      </c>
      <c r="BI2431" s="1">
        <v>44354.095185185186</v>
      </c>
      <c r="BJ2431" t="s">
        <v>85</v>
      </c>
      <c r="BK2431" t="s">
        <v>86</v>
      </c>
      <c r="BL2431" t="s">
        <v>87</v>
      </c>
    </row>
    <row r="2432" spans="1:64" x14ac:dyDescent="0.3">
      <c r="A2432" t="str">
        <f>"201572C0200"</f>
        <v>201572C0200</v>
      </c>
      <c r="B2432" t="str">
        <f>"201572C02003"</f>
        <v>201572C02003</v>
      </c>
      <c r="C2432" t="str">
        <f t="shared" si="155"/>
        <v>20</v>
      </c>
      <c r="D2432" t="s">
        <v>81</v>
      </c>
      <c r="E2432" t="str">
        <f t="shared" si="157"/>
        <v>332</v>
      </c>
      <c r="F2432" t="s">
        <v>2595</v>
      </c>
      <c r="G2432" t="str">
        <f>"1572"</f>
        <v>1572</v>
      </c>
      <c r="H2432" t="str">
        <f>"0002"</f>
        <v>0002</v>
      </c>
      <c r="I2432" t="s">
        <v>89</v>
      </c>
      <c r="J2432">
        <v>0</v>
      </c>
      <c r="K2432">
        <v>1</v>
      </c>
      <c r="L2432">
        <v>3</v>
      </c>
      <c r="M2432">
        <v>353</v>
      </c>
      <c r="N2432">
        <v>341</v>
      </c>
      <c r="O2432">
        <v>4</v>
      </c>
      <c r="P2432">
        <v>341</v>
      </c>
      <c r="Q2432">
        <v>1</v>
      </c>
      <c r="R2432">
        <v>79</v>
      </c>
      <c r="S2432">
        <v>10</v>
      </c>
      <c r="U2432">
        <v>54</v>
      </c>
      <c r="V2432">
        <v>0</v>
      </c>
      <c r="W2432">
        <v>22</v>
      </c>
      <c r="X2432">
        <v>134</v>
      </c>
      <c r="Y2432">
        <v>27</v>
      </c>
      <c r="Z2432">
        <v>1</v>
      </c>
      <c r="AB2432">
        <v>2</v>
      </c>
      <c r="AF2432">
        <v>2</v>
      </c>
      <c r="AG2432">
        <v>0</v>
      </c>
      <c r="AH2432">
        <v>0</v>
      </c>
      <c r="AI2432">
        <v>0</v>
      </c>
      <c r="AW2432">
        <v>0</v>
      </c>
      <c r="AX2432">
        <v>9</v>
      </c>
      <c r="AY2432">
        <v>341</v>
      </c>
      <c r="AZ2432">
        <v>341</v>
      </c>
      <c r="BA2432">
        <v>650</v>
      </c>
      <c r="BB2432">
        <v>44</v>
      </c>
      <c r="BD2432">
        <v>1</v>
      </c>
      <c r="BF2432" t="s">
        <v>2620</v>
      </c>
      <c r="BG2432" s="1">
        <v>44354.081250000003</v>
      </c>
      <c r="BH2432" s="1">
        <v>44354.088599537034</v>
      </c>
      <c r="BI2432" s="1">
        <v>44354.089074074072</v>
      </c>
      <c r="BJ2432" t="s">
        <v>85</v>
      </c>
      <c r="BK2432" t="s">
        <v>86</v>
      </c>
      <c r="BL2432" t="s">
        <v>87</v>
      </c>
    </row>
    <row r="2433" spans="1:64" x14ac:dyDescent="0.3">
      <c r="A2433" t="str">
        <f>"201573B0000"</f>
        <v>201573B0000</v>
      </c>
      <c r="B2433" t="str">
        <f>"201573B00003"</f>
        <v>201573B00003</v>
      </c>
      <c r="C2433" t="str">
        <f t="shared" si="155"/>
        <v>20</v>
      </c>
      <c r="D2433" t="s">
        <v>81</v>
      </c>
      <c r="E2433" t="str">
        <f t="shared" si="157"/>
        <v>332</v>
      </c>
      <c r="F2433" t="s">
        <v>2595</v>
      </c>
      <c r="G2433" t="str">
        <f>"1573"</f>
        <v>1573</v>
      </c>
      <c r="H2433" t="str">
        <f>"0000"</f>
        <v>0000</v>
      </c>
      <c r="I2433" t="s">
        <v>83</v>
      </c>
      <c r="J2433">
        <v>0</v>
      </c>
      <c r="K2433">
        <v>1</v>
      </c>
      <c r="L2433">
        <v>3</v>
      </c>
      <c r="M2433">
        <v>346</v>
      </c>
      <c r="N2433">
        <v>419</v>
      </c>
      <c r="O2433">
        <v>9</v>
      </c>
      <c r="P2433">
        <v>418</v>
      </c>
      <c r="Q2433">
        <v>3</v>
      </c>
      <c r="R2433">
        <v>129</v>
      </c>
      <c r="S2433">
        <v>6</v>
      </c>
      <c r="U2433">
        <v>71</v>
      </c>
      <c r="V2433">
        <v>4</v>
      </c>
      <c r="W2433">
        <v>31</v>
      </c>
      <c r="X2433">
        <v>136</v>
      </c>
      <c r="Y2433">
        <v>28</v>
      </c>
      <c r="Z2433">
        <v>0</v>
      </c>
      <c r="AB2433">
        <v>2</v>
      </c>
      <c r="AF2433">
        <v>2</v>
      </c>
      <c r="AG2433">
        <v>0</v>
      </c>
      <c r="AH2433">
        <v>0</v>
      </c>
      <c r="AI2433">
        <v>0</v>
      </c>
      <c r="AW2433">
        <v>0</v>
      </c>
      <c r="AX2433">
        <v>6</v>
      </c>
      <c r="AY2433">
        <v>418</v>
      </c>
      <c r="AZ2433">
        <v>418</v>
      </c>
      <c r="BA2433">
        <v>721</v>
      </c>
      <c r="BB2433">
        <v>44</v>
      </c>
      <c r="BD2433">
        <v>1</v>
      </c>
      <c r="BF2433" t="s">
        <v>2621</v>
      </c>
      <c r="BG2433" s="1">
        <v>44354.049305555556</v>
      </c>
      <c r="BH2433" s="1">
        <v>44354.055428240739</v>
      </c>
      <c r="BI2433" s="1">
        <v>44354.055879629632</v>
      </c>
      <c r="BJ2433" t="s">
        <v>85</v>
      </c>
      <c r="BK2433" t="s">
        <v>86</v>
      </c>
      <c r="BL2433" t="s">
        <v>87</v>
      </c>
    </row>
    <row r="2434" spans="1:64" x14ac:dyDescent="0.3">
      <c r="A2434" t="str">
        <f>"201573C0100"</f>
        <v>201573C0100</v>
      </c>
      <c r="B2434" t="str">
        <f>"201573C01003"</f>
        <v>201573C01003</v>
      </c>
      <c r="C2434" t="str">
        <f t="shared" si="155"/>
        <v>20</v>
      </c>
      <c r="D2434" t="s">
        <v>81</v>
      </c>
      <c r="E2434" t="str">
        <f t="shared" si="157"/>
        <v>332</v>
      </c>
      <c r="F2434" t="s">
        <v>2595</v>
      </c>
      <c r="G2434" t="str">
        <f>"1573"</f>
        <v>1573</v>
      </c>
      <c r="H2434" t="str">
        <f>"0001"</f>
        <v>0001</v>
      </c>
      <c r="I2434" t="s">
        <v>89</v>
      </c>
      <c r="J2434">
        <v>0</v>
      </c>
      <c r="K2434">
        <v>1</v>
      </c>
      <c r="L2434">
        <v>3</v>
      </c>
      <c r="M2434">
        <v>378</v>
      </c>
      <c r="N2434">
        <v>387</v>
      </c>
      <c r="O2434">
        <v>7</v>
      </c>
      <c r="P2434">
        <v>388</v>
      </c>
      <c r="Q2434">
        <v>7</v>
      </c>
      <c r="R2434">
        <v>94</v>
      </c>
      <c r="S2434">
        <v>4</v>
      </c>
      <c r="U2434">
        <v>38</v>
      </c>
      <c r="V2434">
        <v>2</v>
      </c>
      <c r="W2434">
        <v>36</v>
      </c>
      <c r="X2434">
        <v>155</v>
      </c>
      <c r="Y2434">
        <v>33</v>
      </c>
      <c r="Z2434">
        <v>2</v>
      </c>
      <c r="AB2434">
        <v>8</v>
      </c>
      <c r="AF2434">
        <v>4</v>
      </c>
      <c r="AG2434">
        <v>1</v>
      </c>
      <c r="AH2434">
        <v>0</v>
      </c>
      <c r="AI2434">
        <v>0</v>
      </c>
      <c r="AW2434">
        <v>0</v>
      </c>
      <c r="AX2434">
        <v>4</v>
      </c>
      <c r="AY2434">
        <v>388</v>
      </c>
      <c r="AZ2434">
        <v>388</v>
      </c>
      <c r="BA2434">
        <v>721</v>
      </c>
      <c r="BB2434">
        <v>44</v>
      </c>
      <c r="BD2434">
        <v>1</v>
      </c>
      <c r="BF2434" t="s">
        <v>2622</v>
      </c>
      <c r="BG2434" s="1">
        <v>44354.051388888889</v>
      </c>
      <c r="BH2434" s="1">
        <v>44354.057523148149</v>
      </c>
      <c r="BI2434" s="1">
        <v>44354.058009259257</v>
      </c>
      <c r="BJ2434" t="s">
        <v>85</v>
      </c>
      <c r="BK2434" t="s">
        <v>86</v>
      </c>
      <c r="BL2434" t="s">
        <v>87</v>
      </c>
    </row>
    <row r="2435" spans="1:64" x14ac:dyDescent="0.3">
      <c r="A2435" t="str">
        <f>"201573C0200"</f>
        <v>201573C0200</v>
      </c>
      <c r="B2435" t="str">
        <f>"201573C02003"</f>
        <v>201573C02003</v>
      </c>
      <c r="C2435" t="str">
        <f t="shared" si="155"/>
        <v>20</v>
      </c>
      <c r="D2435" t="s">
        <v>81</v>
      </c>
      <c r="E2435" t="str">
        <f t="shared" si="157"/>
        <v>332</v>
      </c>
      <c r="F2435" t="s">
        <v>2595</v>
      </c>
      <c r="G2435" t="str">
        <f>"1573"</f>
        <v>1573</v>
      </c>
      <c r="H2435" t="str">
        <f>"0002"</f>
        <v>0002</v>
      </c>
      <c r="I2435" t="s">
        <v>89</v>
      </c>
      <c r="J2435">
        <v>0</v>
      </c>
      <c r="K2435">
        <v>1</v>
      </c>
      <c r="L2435">
        <v>3</v>
      </c>
      <c r="M2435">
        <v>380</v>
      </c>
      <c r="N2435">
        <v>385</v>
      </c>
      <c r="O2435">
        <v>1</v>
      </c>
      <c r="P2435">
        <v>385</v>
      </c>
      <c r="Q2435">
        <v>4</v>
      </c>
      <c r="R2435">
        <v>103</v>
      </c>
      <c r="S2435">
        <v>7</v>
      </c>
      <c r="U2435">
        <v>44</v>
      </c>
      <c r="V2435">
        <v>3</v>
      </c>
      <c r="W2435">
        <v>34</v>
      </c>
      <c r="X2435">
        <v>159</v>
      </c>
      <c r="Y2435">
        <v>21</v>
      </c>
      <c r="Z2435">
        <v>0</v>
      </c>
      <c r="AB2435">
        <v>1</v>
      </c>
      <c r="AF2435">
        <v>3</v>
      </c>
      <c r="AG2435">
        <v>1</v>
      </c>
      <c r="AH2435">
        <v>0</v>
      </c>
      <c r="AI2435">
        <v>0</v>
      </c>
      <c r="AW2435">
        <v>0</v>
      </c>
      <c r="AX2435">
        <v>5</v>
      </c>
      <c r="AY2435">
        <v>385</v>
      </c>
      <c r="AZ2435">
        <v>385</v>
      </c>
      <c r="BA2435">
        <v>721</v>
      </c>
      <c r="BB2435">
        <v>44</v>
      </c>
      <c r="BD2435">
        <v>1</v>
      </c>
      <c r="BF2435" t="s">
        <v>2623</v>
      </c>
      <c r="BG2435" s="1">
        <v>44354.047222222223</v>
      </c>
      <c r="BH2435" s="1">
        <v>44354.053819444445</v>
      </c>
      <c r="BI2435" s="1">
        <v>44354.054247685184</v>
      </c>
      <c r="BJ2435" t="s">
        <v>85</v>
      </c>
      <c r="BK2435" t="s">
        <v>86</v>
      </c>
      <c r="BL2435" t="s">
        <v>87</v>
      </c>
    </row>
    <row r="2436" spans="1:64" x14ac:dyDescent="0.3">
      <c r="A2436" t="str">
        <f>"201574B0000"</f>
        <v>201574B0000</v>
      </c>
      <c r="B2436" t="str">
        <f>"201574B00003"</f>
        <v>201574B00003</v>
      </c>
      <c r="C2436" t="str">
        <f t="shared" si="155"/>
        <v>20</v>
      </c>
      <c r="D2436" t="s">
        <v>81</v>
      </c>
      <c r="E2436" t="str">
        <f t="shared" si="157"/>
        <v>332</v>
      </c>
      <c r="F2436" t="s">
        <v>2595</v>
      </c>
      <c r="G2436" t="str">
        <f>"1574"</f>
        <v>1574</v>
      </c>
      <c r="H2436" t="str">
        <f>"0000"</f>
        <v>0000</v>
      </c>
      <c r="I2436" t="s">
        <v>83</v>
      </c>
      <c r="J2436">
        <v>0</v>
      </c>
      <c r="K2436">
        <v>1</v>
      </c>
      <c r="L2436">
        <v>3</v>
      </c>
      <c r="M2436">
        <v>301</v>
      </c>
      <c r="N2436">
        <v>390</v>
      </c>
      <c r="O2436">
        <v>6</v>
      </c>
      <c r="P2436">
        <v>390</v>
      </c>
      <c r="Q2436">
        <v>2</v>
      </c>
      <c r="R2436">
        <v>111</v>
      </c>
      <c r="S2436">
        <v>8</v>
      </c>
      <c r="U2436">
        <v>33</v>
      </c>
      <c r="V2436">
        <v>5</v>
      </c>
      <c r="W2436">
        <v>23</v>
      </c>
      <c r="X2436">
        <v>179</v>
      </c>
      <c r="Y2436">
        <v>9</v>
      </c>
      <c r="Z2436">
        <v>3</v>
      </c>
      <c r="AB2436">
        <v>2</v>
      </c>
      <c r="AF2436">
        <v>4</v>
      </c>
      <c r="AG2436">
        <v>1</v>
      </c>
      <c r="AH2436">
        <v>0</v>
      </c>
      <c r="AI2436">
        <v>1</v>
      </c>
      <c r="AW2436">
        <v>0</v>
      </c>
      <c r="AX2436">
        <v>9</v>
      </c>
      <c r="AY2436">
        <v>390</v>
      </c>
      <c r="AZ2436">
        <v>390</v>
      </c>
      <c r="BA2436">
        <v>647</v>
      </c>
      <c r="BB2436">
        <v>44</v>
      </c>
      <c r="BD2436">
        <v>1</v>
      </c>
      <c r="BF2436" t="s">
        <v>2624</v>
      </c>
      <c r="BG2436" s="1">
        <v>44354.102083333331</v>
      </c>
      <c r="BH2436" s="1">
        <v>44354.104942129627</v>
      </c>
      <c r="BI2436" s="1">
        <v>44354.105451388888</v>
      </c>
      <c r="BJ2436" t="s">
        <v>85</v>
      </c>
      <c r="BK2436" t="s">
        <v>86</v>
      </c>
      <c r="BL2436" t="s">
        <v>87</v>
      </c>
    </row>
    <row r="2437" spans="1:64" x14ac:dyDescent="0.3">
      <c r="A2437" t="str">
        <f>"201574C0100"</f>
        <v>201574C0100</v>
      </c>
      <c r="B2437" t="str">
        <f>"201574C01003"</f>
        <v>201574C01003</v>
      </c>
      <c r="C2437" t="str">
        <f t="shared" si="155"/>
        <v>20</v>
      </c>
      <c r="D2437" t="s">
        <v>81</v>
      </c>
      <c r="E2437" t="str">
        <f t="shared" si="157"/>
        <v>332</v>
      </c>
      <c r="F2437" t="s">
        <v>2595</v>
      </c>
      <c r="G2437" t="str">
        <f>"1574"</f>
        <v>1574</v>
      </c>
      <c r="H2437" t="str">
        <f>"0001"</f>
        <v>0001</v>
      </c>
      <c r="I2437" t="s">
        <v>89</v>
      </c>
      <c r="J2437">
        <v>0</v>
      </c>
      <c r="K2437">
        <v>1</v>
      </c>
      <c r="L2437">
        <v>3</v>
      </c>
      <c r="M2437">
        <v>342</v>
      </c>
      <c r="N2437">
        <v>348</v>
      </c>
      <c r="O2437">
        <v>0</v>
      </c>
      <c r="P2437">
        <v>348</v>
      </c>
      <c r="Q2437">
        <v>4</v>
      </c>
      <c r="R2437">
        <v>86</v>
      </c>
      <c r="S2437">
        <v>2</v>
      </c>
      <c r="U2437">
        <v>27</v>
      </c>
      <c r="V2437">
        <v>5</v>
      </c>
      <c r="W2437">
        <v>14</v>
      </c>
      <c r="X2437">
        <v>168</v>
      </c>
      <c r="Y2437">
        <v>16</v>
      </c>
      <c r="Z2437">
        <v>4</v>
      </c>
      <c r="AB2437">
        <v>5</v>
      </c>
      <c r="AF2437">
        <v>4</v>
      </c>
      <c r="AG2437">
        <v>1</v>
      </c>
      <c r="AH2437">
        <v>0</v>
      </c>
      <c r="AI2437">
        <v>0</v>
      </c>
      <c r="AW2437" t="s">
        <v>95</v>
      </c>
      <c r="AX2437">
        <v>12</v>
      </c>
      <c r="AY2437">
        <v>348</v>
      </c>
      <c r="AZ2437">
        <v>348</v>
      </c>
      <c r="BA2437">
        <v>646</v>
      </c>
      <c r="BB2437">
        <v>44</v>
      </c>
      <c r="BC2437" t="s">
        <v>96</v>
      </c>
      <c r="BD2437">
        <v>1</v>
      </c>
      <c r="BF2437" t="s">
        <v>2625</v>
      </c>
      <c r="BG2437" s="1">
        <v>44354.097222222219</v>
      </c>
      <c r="BH2437" s="1">
        <v>44354.100219907406</v>
      </c>
      <c r="BI2437" s="1">
        <v>44354.100624999999</v>
      </c>
      <c r="BJ2437" t="s">
        <v>85</v>
      </c>
      <c r="BK2437" t="s">
        <v>86</v>
      </c>
      <c r="BL2437" t="s">
        <v>87</v>
      </c>
    </row>
    <row r="2438" spans="1:64" x14ac:dyDescent="0.3">
      <c r="A2438" t="str">
        <f>"201574C0200"</f>
        <v>201574C0200</v>
      </c>
      <c r="B2438" t="str">
        <f>"201574C02003"</f>
        <v>201574C02003</v>
      </c>
      <c r="C2438" t="str">
        <f t="shared" si="155"/>
        <v>20</v>
      </c>
      <c r="D2438" t="s">
        <v>81</v>
      </c>
      <c r="E2438" t="str">
        <f t="shared" si="157"/>
        <v>332</v>
      </c>
      <c r="F2438" t="s">
        <v>2595</v>
      </c>
      <c r="G2438" t="str">
        <f>"1574"</f>
        <v>1574</v>
      </c>
      <c r="H2438" t="str">
        <f>"0002"</f>
        <v>0002</v>
      </c>
      <c r="I2438" t="s">
        <v>89</v>
      </c>
      <c r="J2438">
        <v>0</v>
      </c>
      <c r="K2438">
        <v>1</v>
      </c>
      <c r="L2438">
        <v>3</v>
      </c>
      <c r="M2438">
        <v>353</v>
      </c>
      <c r="N2438">
        <v>337</v>
      </c>
      <c r="O2438">
        <v>0</v>
      </c>
      <c r="P2438">
        <v>337</v>
      </c>
      <c r="Q2438">
        <v>3</v>
      </c>
      <c r="R2438">
        <v>95</v>
      </c>
      <c r="S2438">
        <v>5</v>
      </c>
      <c r="U2438">
        <v>28</v>
      </c>
      <c r="V2438">
        <v>5</v>
      </c>
      <c r="W2438">
        <v>19</v>
      </c>
      <c r="X2438">
        <v>149</v>
      </c>
      <c r="Y2438">
        <v>14</v>
      </c>
      <c r="Z2438">
        <v>4</v>
      </c>
      <c r="AB2438">
        <v>4</v>
      </c>
      <c r="AF2438">
        <v>5</v>
      </c>
      <c r="AG2438">
        <v>0</v>
      </c>
      <c r="AH2438">
        <v>0</v>
      </c>
      <c r="AI2438">
        <v>0</v>
      </c>
      <c r="AW2438">
        <v>0</v>
      </c>
      <c r="AX2438">
        <v>6</v>
      </c>
      <c r="AY2438">
        <v>337</v>
      </c>
      <c r="AZ2438">
        <v>337</v>
      </c>
      <c r="BA2438">
        <v>646</v>
      </c>
      <c r="BB2438">
        <v>44</v>
      </c>
      <c r="BD2438">
        <v>1</v>
      </c>
      <c r="BF2438" t="s">
        <v>2626</v>
      </c>
      <c r="BG2438" s="1">
        <v>44354.099305555559</v>
      </c>
      <c r="BH2438" s="1">
        <v>44354.100949074076</v>
      </c>
      <c r="BI2438" s="1">
        <v>44354.101782407408</v>
      </c>
      <c r="BJ2438" t="s">
        <v>85</v>
      </c>
      <c r="BK2438" t="s">
        <v>86</v>
      </c>
      <c r="BL2438" t="s">
        <v>87</v>
      </c>
    </row>
    <row r="2439" spans="1:64" x14ac:dyDescent="0.3">
      <c r="A2439" t="str">
        <f>"201575B0000"</f>
        <v>201575B0000</v>
      </c>
      <c r="B2439" t="str">
        <f>"201575B00003"</f>
        <v>201575B00003</v>
      </c>
      <c r="C2439" t="str">
        <f t="shared" ref="C2439:C2502" si="158">"20"</f>
        <v>20</v>
      </c>
      <c r="D2439" t="s">
        <v>81</v>
      </c>
      <c r="E2439" t="str">
        <f t="shared" si="157"/>
        <v>332</v>
      </c>
      <c r="F2439" t="s">
        <v>2595</v>
      </c>
      <c r="G2439" t="str">
        <f>"1575"</f>
        <v>1575</v>
      </c>
      <c r="H2439" t="str">
        <f>"0000"</f>
        <v>0000</v>
      </c>
      <c r="I2439" t="s">
        <v>83</v>
      </c>
      <c r="J2439">
        <v>0</v>
      </c>
      <c r="K2439">
        <v>1</v>
      </c>
      <c r="L2439">
        <v>3</v>
      </c>
      <c r="M2439">
        <v>335</v>
      </c>
      <c r="N2439">
        <v>438</v>
      </c>
      <c r="O2439">
        <v>1</v>
      </c>
      <c r="P2439">
        <v>438</v>
      </c>
      <c r="Q2439">
        <v>2</v>
      </c>
      <c r="R2439">
        <v>117</v>
      </c>
      <c r="S2439">
        <v>8</v>
      </c>
      <c r="U2439">
        <v>37</v>
      </c>
      <c r="V2439">
        <v>5</v>
      </c>
      <c r="W2439">
        <v>48</v>
      </c>
      <c r="X2439">
        <v>196</v>
      </c>
      <c r="Y2439">
        <v>6</v>
      </c>
      <c r="Z2439">
        <v>4</v>
      </c>
      <c r="AB2439">
        <v>2</v>
      </c>
      <c r="AF2439">
        <v>3</v>
      </c>
      <c r="AG2439">
        <v>1</v>
      </c>
      <c r="AH2439">
        <v>0</v>
      </c>
      <c r="AI2439">
        <v>1</v>
      </c>
      <c r="AW2439">
        <v>0</v>
      </c>
      <c r="AX2439">
        <v>8</v>
      </c>
      <c r="AY2439">
        <v>438</v>
      </c>
      <c r="AZ2439">
        <v>438</v>
      </c>
      <c r="BA2439">
        <v>729</v>
      </c>
      <c r="BB2439">
        <v>44</v>
      </c>
      <c r="BD2439">
        <v>1</v>
      </c>
      <c r="BF2439" t="s">
        <v>2627</v>
      </c>
      <c r="BG2439" s="1">
        <v>44353.916666666664</v>
      </c>
      <c r="BH2439" s="1">
        <v>44354.06622685185</v>
      </c>
      <c r="BI2439" s="1">
        <v>44354.066736111112</v>
      </c>
      <c r="BJ2439" t="s">
        <v>85</v>
      </c>
      <c r="BK2439" t="s">
        <v>86</v>
      </c>
      <c r="BL2439" t="s">
        <v>87</v>
      </c>
    </row>
    <row r="2440" spans="1:64" x14ac:dyDescent="0.3">
      <c r="A2440" t="str">
        <f>"201575C0100"</f>
        <v>201575C0100</v>
      </c>
      <c r="B2440" t="str">
        <f>"201575C01003"</f>
        <v>201575C01003</v>
      </c>
      <c r="C2440" t="str">
        <f t="shared" si="158"/>
        <v>20</v>
      </c>
      <c r="D2440" t="s">
        <v>81</v>
      </c>
      <c r="E2440" t="str">
        <f t="shared" ref="E2440:E2468" si="159">"332"</f>
        <v>332</v>
      </c>
      <c r="F2440" t="s">
        <v>2595</v>
      </c>
      <c r="G2440" t="str">
        <f>"1575"</f>
        <v>1575</v>
      </c>
      <c r="H2440" t="str">
        <f>"0001"</f>
        <v>0001</v>
      </c>
      <c r="I2440" t="s">
        <v>89</v>
      </c>
      <c r="J2440">
        <v>0</v>
      </c>
      <c r="K2440">
        <v>1</v>
      </c>
      <c r="L2440">
        <v>3</v>
      </c>
      <c r="M2440">
        <v>366</v>
      </c>
      <c r="N2440">
        <v>407</v>
      </c>
      <c r="O2440">
        <v>0</v>
      </c>
      <c r="P2440">
        <v>407</v>
      </c>
      <c r="Q2440">
        <v>2</v>
      </c>
      <c r="R2440">
        <v>134</v>
      </c>
      <c r="S2440">
        <v>3</v>
      </c>
      <c r="U2440">
        <v>38</v>
      </c>
      <c r="V2440">
        <v>2</v>
      </c>
      <c r="W2440">
        <v>36</v>
      </c>
      <c r="X2440">
        <v>172</v>
      </c>
      <c r="Y2440">
        <v>5</v>
      </c>
      <c r="Z2440">
        <v>3</v>
      </c>
      <c r="AB2440">
        <v>0</v>
      </c>
      <c r="AF2440">
        <v>3</v>
      </c>
      <c r="AG2440">
        <v>1</v>
      </c>
      <c r="AH2440">
        <v>0</v>
      </c>
      <c r="AI2440">
        <v>0</v>
      </c>
      <c r="AW2440">
        <v>0</v>
      </c>
      <c r="AX2440">
        <v>8</v>
      </c>
      <c r="AY2440">
        <v>407</v>
      </c>
      <c r="AZ2440">
        <v>407</v>
      </c>
      <c r="BA2440">
        <v>729</v>
      </c>
      <c r="BB2440">
        <v>44</v>
      </c>
      <c r="BD2440">
        <v>1</v>
      </c>
      <c r="BF2440" t="s">
        <v>2628</v>
      </c>
      <c r="BG2440" s="1">
        <v>44354.061111111114</v>
      </c>
      <c r="BH2440" s="1">
        <v>44354.066863425927</v>
      </c>
      <c r="BI2440" s="1">
        <v>44354.067407407405</v>
      </c>
      <c r="BJ2440" t="s">
        <v>85</v>
      </c>
      <c r="BK2440" t="s">
        <v>86</v>
      </c>
      <c r="BL2440" t="s">
        <v>87</v>
      </c>
    </row>
    <row r="2441" spans="1:64" x14ac:dyDescent="0.3">
      <c r="A2441" t="str">
        <f>"201575C0200"</f>
        <v>201575C0200</v>
      </c>
      <c r="B2441" t="str">
        <f>"201575C02003"</f>
        <v>201575C02003</v>
      </c>
      <c r="C2441" t="str">
        <f t="shared" si="158"/>
        <v>20</v>
      </c>
      <c r="D2441" t="s">
        <v>81</v>
      </c>
      <c r="E2441" t="str">
        <f t="shared" si="159"/>
        <v>332</v>
      </c>
      <c r="F2441" t="s">
        <v>2595</v>
      </c>
      <c r="G2441" t="str">
        <f>"1575"</f>
        <v>1575</v>
      </c>
      <c r="H2441" t="str">
        <f>"0002"</f>
        <v>0002</v>
      </c>
      <c r="I2441" t="s">
        <v>89</v>
      </c>
      <c r="J2441">
        <v>0</v>
      </c>
      <c r="K2441">
        <v>1</v>
      </c>
      <c r="L2441">
        <v>3</v>
      </c>
      <c r="M2441">
        <v>404</v>
      </c>
      <c r="N2441">
        <v>367</v>
      </c>
      <c r="O2441">
        <v>7</v>
      </c>
      <c r="P2441">
        <v>367</v>
      </c>
      <c r="Q2441">
        <v>2</v>
      </c>
      <c r="R2441">
        <v>124</v>
      </c>
      <c r="S2441">
        <v>5</v>
      </c>
      <c r="U2441">
        <v>31</v>
      </c>
      <c r="V2441">
        <v>4</v>
      </c>
      <c r="W2441">
        <v>43</v>
      </c>
      <c r="X2441">
        <v>135</v>
      </c>
      <c r="Y2441">
        <v>8</v>
      </c>
      <c r="Z2441">
        <v>3</v>
      </c>
      <c r="AB2441">
        <v>3</v>
      </c>
      <c r="AF2441">
        <v>4</v>
      </c>
      <c r="AG2441">
        <v>0</v>
      </c>
      <c r="AH2441">
        <v>0</v>
      </c>
      <c r="AI2441">
        <v>0</v>
      </c>
      <c r="AW2441">
        <v>0</v>
      </c>
      <c r="AX2441">
        <v>5</v>
      </c>
      <c r="AY2441">
        <v>367</v>
      </c>
      <c r="AZ2441">
        <v>367</v>
      </c>
      <c r="BA2441">
        <v>728</v>
      </c>
      <c r="BB2441">
        <v>44</v>
      </c>
      <c r="BD2441">
        <v>1</v>
      </c>
      <c r="BF2441" t="s">
        <v>2629</v>
      </c>
      <c r="BG2441" s="1">
        <v>44354.056944444441</v>
      </c>
      <c r="BH2441" s="1">
        <v>44354.063148148147</v>
      </c>
      <c r="BI2441" s="1">
        <v>44354.063703703701</v>
      </c>
      <c r="BJ2441" t="s">
        <v>85</v>
      </c>
      <c r="BK2441" t="s">
        <v>86</v>
      </c>
      <c r="BL2441" t="s">
        <v>87</v>
      </c>
    </row>
    <row r="2442" spans="1:64" x14ac:dyDescent="0.3">
      <c r="A2442" t="str">
        <f>"201576B0000"</f>
        <v>201576B0000</v>
      </c>
      <c r="B2442" t="str">
        <f>"201576B00003"</f>
        <v>201576B00003</v>
      </c>
      <c r="C2442" t="str">
        <f t="shared" si="158"/>
        <v>20</v>
      </c>
      <c r="D2442" t="s">
        <v>81</v>
      </c>
      <c r="E2442" t="str">
        <f t="shared" si="159"/>
        <v>332</v>
      </c>
      <c r="F2442" t="s">
        <v>2595</v>
      </c>
      <c r="G2442" t="str">
        <f>"1576"</f>
        <v>1576</v>
      </c>
      <c r="H2442" t="str">
        <f>"0000"</f>
        <v>0000</v>
      </c>
      <c r="I2442" t="s">
        <v>83</v>
      </c>
      <c r="J2442">
        <v>0</v>
      </c>
      <c r="K2442">
        <v>1</v>
      </c>
      <c r="L2442">
        <v>3</v>
      </c>
      <c r="M2442">
        <v>340</v>
      </c>
      <c r="N2442">
        <v>348</v>
      </c>
      <c r="O2442">
        <v>0</v>
      </c>
      <c r="P2442">
        <v>348</v>
      </c>
      <c r="Q2442">
        <v>1</v>
      </c>
      <c r="R2442">
        <v>113</v>
      </c>
      <c r="S2442">
        <v>3</v>
      </c>
      <c r="U2442">
        <v>28</v>
      </c>
      <c r="V2442">
        <v>2</v>
      </c>
      <c r="W2442">
        <v>31</v>
      </c>
      <c r="X2442">
        <v>152</v>
      </c>
      <c r="Y2442">
        <v>7</v>
      </c>
      <c r="Z2442">
        <v>2</v>
      </c>
      <c r="AB2442">
        <v>1</v>
      </c>
      <c r="AF2442">
        <v>0</v>
      </c>
      <c r="AG2442">
        <v>0</v>
      </c>
      <c r="AH2442">
        <v>0</v>
      </c>
      <c r="AI2442">
        <v>0</v>
      </c>
      <c r="AW2442">
        <v>0</v>
      </c>
      <c r="AX2442">
        <v>8</v>
      </c>
      <c r="AY2442">
        <v>348</v>
      </c>
      <c r="AZ2442">
        <v>348</v>
      </c>
      <c r="BA2442">
        <v>644</v>
      </c>
      <c r="BB2442">
        <v>44</v>
      </c>
      <c r="BD2442">
        <v>1</v>
      </c>
      <c r="BF2442" t="s">
        <v>2630</v>
      </c>
      <c r="BG2442" s="1">
        <v>44354.017361111109</v>
      </c>
      <c r="BH2442" s="1">
        <v>44354.026863425926</v>
      </c>
      <c r="BI2442" s="1">
        <v>44354.027499999997</v>
      </c>
      <c r="BJ2442" t="s">
        <v>85</v>
      </c>
      <c r="BK2442" t="s">
        <v>86</v>
      </c>
      <c r="BL2442" t="s">
        <v>87</v>
      </c>
    </row>
    <row r="2443" spans="1:64" x14ac:dyDescent="0.3">
      <c r="A2443" t="str">
        <f>"201576C0100"</f>
        <v>201576C0100</v>
      </c>
      <c r="B2443" t="str">
        <f>"201576C01003"</f>
        <v>201576C01003</v>
      </c>
      <c r="C2443" t="str">
        <f t="shared" si="158"/>
        <v>20</v>
      </c>
      <c r="D2443" t="s">
        <v>81</v>
      </c>
      <c r="E2443" t="str">
        <f t="shared" si="159"/>
        <v>332</v>
      </c>
      <c r="F2443" t="s">
        <v>2595</v>
      </c>
      <c r="G2443" t="str">
        <f>"1576"</f>
        <v>1576</v>
      </c>
      <c r="H2443" t="str">
        <f>"0001"</f>
        <v>0001</v>
      </c>
      <c r="I2443" t="s">
        <v>89</v>
      </c>
      <c r="J2443">
        <v>0</v>
      </c>
      <c r="K2443">
        <v>1</v>
      </c>
      <c r="L2443">
        <v>3</v>
      </c>
      <c r="M2443">
        <v>319</v>
      </c>
      <c r="N2443">
        <v>369</v>
      </c>
      <c r="O2443">
        <v>7</v>
      </c>
      <c r="P2443" t="s">
        <v>92</v>
      </c>
      <c r="Q2443">
        <v>4</v>
      </c>
      <c r="R2443">
        <v>127</v>
      </c>
      <c r="S2443">
        <v>5</v>
      </c>
      <c r="U2443">
        <v>33</v>
      </c>
      <c r="V2443">
        <v>0</v>
      </c>
      <c r="W2443">
        <v>32</v>
      </c>
      <c r="X2443">
        <v>151</v>
      </c>
      <c r="Y2443">
        <v>7</v>
      </c>
      <c r="Z2443">
        <v>0</v>
      </c>
      <c r="AB2443">
        <v>0</v>
      </c>
      <c r="AF2443">
        <v>3</v>
      </c>
      <c r="AG2443">
        <v>0</v>
      </c>
      <c r="AH2443">
        <v>0</v>
      </c>
      <c r="AI2443">
        <v>0</v>
      </c>
      <c r="AW2443">
        <v>0</v>
      </c>
      <c r="AX2443">
        <v>7</v>
      </c>
      <c r="AY2443">
        <v>369</v>
      </c>
      <c r="AZ2443">
        <v>369</v>
      </c>
      <c r="BA2443">
        <v>644</v>
      </c>
      <c r="BB2443">
        <v>44</v>
      </c>
      <c r="BD2443">
        <v>1</v>
      </c>
      <c r="BF2443" t="s">
        <v>2631</v>
      </c>
      <c r="BG2443" s="1">
        <v>44354.019444444442</v>
      </c>
      <c r="BH2443" s="1">
        <v>44354.028182870374</v>
      </c>
      <c r="BI2443" s="1">
        <v>44354.028657407405</v>
      </c>
      <c r="BJ2443" t="s">
        <v>85</v>
      </c>
      <c r="BK2443" t="s">
        <v>86</v>
      </c>
      <c r="BL2443" t="s">
        <v>87</v>
      </c>
    </row>
    <row r="2444" spans="1:64" x14ac:dyDescent="0.3">
      <c r="A2444" t="str">
        <f>"201576C0200"</f>
        <v>201576C0200</v>
      </c>
      <c r="B2444" t="str">
        <f>"201576C02003"</f>
        <v>201576C02003</v>
      </c>
      <c r="C2444" t="str">
        <f t="shared" si="158"/>
        <v>20</v>
      </c>
      <c r="D2444" t="s">
        <v>81</v>
      </c>
      <c r="E2444" t="str">
        <f t="shared" si="159"/>
        <v>332</v>
      </c>
      <c r="F2444" t="s">
        <v>2595</v>
      </c>
      <c r="G2444" t="str">
        <f>"1576"</f>
        <v>1576</v>
      </c>
      <c r="H2444" t="str">
        <f>"0002"</f>
        <v>0002</v>
      </c>
      <c r="I2444" t="s">
        <v>89</v>
      </c>
      <c r="J2444">
        <v>0</v>
      </c>
      <c r="K2444">
        <v>1</v>
      </c>
      <c r="L2444">
        <v>3</v>
      </c>
      <c r="M2444">
        <v>329</v>
      </c>
      <c r="N2444">
        <v>358</v>
      </c>
      <c r="O2444">
        <v>0</v>
      </c>
      <c r="P2444">
        <v>358</v>
      </c>
      <c r="Q2444">
        <v>3</v>
      </c>
      <c r="R2444">
        <v>146</v>
      </c>
      <c r="S2444">
        <v>1</v>
      </c>
      <c r="U2444">
        <v>37</v>
      </c>
      <c r="V2444">
        <v>3</v>
      </c>
      <c r="W2444">
        <v>24</v>
      </c>
      <c r="X2444">
        <v>124</v>
      </c>
      <c r="Y2444">
        <v>7</v>
      </c>
      <c r="Z2444">
        <v>2</v>
      </c>
      <c r="AB2444">
        <v>2</v>
      </c>
      <c r="AF2444">
        <v>0</v>
      </c>
      <c r="AG2444">
        <v>0</v>
      </c>
      <c r="AH2444">
        <v>0</v>
      </c>
      <c r="AI2444">
        <v>1</v>
      </c>
      <c r="AW2444">
        <v>0</v>
      </c>
      <c r="AX2444">
        <v>8</v>
      </c>
      <c r="AY2444">
        <v>358</v>
      </c>
      <c r="AZ2444">
        <v>358</v>
      </c>
      <c r="BA2444">
        <v>643</v>
      </c>
      <c r="BB2444">
        <v>44</v>
      </c>
      <c r="BD2444">
        <v>1</v>
      </c>
      <c r="BF2444" t="s">
        <v>2632</v>
      </c>
      <c r="BG2444" s="1">
        <v>44354.00277777778</v>
      </c>
      <c r="BH2444" s="1">
        <v>44354.008344907408</v>
      </c>
      <c r="BI2444" s="1">
        <v>44354.008981481478</v>
      </c>
      <c r="BJ2444" t="s">
        <v>85</v>
      </c>
      <c r="BK2444" t="s">
        <v>86</v>
      </c>
      <c r="BL2444" t="s">
        <v>87</v>
      </c>
    </row>
    <row r="2445" spans="1:64" x14ac:dyDescent="0.3">
      <c r="A2445" t="str">
        <f>"201576C0300"</f>
        <v>201576C0300</v>
      </c>
      <c r="B2445" t="str">
        <f>"201576C03003"</f>
        <v>201576C03003</v>
      </c>
      <c r="C2445" t="str">
        <f t="shared" si="158"/>
        <v>20</v>
      </c>
      <c r="D2445" t="s">
        <v>81</v>
      </c>
      <c r="E2445" t="str">
        <f t="shared" si="159"/>
        <v>332</v>
      </c>
      <c r="F2445" t="s">
        <v>2595</v>
      </c>
      <c r="G2445" t="str">
        <f>"1576"</f>
        <v>1576</v>
      </c>
      <c r="H2445" t="str">
        <f>"0003"</f>
        <v>0003</v>
      </c>
      <c r="I2445" t="s">
        <v>89</v>
      </c>
      <c r="J2445">
        <v>0</v>
      </c>
      <c r="K2445">
        <v>1</v>
      </c>
      <c r="L2445">
        <v>3</v>
      </c>
      <c r="M2445">
        <v>324</v>
      </c>
      <c r="N2445">
        <v>363</v>
      </c>
      <c r="O2445" t="s">
        <v>131</v>
      </c>
      <c r="P2445">
        <v>363</v>
      </c>
      <c r="Q2445">
        <v>0</v>
      </c>
      <c r="R2445">
        <v>134</v>
      </c>
      <c r="S2445">
        <v>1</v>
      </c>
      <c r="U2445">
        <v>28</v>
      </c>
      <c r="V2445">
        <v>1</v>
      </c>
      <c r="W2445">
        <v>33</v>
      </c>
      <c r="X2445">
        <v>148</v>
      </c>
      <c r="Y2445">
        <v>4</v>
      </c>
      <c r="Z2445">
        <v>3</v>
      </c>
      <c r="AB2445">
        <v>0</v>
      </c>
      <c r="AF2445">
        <v>2</v>
      </c>
      <c r="AG2445">
        <v>0</v>
      </c>
      <c r="AH2445">
        <v>0</v>
      </c>
      <c r="AI2445">
        <v>0</v>
      </c>
      <c r="AW2445">
        <v>0</v>
      </c>
      <c r="AX2445">
        <v>9</v>
      </c>
      <c r="AY2445">
        <v>363</v>
      </c>
      <c r="AZ2445">
        <v>363</v>
      </c>
      <c r="BA2445">
        <v>643</v>
      </c>
      <c r="BB2445">
        <v>44</v>
      </c>
      <c r="BD2445">
        <v>1</v>
      </c>
      <c r="BF2445" t="s">
        <v>2633</v>
      </c>
      <c r="BG2445" s="1">
        <v>44354.004166666666</v>
      </c>
      <c r="BH2445" s="1">
        <v>44354.020439814813</v>
      </c>
      <c r="BI2445" s="1">
        <v>44354.020914351851</v>
      </c>
      <c r="BJ2445" t="s">
        <v>85</v>
      </c>
      <c r="BK2445" t="s">
        <v>86</v>
      </c>
      <c r="BL2445" t="s">
        <v>87</v>
      </c>
    </row>
    <row r="2446" spans="1:64" x14ac:dyDescent="0.3">
      <c r="A2446" t="str">
        <f>"201576C0400"</f>
        <v>201576C0400</v>
      </c>
      <c r="B2446" t="str">
        <f>"201576C04003"</f>
        <v>201576C04003</v>
      </c>
      <c r="C2446" t="str">
        <f t="shared" si="158"/>
        <v>20</v>
      </c>
      <c r="D2446" t="s">
        <v>81</v>
      </c>
      <c r="E2446" t="str">
        <f t="shared" si="159"/>
        <v>332</v>
      </c>
      <c r="F2446" t="s">
        <v>2595</v>
      </c>
      <c r="G2446" t="str">
        <f>"1576"</f>
        <v>1576</v>
      </c>
      <c r="H2446" t="str">
        <f>"0004"</f>
        <v>0004</v>
      </c>
      <c r="I2446" t="s">
        <v>89</v>
      </c>
      <c r="J2446">
        <v>0</v>
      </c>
      <c r="K2446">
        <v>1</v>
      </c>
      <c r="L2446">
        <v>3</v>
      </c>
      <c r="M2446">
        <v>344</v>
      </c>
      <c r="N2446">
        <v>343</v>
      </c>
      <c r="O2446">
        <v>6</v>
      </c>
      <c r="P2446">
        <v>343</v>
      </c>
      <c r="Q2446">
        <v>1</v>
      </c>
      <c r="R2446">
        <v>119</v>
      </c>
      <c r="S2446">
        <v>1</v>
      </c>
      <c r="U2446">
        <v>43</v>
      </c>
      <c r="V2446">
        <v>3</v>
      </c>
      <c r="W2446">
        <v>34</v>
      </c>
      <c r="X2446">
        <v>129</v>
      </c>
      <c r="Y2446">
        <v>5</v>
      </c>
      <c r="Z2446">
        <v>3</v>
      </c>
      <c r="AB2446">
        <v>0</v>
      </c>
      <c r="AF2446">
        <v>0</v>
      </c>
      <c r="AG2446">
        <v>0</v>
      </c>
      <c r="AH2446">
        <v>0</v>
      </c>
      <c r="AI2446">
        <v>0</v>
      </c>
      <c r="AW2446">
        <v>0</v>
      </c>
      <c r="AX2446">
        <v>5</v>
      </c>
      <c r="AY2446">
        <v>343</v>
      </c>
      <c r="AZ2446">
        <v>343</v>
      </c>
      <c r="BA2446">
        <v>643</v>
      </c>
      <c r="BB2446">
        <v>44</v>
      </c>
      <c r="BD2446">
        <v>1</v>
      </c>
      <c r="BF2446" t="s">
        <v>2634</v>
      </c>
      <c r="BG2446" s="1">
        <v>44354.018750000003</v>
      </c>
      <c r="BH2446" s="1">
        <v>44354.027962962966</v>
      </c>
      <c r="BI2446" s="1">
        <v>44354.028483796297</v>
      </c>
      <c r="BJ2446" t="s">
        <v>85</v>
      </c>
      <c r="BK2446" t="s">
        <v>86</v>
      </c>
      <c r="BL2446" t="s">
        <v>87</v>
      </c>
    </row>
    <row r="2447" spans="1:64" x14ac:dyDescent="0.3">
      <c r="A2447" t="str">
        <f>"201577B0000"</f>
        <v>201577B0000</v>
      </c>
      <c r="B2447" t="str">
        <f>"201577B00003"</f>
        <v>201577B00003</v>
      </c>
      <c r="C2447" t="str">
        <f t="shared" si="158"/>
        <v>20</v>
      </c>
      <c r="D2447" t="s">
        <v>81</v>
      </c>
      <c r="E2447" t="str">
        <f t="shared" si="159"/>
        <v>332</v>
      </c>
      <c r="F2447" t="s">
        <v>2595</v>
      </c>
      <c r="G2447" t="str">
        <f>"1577"</f>
        <v>1577</v>
      </c>
      <c r="H2447" t="str">
        <f>"0000"</f>
        <v>0000</v>
      </c>
      <c r="I2447" t="s">
        <v>83</v>
      </c>
      <c r="J2447">
        <v>0</v>
      </c>
      <c r="K2447">
        <v>1</v>
      </c>
      <c r="L2447">
        <v>3</v>
      </c>
      <c r="M2447">
        <v>339</v>
      </c>
      <c r="N2447">
        <v>406</v>
      </c>
      <c r="O2447">
        <v>1</v>
      </c>
      <c r="P2447">
        <v>406</v>
      </c>
      <c r="Q2447">
        <v>4</v>
      </c>
      <c r="R2447">
        <v>94</v>
      </c>
      <c r="S2447">
        <v>2</v>
      </c>
      <c r="U2447">
        <v>59</v>
      </c>
      <c r="V2447">
        <v>0</v>
      </c>
      <c r="W2447">
        <v>109</v>
      </c>
      <c r="X2447">
        <v>104</v>
      </c>
      <c r="Y2447">
        <v>14</v>
      </c>
      <c r="Z2447">
        <v>2</v>
      </c>
      <c r="AB2447">
        <v>8</v>
      </c>
      <c r="AF2447">
        <v>2</v>
      </c>
      <c r="AG2447">
        <v>0</v>
      </c>
      <c r="AH2447">
        <v>0</v>
      </c>
      <c r="AI2447">
        <v>0</v>
      </c>
      <c r="AW2447">
        <v>0</v>
      </c>
      <c r="AX2447">
        <v>8</v>
      </c>
      <c r="AY2447">
        <v>406</v>
      </c>
      <c r="AZ2447">
        <v>406</v>
      </c>
      <c r="BA2447">
        <v>701</v>
      </c>
      <c r="BB2447">
        <v>44</v>
      </c>
      <c r="BD2447">
        <v>1</v>
      </c>
      <c r="BF2447" t="s">
        <v>2635</v>
      </c>
      <c r="BG2447" s="1">
        <v>44354.112500000003</v>
      </c>
      <c r="BH2447" s="1">
        <v>44354.116678240738</v>
      </c>
      <c r="BI2447" s="1">
        <v>44354.117152777777</v>
      </c>
      <c r="BJ2447" t="s">
        <v>85</v>
      </c>
      <c r="BK2447" t="s">
        <v>86</v>
      </c>
      <c r="BL2447" t="s">
        <v>87</v>
      </c>
    </row>
    <row r="2448" spans="1:64" x14ac:dyDescent="0.3">
      <c r="A2448" t="str">
        <f>"201577C0100"</f>
        <v>201577C0100</v>
      </c>
      <c r="B2448" t="str">
        <f>"201577C01003"</f>
        <v>201577C01003</v>
      </c>
      <c r="C2448" t="str">
        <f t="shared" si="158"/>
        <v>20</v>
      </c>
      <c r="D2448" t="s">
        <v>81</v>
      </c>
      <c r="E2448" t="str">
        <f t="shared" si="159"/>
        <v>332</v>
      </c>
      <c r="F2448" t="s">
        <v>2595</v>
      </c>
      <c r="G2448" t="str">
        <f>"1577"</f>
        <v>1577</v>
      </c>
      <c r="H2448" t="str">
        <f>"0001"</f>
        <v>0001</v>
      </c>
      <c r="I2448" t="s">
        <v>89</v>
      </c>
      <c r="J2448">
        <v>0</v>
      </c>
      <c r="K2448">
        <v>1</v>
      </c>
      <c r="L2448">
        <v>3</v>
      </c>
      <c r="M2448">
        <v>362</v>
      </c>
      <c r="N2448">
        <v>382</v>
      </c>
      <c r="O2448">
        <v>1</v>
      </c>
      <c r="P2448">
        <v>382</v>
      </c>
      <c r="Q2448">
        <v>1</v>
      </c>
      <c r="R2448">
        <v>99</v>
      </c>
      <c r="S2448">
        <v>2</v>
      </c>
      <c r="U2448">
        <v>53</v>
      </c>
      <c r="V2448">
        <v>0</v>
      </c>
      <c r="W2448">
        <v>93</v>
      </c>
      <c r="X2448">
        <v>103</v>
      </c>
      <c r="Y2448">
        <v>5</v>
      </c>
      <c r="Z2448">
        <v>2</v>
      </c>
      <c r="AB2448">
        <v>8</v>
      </c>
      <c r="AF2448">
        <v>2</v>
      </c>
      <c r="AG2448">
        <v>1</v>
      </c>
      <c r="AH2448">
        <v>0</v>
      </c>
      <c r="AI2448">
        <v>0</v>
      </c>
      <c r="AW2448">
        <v>0</v>
      </c>
      <c r="AX2448">
        <v>13</v>
      </c>
      <c r="AY2448">
        <v>382</v>
      </c>
      <c r="AZ2448">
        <v>382</v>
      </c>
      <c r="BA2448">
        <v>700</v>
      </c>
      <c r="BB2448">
        <v>44</v>
      </c>
      <c r="BD2448">
        <v>1</v>
      </c>
      <c r="BF2448" t="s">
        <v>2636</v>
      </c>
      <c r="BG2448" s="1">
        <v>44354.104861111111</v>
      </c>
      <c r="BH2448" s="1">
        <v>44354.107395833336</v>
      </c>
      <c r="BI2448" s="1">
        <v>44354.108148148145</v>
      </c>
      <c r="BJ2448" t="s">
        <v>85</v>
      </c>
      <c r="BK2448" t="s">
        <v>86</v>
      </c>
      <c r="BL2448" t="s">
        <v>87</v>
      </c>
    </row>
    <row r="2449" spans="1:64" x14ac:dyDescent="0.3">
      <c r="A2449" t="str">
        <f>"201578B0000"</f>
        <v>201578B0000</v>
      </c>
      <c r="B2449" t="str">
        <f>"201578B00003"</f>
        <v>201578B00003</v>
      </c>
      <c r="C2449" t="str">
        <f t="shared" si="158"/>
        <v>20</v>
      </c>
      <c r="D2449" t="s">
        <v>81</v>
      </c>
      <c r="E2449" t="str">
        <f t="shared" si="159"/>
        <v>332</v>
      </c>
      <c r="F2449" t="s">
        <v>2595</v>
      </c>
      <c r="G2449" t="str">
        <f>"1578"</f>
        <v>1578</v>
      </c>
      <c r="H2449" t="str">
        <f>"0000"</f>
        <v>0000</v>
      </c>
      <c r="I2449" t="s">
        <v>83</v>
      </c>
      <c r="J2449">
        <v>0</v>
      </c>
      <c r="K2449">
        <v>1</v>
      </c>
      <c r="L2449">
        <v>3</v>
      </c>
      <c r="M2449">
        <v>267</v>
      </c>
      <c r="N2449">
        <v>317</v>
      </c>
      <c r="O2449">
        <v>3</v>
      </c>
      <c r="P2449">
        <v>317</v>
      </c>
      <c r="Q2449">
        <v>2</v>
      </c>
      <c r="R2449">
        <v>69</v>
      </c>
      <c r="S2449">
        <v>5</v>
      </c>
      <c r="U2449">
        <v>54</v>
      </c>
      <c r="V2449">
        <v>2</v>
      </c>
      <c r="W2449">
        <v>73</v>
      </c>
      <c r="X2449">
        <v>94</v>
      </c>
      <c r="Y2449">
        <v>6</v>
      </c>
      <c r="Z2449">
        <v>1</v>
      </c>
      <c r="AB2449">
        <v>3</v>
      </c>
      <c r="AF2449">
        <v>3</v>
      </c>
      <c r="AG2449">
        <v>0</v>
      </c>
      <c r="AH2449">
        <v>0</v>
      </c>
      <c r="AI2449">
        <v>0</v>
      </c>
      <c r="AW2449">
        <v>0</v>
      </c>
      <c r="AX2449">
        <v>5</v>
      </c>
      <c r="AY2449">
        <v>317</v>
      </c>
      <c r="AZ2449">
        <v>317</v>
      </c>
      <c r="BA2449">
        <v>540</v>
      </c>
      <c r="BB2449">
        <v>44</v>
      </c>
      <c r="BD2449">
        <v>1</v>
      </c>
      <c r="BF2449" t="s">
        <v>2637</v>
      </c>
      <c r="BG2449" s="1">
        <v>44354.11041666667</v>
      </c>
      <c r="BH2449" s="1">
        <v>44354.114120370374</v>
      </c>
      <c r="BI2449" s="1">
        <v>44354.115451388891</v>
      </c>
      <c r="BJ2449" t="s">
        <v>85</v>
      </c>
      <c r="BK2449" t="s">
        <v>86</v>
      </c>
      <c r="BL2449" t="s">
        <v>87</v>
      </c>
    </row>
    <row r="2450" spans="1:64" x14ac:dyDescent="0.3">
      <c r="A2450" t="str">
        <f>"201578C0100"</f>
        <v>201578C0100</v>
      </c>
      <c r="B2450" t="str">
        <f>"201578C01003"</f>
        <v>201578C01003</v>
      </c>
      <c r="C2450" t="str">
        <f t="shared" si="158"/>
        <v>20</v>
      </c>
      <c r="D2450" t="s">
        <v>81</v>
      </c>
      <c r="E2450" t="str">
        <f t="shared" si="159"/>
        <v>332</v>
      </c>
      <c r="F2450" t="s">
        <v>2595</v>
      </c>
      <c r="G2450" t="str">
        <f>"1578"</f>
        <v>1578</v>
      </c>
      <c r="H2450" t="str">
        <f>"0001"</f>
        <v>0001</v>
      </c>
      <c r="I2450" t="s">
        <v>89</v>
      </c>
      <c r="J2450">
        <v>0</v>
      </c>
      <c r="K2450">
        <v>1</v>
      </c>
      <c r="L2450">
        <v>3</v>
      </c>
      <c r="M2450">
        <v>270</v>
      </c>
      <c r="N2450">
        <v>313</v>
      </c>
      <c r="O2450">
        <v>2</v>
      </c>
      <c r="P2450">
        <v>313</v>
      </c>
      <c r="Q2450">
        <v>0</v>
      </c>
      <c r="R2450">
        <v>91</v>
      </c>
      <c r="S2450">
        <v>3</v>
      </c>
      <c r="U2450">
        <v>46</v>
      </c>
      <c r="V2450">
        <v>1</v>
      </c>
      <c r="W2450">
        <v>81</v>
      </c>
      <c r="X2450">
        <v>77</v>
      </c>
      <c r="Y2450">
        <v>7</v>
      </c>
      <c r="Z2450">
        <v>0</v>
      </c>
      <c r="AB2450">
        <v>3</v>
      </c>
      <c r="AF2450">
        <v>2</v>
      </c>
      <c r="AG2450">
        <v>0</v>
      </c>
      <c r="AH2450">
        <v>0</v>
      </c>
      <c r="AI2450">
        <v>0</v>
      </c>
      <c r="AW2450">
        <v>0</v>
      </c>
      <c r="AX2450">
        <v>2</v>
      </c>
      <c r="AY2450">
        <v>313</v>
      </c>
      <c r="AZ2450">
        <v>313</v>
      </c>
      <c r="BA2450">
        <v>539</v>
      </c>
      <c r="BB2450">
        <v>44</v>
      </c>
      <c r="BD2450">
        <v>1</v>
      </c>
      <c r="BF2450" t="s">
        <v>2638</v>
      </c>
      <c r="BG2450" s="1">
        <v>44354.109722222223</v>
      </c>
      <c r="BH2450" s="1">
        <v>44354.11204861111</v>
      </c>
      <c r="BI2450" s="1">
        <v>44354.112546296295</v>
      </c>
      <c r="BJ2450" t="s">
        <v>85</v>
      </c>
      <c r="BK2450" t="s">
        <v>86</v>
      </c>
      <c r="BL2450" t="s">
        <v>87</v>
      </c>
    </row>
    <row r="2451" spans="1:64" x14ac:dyDescent="0.3">
      <c r="A2451" t="str">
        <f>"201578E0100"</f>
        <v>201578E0100</v>
      </c>
      <c r="B2451" t="str">
        <f>"201578E01003"</f>
        <v>201578E01003</v>
      </c>
      <c r="C2451" t="str">
        <f t="shared" si="158"/>
        <v>20</v>
      </c>
      <c r="D2451" t="s">
        <v>81</v>
      </c>
      <c r="E2451" t="str">
        <f t="shared" si="159"/>
        <v>332</v>
      </c>
      <c r="F2451" t="s">
        <v>2595</v>
      </c>
      <c r="G2451" t="str">
        <f>"1578"</f>
        <v>1578</v>
      </c>
      <c r="H2451" t="str">
        <f>"0001"</f>
        <v>0001</v>
      </c>
      <c r="I2451" t="s">
        <v>122</v>
      </c>
      <c r="J2451">
        <v>0</v>
      </c>
      <c r="K2451">
        <v>1</v>
      </c>
      <c r="L2451">
        <v>3</v>
      </c>
      <c r="M2451">
        <v>225</v>
      </c>
      <c r="N2451">
        <v>266</v>
      </c>
      <c r="O2451">
        <v>5</v>
      </c>
      <c r="P2451">
        <v>266</v>
      </c>
      <c r="Q2451">
        <v>2</v>
      </c>
      <c r="R2451">
        <v>68</v>
      </c>
      <c r="S2451">
        <v>4</v>
      </c>
      <c r="U2451">
        <v>26</v>
      </c>
      <c r="V2451">
        <v>0</v>
      </c>
      <c r="W2451">
        <v>73</v>
      </c>
      <c r="X2451">
        <v>74</v>
      </c>
      <c r="Y2451">
        <v>7</v>
      </c>
      <c r="Z2451">
        <v>0</v>
      </c>
      <c r="AB2451">
        <v>1</v>
      </c>
      <c r="AF2451">
        <v>2</v>
      </c>
      <c r="AG2451">
        <v>1</v>
      </c>
      <c r="AH2451">
        <v>0</v>
      </c>
      <c r="AI2451">
        <v>0</v>
      </c>
      <c r="AW2451">
        <v>0</v>
      </c>
      <c r="AX2451">
        <v>8</v>
      </c>
      <c r="AY2451">
        <v>266</v>
      </c>
      <c r="AZ2451">
        <v>266</v>
      </c>
      <c r="BA2451">
        <v>447</v>
      </c>
      <c r="BB2451">
        <v>44</v>
      </c>
      <c r="BD2451">
        <v>1</v>
      </c>
      <c r="BF2451" t="s">
        <v>2639</v>
      </c>
      <c r="BG2451" s="1">
        <v>44354.046527777777</v>
      </c>
      <c r="BH2451" s="1">
        <v>44354.053622685184</v>
      </c>
      <c r="BI2451" s="1">
        <v>44354.054340277777</v>
      </c>
      <c r="BJ2451" t="s">
        <v>85</v>
      </c>
      <c r="BK2451" t="s">
        <v>86</v>
      </c>
      <c r="BL2451" t="s">
        <v>87</v>
      </c>
    </row>
    <row r="2452" spans="1:64" x14ac:dyDescent="0.3">
      <c r="A2452" t="str">
        <f>"201578E0200"</f>
        <v>201578E0200</v>
      </c>
      <c r="B2452" t="str">
        <f>"201578E02003"</f>
        <v>201578E02003</v>
      </c>
      <c r="C2452" t="str">
        <f t="shared" si="158"/>
        <v>20</v>
      </c>
      <c r="D2452" t="s">
        <v>81</v>
      </c>
      <c r="E2452" t="str">
        <f t="shared" si="159"/>
        <v>332</v>
      </c>
      <c r="F2452" t="s">
        <v>2595</v>
      </c>
      <c r="G2452" t="str">
        <f>"1578"</f>
        <v>1578</v>
      </c>
      <c r="H2452" t="str">
        <f>"0002"</f>
        <v>0002</v>
      </c>
      <c r="I2452" t="s">
        <v>122</v>
      </c>
      <c r="J2452">
        <v>0</v>
      </c>
      <c r="K2452">
        <v>1</v>
      </c>
      <c r="L2452">
        <v>3</v>
      </c>
      <c r="M2452" t="s">
        <v>131</v>
      </c>
      <c r="N2452" t="s">
        <v>131</v>
      </c>
      <c r="O2452" t="s">
        <v>131</v>
      </c>
      <c r="P2452" t="s">
        <v>131</v>
      </c>
      <c r="Q2452">
        <v>3</v>
      </c>
      <c r="R2452">
        <v>122</v>
      </c>
      <c r="S2452">
        <v>3</v>
      </c>
      <c r="U2452">
        <v>20</v>
      </c>
      <c r="V2452">
        <v>1</v>
      </c>
      <c r="W2452" t="s">
        <v>131</v>
      </c>
      <c r="X2452" t="s">
        <v>131</v>
      </c>
      <c r="Y2452">
        <v>9</v>
      </c>
      <c r="Z2452">
        <v>1</v>
      </c>
      <c r="AB2452">
        <v>3</v>
      </c>
      <c r="AF2452">
        <v>2</v>
      </c>
      <c r="AG2452">
        <v>0</v>
      </c>
      <c r="AH2452">
        <v>0</v>
      </c>
      <c r="AI2452">
        <v>0</v>
      </c>
      <c r="AW2452">
        <v>0</v>
      </c>
      <c r="AX2452">
        <v>5</v>
      </c>
      <c r="AY2452" t="s">
        <v>131</v>
      </c>
      <c r="AZ2452">
        <v>169</v>
      </c>
      <c r="BA2452">
        <v>623</v>
      </c>
      <c r="BB2452">
        <v>44</v>
      </c>
      <c r="BC2452" t="s">
        <v>96</v>
      </c>
      <c r="BD2452">
        <v>1</v>
      </c>
      <c r="BF2452" t="s">
        <v>2640</v>
      </c>
      <c r="BG2452" s="1">
        <v>44354.062384259261</v>
      </c>
      <c r="BH2452" s="1">
        <v>44354.093194444446</v>
      </c>
      <c r="BI2452" s="1">
        <v>44354.097048611111</v>
      </c>
      <c r="BJ2452" t="s">
        <v>85</v>
      </c>
      <c r="BK2452" t="s">
        <v>86</v>
      </c>
      <c r="BL2452" t="s">
        <v>1390</v>
      </c>
    </row>
    <row r="2453" spans="1:64" x14ac:dyDescent="0.3">
      <c r="A2453" t="str">
        <f>"201579B0000"</f>
        <v>201579B0000</v>
      </c>
      <c r="B2453" t="str">
        <f>"201579B00003"</f>
        <v>201579B00003</v>
      </c>
      <c r="C2453" t="str">
        <f t="shared" si="158"/>
        <v>20</v>
      </c>
      <c r="D2453" t="s">
        <v>81</v>
      </c>
      <c r="E2453" t="str">
        <f t="shared" si="159"/>
        <v>332</v>
      </c>
      <c r="F2453" t="s">
        <v>2595</v>
      </c>
      <c r="G2453" t="str">
        <f>"1579"</f>
        <v>1579</v>
      </c>
      <c r="H2453" t="str">
        <f>"0000"</f>
        <v>0000</v>
      </c>
      <c r="I2453" t="s">
        <v>83</v>
      </c>
      <c r="J2453">
        <v>0</v>
      </c>
      <c r="K2453">
        <v>1</v>
      </c>
      <c r="L2453">
        <v>3</v>
      </c>
      <c r="M2453">
        <v>358</v>
      </c>
      <c r="N2453">
        <v>404</v>
      </c>
      <c r="O2453">
        <v>0</v>
      </c>
      <c r="P2453">
        <v>404</v>
      </c>
      <c r="Q2453">
        <v>3</v>
      </c>
      <c r="R2453">
        <v>129</v>
      </c>
      <c r="S2453">
        <v>5</v>
      </c>
      <c r="U2453">
        <v>38</v>
      </c>
      <c r="V2453">
        <v>16</v>
      </c>
      <c r="W2453">
        <v>69</v>
      </c>
      <c r="X2453">
        <v>87</v>
      </c>
      <c r="Y2453">
        <v>33</v>
      </c>
      <c r="Z2453">
        <v>4</v>
      </c>
      <c r="AB2453">
        <v>2</v>
      </c>
      <c r="AF2453">
        <v>0</v>
      </c>
      <c r="AG2453">
        <v>0</v>
      </c>
      <c r="AH2453">
        <v>0</v>
      </c>
      <c r="AI2453">
        <v>0</v>
      </c>
      <c r="AW2453">
        <v>0</v>
      </c>
      <c r="AX2453">
        <v>18</v>
      </c>
      <c r="AY2453">
        <v>404</v>
      </c>
      <c r="AZ2453">
        <v>404</v>
      </c>
      <c r="BA2453">
        <v>718</v>
      </c>
      <c r="BB2453">
        <v>44</v>
      </c>
      <c r="BD2453">
        <v>1</v>
      </c>
      <c r="BF2453" t="s">
        <v>2641</v>
      </c>
      <c r="BG2453" s="1">
        <v>44354.021527777775</v>
      </c>
      <c r="BH2453" s="1">
        <v>44354.032835648148</v>
      </c>
      <c r="BI2453" s="1">
        <v>44354.033379629633</v>
      </c>
      <c r="BJ2453" t="s">
        <v>85</v>
      </c>
      <c r="BK2453" t="s">
        <v>86</v>
      </c>
      <c r="BL2453" t="s">
        <v>87</v>
      </c>
    </row>
    <row r="2454" spans="1:64" x14ac:dyDescent="0.3">
      <c r="A2454" t="str">
        <f>"201579E0100"</f>
        <v>201579E0100</v>
      </c>
      <c r="B2454" t="str">
        <f>"201579E01003"</f>
        <v>201579E01003</v>
      </c>
      <c r="C2454" t="str">
        <f t="shared" si="158"/>
        <v>20</v>
      </c>
      <c r="D2454" t="s">
        <v>81</v>
      </c>
      <c r="E2454" t="str">
        <f t="shared" si="159"/>
        <v>332</v>
      </c>
      <c r="F2454" t="s">
        <v>2595</v>
      </c>
      <c r="G2454" t="str">
        <f>"1579"</f>
        <v>1579</v>
      </c>
      <c r="H2454" t="str">
        <f>"0001"</f>
        <v>0001</v>
      </c>
      <c r="I2454" t="s">
        <v>122</v>
      </c>
      <c r="J2454">
        <v>0</v>
      </c>
      <c r="K2454">
        <v>1</v>
      </c>
      <c r="L2454">
        <v>3</v>
      </c>
      <c r="M2454">
        <v>142</v>
      </c>
      <c r="N2454">
        <v>172</v>
      </c>
      <c r="O2454">
        <v>0</v>
      </c>
      <c r="P2454">
        <v>172</v>
      </c>
      <c r="Q2454">
        <v>1</v>
      </c>
      <c r="R2454">
        <v>36</v>
      </c>
      <c r="S2454">
        <v>3</v>
      </c>
      <c r="U2454">
        <v>14</v>
      </c>
      <c r="V2454">
        <v>1</v>
      </c>
      <c r="W2454">
        <v>69</v>
      </c>
      <c r="X2454">
        <v>33</v>
      </c>
      <c r="Y2454">
        <v>6</v>
      </c>
      <c r="Z2454">
        <v>1</v>
      </c>
      <c r="AB2454">
        <v>1</v>
      </c>
      <c r="AF2454">
        <v>2</v>
      </c>
      <c r="AG2454" t="s">
        <v>95</v>
      </c>
      <c r="AH2454" t="s">
        <v>95</v>
      </c>
      <c r="AI2454" t="s">
        <v>95</v>
      </c>
      <c r="AW2454" t="s">
        <v>95</v>
      </c>
      <c r="AX2454">
        <v>5</v>
      </c>
      <c r="AY2454">
        <v>172</v>
      </c>
      <c r="AZ2454">
        <v>172</v>
      </c>
      <c r="BA2454">
        <v>270</v>
      </c>
      <c r="BB2454">
        <v>44</v>
      </c>
      <c r="BC2454" t="s">
        <v>96</v>
      </c>
      <c r="BD2454">
        <v>1</v>
      </c>
      <c r="BF2454" t="s">
        <v>2642</v>
      </c>
      <c r="BG2454" s="1">
        <v>44354.032638888886</v>
      </c>
      <c r="BH2454" s="1">
        <v>44354.050763888888</v>
      </c>
      <c r="BI2454" s="1">
        <v>44354.05133101852</v>
      </c>
      <c r="BJ2454" t="s">
        <v>85</v>
      </c>
      <c r="BK2454" t="s">
        <v>86</v>
      </c>
      <c r="BL2454" t="s">
        <v>87</v>
      </c>
    </row>
    <row r="2455" spans="1:64" x14ac:dyDescent="0.3">
      <c r="A2455" t="str">
        <f>"201579E0200"</f>
        <v>201579E0200</v>
      </c>
      <c r="B2455" t="str">
        <f>"201579E02003"</f>
        <v>201579E02003</v>
      </c>
      <c r="C2455" t="str">
        <f t="shared" si="158"/>
        <v>20</v>
      </c>
      <c r="D2455" t="s">
        <v>81</v>
      </c>
      <c r="E2455" t="str">
        <f t="shared" si="159"/>
        <v>332</v>
      </c>
      <c r="F2455" t="s">
        <v>2595</v>
      </c>
      <c r="G2455" t="str">
        <f>"1579"</f>
        <v>1579</v>
      </c>
      <c r="H2455" t="str">
        <f>"0002"</f>
        <v>0002</v>
      </c>
      <c r="I2455" t="s">
        <v>122</v>
      </c>
      <c r="J2455">
        <v>0</v>
      </c>
      <c r="K2455">
        <v>1</v>
      </c>
      <c r="L2455">
        <v>3</v>
      </c>
      <c r="M2455">
        <v>144</v>
      </c>
      <c r="N2455">
        <v>314</v>
      </c>
      <c r="O2455">
        <v>0</v>
      </c>
      <c r="P2455">
        <v>314</v>
      </c>
      <c r="Q2455">
        <v>0</v>
      </c>
      <c r="R2455">
        <v>161</v>
      </c>
      <c r="S2455">
        <v>1</v>
      </c>
      <c r="U2455">
        <v>0</v>
      </c>
      <c r="V2455">
        <v>2</v>
      </c>
      <c r="W2455">
        <v>32</v>
      </c>
      <c r="X2455">
        <v>96</v>
      </c>
      <c r="Y2455">
        <v>3</v>
      </c>
      <c r="Z2455">
        <v>6</v>
      </c>
      <c r="AB2455">
        <v>3</v>
      </c>
      <c r="AF2455">
        <v>0</v>
      </c>
      <c r="AG2455">
        <v>0</v>
      </c>
      <c r="AH2455">
        <v>0</v>
      </c>
      <c r="AI2455">
        <v>2</v>
      </c>
      <c r="AW2455">
        <v>0</v>
      </c>
      <c r="AX2455">
        <v>8</v>
      </c>
      <c r="AY2455">
        <v>314</v>
      </c>
      <c r="AZ2455">
        <v>314</v>
      </c>
      <c r="BA2455">
        <v>414</v>
      </c>
      <c r="BB2455">
        <v>44</v>
      </c>
      <c r="BD2455">
        <v>1</v>
      </c>
      <c r="BF2455" t="s">
        <v>2643</v>
      </c>
      <c r="BG2455" s="1">
        <v>44354.020833333336</v>
      </c>
      <c r="BH2455" s="1">
        <v>44354.030624999999</v>
      </c>
      <c r="BI2455" s="1">
        <v>44354.030833333331</v>
      </c>
      <c r="BJ2455" t="s">
        <v>85</v>
      </c>
      <c r="BK2455" t="s">
        <v>86</v>
      </c>
      <c r="BL2455" t="s">
        <v>87</v>
      </c>
    </row>
    <row r="2456" spans="1:64" x14ac:dyDescent="0.3">
      <c r="A2456" t="str">
        <f>"201580B0000"</f>
        <v>201580B0000</v>
      </c>
      <c r="B2456" t="str">
        <f>"201580B00003"</f>
        <v>201580B00003</v>
      </c>
      <c r="C2456" t="str">
        <f t="shared" si="158"/>
        <v>20</v>
      </c>
      <c r="D2456" t="s">
        <v>81</v>
      </c>
      <c r="E2456" t="str">
        <f t="shared" si="159"/>
        <v>332</v>
      </c>
      <c r="F2456" t="s">
        <v>2595</v>
      </c>
      <c r="G2456" t="str">
        <f>"1580"</f>
        <v>1580</v>
      </c>
      <c r="H2456" t="str">
        <f>"0000"</f>
        <v>0000</v>
      </c>
      <c r="I2456" t="s">
        <v>83</v>
      </c>
      <c r="J2456">
        <v>0</v>
      </c>
      <c r="K2456">
        <v>1</v>
      </c>
      <c r="L2456">
        <v>3</v>
      </c>
      <c r="M2456">
        <v>275</v>
      </c>
      <c r="N2456">
        <v>246</v>
      </c>
      <c r="O2456">
        <v>0</v>
      </c>
      <c r="P2456">
        <v>246</v>
      </c>
      <c r="Q2456">
        <v>0</v>
      </c>
      <c r="R2456">
        <v>127</v>
      </c>
      <c r="S2456">
        <v>2</v>
      </c>
      <c r="U2456">
        <v>34</v>
      </c>
      <c r="V2456">
        <v>2</v>
      </c>
      <c r="W2456">
        <v>18</v>
      </c>
      <c r="X2456">
        <v>50</v>
      </c>
      <c r="Y2456">
        <v>1</v>
      </c>
      <c r="Z2456">
        <v>1</v>
      </c>
      <c r="AB2456">
        <v>2</v>
      </c>
      <c r="AF2456">
        <v>2</v>
      </c>
      <c r="AG2456">
        <v>0</v>
      </c>
      <c r="AH2456">
        <v>0</v>
      </c>
      <c r="AI2456">
        <v>1</v>
      </c>
      <c r="AW2456">
        <v>0</v>
      </c>
      <c r="AX2456">
        <v>7</v>
      </c>
      <c r="AY2456">
        <v>246</v>
      </c>
      <c r="AZ2456">
        <v>247</v>
      </c>
      <c r="BA2456">
        <v>477</v>
      </c>
      <c r="BB2456">
        <v>44</v>
      </c>
      <c r="BD2456">
        <v>1</v>
      </c>
      <c r="BF2456" t="s">
        <v>2644</v>
      </c>
      <c r="BG2456" s="1">
        <v>44354.027777777781</v>
      </c>
      <c r="BH2456" s="1">
        <v>44354.049884259257</v>
      </c>
      <c r="BI2456" s="1">
        <v>44354.050775462965</v>
      </c>
      <c r="BJ2456" t="s">
        <v>85</v>
      </c>
      <c r="BK2456" t="s">
        <v>86</v>
      </c>
      <c r="BL2456" t="s">
        <v>87</v>
      </c>
    </row>
    <row r="2457" spans="1:64" x14ac:dyDescent="0.3">
      <c r="A2457" t="str">
        <f>"201580C0100"</f>
        <v>201580C0100</v>
      </c>
      <c r="B2457" t="str">
        <f>"201580C01003"</f>
        <v>201580C01003</v>
      </c>
      <c r="C2457" t="str">
        <f t="shared" si="158"/>
        <v>20</v>
      </c>
      <c r="D2457" t="s">
        <v>81</v>
      </c>
      <c r="E2457" t="str">
        <f t="shared" si="159"/>
        <v>332</v>
      </c>
      <c r="F2457" t="s">
        <v>2595</v>
      </c>
      <c r="G2457" t="str">
        <f>"1580"</f>
        <v>1580</v>
      </c>
      <c r="H2457" t="str">
        <f>"0001"</f>
        <v>0001</v>
      </c>
      <c r="I2457" t="s">
        <v>89</v>
      </c>
      <c r="J2457">
        <v>0</v>
      </c>
      <c r="K2457">
        <v>1</v>
      </c>
      <c r="L2457">
        <v>3</v>
      </c>
      <c r="M2457">
        <v>265</v>
      </c>
      <c r="N2457">
        <v>255</v>
      </c>
      <c r="O2457">
        <v>0</v>
      </c>
      <c r="P2457">
        <v>255</v>
      </c>
      <c r="Q2457">
        <v>2</v>
      </c>
      <c r="R2457">
        <v>141</v>
      </c>
      <c r="S2457">
        <v>0</v>
      </c>
      <c r="U2457">
        <v>35</v>
      </c>
      <c r="V2457">
        <v>0</v>
      </c>
      <c r="W2457">
        <v>15</v>
      </c>
      <c r="X2457">
        <v>38</v>
      </c>
      <c r="Y2457">
        <v>11</v>
      </c>
      <c r="Z2457">
        <v>2</v>
      </c>
      <c r="AB2457">
        <v>3</v>
      </c>
      <c r="AF2457">
        <v>1</v>
      </c>
      <c r="AG2457">
        <v>1</v>
      </c>
      <c r="AH2457">
        <v>0</v>
      </c>
      <c r="AI2457">
        <v>1</v>
      </c>
      <c r="AW2457">
        <v>0</v>
      </c>
      <c r="AX2457">
        <v>5</v>
      </c>
      <c r="AY2457">
        <v>255</v>
      </c>
      <c r="AZ2457">
        <v>255</v>
      </c>
      <c r="BA2457">
        <v>476</v>
      </c>
      <c r="BB2457">
        <v>44</v>
      </c>
      <c r="BD2457">
        <v>1</v>
      </c>
      <c r="BF2457" t="s">
        <v>2645</v>
      </c>
      <c r="BG2457" s="1">
        <v>44354.026388888888</v>
      </c>
      <c r="BH2457" s="1">
        <v>44354.036053240743</v>
      </c>
      <c r="BI2457" s="1">
        <v>44354.036550925928</v>
      </c>
      <c r="BJ2457" t="s">
        <v>85</v>
      </c>
      <c r="BK2457" t="s">
        <v>86</v>
      </c>
      <c r="BL2457" t="s">
        <v>87</v>
      </c>
    </row>
    <row r="2458" spans="1:64" x14ac:dyDescent="0.3">
      <c r="A2458" t="str">
        <f>"201580E0100"</f>
        <v>201580E0100</v>
      </c>
      <c r="B2458" t="str">
        <f>"201580E01003"</f>
        <v>201580E01003</v>
      </c>
      <c r="C2458" t="str">
        <f t="shared" si="158"/>
        <v>20</v>
      </c>
      <c r="D2458" t="s">
        <v>81</v>
      </c>
      <c r="E2458" t="str">
        <f t="shared" si="159"/>
        <v>332</v>
      </c>
      <c r="F2458" t="s">
        <v>2595</v>
      </c>
      <c r="G2458" t="str">
        <f>"1580"</f>
        <v>1580</v>
      </c>
      <c r="H2458" t="str">
        <f>"0001"</f>
        <v>0001</v>
      </c>
      <c r="I2458" t="s">
        <v>122</v>
      </c>
      <c r="J2458">
        <v>0</v>
      </c>
      <c r="K2458">
        <v>1</v>
      </c>
      <c r="L2458">
        <v>3</v>
      </c>
      <c r="M2458">
        <v>242</v>
      </c>
      <c r="N2458">
        <v>325</v>
      </c>
      <c r="O2458">
        <v>2</v>
      </c>
      <c r="P2458">
        <v>325</v>
      </c>
      <c r="Q2458">
        <v>3</v>
      </c>
      <c r="R2458">
        <v>93</v>
      </c>
      <c r="S2458">
        <v>1</v>
      </c>
      <c r="U2458">
        <v>44</v>
      </c>
      <c r="V2458">
        <v>2</v>
      </c>
      <c r="W2458">
        <v>81</v>
      </c>
      <c r="X2458">
        <v>70</v>
      </c>
      <c r="Y2458">
        <v>16</v>
      </c>
      <c r="Z2458">
        <v>3</v>
      </c>
      <c r="AB2458">
        <v>1</v>
      </c>
      <c r="AF2458">
        <v>2</v>
      </c>
      <c r="AG2458">
        <v>0</v>
      </c>
      <c r="AH2458">
        <v>0</v>
      </c>
      <c r="AI2458">
        <v>0</v>
      </c>
      <c r="AW2458">
        <v>0</v>
      </c>
      <c r="AX2458">
        <v>9</v>
      </c>
      <c r="AY2458">
        <v>325</v>
      </c>
      <c r="AZ2458">
        <v>325</v>
      </c>
      <c r="BA2458">
        <v>523</v>
      </c>
      <c r="BB2458">
        <v>44</v>
      </c>
      <c r="BD2458">
        <v>1</v>
      </c>
      <c r="BF2458" t="s">
        <v>2646</v>
      </c>
      <c r="BG2458" s="1">
        <v>44354.019444444442</v>
      </c>
      <c r="BH2458" s="1">
        <v>44354.02888888889</v>
      </c>
      <c r="BI2458" s="1">
        <v>44354.029398148145</v>
      </c>
      <c r="BJ2458" t="s">
        <v>85</v>
      </c>
      <c r="BK2458" t="s">
        <v>86</v>
      </c>
      <c r="BL2458" t="s">
        <v>87</v>
      </c>
    </row>
    <row r="2459" spans="1:64" x14ac:dyDescent="0.3">
      <c r="A2459" t="str">
        <f>"201581B0000"</f>
        <v>201581B0000</v>
      </c>
      <c r="B2459" t="str">
        <f>"201581B00003"</f>
        <v>201581B00003</v>
      </c>
      <c r="C2459" t="str">
        <f t="shared" si="158"/>
        <v>20</v>
      </c>
      <c r="D2459" t="s">
        <v>81</v>
      </c>
      <c r="E2459" t="str">
        <f t="shared" si="159"/>
        <v>332</v>
      </c>
      <c r="F2459" t="s">
        <v>2595</v>
      </c>
      <c r="G2459" t="str">
        <f>"1581"</f>
        <v>1581</v>
      </c>
      <c r="H2459" t="str">
        <f>"0000"</f>
        <v>0000</v>
      </c>
      <c r="I2459" t="s">
        <v>83</v>
      </c>
      <c r="J2459">
        <v>0</v>
      </c>
      <c r="K2459">
        <v>1</v>
      </c>
      <c r="L2459">
        <v>3</v>
      </c>
      <c r="M2459">
        <v>402</v>
      </c>
      <c r="N2459">
        <v>364</v>
      </c>
      <c r="O2459">
        <v>1</v>
      </c>
      <c r="P2459">
        <v>364</v>
      </c>
      <c r="Q2459">
        <v>1</v>
      </c>
      <c r="R2459">
        <v>136</v>
      </c>
      <c r="S2459">
        <v>12</v>
      </c>
      <c r="U2459">
        <v>36</v>
      </c>
      <c r="V2459">
        <v>15</v>
      </c>
      <c r="W2459">
        <v>33</v>
      </c>
      <c r="X2459">
        <v>100</v>
      </c>
      <c r="Y2459">
        <v>10</v>
      </c>
      <c r="Z2459">
        <v>3</v>
      </c>
      <c r="AB2459">
        <v>2</v>
      </c>
      <c r="AF2459">
        <v>2</v>
      </c>
      <c r="AG2459">
        <v>0</v>
      </c>
      <c r="AH2459">
        <v>0</v>
      </c>
      <c r="AI2459">
        <v>0</v>
      </c>
      <c r="AW2459">
        <v>0</v>
      </c>
      <c r="AX2459">
        <v>14</v>
      </c>
      <c r="AY2459">
        <v>364</v>
      </c>
      <c r="AZ2459">
        <v>364</v>
      </c>
      <c r="BA2459">
        <v>722</v>
      </c>
      <c r="BB2459">
        <v>44</v>
      </c>
      <c r="BD2459">
        <v>1</v>
      </c>
      <c r="BF2459" t="s">
        <v>2647</v>
      </c>
      <c r="BG2459" s="1">
        <v>44354.131249999999</v>
      </c>
      <c r="BH2459" s="1">
        <v>44354.133275462962</v>
      </c>
      <c r="BI2459" s="1">
        <v>44354.134108796294</v>
      </c>
      <c r="BJ2459" t="s">
        <v>85</v>
      </c>
      <c r="BK2459" t="s">
        <v>86</v>
      </c>
      <c r="BL2459" t="s">
        <v>87</v>
      </c>
    </row>
    <row r="2460" spans="1:64" x14ac:dyDescent="0.3">
      <c r="A2460" t="str">
        <f>"201581C0100"</f>
        <v>201581C0100</v>
      </c>
      <c r="B2460" t="str">
        <f>"201581C01003"</f>
        <v>201581C01003</v>
      </c>
      <c r="C2460" t="str">
        <f t="shared" si="158"/>
        <v>20</v>
      </c>
      <c r="D2460" t="s">
        <v>81</v>
      </c>
      <c r="E2460" t="str">
        <f t="shared" si="159"/>
        <v>332</v>
      </c>
      <c r="F2460" t="s">
        <v>2595</v>
      </c>
      <c r="G2460" t="str">
        <f>"1581"</f>
        <v>1581</v>
      </c>
      <c r="H2460" t="str">
        <f>"0001"</f>
        <v>0001</v>
      </c>
      <c r="I2460" t="s">
        <v>89</v>
      </c>
      <c r="J2460">
        <v>0</v>
      </c>
      <c r="K2460">
        <v>1</v>
      </c>
      <c r="L2460">
        <v>3</v>
      </c>
      <c r="M2460">
        <v>413</v>
      </c>
      <c r="N2460">
        <v>352</v>
      </c>
      <c r="O2460">
        <v>6</v>
      </c>
      <c r="P2460">
        <v>352</v>
      </c>
      <c r="Q2460">
        <v>1</v>
      </c>
      <c r="R2460">
        <v>128</v>
      </c>
      <c r="S2460">
        <v>17</v>
      </c>
      <c r="U2460">
        <v>31</v>
      </c>
      <c r="V2460">
        <v>17</v>
      </c>
      <c r="W2460">
        <v>40</v>
      </c>
      <c r="X2460">
        <v>92</v>
      </c>
      <c r="Y2460">
        <v>6</v>
      </c>
      <c r="Z2460">
        <v>5</v>
      </c>
      <c r="AB2460">
        <v>4</v>
      </c>
      <c r="AF2460">
        <v>1</v>
      </c>
      <c r="AG2460">
        <v>0</v>
      </c>
      <c r="AH2460">
        <v>0</v>
      </c>
      <c r="AI2460">
        <v>0</v>
      </c>
      <c r="AW2460">
        <v>0</v>
      </c>
      <c r="AX2460">
        <v>10</v>
      </c>
      <c r="AY2460">
        <v>352</v>
      </c>
      <c r="AZ2460">
        <v>352</v>
      </c>
      <c r="BA2460">
        <v>721</v>
      </c>
      <c r="BB2460">
        <v>44</v>
      </c>
      <c r="BD2460">
        <v>1</v>
      </c>
      <c r="BF2460" t="s">
        <v>2648</v>
      </c>
      <c r="BG2460" s="1">
        <v>44354.126388888886</v>
      </c>
      <c r="BH2460" s="1">
        <v>44354.12872685185</v>
      </c>
      <c r="BI2460" s="1">
        <v>44354.129247685189</v>
      </c>
      <c r="BJ2460" t="s">
        <v>85</v>
      </c>
      <c r="BK2460" t="s">
        <v>86</v>
      </c>
      <c r="BL2460" t="s">
        <v>87</v>
      </c>
    </row>
    <row r="2461" spans="1:64" x14ac:dyDescent="0.3">
      <c r="A2461" t="str">
        <f>"201582B0000"</f>
        <v>201582B0000</v>
      </c>
      <c r="B2461" t="str">
        <f>"201582B00003"</f>
        <v>201582B00003</v>
      </c>
      <c r="C2461" t="str">
        <f t="shared" si="158"/>
        <v>20</v>
      </c>
      <c r="D2461" t="s">
        <v>81</v>
      </c>
      <c r="E2461" t="str">
        <f t="shared" si="159"/>
        <v>332</v>
      </c>
      <c r="F2461" t="s">
        <v>2595</v>
      </c>
      <c r="G2461" t="str">
        <f>"1582"</f>
        <v>1582</v>
      </c>
      <c r="H2461" t="str">
        <f>"0000"</f>
        <v>0000</v>
      </c>
      <c r="I2461" t="s">
        <v>83</v>
      </c>
      <c r="J2461">
        <v>0</v>
      </c>
      <c r="K2461">
        <v>1</v>
      </c>
      <c r="L2461">
        <v>3</v>
      </c>
      <c r="M2461">
        <v>239</v>
      </c>
      <c r="N2461">
        <v>488</v>
      </c>
      <c r="O2461">
        <v>0</v>
      </c>
      <c r="P2461">
        <v>249</v>
      </c>
      <c r="Q2461">
        <v>1</v>
      </c>
      <c r="R2461">
        <v>89</v>
      </c>
      <c r="S2461">
        <v>2</v>
      </c>
      <c r="U2461">
        <v>40</v>
      </c>
      <c r="V2461">
        <v>2</v>
      </c>
      <c r="W2461">
        <v>22</v>
      </c>
      <c r="X2461">
        <v>59</v>
      </c>
      <c r="Y2461">
        <v>14</v>
      </c>
      <c r="Z2461">
        <v>5</v>
      </c>
      <c r="AB2461">
        <v>1</v>
      </c>
      <c r="AF2461">
        <v>4</v>
      </c>
      <c r="AG2461">
        <v>0</v>
      </c>
      <c r="AH2461">
        <v>0</v>
      </c>
      <c r="AI2461">
        <v>0</v>
      </c>
      <c r="AW2461">
        <v>0</v>
      </c>
      <c r="AX2461">
        <v>10</v>
      </c>
      <c r="AY2461">
        <v>249</v>
      </c>
      <c r="AZ2461">
        <v>249</v>
      </c>
      <c r="BA2461">
        <v>444</v>
      </c>
      <c r="BB2461">
        <v>44</v>
      </c>
      <c r="BD2461">
        <v>1</v>
      </c>
      <c r="BF2461" t="s">
        <v>2649</v>
      </c>
      <c r="BG2461" s="1">
        <v>44354.068055555559</v>
      </c>
      <c r="BH2461" s="1">
        <v>44354.072743055556</v>
      </c>
      <c r="BI2461" s="1">
        <v>44354.073946759258</v>
      </c>
      <c r="BJ2461" t="s">
        <v>85</v>
      </c>
      <c r="BK2461" t="s">
        <v>86</v>
      </c>
      <c r="BL2461" t="s">
        <v>87</v>
      </c>
    </row>
    <row r="2462" spans="1:64" x14ac:dyDescent="0.3">
      <c r="A2462" t="str">
        <f>"201582C0100"</f>
        <v>201582C0100</v>
      </c>
      <c r="B2462" t="str">
        <f>"201582C01003"</f>
        <v>201582C01003</v>
      </c>
      <c r="C2462" t="str">
        <f t="shared" si="158"/>
        <v>20</v>
      </c>
      <c r="D2462" t="s">
        <v>81</v>
      </c>
      <c r="E2462" t="str">
        <f t="shared" si="159"/>
        <v>332</v>
      </c>
      <c r="F2462" t="s">
        <v>2595</v>
      </c>
      <c r="G2462" t="str">
        <f>"1582"</f>
        <v>1582</v>
      </c>
      <c r="H2462" t="str">
        <f>"0001"</f>
        <v>0001</v>
      </c>
      <c r="I2462" t="s">
        <v>89</v>
      </c>
      <c r="J2462">
        <v>0</v>
      </c>
      <c r="K2462">
        <v>1</v>
      </c>
      <c r="L2462">
        <v>3</v>
      </c>
      <c r="M2462">
        <v>231</v>
      </c>
      <c r="N2462">
        <v>257</v>
      </c>
      <c r="O2462">
        <v>0</v>
      </c>
      <c r="P2462">
        <v>257</v>
      </c>
      <c r="Q2462">
        <v>0</v>
      </c>
      <c r="R2462">
        <v>102</v>
      </c>
      <c r="S2462">
        <v>2</v>
      </c>
      <c r="U2462">
        <v>40</v>
      </c>
      <c r="V2462">
        <v>0</v>
      </c>
      <c r="W2462">
        <v>30</v>
      </c>
      <c r="X2462">
        <v>51</v>
      </c>
      <c r="Y2462">
        <v>13</v>
      </c>
      <c r="Z2462">
        <v>5</v>
      </c>
      <c r="AB2462">
        <v>3</v>
      </c>
      <c r="AF2462">
        <v>5</v>
      </c>
      <c r="AG2462">
        <v>0</v>
      </c>
      <c r="AH2462">
        <v>0</v>
      </c>
      <c r="AI2462">
        <v>0</v>
      </c>
      <c r="AW2462">
        <v>0</v>
      </c>
      <c r="AX2462">
        <v>6</v>
      </c>
      <c r="AY2462">
        <v>257</v>
      </c>
      <c r="AZ2462">
        <v>257</v>
      </c>
      <c r="BA2462">
        <v>444</v>
      </c>
      <c r="BB2462">
        <v>44</v>
      </c>
      <c r="BD2462">
        <v>1</v>
      </c>
      <c r="BF2462" t="s">
        <v>2650</v>
      </c>
      <c r="BG2462" s="1">
        <v>44354.076388888891</v>
      </c>
      <c r="BH2462" s="1">
        <v>44354.082199074073</v>
      </c>
      <c r="BI2462" s="1">
        <v>44354.082418981481</v>
      </c>
      <c r="BJ2462" t="s">
        <v>85</v>
      </c>
      <c r="BK2462" t="s">
        <v>86</v>
      </c>
      <c r="BL2462" t="s">
        <v>87</v>
      </c>
    </row>
    <row r="2463" spans="1:64" x14ac:dyDescent="0.3">
      <c r="A2463" t="str">
        <f>"201583B0000"</f>
        <v>201583B0000</v>
      </c>
      <c r="B2463" t="str">
        <f>"201583B00003"</f>
        <v>201583B00003</v>
      </c>
      <c r="C2463" t="str">
        <f t="shared" si="158"/>
        <v>20</v>
      </c>
      <c r="D2463" t="s">
        <v>81</v>
      </c>
      <c r="E2463" t="str">
        <f t="shared" si="159"/>
        <v>332</v>
      </c>
      <c r="F2463" t="s">
        <v>2595</v>
      </c>
      <c r="G2463" t="str">
        <f>"1583"</f>
        <v>1583</v>
      </c>
      <c r="H2463" t="str">
        <f>"0000"</f>
        <v>0000</v>
      </c>
      <c r="I2463" t="s">
        <v>83</v>
      </c>
      <c r="J2463">
        <v>0</v>
      </c>
      <c r="K2463">
        <v>1</v>
      </c>
      <c r="L2463">
        <v>3</v>
      </c>
      <c r="M2463">
        <v>261</v>
      </c>
      <c r="N2463">
        <v>333</v>
      </c>
      <c r="O2463">
        <v>0</v>
      </c>
      <c r="P2463">
        <v>333</v>
      </c>
      <c r="Q2463">
        <v>2</v>
      </c>
      <c r="R2463">
        <v>73</v>
      </c>
      <c r="S2463">
        <v>2</v>
      </c>
      <c r="U2463">
        <v>19</v>
      </c>
      <c r="V2463">
        <v>3</v>
      </c>
      <c r="W2463">
        <v>59</v>
      </c>
      <c r="X2463">
        <v>113</v>
      </c>
      <c r="Y2463">
        <v>41</v>
      </c>
      <c r="Z2463">
        <v>0</v>
      </c>
      <c r="AB2463">
        <v>0</v>
      </c>
      <c r="AF2463">
        <v>0</v>
      </c>
      <c r="AG2463">
        <v>0</v>
      </c>
      <c r="AH2463">
        <v>0</v>
      </c>
      <c r="AI2463">
        <v>0</v>
      </c>
      <c r="AW2463">
        <v>0</v>
      </c>
      <c r="AX2463">
        <v>17</v>
      </c>
      <c r="AY2463">
        <v>333</v>
      </c>
      <c r="AZ2463">
        <v>329</v>
      </c>
      <c r="BA2463">
        <v>550</v>
      </c>
      <c r="BB2463">
        <v>44</v>
      </c>
      <c r="BD2463">
        <v>1</v>
      </c>
      <c r="BF2463" t="s">
        <v>2651</v>
      </c>
      <c r="BG2463" s="1">
        <v>44354.063194444447</v>
      </c>
      <c r="BH2463" s="1">
        <v>44354.068506944444</v>
      </c>
      <c r="BI2463" s="1">
        <v>44354.069768518515</v>
      </c>
      <c r="BJ2463" t="s">
        <v>85</v>
      </c>
      <c r="BK2463" t="s">
        <v>86</v>
      </c>
      <c r="BL2463" t="s">
        <v>87</v>
      </c>
    </row>
    <row r="2464" spans="1:64" x14ac:dyDescent="0.3">
      <c r="A2464" t="str">
        <f>"201583C0100"</f>
        <v>201583C0100</v>
      </c>
      <c r="B2464" t="str">
        <f>"201583C01003"</f>
        <v>201583C01003</v>
      </c>
      <c r="C2464" t="str">
        <f t="shared" si="158"/>
        <v>20</v>
      </c>
      <c r="D2464" t="s">
        <v>81</v>
      </c>
      <c r="E2464" t="str">
        <f t="shared" si="159"/>
        <v>332</v>
      </c>
      <c r="F2464" t="s">
        <v>2595</v>
      </c>
      <c r="G2464" t="str">
        <f>"1583"</f>
        <v>1583</v>
      </c>
      <c r="H2464" t="str">
        <f>"0001"</f>
        <v>0001</v>
      </c>
      <c r="I2464" t="s">
        <v>89</v>
      </c>
      <c r="J2464">
        <v>0</v>
      </c>
      <c r="K2464">
        <v>1</v>
      </c>
      <c r="L2464">
        <v>3</v>
      </c>
      <c r="M2464">
        <v>240</v>
      </c>
      <c r="N2464">
        <v>353</v>
      </c>
      <c r="O2464">
        <v>0</v>
      </c>
      <c r="P2464">
        <v>353</v>
      </c>
      <c r="Q2464">
        <v>1</v>
      </c>
      <c r="R2464">
        <v>88</v>
      </c>
      <c r="S2464">
        <v>3</v>
      </c>
      <c r="U2464">
        <v>23</v>
      </c>
      <c r="V2464">
        <v>2</v>
      </c>
      <c r="W2464">
        <v>58</v>
      </c>
      <c r="X2464">
        <v>128</v>
      </c>
      <c r="Y2464">
        <v>30</v>
      </c>
      <c r="Z2464">
        <v>3</v>
      </c>
      <c r="AB2464">
        <v>0</v>
      </c>
      <c r="AF2464">
        <v>1</v>
      </c>
      <c r="AG2464">
        <v>0</v>
      </c>
      <c r="AH2464">
        <v>0</v>
      </c>
      <c r="AI2464">
        <v>0</v>
      </c>
      <c r="AW2464">
        <v>0</v>
      </c>
      <c r="AX2464">
        <v>16</v>
      </c>
      <c r="AY2464">
        <v>353</v>
      </c>
      <c r="AZ2464">
        <v>353</v>
      </c>
      <c r="BA2464">
        <v>549</v>
      </c>
      <c r="BB2464">
        <v>44</v>
      </c>
      <c r="BD2464">
        <v>1</v>
      </c>
      <c r="BF2464" t="s">
        <v>2652</v>
      </c>
      <c r="BG2464" s="1">
        <v>44354.063194444447</v>
      </c>
      <c r="BH2464" s="1">
        <v>44354.069560185184</v>
      </c>
      <c r="BI2464" s="1">
        <v>44354.070451388892</v>
      </c>
      <c r="BJ2464" t="s">
        <v>85</v>
      </c>
      <c r="BK2464" t="s">
        <v>86</v>
      </c>
      <c r="BL2464" t="s">
        <v>87</v>
      </c>
    </row>
    <row r="2465" spans="1:64" x14ac:dyDescent="0.3">
      <c r="A2465" t="str">
        <f>"201583E0100"</f>
        <v>201583E0100</v>
      </c>
      <c r="B2465" t="str">
        <f>"201583E01003"</f>
        <v>201583E01003</v>
      </c>
      <c r="C2465" t="str">
        <f t="shared" si="158"/>
        <v>20</v>
      </c>
      <c r="D2465" t="s">
        <v>81</v>
      </c>
      <c r="E2465" t="str">
        <f t="shared" si="159"/>
        <v>332</v>
      </c>
      <c r="F2465" t="s">
        <v>2595</v>
      </c>
      <c r="G2465" t="str">
        <f>"1583"</f>
        <v>1583</v>
      </c>
      <c r="H2465" t="str">
        <f>"0001"</f>
        <v>0001</v>
      </c>
      <c r="I2465" t="s">
        <v>122</v>
      </c>
      <c r="J2465">
        <v>0</v>
      </c>
      <c r="K2465">
        <v>1</v>
      </c>
      <c r="L2465">
        <v>3</v>
      </c>
      <c r="M2465">
        <v>170</v>
      </c>
      <c r="N2465">
        <v>205</v>
      </c>
      <c r="O2465">
        <v>0</v>
      </c>
      <c r="P2465">
        <v>205</v>
      </c>
      <c r="Q2465">
        <v>0</v>
      </c>
      <c r="R2465">
        <v>52</v>
      </c>
      <c r="S2465">
        <v>1</v>
      </c>
      <c r="U2465">
        <v>19</v>
      </c>
      <c r="V2465">
        <v>0</v>
      </c>
      <c r="W2465">
        <v>38</v>
      </c>
      <c r="X2465">
        <v>82</v>
      </c>
      <c r="Y2465">
        <v>3</v>
      </c>
      <c r="Z2465">
        <v>0</v>
      </c>
      <c r="AB2465">
        <v>0</v>
      </c>
      <c r="AF2465">
        <v>0</v>
      </c>
      <c r="AG2465">
        <v>1</v>
      </c>
      <c r="AH2465">
        <v>0</v>
      </c>
      <c r="AI2465">
        <v>0</v>
      </c>
      <c r="AW2465">
        <v>0</v>
      </c>
      <c r="AX2465">
        <v>9</v>
      </c>
      <c r="AY2465">
        <v>205</v>
      </c>
      <c r="AZ2465">
        <v>205</v>
      </c>
      <c r="BA2465">
        <v>331</v>
      </c>
      <c r="BB2465">
        <v>44</v>
      </c>
      <c r="BD2465">
        <v>1</v>
      </c>
      <c r="BF2465" t="s">
        <v>2653</v>
      </c>
      <c r="BG2465" s="1">
        <v>44354.042361111111</v>
      </c>
      <c r="BH2465" s="1">
        <v>44354.052951388891</v>
      </c>
      <c r="BI2465" s="1">
        <v>44354.053379629629</v>
      </c>
      <c r="BJ2465" t="s">
        <v>85</v>
      </c>
      <c r="BK2465" t="s">
        <v>86</v>
      </c>
      <c r="BL2465" t="s">
        <v>87</v>
      </c>
    </row>
    <row r="2466" spans="1:64" x14ac:dyDescent="0.3">
      <c r="A2466" t="str">
        <f>"201584B0000"</f>
        <v>201584B0000</v>
      </c>
      <c r="B2466" t="str">
        <f>"201584B00003"</f>
        <v>201584B00003</v>
      </c>
      <c r="C2466" t="str">
        <f t="shared" si="158"/>
        <v>20</v>
      </c>
      <c r="D2466" t="s">
        <v>81</v>
      </c>
      <c r="E2466" t="str">
        <f t="shared" si="159"/>
        <v>332</v>
      </c>
      <c r="F2466" t="s">
        <v>2595</v>
      </c>
      <c r="G2466" t="str">
        <f>"1584"</f>
        <v>1584</v>
      </c>
      <c r="H2466" t="str">
        <f>"0000"</f>
        <v>0000</v>
      </c>
      <c r="I2466" t="s">
        <v>83</v>
      </c>
      <c r="J2466">
        <v>0</v>
      </c>
      <c r="K2466">
        <v>1</v>
      </c>
      <c r="L2466">
        <v>3</v>
      </c>
      <c r="M2466" t="s">
        <v>92</v>
      </c>
      <c r="N2466" t="s">
        <v>92</v>
      </c>
      <c r="O2466" t="s">
        <v>92</v>
      </c>
      <c r="P2466">
        <v>337</v>
      </c>
      <c r="Q2466">
        <v>3</v>
      </c>
      <c r="R2466">
        <v>120</v>
      </c>
      <c r="S2466">
        <v>14</v>
      </c>
      <c r="U2466">
        <v>22</v>
      </c>
      <c r="V2466">
        <v>4</v>
      </c>
      <c r="W2466">
        <v>23</v>
      </c>
      <c r="X2466">
        <v>118</v>
      </c>
      <c r="Y2466">
        <v>12</v>
      </c>
      <c r="Z2466">
        <v>1</v>
      </c>
      <c r="AB2466">
        <v>7</v>
      </c>
      <c r="AF2466">
        <v>3</v>
      </c>
      <c r="AG2466">
        <v>0</v>
      </c>
      <c r="AH2466">
        <v>0</v>
      </c>
      <c r="AI2466">
        <v>1</v>
      </c>
      <c r="AW2466">
        <v>0</v>
      </c>
      <c r="AX2466">
        <v>9</v>
      </c>
      <c r="AY2466">
        <v>337</v>
      </c>
      <c r="AZ2466">
        <v>337</v>
      </c>
      <c r="BA2466">
        <v>638</v>
      </c>
      <c r="BB2466">
        <v>44</v>
      </c>
      <c r="BD2466">
        <v>1</v>
      </c>
      <c r="BF2466" t="s">
        <v>2654</v>
      </c>
      <c r="BG2466" s="1">
        <v>44353.995833333334</v>
      </c>
      <c r="BH2466" s="1">
        <v>44354.001550925925</v>
      </c>
      <c r="BI2466" s="1">
        <v>44354.002372685187</v>
      </c>
      <c r="BJ2466" t="s">
        <v>85</v>
      </c>
      <c r="BK2466" t="s">
        <v>86</v>
      </c>
      <c r="BL2466" t="s">
        <v>87</v>
      </c>
    </row>
    <row r="2467" spans="1:64" x14ac:dyDescent="0.3">
      <c r="A2467" t="str">
        <f>"201584E0100"</f>
        <v>201584E0100</v>
      </c>
      <c r="B2467" t="str">
        <f>"201584E01003"</f>
        <v>201584E01003</v>
      </c>
      <c r="C2467" t="str">
        <f t="shared" si="158"/>
        <v>20</v>
      </c>
      <c r="D2467" t="s">
        <v>81</v>
      </c>
      <c r="E2467" t="str">
        <f t="shared" si="159"/>
        <v>332</v>
      </c>
      <c r="F2467" t="s">
        <v>2595</v>
      </c>
      <c r="G2467" t="str">
        <f>"1584"</f>
        <v>1584</v>
      </c>
      <c r="H2467" t="str">
        <f>"0001"</f>
        <v>0001</v>
      </c>
      <c r="I2467" t="s">
        <v>122</v>
      </c>
      <c r="J2467">
        <v>0</v>
      </c>
      <c r="K2467">
        <v>1</v>
      </c>
      <c r="L2467">
        <v>3</v>
      </c>
      <c r="M2467">
        <v>183</v>
      </c>
      <c r="N2467">
        <v>198</v>
      </c>
      <c r="O2467">
        <v>8</v>
      </c>
      <c r="P2467">
        <v>198</v>
      </c>
      <c r="Q2467">
        <v>2</v>
      </c>
      <c r="R2467">
        <v>83</v>
      </c>
      <c r="S2467">
        <v>1</v>
      </c>
      <c r="U2467">
        <v>26</v>
      </c>
      <c r="V2467">
        <v>8</v>
      </c>
      <c r="W2467">
        <v>6</v>
      </c>
      <c r="X2467">
        <v>57</v>
      </c>
      <c r="Y2467">
        <v>6</v>
      </c>
      <c r="Z2467">
        <v>0</v>
      </c>
      <c r="AB2467">
        <v>3</v>
      </c>
      <c r="AF2467">
        <v>1</v>
      </c>
      <c r="AG2467">
        <v>0</v>
      </c>
      <c r="AH2467">
        <v>0</v>
      </c>
      <c r="AI2467">
        <v>0</v>
      </c>
      <c r="AW2467">
        <v>0</v>
      </c>
      <c r="AX2467">
        <v>5</v>
      </c>
      <c r="AY2467">
        <v>198</v>
      </c>
      <c r="AZ2467">
        <v>198</v>
      </c>
      <c r="BA2467">
        <v>337</v>
      </c>
      <c r="BB2467">
        <v>44</v>
      </c>
      <c r="BD2467">
        <v>1</v>
      </c>
      <c r="BF2467" t="s">
        <v>2655</v>
      </c>
      <c r="BG2467" s="1">
        <v>44353.99722222222</v>
      </c>
      <c r="BH2467" s="1">
        <v>44354.003449074073</v>
      </c>
      <c r="BI2467" s="1">
        <v>44354.004293981481</v>
      </c>
      <c r="BJ2467" t="s">
        <v>85</v>
      </c>
      <c r="BK2467" t="s">
        <v>86</v>
      </c>
      <c r="BL2467" t="s">
        <v>87</v>
      </c>
    </row>
    <row r="2468" spans="1:64" x14ac:dyDescent="0.3">
      <c r="A2468" t="str">
        <f>"201584E0200"</f>
        <v>201584E0200</v>
      </c>
      <c r="B2468" t="str">
        <f>"201584E02003"</f>
        <v>201584E02003</v>
      </c>
      <c r="C2468" t="str">
        <f t="shared" si="158"/>
        <v>20</v>
      </c>
      <c r="D2468" t="s">
        <v>81</v>
      </c>
      <c r="E2468" t="str">
        <f t="shared" si="159"/>
        <v>332</v>
      </c>
      <c r="F2468" t="s">
        <v>2595</v>
      </c>
      <c r="G2468" t="str">
        <f>"1584"</f>
        <v>1584</v>
      </c>
      <c r="H2468" t="str">
        <f>"0002"</f>
        <v>0002</v>
      </c>
      <c r="I2468" t="s">
        <v>122</v>
      </c>
      <c r="J2468">
        <v>0</v>
      </c>
      <c r="K2468">
        <v>1</v>
      </c>
      <c r="L2468">
        <v>3</v>
      </c>
      <c r="M2468">
        <v>145</v>
      </c>
      <c r="N2468">
        <v>184</v>
      </c>
      <c r="O2468">
        <v>3</v>
      </c>
      <c r="P2468">
        <v>184</v>
      </c>
      <c r="Q2468">
        <v>1</v>
      </c>
      <c r="R2468">
        <v>24</v>
      </c>
      <c r="S2468">
        <v>1</v>
      </c>
      <c r="U2468">
        <v>20</v>
      </c>
      <c r="V2468">
        <v>4</v>
      </c>
      <c r="W2468">
        <v>62</v>
      </c>
      <c r="X2468">
        <v>66</v>
      </c>
      <c r="Y2468">
        <v>1</v>
      </c>
      <c r="Z2468">
        <v>2</v>
      </c>
      <c r="AB2468">
        <v>0</v>
      </c>
      <c r="AF2468">
        <v>0</v>
      </c>
      <c r="AG2468">
        <v>0</v>
      </c>
      <c r="AH2468">
        <v>0</v>
      </c>
      <c r="AI2468">
        <v>0</v>
      </c>
      <c r="AW2468">
        <v>0</v>
      </c>
      <c r="AX2468">
        <v>3</v>
      </c>
      <c r="AY2468">
        <v>184</v>
      </c>
      <c r="AZ2468">
        <v>184</v>
      </c>
      <c r="BA2468">
        <v>285</v>
      </c>
      <c r="BB2468">
        <v>44</v>
      </c>
      <c r="BD2468">
        <v>1</v>
      </c>
      <c r="BF2468" t="s">
        <v>2656</v>
      </c>
      <c r="BG2468" s="1">
        <v>44353.999305555553</v>
      </c>
      <c r="BH2468" s="1">
        <v>44354.003946759258</v>
      </c>
      <c r="BI2468" s="1">
        <v>44354.00440972222</v>
      </c>
      <c r="BJ2468" t="s">
        <v>85</v>
      </c>
      <c r="BK2468" t="s">
        <v>86</v>
      </c>
      <c r="BL2468" t="s">
        <v>87</v>
      </c>
    </row>
    <row r="2469" spans="1:64" x14ac:dyDescent="0.3">
      <c r="A2469" t="str">
        <f>"201589B0000"</f>
        <v>201589B0000</v>
      </c>
      <c r="B2469" t="str">
        <f>"201589B00003"</f>
        <v>201589B00003</v>
      </c>
      <c r="C2469" t="str">
        <f t="shared" si="158"/>
        <v>20</v>
      </c>
      <c r="D2469" t="s">
        <v>81</v>
      </c>
      <c r="E2469" t="str">
        <f t="shared" ref="E2469:E2477" si="160">"334"</f>
        <v>334</v>
      </c>
      <c r="F2469" t="s">
        <v>2657</v>
      </c>
      <c r="G2469" t="str">
        <f>"1589"</f>
        <v>1589</v>
      </c>
      <c r="H2469" t="str">
        <f>"0000"</f>
        <v>0000</v>
      </c>
      <c r="I2469" t="s">
        <v>83</v>
      </c>
      <c r="J2469">
        <v>0</v>
      </c>
      <c r="K2469">
        <v>1</v>
      </c>
      <c r="L2469">
        <v>3</v>
      </c>
      <c r="M2469">
        <v>161</v>
      </c>
      <c r="N2469">
        <v>302</v>
      </c>
      <c r="O2469">
        <v>9</v>
      </c>
      <c r="P2469">
        <v>302</v>
      </c>
      <c r="Q2469">
        <v>0</v>
      </c>
      <c r="R2469">
        <v>49</v>
      </c>
      <c r="S2469">
        <v>0</v>
      </c>
      <c r="T2469">
        <v>1</v>
      </c>
      <c r="U2469">
        <v>49</v>
      </c>
      <c r="V2469">
        <v>24</v>
      </c>
      <c r="X2469">
        <v>40</v>
      </c>
      <c r="Y2469">
        <v>0</v>
      </c>
      <c r="Z2469">
        <v>0</v>
      </c>
      <c r="AM2469">
        <v>0</v>
      </c>
      <c r="AP2469">
        <v>0</v>
      </c>
      <c r="AQ2469">
        <v>0</v>
      </c>
      <c r="AT2469">
        <v>0</v>
      </c>
      <c r="AW2469">
        <v>123</v>
      </c>
      <c r="AX2469">
        <v>16</v>
      </c>
      <c r="AY2469">
        <v>302</v>
      </c>
      <c r="AZ2469">
        <v>302</v>
      </c>
      <c r="BA2469">
        <v>419</v>
      </c>
      <c r="BB2469">
        <v>44</v>
      </c>
      <c r="BD2469">
        <v>1</v>
      </c>
      <c r="BF2469" t="s">
        <v>2658</v>
      </c>
      <c r="BG2469" s="1">
        <v>44354.236805555556</v>
      </c>
      <c r="BH2469" s="1">
        <v>44354.239814814813</v>
      </c>
      <c r="BI2469" s="1">
        <v>44354.240289351852</v>
      </c>
      <c r="BJ2469" t="s">
        <v>85</v>
      </c>
      <c r="BK2469" t="s">
        <v>86</v>
      </c>
      <c r="BL2469" t="s">
        <v>87</v>
      </c>
    </row>
    <row r="2470" spans="1:64" x14ac:dyDescent="0.3">
      <c r="A2470" t="str">
        <f>"201589C0100"</f>
        <v>201589C0100</v>
      </c>
      <c r="B2470" t="str">
        <f>"201589C01003"</f>
        <v>201589C01003</v>
      </c>
      <c r="C2470" t="str">
        <f t="shared" si="158"/>
        <v>20</v>
      </c>
      <c r="D2470" t="s">
        <v>81</v>
      </c>
      <c r="E2470" t="str">
        <f t="shared" si="160"/>
        <v>334</v>
      </c>
      <c r="F2470" t="s">
        <v>2657</v>
      </c>
      <c r="G2470" t="str">
        <f>"1589"</f>
        <v>1589</v>
      </c>
      <c r="H2470" t="str">
        <f>"0001"</f>
        <v>0001</v>
      </c>
      <c r="I2470" t="s">
        <v>89</v>
      </c>
      <c r="J2470">
        <v>0</v>
      </c>
      <c r="K2470">
        <v>1</v>
      </c>
      <c r="L2470">
        <v>3</v>
      </c>
      <c r="M2470">
        <v>187</v>
      </c>
      <c r="N2470">
        <v>275</v>
      </c>
      <c r="O2470">
        <v>0</v>
      </c>
      <c r="P2470">
        <v>275</v>
      </c>
      <c r="Q2470">
        <v>0</v>
      </c>
      <c r="R2470">
        <v>48</v>
      </c>
      <c r="S2470">
        <v>0</v>
      </c>
      <c r="T2470">
        <v>2</v>
      </c>
      <c r="U2470">
        <v>38</v>
      </c>
      <c r="V2470">
        <v>38</v>
      </c>
      <c r="X2470">
        <v>32</v>
      </c>
      <c r="Y2470">
        <v>1</v>
      </c>
      <c r="Z2470">
        <v>2</v>
      </c>
      <c r="AM2470">
        <v>0</v>
      </c>
      <c r="AP2470">
        <v>0</v>
      </c>
      <c r="AQ2470">
        <v>0</v>
      </c>
      <c r="AT2470">
        <v>0</v>
      </c>
      <c r="AW2470">
        <v>106</v>
      </c>
      <c r="AX2470">
        <v>8</v>
      </c>
      <c r="AY2470">
        <v>275</v>
      </c>
      <c r="AZ2470">
        <v>275</v>
      </c>
      <c r="BA2470">
        <v>418</v>
      </c>
      <c r="BB2470">
        <v>44</v>
      </c>
      <c r="BD2470">
        <v>1</v>
      </c>
      <c r="BF2470" t="s">
        <v>2659</v>
      </c>
      <c r="BG2470" s="1">
        <v>44354.237500000003</v>
      </c>
      <c r="BH2470" s="1">
        <v>44354.242615740739</v>
      </c>
      <c r="BI2470" s="1">
        <v>44354.243506944447</v>
      </c>
      <c r="BJ2470" t="s">
        <v>85</v>
      </c>
      <c r="BK2470" t="s">
        <v>86</v>
      </c>
      <c r="BL2470" t="s">
        <v>87</v>
      </c>
    </row>
    <row r="2471" spans="1:64" x14ac:dyDescent="0.3">
      <c r="A2471" t="str">
        <f>"201589E0100"</f>
        <v>201589E0100</v>
      </c>
      <c r="B2471" t="str">
        <f>"201589E01003"</f>
        <v>201589E01003</v>
      </c>
      <c r="C2471" t="str">
        <f t="shared" si="158"/>
        <v>20</v>
      </c>
      <c r="D2471" t="s">
        <v>81</v>
      </c>
      <c r="E2471" t="str">
        <f t="shared" si="160"/>
        <v>334</v>
      </c>
      <c r="F2471" t="s">
        <v>2657</v>
      </c>
      <c r="G2471" t="str">
        <f>"1589"</f>
        <v>1589</v>
      </c>
      <c r="H2471" t="str">
        <f>"0001"</f>
        <v>0001</v>
      </c>
      <c r="I2471" t="s">
        <v>122</v>
      </c>
      <c r="J2471">
        <v>0</v>
      </c>
      <c r="K2471">
        <v>1</v>
      </c>
      <c r="L2471">
        <v>3</v>
      </c>
      <c r="M2471">
        <v>149</v>
      </c>
      <c r="N2471">
        <v>315</v>
      </c>
      <c r="O2471">
        <v>7</v>
      </c>
      <c r="P2471">
        <v>315</v>
      </c>
      <c r="Q2471">
        <v>1</v>
      </c>
      <c r="R2471">
        <v>42</v>
      </c>
      <c r="S2471">
        <v>11</v>
      </c>
      <c r="T2471">
        <v>0</v>
      </c>
      <c r="U2471">
        <v>23</v>
      </c>
      <c r="V2471">
        <v>24</v>
      </c>
      <c r="X2471">
        <v>71</v>
      </c>
      <c r="Y2471">
        <v>1</v>
      </c>
      <c r="Z2471">
        <v>2</v>
      </c>
      <c r="AM2471">
        <v>0</v>
      </c>
      <c r="AP2471">
        <v>0</v>
      </c>
      <c r="AQ2471">
        <v>0</v>
      </c>
      <c r="AT2471">
        <v>0</v>
      </c>
      <c r="AW2471">
        <v>128</v>
      </c>
      <c r="AX2471">
        <v>12</v>
      </c>
      <c r="AY2471">
        <v>315</v>
      </c>
      <c r="AZ2471">
        <v>315</v>
      </c>
      <c r="BA2471">
        <v>420</v>
      </c>
      <c r="BB2471">
        <v>44</v>
      </c>
      <c r="BD2471">
        <v>1</v>
      </c>
      <c r="BF2471" t="s">
        <v>2660</v>
      </c>
      <c r="BG2471" s="1">
        <v>44354.236805555556</v>
      </c>
      <c r="BH2471" s="1">
        <v>44354.242476851854</v>
      </c>
      <c r="BI2471" s="1">
        <v>44354.243483796294</v>
      </c>
      <c r="BJ2471" t="s">
        <v>85</v>
      </c>
      <c r="BK2471" t="s">
        <v>86</v>
      </c>
      <c r="BL2471" t="s">
        <v>87</v>
      </c>
    </row>
    <row r="2472" spans="1:64" x14ac:dyDescent="0.3">
      <c r="A2472" t="str">
        <f>"201589S0100"</f>
        <v>201589S0100</v>
      </c>
      <c r="B2472" t="str">
        <f>"201589S01003E"</f>
        <v>201589S01003E</v>
      </c>
      <c r="C2472" t="str">
        <f t="shared" si="158"/>
        <v>20</v>
      </c>
      <c r="D2472" t="s">
        <v>81</v>
      </c>
      <c r="E2472" t="str">
        <f t="shared" si="160"/>
        <v>334</v>
      </c>
      <c r="F2472" t="s">
        <v>2657</v>
      </c>
      <c r="G2472" t="str">
        <f>"1589"</f>
        <v>1589</v>
      </c>
      <c r="H2472" t="str">
        <f>"0001"</f>
        <v>0001</v>
      </c>
      <c r="I2472" t="s">
        <v>99</v>
      </c>
      <c r="J2472">
        <v>0</v>
      </c>
      <c r="K2472">
        <v>1</v>
      </c>
      <c r="L2472" t="s">
        <v>100</v>
      </c>
      <c r="M2472">
        <v>985</v>
      </c>
      <c r="N2472">
        <v>15</v>
      </c>
      <c r="O2472">
        <v>0</v>
      </c>
      <c r="P2472">
        <v>15</v>
      </c>
      <c r="Q2472">
        <v>0</v>
      </c>
      <c r="R2472">
        <v>2</v>
      </c>
      <c r="S2472">
        <v>0</v>
      </c>
      <c r="T2472">
        <v>0</v>
      </c>
      <c r="U2472">
        <v>3</v>
      </c>
      <c r="V2472">
        <v>0</v>
      </c>
      <c r="X2472">
        <v>4</v>
      </c>
      <c r="Y2472">
        <v>0</v>
      </c>
      <c r="Z2472">
        <v>0</v>
      </c>
      <c r="AM2472">
        <v>0</v>
      </c>
      <c r="AP2472">
        <v>0</v>
      </c>
      <c r="AQ2472">
        <v>0</v>
      </c>
      <c r="AT2472">
        <v>0</v>
      </c>
      <c r="AW2472">
        <v>6</v>
      </c>
      <c r="AX2472">
        <v>0</v>
      </c>
      <c r="AY2472">
        <v>15</v>
      </c>
      <c r="AZ2472">
        <v>15</v>
      </c>
      <c r="BA2472">
        <v>0</v>
      </c>
      <c r="BB2472">
        <v>44</v>
      </c>
      <c r="BD2472">
        <v>1</v>
      </c>
      <c r="BF2472" t="s">
        <v>2661</v>
      </c>
      <c r="BG2472" s="1">
        <v>44354.237500000003</v>
      </c>
      <c r="BH2472" s="1">
        <v>44354.240972222222</v>
      </c>
      <c r="BI2472" s="1">
        <v>44354.24145833333</v>
      </c>
      <c r="BJ2472" t="s">
        <v>85</v>
      </c>
      <c r="BK2472" t="s">
        <v>86</v>
      </c>
      <c r="BL2472" t="s">
        <v>87</v>
      </c>
    </row>
    <row r="2473" spans="1:64" x14ac:dyDescent="0.3">
      <c r="A2473" t="str">
        <f>"201590B0000"</f>
        <v>201590B0000</v>
      </c>
      <c r="B2473" t="str">
        <f>"201590B00003"</f>
        <v>201590B00003</v>
      </c>
      <c r="C2473" t="str">
        <f t="shared" si="158"/>
        <v>20</v>
      </c>
      <c r="D2473" t="s">
        <v>81</v>
      </c>
      <c r="E2473" t="str">
        <f t="shared" si="160"/>
        <v>334</v>
      </c>
      <c r="F2473" t="s">
        <v>2657</v>
      </c>
      <c r="G2473" t="str">
        <f>"1590"</f>
        <v>1590</v>
      </c>
      <c r="H2473" t="str">
        <f>"0000"</f>
        <v>0000</v>
      </c>
      <c r="I2473" t="s">
        <v>83</v>
      </c>
      <c r="J2473">
        <v>0</v>
      </c>
      <c r="K2473">
        <v>1</v>
      </c>
      <c r="L2473">
        <v>3</v>
      </c>
      <c r="BA2473">
        <v>565</v>
      </c>
      <c r="BB2473">
        <v>44</v>
      </c>
      <c r="BC2473" t="s">
        <v>161</v>
      </c>
      <c r="BD2473">
        <v>0</v>
      </c>
      <c r="BF2473" t="s">
        <v>2662</v>
      </c>
      <c r="BG2473" s="1">
        <v>44354.513888888891</v>
      </c>
      <c r="BH2473" s="1">
        <v>44354.517523148148</v>
      </c>
      <c r="BI2473" s="1">
        <v>44354.517523148148</v>
      </c>
      <c r="BJ2473" t="s">
        <v>85</v>
      </c>
      <c r="BK2473" t="s">
        <v>86</v>
      </c>
      <c r="BL2473" t="s">
        <v>87</v>
      </c>
    </row>
    <row r="2474" spans="1:64" x14ac:dyDescent="0.3">
      <c r="A2474" t="str">
        <f>"201590C0100"</f>
        <v>201590C0100</v>
      </c>
      <c r="B2474" t="str">
        <f>"201590C01003"</f>
        <v>201590C01003</v>
      </c>
      <c r="C2474" t="str">
        <f t="shared" si="158"/>
        <v>20</v>
      </c>
      <c r="D2474" t="s">
        <v>81</v>
      </c>
      <c r="E2474" t="str">
        <f t="shared" si="160"/>
        <v>334</v>
      </c>
      <c r="F2474" t="s">
        <v>2657</v>
      </c>
      <c r="G2474" t="str">
        <f>"1590"</f>
        <v>1590</v>
      </c>
      <c r="H2474" t="str">
        <f>"0001"</f>
        <v>0001</v>
      </c>
      <c r="I2474" t="s">
        <v>89</v>
      </c>
      <c r="J2474">
        <v>0</v>
      </c>
      <c r="K2474">
        <v>1</v>
      </c>
      <c r="L2474">
        <v>3</v>
      </c>
      <c r="M2474">
        <v>164</v>
      </c>
      <c r="N2474">
        <v>444</v>
      </c>
      <c r="O2474">
        <v>9</v>
      </c>
      <c r="P2474">
        <v>444</v>
      </c>
      <c r="Q2474">
        <v>0</v>
      </c>
      <c r="R2474">
        <v>102</v>
      </c>
      <c r="S2474">
        <v>1</v>
      </c>
      <c r="T2474">
        <v>1</v>
      </c>
      <c r="U2474">
        <v>47</v>
      </c>
      <c r="V2474">
        <v>66</v>
      </c>
      <c r="X2474">
        <v>92</v>
      </c>
      <c r="Y2474">
        <v>0</v>
      </c>
      <c r="Z2474">
        <v>0</v>
      </c>
      <c r="AM2474">
        <v>0</v>
      </c>
      <c r="AP2474">
        <v>0</v>
      </c>
      <c r="AQ2474">
        <v>0</v>
      </c>
      <c r="AT2474">
        <v>0</v>
      </c>
      <c r="AW2474">
        <v>130</v>
      </c>
      <c r="AX2474">
        <v>5</v>
      </c>
      <c r="AY2474">
        <v>444</v>
      </c>
      <c r="AZ2474">
        <v>444</v>
      </c>
      <c r="BA2474">
        <v>564</v>
      </c>
      <c r="BB2474">
        <v>44</v>
      </c>
      <c r="BD2474">
        <v>1</v>
      </c>
      <c r="BF2474" t="s">
        <v>2663</v>
      </c>
      <c r="BG2474" s="1">
        <v>44354.142361111109</v>
      </c>
      <c r="BH2474" s="1">
        <v>44354.145636574074</v>
      </c>
      <c r="BI2474" s="1">
        <v>44354.145914351851</v>
      </c>
      <c r="BJ2474" t="s">
        <v>85</v>
      </c>
      <c r="BK2474" t="s">
        <v>86</v>
      </c>
      <c r="BL2474" t="s">
        <v>87</v>
      </c>
    </row>
    <row r="2475" spans="1:64" x14ac:dyDescent="0.3">
      <c r="A2475" t="str">
        <f>"201591B0000"</f>
        <v>201591B0000</v>
      </c>
      <c r="B2475" t="str">
        <f>"201591B00003"</f>
        <v>201591B00003</v>
      </c>
      <c r="C2475" t="str">
        <f t="shared" si="158"/>
        <v>20</v>
      </c>
      <c r="D2475" t="s">
        <v>81</v>
      </c>
      <c r="E2475" t="str">
        <f t="shared" si="160"/>
        <v>334</v>
      </c>
      <c r="F2475" t="s">
        <v>2657</v>
      </c>
      <c r="G2475" t="str">
        <f>"1591"</f>
        <v>1591</v>
      </c>
      <c r="H2475" t="str">
        <f>"0000"</f>
        <v>0000</v>
      </c>
      <c r="I2475" t="s">
        <v>83</v>
      </c>
      <c r="J2475">
        <v>0</v>
      </c>
      <c r="K2475">
        <v>1</v>
      </c>
      <c r="L2475">
        <v>3</v>
      </c>
      <c r="M2475">
        <v>162</v>
      </c>
      <c r="N2475">
        <v>223</v>
      </c>
      <c r="O2475">
        <v>10</v>
      </c>
      <c r="P2475">
        <v>223</v>
      </c>
      <c r="Q2475">
        <v>1</v>
      </c>
      <c r="R2475">
        <v>56</v>
      </c>
      <c r="S2475">
        <v>0</v>
      </c>
      <c r="T2475">
        <v>1</v>
      </c>
      <c r="U2475">
        <v>24</v>
      </c>
      <c r="V2475">
        <v>3</v>
      </c>
      <c r="X2475">
        <v>23</v>
      </c>
      <c r="Y2475">
        <v>2</v>
      </c>
      <c r="Z2475">
        <v>0</v>
      </c>
      <c r="AM2475">
        <v>0</v>
      </c>
      <c r="AP2475">
        <v>0</v>
      </c>
      <c r="AQ2475">
        <v>0</v>
      </c>
      <c r="AT2475">
        <v>0</v>
      </c>
      <c r="AW2475">
        <v>96</v>
      </c>
      <c r="AX2475">
        <v>17</v>
      </c>
      <c r="AY2475">
        <v>223</v>
      </c>
      <c r="AZ2475">
        <v>223</v>
      </c>
      <c r="BA2475">
        <v>341</v>
      </c>
      <c r="BB2475">
        <v>44</v>
      </c>
      <c r="BD2475">
        <v>1</v>
      </c>
      <c r="BF2475" t="s">
        <v>2664</v>
      </c>
      <c r="BG2475" s="1">
        <v>44354.143055555556</v>
      </c>
      <c r="BH2475" s="1">
        <v>44354.146874999999</v>
      </c>
      <c r="BI2475" s="1">
        <v>44354.147476851853</v>
      </c>
      <c r="BJ2475" t="s">
        <v>85</v>
      </c>
      <c r="BK2475" t="s">
        <v>86</v>
      </c>
      <c r="BL2475" t="s">
        <v>87</v>
      </c>
    </row>
    <row r="2476" spans="1:64" x14ac:dyDescent="0.3">
      <c r="A2476" t="str">
        <f>"201592B0000"</f>
        <v>201592B0000</v>
      </c>
      <c r="B2476" t="str">
        <f>"201592B00003"</f>
        <v>201592B00003</v>
      </c>
      <c r="C2476" t="str">
        <f t="shared" si="158"/>
        <v>20</v>
      </c>
      <c r="D2476" t="s">
        <v>81</v>
      </c>
      <c r="E2476" t="str">
        <f t="shared" si="160"/>
        <v>334</v>
      </c>
      <c r="F2476" t="s">
        <v>2657</v>
      </c>
      <c r="G2476" t="str">
        <f>"1592"</f>
        <v>1592</v>
      </c>
      <c r="H2476" t="str">
        <f>"0000"</f>
        <v>0000</v>
      </c>
      <c r="I2476" t="s">
        <v>83</v>
      </c>
      <c r="J2476">
        <v>0</v>
      </c>
      <c r="K2476">
        <v>1</v>
      </c>
      <c r="L2476">
        <v>3</v>
      </c>
      <c r="M2476">
        <v>208</v>
      </c>
      <c r="N2476">
        <v>415</v>
      </c>
      <c r="O2476">
        <v>7</v>
      </c>
      <c r="P2476" t="s">
        <v>92</v>
      </c>
      <c r="Q2476">
        <v>1</v>
      </c>
      <c r="R2476">
        <v>36</v>
      </c>
      <c r="S2476">
        <v>1</v>
      </c>
      <c r="T2476">
        <v>2</v>
      </c>
      <c r="U2476">
        <v>26</v>
      </c>
      <c r="V2476">
        <v>16</v>
      </c>
      <c r="X2476">
        <v>136</v>
      </c>
      <c r="Y2476">
        <v>2</v>
      </c>
      <c r="Z2476">
        <v>0</v>
      </c>
      <c r="AM2476" t="s">
        <v>95</v>
      </c>
      <c r="AP2476" t="s">
        <v>95</v>
      </c>
      <c r="AQ2476" t="s">
        <v>95</v>
      </c>
      <c r="AT2476" t="s">
        <v>95</v>
      </c>
      <c r="AW2476">
        <v>181</v>
      </c>
      <c r="AX2476">
        <v>13</v>
      </c>
      <c r="AY2476">
        <v>414</v>
      </c>
      <c r="AZ2476">
        <v>414</v>
      </c>
      <c r="BA2476">
        <v>579</v>
      </c>
      <c r="BB2476">
        <v>44</v>
      </c>
      <c r="BC2476" t="s">
        <v>96</v>
      </c>
      <c r="BD2476">
        <v>1</v>
      </c>
      <c r="BF2476" t="s">
        <v>2665</v>
      </c>
      <c r="BG2476" s="1">
        <v>44354.143750000003</v>
      </c>
      <c r="BH2476" s="1">
        <v>44354.148912037039</v>
      </c>
      <c r="BI2476" s="1">
        <v>44354.149872685186</v>
      </c>
      <c r="BJ2476" t="s">
        <v>85</v>
      </c>
      <c r="BK2476" t="s">
        <v>86</v>
      </c>
      <c r="BL2476" t="s">
        <v>87</v>
      </c>
    </row>
    <row r="2477" spans="1:64" x14ac:dyDescent="0.3">
      <c r="A2477" t="str">
        <f>"201593B0000"</f>
        <v>201593B0000</v>
      </c>
      <c r="B2477" t="str">
        <f>"201593B00003"</f>
        <v>201593B00003</v>
      </c>
      <c r="C2477" t="str">
        <f t="shared" si="158"/>
        <v>20</v>
      </c>
      <c r="D2477" t="s">
        <v>81</v>
      </c>
      <c r="E2477" t="str">
        <f t="shared" si="160"/>
        <v>334</v>
      </c>
      <c r="F2477" t="s">
        <v>2657</v>
      </c>
      <c r="G2477" t="str">
        <f>"1593"</f>
        <v>1593</v>
      </c>
      <c r="H2477" t="str">
        <f>"0000"</f>
        <v>0000</v>
      </c>
      <c r="I2477" t="s">
        <v>83</v>
      </c>
      <c r="J2477">
        <v>0</v>
      </c>
      <c r="K2477">
        <v>1</v>
      </c>
      <c r="L2477">
        <v>3</v>
      </c>
      <c r="M2477">
        <v>59</v>
      </c>
      <c r="N2477">
        <v>52</v>
      </c>
      <c r="O2477">
        <v>2</v>
      </c>
      <c r="P2477">
        <v>52</v>
      </c>
      <c r="Q2477" t="s">
        <v>95</v>
      </c>
      <c r="R2477">
        <v>25</v>
      </c>
      <c r="S2477" t="s">
        <v>95</v>
      </c>
      <c r="T2477" t="s">
        <v>95</v>
      </c>
      <c r="U2477">
        <v>4</v>
      </c>
      <c r="V2477" t="s">
        <v>95</v>
      </c>
      <c r="X2477">
        <v>15</v>
      </c>
      <c r="Y2477" t="s">
        <v>95</v>
      </c>
      <c r="Z2477" t="s">
        <v>95</v>
      </c>
      <c r="AM2477" t="s">
        <v>95</v>
      </c>
      <c r="AP2477" t="s">
        <v>95</v>
      </c>
      <c r="AQ2477" t="s">
        <v>95</v>
      </c>
      <c r="AT2477" t="s">
        <v>95</v>
      </c>
      <c r="AW2477">
        <v>7</v>
      </c>
      <c r="AX2477">
        <v>1</v>
      </c>
      <c r="AY2477">
        <v>52</v>
      </c>
      <c r="AZ2477">
        <v>52</v>
      </c>
      <c r="BA2477">
        <v>67</v>
      </c>
      <c r="BB2477">
        <v>44</v>
      </c>
      <c r="BC2477" t="s">
        <v>96</v>
      </c>
      <c r="BD2477">
        <v>1</v>
      </c>
      <c r="BF2477" t="s">
        <v>2666</v>
      </c>
      <c r="BG2477" s="1">
        <v>44354.056944444441</v>
      </c>
      <c r="BH2477" s="1">
        <v>44354.064050925925</v>
      </c>
      <c r="BI2477" s="1">
        <v>44354.064398148148</v>
      </c>
      <c r="BJ2477" t="s">
        <v>85</v>
      </c>
      <c r="BK2477" t="s">
        <v>86</v>
      </c>
      <c r="BL2477" t="s">
        <v>87</v>
      </c>
    </row>
    <row r="2478" spans="1:64" x14ac:dyDescent="0.3">
      <c r="A2478" t="str">
        <f>"201609B0000"</f>
        <v>201609B0000</v>
      </c>
      <c r="B2478" t="str">
        <f>"201609B00003"</f>
        <v>201609B00003</v>
      </c>
      <c r="C2478" t="str">
        <f t="shared" si="158"/>
        <v>20</v>
      </c>
      <c r="D2478" t="s">
        <v>81</v>
      </c>
      <c r="E2478" t="str">
        <f t="shared" ref="E2478:E2484" si="161">"342"</f>
        <v>342</v>
      </c>
      <c r="F2478" t="s">
        <v>2667</v>
      </c>
      <c r="G2478" t="str">
        <f>"1609"</f>
        <v>1609</v>
      </c>
      <c r="H2478" t="str">
        <f>"0000"</f>
        <v>0000</v>
      </c>
      <c r="I2478" t="s">
        <v>83</v>
      </c>
      <c r="J2478">
        <v>0</v>
      </c>
      <c r="K2478">
        <v>1</v>
      </c>
      <c r="L2478">
        <v>3</v>
      </c>
      <c r="BA2478">
        <v>524</v>
      </c>
      <c r="BB2478">
        <v>44</v>
      </c>
      <c r="BC2478" t="s">
        <v>161</v>
      </c>
      <c r="BD2478">
        <v>0</v>
      </c>
      <c r="BF2478" t="s">
        <v>2668</v>
      </c>
      <c r="BG2478" s="1">
        <v>44354.614583333336</v>
      </c>
      <c r="BH2478" s="1">
        <v>44354.638472222221</v>
      </c>
      <c r="BI2478" s="1">
        <v>44354.638472222221</v>
      </c>
      <c r="BJ2478" t="s">
        <v>85</v>
      </c>
      <c r="BK2478" t="s">
        <v>86</v>
      </c>
      <c r="BL2478" t="s">
        <v>87</v>
      </c>
    </row>
    <row r="2479" spans="1:64" x14ac:dyDescent="0.3">
      <c r="A2479" t="str">
        <f>"201609C0100"</f>
        <v>201609C0100</v>
      </c>
      <c r="B2479" t="str">
        <f>"201609C01003"</f>
        <v>201609C01003</v>
      </c>
      <c r="C2479" t="str">
        <f t="shared" si="158"/>
        <v>20</v>
      </c>
      <c r="D2479" t="s">
        <v>81</v>
      </c>
      <c r="E2479" t="str">
        <f t="shared" si="161"/>
        <v>342</v>
      </c>
      <c r="F2479" t="s">
        <v>2667</v>
      </c>
      <c r="G2479" t="str">
        <f>"1609"</f>
        <v>1609</v>
      </c>
      <c r="H2479" t="str">
        <f>"0001"</f>
        <v>0001</v>
      </c>
      <c r="I2479" t="s">
        <v>89</v>
      </c>
      <c r="J2479">
        <v>0</v>
      </c>
      <c r="K2479">
        <v>1</v>
      </c>
      <c r="L2479">
        <v>3</v>
      </c>
      <c r="M2479">
        <v>147</v>
      </c>
      <c r="N2479">
        <v>420</v>
      </c>
      <c r="O2479">
        <v>0</v>
      </c>
      <c r="P2479">
        <v>420</v>
      </c>
      <c r="Q2479">
        <v>0</v>
      </c>
      <c r="R2479">
        <v>161</v>
      </c>
      <c r="S2479">
        <v>13</v>
      </c>
      <c r="T2479">
        <v>0</v>
      </c>
      <c r="U2479">
        <v>26</v>
      </c>
      <c r="V2479">
        <v>3</v>
      </c>
      <c r="W2479">
        <v>1</v>
      </c>
      <c r="X2479">
        <v>199</v>
      </c>
      <c r="Z2479">
        <v>1</v>
      </c>
      <c r="AA2479">
        <v>1</v>
      </c>
      <c r="AF2479">
        <v>4</v>
      </c>
      <c r="AG2479">
        <v>1</v>
      </c>
      <c r="AH2479">
        <v>0</v>
      </c>
      <c r="AI2479">
        <v>0</v>
      </c>
      <c r="AW2479">
        <v>1</v>
      </c>
      <c r="AX2479">
        <v>9</v>
      </c>
      <c r="AY2479">
        <v>420</v>
      </c>
      <c r="AZ2479">
        <v>420</v>
      </c>
      <c r="BA2479">
        <v>523</v>
      </c>
      <c r="BB2479">
        <v>44</v>
      </c>
      <c r="BD2479">
        <v>1</v>
      </c>
      <c r="BF2479" t="s">
        <v>2669</v>
      </c>
      <c r="BG2479" s="1">
        <v>44354.284722222219</v>
      </c>
      <c r="BH2479" s="1">
        <v>44354.289189814815</v>
      </c>
      <c r="BI2479" s="1">
        <v>44354.289583333331</v>
      </c>
      <c r="BJ2479" t="s">
        <v>85</v>
      </c>
      <c r="BK2479" t="s">
        <v>86</v>
      </c>
      <c r="BL2479" t="s">
        <v>87</v>
      </c>
    </row>
    <row r="2480" spans="1:64" x14ac:dyDescent="0.3">
      <c r="A2480" t="str">
        <f>"201610B0000"</f>
        <v>201610B0000</v>
      </c>
      <c r="B2480" t="str">
        <f>"201610B00003"</f>
        <v>201610B00003</v>
      </c>
      <c r="C2480" t="str">
        <f t="shared" si="158"/>
        <v>20</v>
      </c>
      <c r="D2480" t="s">
        <v>81</v>
      </c>
      <c r="E2480" t="str">
        <f t="shared" si="161"/>
        <v>342</v>
      </c>
      <c r="F2480" t="s">
        <v>2667</v>
      </c>
      <c r="G2480" t="str">
        <f>"1610"</f>
        <v>1610</v>
      </c>
      <c r="H2480" t="str">
        <f>"0000"</f>
        <v>0000</v>
      </c>
      <c r="I2480" t="s">
        <v>83</v>
      </c>
      <c r="J2480">
        <v>0</v>
      </c>
      <c r="K2480">
        <v>1</v>
      </c>
      <c r="L2480">
        <v>3</v>
      </c>
      <c r="M2480">
        <v>147</v>
      </c>
      <c r="N2480">
        <v>315</v>
      </c>
      <c r="O2480">
        <v>0</v>
      </c>
      <c r="P2480">
        <v>315</v>
      </c>
      <c r="Q2480">
        <v>0</v>
      </c>
      <c r="R2480">
        <v>166</v>
      </c>
      <c r="S2480">
        <v>0</v>
      </c>
      <c r="T2480">
        <v>0</v>
      </c>
      <c r="U2480">
        <v>14</v>
      </c>
      <c r="V2480">
        <v>6</v>
      </c>
      <c r="W2480">
        <v>0</v>
      </c>
      <c r="X2480">
        <v>78</v>
      </c>
      <c r="Z2480">
        <v>1</v>
      </c>
      <c r="AA2480">
        <v>46</v>
      </c>
      <c r="AF2480">
        <v>0</v>
      </c>
      <c r="AG2480">
        <v>0</v>
      </c>
      <c r="AH2480">
        <v>0</v>
      </c>
      <c r="AI2480">
        <v>0</v>
      </c>
      <c r="AW2480">
        <v>0</v>
      </c>
      <c r="AX2480">
        <v>4</v>
      </c>
      <c r="AY2480">
        <v>315</v>
      </c>
      <c r="AZ2480">
        <v>315</v>
      </c>
      <c r="BA2480">
        <v>418</v>
      </c>
      <c r="BB2480">
        <v>44</v>
      </c>
      <c r="BD2480">
        <v>1</v>
      </c>
      <c r="BF2480" t="s">
        <v>2670</v>
      </c>
      <c r="BG2480" s="1">
        <v>44354.287499999999</v>
      </c>
      <c r="BH2480" s="1">
        <v>44354.291215277779</v>
      </c>
      <c r="BI2480" s="1">
        <v>44354.292384259257</v>
      </c>
      <c r="BJ2480" t="s">
        <v>85</v>
      </c>
      <c r="BK2480" t="s">
        <v>86</v>
      </c>
      <c r="BL2480" t="s">
        <v>87</v>
      </c>
    </row>
    <row r="2481" spans="1:64" x14ac:dyDescent="0.3">
      <c r="A2481" t="str">
        <f>"201610C0100"</f>
        <v>201610C0100</v>
      </c>
      <c r="B2481" t="str">
        <f>"201610C01003"</f>
        <v>201610C01003</v>
      </c>
      <c r="C2481" t="str">
        <f t="shared" si="158"/>
        <v>20</v>
      </c>
      <c r="D2481" t="s">
        <v>81</v>
      </c>
      <c r="E2481" t="str">
        <f t="shared" si="161"/>
        <v>342</v>
      </c>
      <c r="F2481" t="s">
        <v>2667</v>
      </c>
      <c r="G2481" t="str">
        <f>"1610"</f>
        <v>1610</v>
      </c>
      <c r="H2481" t="str">
        <f>"0001"</f>
        <v>0001</v>
      </c>
      <c r="I2481" t="s">
        <v>89</v>
      </c>
      <c r="J2481">
        <v>0</v>
      </c>
      <c r="K2481">
        <v>1</v>
      </c>
      <c r="L2481">
        <v>3</v>
      </c>
      <c r="M2481">
        <v>134</v>
      </c>
      <c r="N2481">
        <v>327</v>
      </c>
      <c r="O2481">
        <v>2</v>
      </c>
      <c r="P2481">
        <v>327</v>
      </c>
      <c r="Q2481">
        <v>1</v>
      </c>
      <c r="R2481">
        <v>141</v>
      </c>
      <c r="S2481">
        <v>1</v>
      </c>
      <c r="T2481">
        <v>1</v>
      </c>
      <c r="U2481">
        <v>9</v>
      </c>
      <c r="V2481">
        <v>4</v>
      </c>
      <c r="W2481">
        <v>1</v>
      </c>
      <c r="X2481">
        <v>109</v>
      </c>
      <c r="Z2481">
        <v>1</v>
      </c>
      <c r="AA2481">
        <v>48</v>
      </c>
      <c r="AF2481">
        <v>5</v>
      </c>
      <c r="AG2481">
        <v>0</v>
      </c>
      <c r="AH2481">
        <v>0</v>
      </c>
      <c r="AI2481">
        <v>0</v>
      </c>
      <c r="AW2481">
        <v>0</v>
      </c>
      <c r="AX2481">
        <v>7</v>
      </c>
      <c r="AY2481">
        <v>327</v>
      </c>
      <c r="AZ2481">
        <v>328</v>
      </c>
      <c r="BA2481">
        <v>418</v>
      </c>
      <c r="BB2481">
        <v>44</v>
      </c>
      <c r="BD2481">
        <v>1</v>
      </c>
      <c r="BF2481" t="s">
        <v>2671</v>
      </c>
      <c r="BG2481" s="1">
        <v>44354.287499999999</v>
      </c>
      <c r="BH2481" s="1">
        <v>44354.290648148148</v>
      </c>
      <c r="BI2481" s="1">
        <v>44354.291516203702</v>
      </c>
      <c r="BJ2481" t="s">
        <v>85</v>
      </c>
      <c r="BK2481" t="s">
        <v>86</v>
      </c>
      <c r="BL2481" t="s">
        <v>87</v>
      </c>
    </row>
    <row r="2482" spans="1:64" x14ac:dyDescent="0.3">
      <c r="A2482" t="str">
        <f>"201611B0000"</f>
        <v>201611B0000</v>
      </c>
      <c r="B2482" t="str">
        <f>"201611B00003"</f>
        <v>201611B00003</v>
      </c>
      <c r="C2482" t="str">
        <f t="shared" si="158"/>
        <v>20</v>
      </c>
      <c r="D2482" t="s">
        <v>81</v>
      </c>
      <c r="E2482" t="str">
        <f t="shared" si="161"/>
        <v>342</v>
      </c>
      <c r="F2482" t="s">
        <v>2667</v>
      </c>
      <c r="G2482" t="str">
        <f>"1611"</f>
        <v>1611</v>
      </c>
      <c r="H2482" t="str">
        <f>"0000"</f>
        <v>0000</v>
      </c>
      <c r="I2482" t="s">
        <v>83</v>
      </c>
      <c r="J2482">
        <v>0</v>
      </c>
      <c r="K2482">
        <v>1</v>
      </c>
      <c r="L2482">
        <v>3</v>
      </c>
      <c r="M2482">
        <v>120</v>
      </c>
      <c r="N2482">
        <v>306</v>
      </c>
      <c r="O2482">
        <v>0</v>
      </c>
      <c r="P2482">
        <v>306</v>
      </c>
      <c r="Q2482">
        <v>0</v>
      </c>
      <c r="R2482">
        <v>130</v>
      </c>
      <c r="S2482">
        <v>4</v>
      </c>
      <c r="T2482">
        <v>0</v>
      </c>
      <c r="U2482">
        <v>23</v>
      </c>
      <c r="V2482">
        <v>0</v>
      </c>
      <c r="W2482">
        <v>3</v>
      </c>
      <c r="X2482">
        <v>100</v>
      </c>
      <c r="Z2482">
        <v>0</v>
      </c>
      <c r="AA2482">
        <v>20</v>
      </c>
      <c r="AF2482">
        <v>9</v>
      </c>
      <c r="AG2482">
        <v>0</v>
      </c>
      <c r="AH2482">
        <v>0</v>
      </c>
      <c r="AI2482">
        <v>3</v>
      </c>
      <c r="AW2482" t="s">
        <v>95</v>
      </c>
      <c r="AX2482">
        <v>14</v>
      </c>
      <c r="AY2482">
        <v>306</v>
      </c>
      <c r="AZ2482">
        <v>306</v>
      </c>
      <c r="BA2482">
        <v>382</v>
      </c>
      <c r="BB2482">
        <v>44</v>
      </c>
      <c r="BC2482" t="s">
        <v>96</v>
      </c>
      <c r="BD2482">
        <v>1</v>
      </c>
      <c r="BF2482" t="s">
        <v>2672</v>
      </c>
      <c r="BG2482" s="1">
        <v>44354.287499999999</v>
      </c>
      <c r="BH2482" s="1">
        <v>44354.289594907408</v>
      </c>
      <c r="BI2482" s="1">
        <v>44354.290567129632</v>
      </c>
      <c r="BJ2482" t="s">
        <v>85</v>
      </c>
      <c r="BK2482" t="s">
        <v>86</v>
      </c>
      <c r="BL2482" t="s">
        <v>87</v>
      </c>
    </row>
    <row r="2483" spans="1:64" x14ac:dyDescent="0.3">
      <c r="A2483" t="str">
        <f>"201612B0000"</f>
        <v>201612B0000</v>
      </c>
      <c r="B2483" t="str">
        <f>"201612B00003"</f>
        <v>201612B00003</v>
      </c>
      <c r="C2483" t="str">
        <f t="shared" si="158"/>
        <v>20</v>
      </c>
      <c r="D2483" t="s">
        <v>81</v>
      </c>
      <c r="E2483" t="str">
        <f t="shared" si="161"/>
        <v>342</v>
      </c>
      <c r="F2483" t="s">
        <v>2667</v>
      </c>
      <c r="G2483" t="str">
        <f>"1612"</f>
        <v>1612</v>
      </c>
      <c r="H2483" t="str">
        <f>"0000"</f>
        <v>0000</v>
      </c>
      <c r="I2483" t="s">
        <v>83</v>
      </c>
      <c r="J2483">
        <v>0</v>
      </c>
      <c r="K2483">
        <v>1</v>
      </c>
      <c r="L2483">
        <v>3</v>
      </c>
      <c r="M2483">
        <v>126</v>
      </c>
      <c r="N2483">
        <v>286</v>
      </c>
      <c r="O2483">
        <v>0</v>
      </c>
      <c r="P2483">
        <v>286</v>
      </c>
      <c r="Q2483">
        <v>0</v>
      </c>
      <c r="R2483">
        <v>174</v>
      </c>
      <c r="S2483">
        <v>2</v>
      </c>
      <c r="T2483">
        <v>2</v>
      </c>
      <c r="U2483">
        <v>0</v>
      </c>
      <c r="V2483">
        <v>2</v>
      </c>
      <c r="W2483">
        <v>1</v>
      </c>
      <c r="X2483">
        <v>82</v>
      </c>
      <c r="Z2483">
        <v>2</v>
      </c>
      <c r="AA2483">
        <v>17</v>
      </c>
      <c r="AF2483" t="s">
        <v>95</v>
      </c>
      <c r="AG2483" t="s">
        <v>95</v>
      </c>
      <c r="AH2483" t="s">
        <v>95</v>
      </c>
      <c r="AI2483" t="s">
        <v>95</v>
      </c>
      <c r="AW2483" t="s">
        <v>95</v>
      </c>
      <c r="AX2483">
        <v>4</v>
      </c>
      <c r="AY2483">
        <v>286</v>
      </c>
      <c r="AZ2483">
        <v>286</v>
      </c>
      <c r="BA2483">
        <v>368</v>
      </c>
      <c r="BB2483">
        <v>44</v>
      </c>
      <c r="BC2483" t="s">
        <v>96</v>
      </c>
      <c r="BD2483">
        <v>1</v>
      </c>
      <c r="BF2483" t="s">
        <v>2673</v>
      </c>
      <c r="BG2483" s="1">
        <v>44354.286805555559</v>
      </c>
      <c r="BH2483" s="1">
        <v>44354.288923611108</v>
      </c>
      <c r="BI2483" s="1">
        <v>44354.29</v>
      </c>
      <c r="BJ2483" t="s">
        <v>85</v>
      </c>
      <c r="BK2483" t="s">
        <v>86</v>
      </c>
      <c r="BL2483" t="s">
        <v>87</v>
      </c>
    </row>
    <row r="2484" spans="1:64" x14ac:dyDescent="0.3">
      <c r="A2484" t="str">
        <f>"201612E0100"</f>
        <v>201612E0100</v>
      </c>
      <c r="B2484" t="str">
        <f>"201612E01003"</f>
        <v>201612E01003</v>
      </c>
      <c r="C2484" t="str">
        <f t="shared" si="158"/>
        <v>20</v>
      </c>
      <c r="D2484" t="s">
        <v>81</v>
      </c>
      <c r="E2484" t="str">
        <f t="shared" si="161"/>
        <v>342</v>
      </c>
      <c r="F2484" t="s">
        <v>2667</v>
      </c>
      <c r="G2484" t="str">
        <f>"1612"</f>
        <v>1612</v>
      </c>
      <c r="H2484" t="str">
        <f>"0001"</f>
        <v>0001</v>
      </c>
      <c r="I2484" t="s">
        <v>122</v>
      </c>
      <c r="J2484">
        <v>0</v>
      </c>
      <c r="K2484">
        <v>1</v>
      </c>
      <c r="L2484">
        <v>3</v>
      </c>
      <c r="BA2484">
        <v>554</v>
      </c>
      <c r="BB2484">
        <v>44</v>
      </c>
      <c r="BC2484" t="s">
        <v>161</v>
      </c>
      <c r="BD2484">
        <v>0</v>
      </c>
      <c r="BF2484" t="s">
        <v>2674</v>
      </c>
      <c r="BG2484" s="1">
        <v>44354.614583333336</v>
      </c>
      <c r="BH2484" s="1">
        <v>44354.638310185182</v>
      </c>
      <c r="BI2484" s="1">
        <v>44354.638310185182</v>
      </c>
      <c r="BJ2484" t="s">
        <v>85</v>
      </c>
      <c r="BK2484" t="s">
        <v>86</v>
      </c>
      <c r="BL2484" t="s">
        <v>87</v>
      </c>
    </row>
    <row r="2485" spans="1:64" x14ac:dyDescent="0.3">
      <c r="A2485" t="str">
        <f>"201650B0000"</f>
        <v>201650B0000</v>
      </c>
      <c r="B2485" t="str">
        <f>"201650B00003"</f>
        <v>201650B00003</v>
      </c>
      <c r="C2485" t="str">
        <f t="shared" si="158"/>
        <v>20</v>
      </c>
      <c r="D2485" t="s">
        <v>81</v>
      </c>
      <c r="E2485" t="str">
        <f>"360"</f>
        <v>360</v>
      </c>
      <c r="F2485" t="s">
        <v>2675</v>
      </c>
      <c r="G2485" t="str">
        <f>"1650"</f>
        <v>1650</v>
      </c>
      <c r="H2485" t="str">
        <f>"0000"</f>
        <v>0000</v>
      </c>
      <c r="I2485" t="s">
        <v>83</v>
      </c>
      <c r="J2485">
        <v>0</v>
      </c>
      <c r="K2485">
        <v>1</v>
      </c>
      <c r="L2485">
        <v>3</v>
      </c>
      <c r="M2485">
        <v>280</v>
      </c>
      <c r="N2485">
        <v>489</v>
      </c>
      <c r="O2485">
        <v>5</v>
      </c>
      <c r="P2485">
        <v>489</v>
      </c>
      <c r="Q2485">
        <v>73</v>
      </c>
      <c r="R2485">
        <v>6</v>
      </c>
      <c r="S2485">
        <v>3</v>
      </c>
      <c r="T2485">
        <v>196</v>
      </c>
      <c r="U2485">
        <v>156</v>
      </c>
      <c r="X2485">
        <v>23</v>
      </c>
      <c r="Y2485">
        <v>1</v>
      </c>
      <c r="Z2485">
        <v>4</v>
      </c>
      <c r="AA2485">
        <v>1</v>
      </c>
      <c r="AT2485">
        <v>0</v>
      </c>
      <c r="AW2485">
        <v>0</v>
      </c>
      <c r="AX2485">
        <v>26</v>
      </c>
      <c r="AY2485">
        <v>489</v>
      </c>
      <c r="AZ2485">
        <v>489</v>
      </c>
      <c r="BA2485">
        <v>725</v>
      </c>
      <c r="BB2485">
        <v>44</v>
      </c>
      <c r="BD2485">
        <v>1</v>
      </c>
      <c r="BF2485" t="s">
        <v>2676</v>
      </c>
      <c r="BG2485" s="1">
        <v>44354.019618055558</v>
      </c>
      <c r="BH2485" s="1">
        <v>44354.027696759258</v>
      </c>
      <c r="BI2485" s="1">
        <v>44354.028194444443</v>
      </c>
      <c r="BJ2485" t="s">
        <v>197</v>
      </c>
      <c r="BK2485" t="s">
        <v>198</v>
      </c>
      <c r="BL2485" t="s">
        <v>87</v>
      </c>
    </row>
    <row r="2486" spans="1:64" x14ac:dyDescent="0.3">
      <c r="A2486" t="str">
        <f>"201650C0100"</f>
        <v>201650C0100</v>
      </c>
      <c r="B2486" t="str">
        <f>"201650C01003"</f>
        <v>201650C01003</v>
      </c>
      <c r="C2486" t="str">
        <f t="shared" si="158"/>
        <v>20</v>
      </c>
      <c r="D2486" t="s">
        <v>81</v>
      </c>
      <c r="E2486" t="str">
        <f>"360"</f>
        <v>360</v>
      </c>
      <c r="F2486" t="s">
        <v>2675</v>
      </c>
      <c r="G2486" t="str">
        <f>"1650"</f>
        <v>1650</v>
      </c>
      <c r="H2486" t="str">
        <f>"0001"</f>
        <v>0001</v>
      </c>
      <c r="I2486" t="s">
        <v>89</v>
      </c>
      <c r="J2486">
        <v>0</v>
      </c>
      <c r="K2486">
        <v>1</v>
      </c>
      <c r="L2486">
        <v>3</v>
      </c>
      <c r="M2486">
        <v>279</v>
      </c>
      <c r="N2486">
        <v>490</v>
      </c>
      <c r="O2486">
        <v>5</v>
      </c>
      <c r="P2486">
        <v>490</v>
      </c>
      <c r="Q2486">
        <v>86</v>
      </c>
      <c r="R2486">
        <v>2</v>
      </c>
      <c r="S2486">
        <v>2</v>
      </c>
      <c r="T2486">
        <v>218</v>
      </c>
      <c r="U2486">
        <v>127</v>
      </c>
      <c r="X2486">
        <v>21</v>
      </c>
      <c r="Y2486">
        <v>0</v>
      </c>
      <c r="Z2486">
        <v>4</v>
      </c>
      <c r="AA2486">
        <v>3</v>
      </c>
      <c r="AT2486">
        <v>0</v>
      </c>
      <c r="AW2486">
        <v>1</v>
      </c>
      <c r="AX2486">
        <v>26</v>
      </c>
      <c r="AY2486">
        <v>490</v>
      </c>
      <c r="AZ2486">
        <v>490</v>
      </c>
      <c r="BA2486">
        <v>725</v>
      </c>
      <c r="BB2486">
        <v>44</v>
      </c>
      <c r="BD2486">
        <v>1</v>
      </c>
      <c r="BF2486" t="s">
        <v>2677</v>
      </c>
      <c r="BG2486" s="1">
        <v>44354.012025462966</v>
      </c>
      <c r="BH2486" s="1">
        <v>44354.018657407411</v>
      </c>
      <c r="BI2486" s="1">
        <v>44354.019490740742</v>
      </c>
      <c r="BJ2486" t="s">
        <v>197</v>
      </c>
      <c r="BK2486" t="s">
        <v>198</v>
      </c>
      <c r="BL2486" t="s">
        <v>87</v>
      </c>
    </row>
    <row r="2487" spans="1:64" x14ac:dyDescent="0.3">
      <c r="A2487" t="str">
        <f>"201650E0100"</f>
        <v>201650E0100</v>
      </c>
      <c r="B2487" t="str">
        <f>"201650E01003"</f>
        <v>201650E01003</v>
      </c>
      <c r="C2487" t="str">
        <f t="shared" si="158"/>
        <v>20</v>
      </c>
      <c r="D2487" t="s">
        <v>81</v>
      </c>
      <c r="E2487" t="str">
        <f>"360"</f>
        <v>360</v>
      </c>
      <c r="F2487" t="s">
        <v>2675</v>
      </c>
      <c r="G2487" t="str">
        <f>"1650"</f>
        <v>1650</v>
      </c>
      <c r="H2487" t="str">
        <f>"0001"</f>
        <v>0001</v>
      </c>
      <c r="I2487" t="s">
        <v>122</v>
      </c>
      <c r="J2487">
        <v>0</v>
      </c>
      <c r="K2487">
        <v>1</v>
      </c>
      <c r="L2487">
        <v>3</v>
      </c>
      <c r="M2487">
        <v>128</v>
      </c>
      <c r="N2487">
        <v>219</v>
      </c>
      <c r="O2487">
        <v>8</v>
      </c>
      <c r="P2487">
        <v>219</v>
      </c>
      <c r="Q2487">
        <v>67</v>
      </c>
      <c r="R2487">
        <v>3</v>
      </c>
      <c r="S2487">
        <v>0</v>
      </c>
      <c r="T2487">
        <v>98</v>
      </c>
      <c r="U2487">
        <v>23</v>
      </c>
      <c r="X2487">
        <v>17</v>
      </c>
      <c r="Y2487">
        <v>1</v>
      </c>
      <c r="Z2487">
        <v>0</v>
      </c>
      <c r="AA2487">
        <v>0</v>
      </c>
      <c r="AT2487">
        <v>0</v>
      </c>
      <c r="AW2487">
        <v>0</v>
      </c>
      <c r="AX2487">
        <v>10</v>
      </c>
      <c r="AY2487">
        <v>219</v>
      </c>
      <c r="AZ2487">
        <v>219</v>
      </c>
      <c r="BA2487">
        <v>303</v>
      </c>
      <c r="BB2487">
        <v>44</v>
      </c>
      <c r="BD2487">
        <v>1</v>
      </c>
      <c r="BF2487" t="s">
        <v>2678</v>
      </c>
      <c r="BG2487" s="1">
        <v>44353.971446759257</v>
      </c>
      <c r="BH2487" s="1">
        <v>44353.973229166666</v>
      </c>
      <c r="BI2487" s="1">
        <v>44353.974004629628</v>
      </c>
      <c r="BJ2487" t="s">
        <v>197</v>
      </c>
      <c r="BK2487" t="s">
        <v>198</v>
      </c>
      <c r="BL2487" t="s">
        <v>87</v>
      </c>
    </row>
    <row r="2488" spans="1:64" x14ac:dyDescent="0.3">
      <c r="A2488" t="str">
        <f>"201651B0000"</f>
        <v>201651B0000</v>
      </c>
      <c r="B2488" t="str">
        <f>"201651B00003"</f>
        <v>201651B00003</v>
      </c>
      <c r="C2488" t="str">
        <f t="shared" si="158"/>
        <v>20</v>
      </c>
      <c r="D2488" t="s">
        <v>81</v>
      </c>
      <c r="E2488" t="str">
        <f>"360"</f>
        <v>360</v>
      </c>
      <c r="F2488" t="s">
        <v>2675</v>
      </c>
      <c r="G2488" t="str">
        <f>"1651"</f>
        <v>1651</v>
      </c>
      <c r="H2488" t="str">
        <f>"0000"</f>
        <v>0000</v>
      </c>
      <c r="I2488" t="s">
        <v>83</v>
      </c>
      <c r="J2488">
        <v>0</v>
      </c>
      <c r="K2488">
        <v>1</v>
      </c>
      <c r="L2488">
        <v>3</v>
      </c>
      <c r="M2488">
        <v>232</v>
      </c>
      <c r="N2488">
        <v>451</v>
      </c>
      <c r="O2488">
        <v>5</v>
      </c>
      <c r="P2488">
        <v>451</v>
      </c>
      <c r="Q2488">
        <v>102</v>
      </c>
      <c r="R2488">
        <v>5</v>
      </c>
      <c r="S2488">
        <v>3</v>
      </c>
      <c r="T2488">
        <v>186</v>
      </c>
      <c r="U2488">
        <v>109</v>
      </c>
      <c r="X2488">
        <v>22</v>
      </c>
      <c r="Y2488">
        <v>3</v>
      </c>
      <c r="Z2488">
        <v>4</v>
      </c>
      <c r="AA2488">
        <v>1</v>
      </c>
      <c r="AT2488">
        <v>0</v>
      </c>
      <c r="AW2488">
        <v>0</v>
      </c>
      <c r="AX2488">
        <v>16</v>
      </c>
      <c r="AY2488">
        <v>451</v>
      </c>
      <c r="AZ2488">
        <v>451</v>
      </c>
      <c r="BA2488">
        <v>639</v>
      </c>
      <c r="BB2488">
        <v>44</v>
      </c>
      <c r="BD2488">
        <v>1</v>
      </c>
      <c r="BF2488" t="s">
        <v>2679</v>
      </c>
      <c r="BG2488" s="1">
        <v>44354.001643518517</v>
      </c>
      <c r="BH2488" s="1">
        <v>44354.007233796299</v>
      </c>
      <c r="BI2488" s="1">
        <v>44354.007569444446</v>
      </c>
      <c r="BJ2488" t="s">
        <v>197</v>
      </c>
      <c r="BK2488" t="s">
        <v>198</v>
      </c>
      <c r="BL2488" t="s">
        <v>87</v>
      </c>
    </row>
    <row r="2489" spans="1:64" x14ac:dyDescent="0.3">
      <c r="A2489" t="str">
        <f>"201651C0100"</f>
        <v>201651C0100</v>
      </c>
      <c r="B2489" t="str">
        <f>"201651C01003"</f>
        <v>201651C01003</v>
      </c>
      <c r="C2489" t="str">
        <f t="shared" si="158"/>
        <v>20</v>
      </c>
      <c r="D2489" t="s">
        <v>81</v>
      </c>
      <c r="E2489" t="str">
        <f>"360"</f>
        <v>360</v>
      </c>
      <c r="F2489" t="s">
        <v>2675</v>
      </c>
      <c r="G2489" t="str">
        <f>"1651"</f>
        <v>1651</v>
      </c>
      <c r="H2489" t="str">
        <f>"0001"</f>
        <v>0001</v>
      </c>
      <c r="I2489" t="s">
        <v>89</v>
      </c>
      <c r="J2489">
        <v>0</v>
      </c>
      <c r="K2489">
        <v>1</v>
      </c>
      <c r="L2489">
        <v>3</v>
      </c>
      <c r="M2489">
        <v>227</v>
      </c>
      <c r="N2489">
        <v>455</v>
      </c>
      <c r="O2489">
        <v>5</v>
      </c>
      <c r="P2489">
        <v>455</v>
      </c>
      <c r="Q2489">
        <v>83</v>
      </c>
      <c r="R2489">
        <v>5</v>
      </c>
      <c r="S2489">
        <v>4</v>
      </c>
      <c r="T2489">
        <v>205</v>
      </c>
      <c r="U2489">
        <v>103</v>
      </c>
      <c r="X2489">
        <v>33</v>
      </c>
      <c r="Y2489">
        <v>0</v>
      </c>
      <c r="Z2489">
        <v>8</v>
      </c>
      <c r="AA2489">
        <v>1</v>
      </c>
      <c r="AT2489">
        <v>0</v>
      </c>
      <c r="AW2489">
        <v>0</v>
      </c>
      <c r="AX2489">
        <v>13</v>
      </c>
      <c r="AY2489">
        <v>455</v>
      </c>
      <c r="AZ2489">
        <v>455</v>
      </c>
      <c r="BA2489">
        <v>638</v>
      </c>
      <c r="BB2489">
        <v>44</v>
      </c>
      <c r="BD2489">
        <v>1</v>
      </c>
      <c r="BF2489" t="s">
        <v>2680</v>
      </c>
      <c r="BG2489" s="1">
        <v>44354.161805555559</v>
      </c>
      <c r="BH2489" s="1">
        <v>44354.167442129627</v>
      </c>
      <c r="BI2489" s="1">
        <v>44354.168136574073</v>
      </c>
      <c r="BJ2489" t="s">
        <v>85</v>
      </c>
      <c r="BK2489" t="s">
        <v>86</v>
      </c>
      <c r="BL2489" t="s">
        <v>87</v>
      </c>
    </row>
    <row r="2490" spans="1:64" x14ac:dyDescent="0.3">
      <c r="A2490" t="str">
        <f>"201658B0000"</f>
        <v>201658B0000</v>
      </c>
      <c r="B2490" t="str">
        <f>"201658B00003"</f>
        <v>201658B00003</v>
      </c>
      <c r="C2490" t="str">
        <f t="shared" si="158"/>
        <v>20</v>
      </c>
      <c r="D2490" t="s">
        <v>81</v>
      </c>
      <c r="E2490" t="str">
        <f t="shared" ref="E2490:E2514" si="162">"364"</f>
        <v>364</v>
      </c>
      <c r="F2490" t="s">
        <v>2681</v>
      </c>
      <c r="G2490" t="str">
        <f>"1658"</f>
        <v>1658</v>
      </c>
      <c r="H2490" t="str">
        <f>"0000"</f>
        <v>0000</v>
      </c>
      <c r="I2490" t="s">
        <v>83</v>
      </c>
      <c r="J2490">
        <v>0</v>
      </c>
      <c r="K2490">
        <v>1</v>
      </c>
      <c r="L2490">
        <v>3</v>
      </c>
      <c r="M2490">
        <v>192</v>
      </c>
      <c r="N2490" t="s">
        <v>131</v>
      </c>
      <c r="O2490">
        <v>10</v>
      </c>
      <c r="P2490">
        <v>451</v>
      </c>
      <c r="Q2490">
        <v>53</v>
      </c>
      <c r="R2490">
        <v>48</v>
      </c>
      <c r="S2490">
        <v>21</v>
      </c>
      <c r="T2490">
        <v>0</v>
      </c>
      <c r="U2490">
        <v>98</v>
      </c>
      <c r="X2490">
        <v>116</v>
      </c>
      <c r="Z2490">
        <v>5</v>
      </c>
      <c r="AB2490">
        <v>18</v>
      </c>
      <c r="AC2490">
        <v>74</v>
      </c>
      <c r="AP2490">
        <v>7</v>
      </c>
      <c r="AW2490">
        <v>0</v>
      </c>
      <c r="AX2490">
        <v>11</v>
      </c>
      <c r="AY2490">
        <v>451</v>
      </c>
      <c r="AZ2490">
        <v>451</v>
      </c>
      <c r="BA2490">
        <v>598</v>
      </c>
      <c r="BB2490">
        <v>46</v>
      </c>
      <c r="BD2490">
        <v>1</v>
      </c>
      <c r="BF2490" t="s">
        <v>2682</v>
      </c>
      <c r="BG2490" s="1">
        <v>44354.043749999997</v>
      </c>
      <c r="BH2490" s="1">
        <v>44354.05265046296</v>
      </c>
      <c r="BI2490" s="1">
        <v>44354.053310185183</v>
      </c>
      <c r="BJ2490" t="s">
        <v>85</v>
      </c>
      <c r="BK2490" t="s">
        <v>86</v>
      </c>
      <c r="BL2490" t="s">
        <v>87</v>
      </c>
    </row>
    <row r="2491" spans="1:64" x14ac:dyDescent="0.3">
      <c r="A2491" t="str">
        <f>"201658C0100"</f>
        <v>201658C0100</v>
      </c>
      <c r="B2491" t="str">
        <f>"201658C01003"</f>
        <v>201658C01003</v>
      </c>
      <c r="C2491" t="str">
        <f t="shared" si="158"/>
        <v>20</v>
      </c>
      <c r="D2491" t="s">
        <v>81</v>
      </c>
      <c r="E2491" t="str">
        <f t="shared" si="162"/>
        <v>364</v>
      </c>
      <c r="F2491" t="s">
        <v>2681</v>
      </c>
      <c r="G2491" t="str">
        <f>"1658"</f>
        <v>1658</v>
      </c>
      <c r="H2491" t="str">
        <f>"0001"</f>
        <v>0001</v>
      </c>
      <c r="I2491" t="s">
        <v>89</v>
      </c>
      <c r="J2491">
        <v>0</v>
      </c>
      <c r="K2491">
        <v>1</v>
      </c>
      <c r="L2491">
        <v>3</v>
      </c>
      <c r="M2491">
        <v>196</v>
      </c>
      <c r="N2491">
        <v>448</v>
      </c>
      <c r="O2491">
        <v>5</v>
      </c>
      <c r="P2491">
        <v>448</v>
      </c>
      <c r="Q2491">
        <v>46</v>
      </c>
      <c r="R2491">
        <v>37</v>
      </c>
      <c r="S2491">
        <v>15</v>
      </c>
      <c r="T2491">
        <v>1</v>
      </c>
      <c r="U2491">
        <v>119</v>
      </c>
      <c r="X2491">
        <v>80</v>
      </c>
      <c r="Z2491">
        <v>6</v>
      </c>
      <c r="AB2491">
        <v>7</v>
      </c>
      <c r="AC2491">
        <v>118</v>
      </c>
      <c r="AP2491">
        <v>6</v>
      </c>
      <c r="AW2491">
        <v>0</v>
      </c>
      <c r="AX2491">
        <v>13</v>
      </c>
      <c r="AY2491">
        <v>448</v>
      </c>
      <c r="AZ2491">
        <v>448</v>
      </c>
      <c r="BA2491">
        <v>598</v>
      </c>
      <c r="BB2491">
        <v>46</v>
      </c>
      <c r="BD2491">
        <v>1</v>
      </c>
      <c r="BF2491" t="s">
        <v>2683</v>
      </c>
      <c r="BG2491" s="1">
        <v>44354.003472222219</v>
      </c>
      <c r="BH2491" s="1">
        <v>44354.010567129626</v>
      </c>
      <c r="BI2491" s="1">
        <v>44354.011145833334</v>
      </c>
      <c r="BJ2491" t="s">
        <v>85</v>
      </c>
      <c r="BK2491" t="s">
        <v>86</v>
      </c>
      <c r="BL2491" t="s">
        <v>87</v>
      </c>
    </row>
    <row r="2492" spans="1:64" x14ac:dyDescent="0.3">
      <c r="A2492" t="str">
        <f>"201658C0200"</f>
        <v>201658C0200</v>
      </c>
      <c r="B2492" t="str">
        <f>"201658C02003"</f>
        <v>201658C02003</v>
      </c>
      <c r="C2492" t="str">
        <f t="shared" si="158"/>
        <v>20</v>
      </c>
      <c r="D2492" t="s">
        <v>81</v>
      </c>
      <c r="E2492" t="str">
        <f t="shared" si="162"/>
        <v>364</v>
      </c>
      <c r="F2492" t="s">
        <v>2681</v>
      </c>
      <c r="G2492" t="str">
        <f>"1658"</f>
        <v>1658</v>
      </c>
      <c r="H2492" t="str">
        <f>"0002"</f>
        <v>0002</v>
      </c>
      <c r="I2492" t="s">
        <v>89</v>
      </c>
      <c r="J2492">
        <v>0</v>
      </c>
      <c r="K2492">
        <v>1</v>
      </c>
      <c r="L2492">
        <v>3</v>
      </c>
      <c r="M2492">
        <v>226</v>
      </c>
      <c r="N2492">
        <v>418</v>
      </c>
      <c r="O2492">
        <v>9</v>
      </c>
      <c r="P2492">
        <v>418</v>
      </c>
      <c r="Q2492">
        <v>53</v>
      </c>
      <c r="R2492">
        <v>29</v>
      </c>
      <c r="S2492">
        <v>16</v>
      </c>
      <c r="T2492">
        <v>0</v>
      </c>
      <c r="U2492">
        <v>108</v>
      </c>
      <c r="X2492">
        <v>83</v>
      </c>
      <c r="Z2492">
        <v>4</v>
      </c>
      <c r="AB2492">
        <v>12</v>
      </c>
      <c r="AC2492">
        <v>98</v>
      </c>
      <c r="AP2492">
        <v>4</v>
      </c>
      <c r="AW2492">
        <v>0</v>
      </c>
      <c r="AX2492">
        <v>11</v>
      </c>
      <c r="AY2492">
        <v>418</v>
      </c>
      <c r="AZ2492">
        <v>418</v>
      </c>
      <c r="BA2492">
        <v>598</v>
      </c>
      <c r="BB2492">
        <v>46</v>
      </c>
      <c r="BD2492">
        <v>1</v>
      </c>
      <c r="BF2492" t="s">
        <v>2684</v>
      </c>
      <c r="BG2492" s="1">
        <v>44354.010416666664</v>
      </c>
      <c r="BH2492" s="1">
        <v>44354.017187500001</v>
      </c>
      <c r="BI2492" s="1">
        <v>44354.017708333333</v>
      </c>
      <c r="BJ2492" t="s">
        <v>85</v>
      </c>
      <c r="BK2492" t="s">
        <v>86</v>
      </c>
      <c r="BL2492" t="s">
        <v>87</v>
      </c>
    </row>
    <row r="2493" spans="1:64" x14ac:dyDescent="0.3">
      <c r="A2493" t="str">
        <f>"201658C0300"</f>
        <v>201658C0300</v>
      </c>
      <c r="B2493" t="str">
        <f>"201658C03003"</f>
        <v>201658C03003</v>
      </c>
      <c r="C2493" t="str">
        <f t="shared" si="158"/>
        <v>20</v>
      </c>
      <c r="D2493" t="s">
        <v>81</v>
      </c>
      <c r="E2493" t="str">
        <f t="shared" si="162"/>
        <v>364</v>
      </c>
      <c r="F2493" t="s">
        <v>2681</v>
      </c>
      <c r="G2493" t="str">
        <f>"1658"</f>
        <v>1658</v>
      </c>
      <c r="H2493" t="str">
        <f>"0003"</f>
        <v>0003</v>
      </c>
      <c r="I2493" t="s">
        <v>89</v>
      </c>
      <c r="J2493">
        <v>0</v>
      </c>
      <c r="K2493">
        <v>1</v>
      </c>
      <c r="L2493">
        <v>3</v>
      </c>
      <c r="M2493">
        <v>190</v>
      </c>
      <c r="N2493">
        <v>454</v>
      </c>
      <c r="O2493">
        <v>11</v>
      </c>
      <c r="P2493" t="s">
        <v>92</v>
      </c>
      <c r="Q2493">
        <v>58</v>
      </c>
      <c r="R2493">
        <v>43</v>
      </c>
      <c r="S2493">
        <v>18</v>
      </c>
      <c r="T2493">
        <v>1</v>
      </c>
      <c r="U2493">
        <v>97</v>
      </c>
      <c r="X2493">
        <v>95</v>
      </c>
      <c r="Z2493">
        <v>5</v>
      </c>
      <c r="AB2493">
        <v>10</v>
      </c>
      <c r="AC2493">
        <v>105</v>
      </c>
      <c r="AP2493">
        <v>8</v>
      </c>
      <c r="AW2493">
        <v>0</v>
      </c>
      <c r="AX2493">
        <v>14</v>
      </c>
      <c r="AY2493">
        <v>454</v>
      </c>
      <c r="AZ2493">
        <v>454</v>
      </c>
      <c r="BA2493">
        <v>598</v>
      </c>
      <c r="BB2493">
        <v>46</v>
      </c>
      <c r="BD2493">
        <v>1</v>
      </c>
      <c r="BF2493" t="s">
        <v>2685</v>
      </c>
      <c r="BG2493" s="1">
        <v>44354.01666666667</v>
      </c>
      <c r="BH2493" s="1">
        <v>44354.025173611109</v>
      </c>
      <c r="BI2493" s="1">
        <v>44354.02652777778</v>
      </c>
      <c r="BJ2493" t="s">
        <v>85</v>
      </c>
      <c r="BK2493" t="s">
        <v>86</v>
      </c>
      <c r="BL2493" t="s">
        <v>87</v>
      </c>
    </row>
    <row r="2494" spans="1:64" x14ac:dyDescent="0.3">
      <c r="A2494" t="str">
        <f>"201658S0100"</f>
        <v>201658S0100</v>
      </c>
      <c r="B2494" t="str">
        <f>"201658S01003E"</f>
        <v>201658S01003E</v>
      </c>
      <c r="C2494" t="str">
        <f t="shared" si="158"/>
        <v>20</v>
      </c>
      <c r="D2494" t="s">
        <v>81</v>
      </c>
      <c r="E2494" t="str">
        <f t="shared" si="162"/>
        <v>364</v>
      </c>
      <c r="F2494" t="s">
        <v>2681</v>
      </c>
      <c r="G2494" t="str">
        <f>"1658"</f>
        <v>1658</v>
      </c>
      <c r="H2494" t="str">
        <f>"0001"</f>
        <v>0001</v>
      </c>
      <c r="I2494" t="s">
        <v>99</v>
      </c>
      <c r="J2494">
        <v>0</v>
      </c>
      <c r="K2494">
        <v>1</v>
      </c>
      <c r="L2494" t="s">
        <v>100</v>
      </c>
      <c r="M2494">
        <v>890</v>
      </c>
      <c r="N2494">
        <v>110</v>
      </c>
      <c r="O2494">
        <v>0</v>
      </c>
      <c r="P2494">
        <v>110</v>
      </c>
      <c r="Q2494">
        <v>12</v>
      </c>
      <c r="R2494">
        <v>13</v>
      </c>
      <c r="S2494">
        <v>8</v>
      </c>
      <c r="T2494">
        <v>1</v>
      </c>
      <c r="U2494">
        <v>18</v>
      </c>
      <c r="X2494">
        <v>28</v>
      </c>
      <c r="Z2494">
        <v>0</v>
      </c>
      <c r="AB2494">
        <v>9</v>
      </c>
      <c r="AC2494">
        <v>14</v>
      </c>
      <c r="AP2494">
        <v>1</v>
      </c>
      <c r="AW2494">
        <v>0</v>
      </c>
      <c r="AX2494">
        <v>6</v>
      </c>
      <c r="AY2494">
        <v>110</v>
      </c>
      <c r="AZ2494">
        <v>110</v>
      </c>
      <c r="BA2494">
        <v>0</v>
      </c>
      <c r="BB2494">
        <v>46</v>
      </c>
      <c r="BD2494">
        <v>1</v>
      </c>
      <c r="BF2494" t="s">
        <v>2686</v>
      </c>
      <c r="BG2494" s="1">
        <v>44354.019444444442</v>
      </c>
      <c r="BH2494" s="1">
        <v>44354.028773148151</v>
      </c>
      <c r="BI2494" s="1">
        <v>44354.029247685183</v>
      </c>
      <c r="BJ2494" t="s">
        <v>85</v>
      </c>
      <c r="BK2494" t="s">
        <v>86</v>
      </c>
      <c r="BL2494" t="s">
        <v>87</v>
      </c>
    </row>
    <row r="2495" spans="1:64" x14ac:dyDescent="0.3">
      <c r="A2495" t="str">
        <f>"201659B0000"</f>
        <v>201659B0000</v>
      </c>
      <c r="B2495" t="str">
        <f>"201659B00003"</f>
        <v>201659B00003</v>
      </c>
      <c r="C2495" t="str">
        <f t="shared" si="158"/>
        <v>20</v>
      </c>
      <c r="D2495" t="s">
        <v>81</v>
      </c>
      <c r="E2495" t="str">
        <f t="shared" si="162"/>
        <v>364</v>
      </c>
      <c r="F2495" t="s">
        <v>2681</v>
      </c>
      <c r="G2495" t="str">
        <f t="shared" ref="G2495:G2500" si="163">"1659"</f>
        <v>1659</v>
      </c>
      <c r="H2495" t="str">
        <f>"0000"</f>
        <v>0000</v>
      </c>
      <c r="I2495" t="s">
        <v>83</v>
      </c>
      <c r="J2495">
        <v>0</v>
      </c>
      <c r="K2495">
        <v>1</v>
      </c>
      <c r="L2495">
        <v>3</v>
      </c>
      <c r="M2495">
        <v>236</v>
      </c>
      <c r="N2495">
        <v>523</v>
      </c>
      <c r="O2495">
        <v>9</v>
      </c>
      <c r="P2495">
        <v>533</v>
      </c>
      <c r="Q2495">
        <v>44</v>
      </c>
      <c r="R2495">
        <v>70</v>
      </c>
      <c r="S2495">
        <v>21</v>
      </c>
      <c r="T2495">
        <v>2</v>
      </c>
      <c r="U2495">
        <v>78</v>
      </c>
      <c r="X2495">
        <v>178</v>
      </c>
      <c r="Z2495">
        <v>5</v>
      </c>
      <c r="AB2495">
        <v>25</v>
      </c>
      <c r="AC2495">
        <v>81</v>
      </c>
      <c r="AP2495">
        <v>14</v>
      </c>
      <c r="AW2495">
        <v>0</v>
      </c>
      <c r="AX2495">
        <v>15</v>
      </c>
      <c r="AY2495">
        <v>533</v>
      </c>
      <c r="AZ2495">
        <v>533</v>
      </c>
      <c r="BA2495">
        <v>723</v>
      </c>
      <c r="BB2495">
        <v>46</v>
      </c>
      <c r="BD2495">
        <v>1</v>
      </c>
      <c r="BF2495" t="s">
        <v>2687</v>
      </c>
      <c r="BG2495" s="1">
        <v>44354.024305555555</v>
      </c>
      <c r="BH2495" s="1">
        <v>44354.0312962963</v>
      </c>
      <c r="BI2495" s="1">
        <v>44354.031828703701</v>
      </c>
      <c r="BJ2495" t="s">
        <v>85</v>
      </c>
      <c r="BK2495" t="s">
        <v>86</v>
      </c>
      <c r="BL2495" t="s">
        <v>87</v>
      </c>
    </row>
    <row r="2496" spans="1:64" x14ac:dyDescent="0.3">
      <c r="A2496" t="str">
        <f>"201659C0100"</f>
        <v>201659C0100</v>
      </c>
      <c r="B2496" t="str">
        <f>"201659C01003"</f>
        <v>201659C01003</v>
      </c>
      <c r="C2496" t="str">
        <f t="shared" si="158"/>
        <v>20</v>
      </c>
      <c r="D2496" t="s">
        <v>81</v>
      </c>
      <c r="E2496" t="str">
        <f t="shared" si="162"/>
        <v>364</v>
      </c>
      <c r="F2496" t="s">
        <v>2681</v>
      </c>
      <c r="G2496" t="str">
        <f t="shared" si="163"/>
        <v>1659</v>
      </c>
      <c r="H2496" t="str">
        <f>"0001"</f>
        <v>0001</v>
      </c>
      <c r="I2496" t="s">
        <v>89</v>
      </c>
      <c r="J2496">
        <v>0</v>
      </c>
      <c r="K2496">
        <v>1</v>
      </c>
      <c r="L2496">
        <v>3</v>
      </c>
      <c r="M2496">
        <v>250</v>
      </c>
      <c r="N2496">
        <v>519</v>
      </c>
      <c r="O2496">
        <v>6</v>
      </c>
      <c r="P2496">
        <v>519</v>
      </c>
      <c r="Q2496">
        <v>63</v>
      </c>
      <c r="R2496">
        <v>80</v>
      </c>
      <c r="S2496">
        <v>26</v>
      </c>
      <c r="T2496">
        <v>1</v>
      </c>
      <c r="U2496">
        <v>87</v>
      </c>
      <c r="X2496">
        <v>117</v>
      </c>
      <c r="Z2496">
        <v>2</v>
      </c>
      <c r="AB2496">
        <v>15</v>
      </c>
      <c r="AC2496">
        <v>106</v>
      </c>
      <c r="AP2496">
        <v>7</v>
      </c>
      <c r="AW2496">
        <v>0</v>
      </c>
      <c r="AX2496">
        <v>15</v>
      </c>
      <c r="AY2496">
        <v>519</v>
      </c>
      <c r="AZ2496">
        <v>519</v>
      </c>
      <c r="BA2496">
        <v>723</v>
      </c>
      <c r="BB2496">
        <v>46</v>
      </c>
      <c r="BD2496">
        <v>1</v>
      </c>
      <c r="BF2496" t="s">
        <v>2688</v>
      </c>
      <c r="BG2496" s="1">
        <v>44354.02847222222</v>
      </c>
      <c r="BH2496" s="1">
        <v>44354.03670138889</v>
      </c>
      <c r="BI2496" s="1">
        <v>44354.037673611114</v>
      </c>
      <c r="BJ2496" t="s">
        <v>85</v>
      </c>
      <c r="BK2496" t="s">
        <v>86</v>
      </c>
      <c r="BL2496" t="s">
        <v>87</v>
      </c>
    </row>
    <row r="2497" spans="1:64" x14ac:dyDescent="0.3">
      <c r="A2497" t="str">
        <f>"201659C0200"</f>
        <v>201659C0200</v>
      </c>
      <c r="B2497" t="str">
        <f>"201659C02003"</f>
        <v>201659C02003</v>
      </c>
      <c r="C2497" t="str">
        <f t="shared" si="158"/>
        <v>20</v>
      </c>
      <c r="D2497" t="s">
        <v>81</v>
      </c>
      <c r="E2497" t="str">
        <f t="shared" si="162"/>
        <v>364</v>
      </c>
      <c r="F2497" t="s">
        <v>2681</v>
      </c>
      <c r="G2497" t="str">
        <f t="shared" si="163"/>
        <v>1659</v>
      </c>
      <c r="H2497" t="str">
        <f>"0002"</f>
        <v>0002</v>
      </c>
      <c r="I2497" t="s">
        <v>89</v>
      </c>
      <c r="J2497">
        <v>0</v>
      </c>
      <c r="K2497">
        <v>1</v>
      </c>
      <c r="L2497">
        <v>3</v>
      </c>
      <c r="M2497">
        <v>238</v>
      </c>
      <c r="N2497">
        <v>530</v>
      </c>
      <c r="O2497">
        <v>6</v>
      </c>
      <c r="P2497">
        <v>530</v>
      </c>
      <c r="Q2497">
        <v>56</v>
      </c>
      <c r="R2497">
        <v>94</v>
      </c>
      <c r="S2497">
        <v>25</v>
      </c>
      <c r="T2497">
        <v>0</v>
      </c>
      <c r="U2497">
        <v>101</v>
      </c>
      <c r="X2497">
        <v>94</v>
      </c>
      <c r="Z2497">
        <v>3</v>
      </c>
      <c r="AB2497">
        <v>28</v>
      </c>
      <c r="AC2497">
        <v>108</v>
      </c>
      <c r="AP2497">
        <v>9</v>
      </c>
      <c r="AW2497">
        <v>0</v>
      </c>
      <c r="AX2497">
        <v>12</v>
      </c>
      <c r="AY2497">
        <v>530</v>
      </c>
      <c r="AZ2497">
        <v>530</v>
      </c>
      <c r="BA2497">
        <v>722</v>
      </c>
      <c r="BB2497">
        <v>46</v>
      </c>
      <c r="BD2497">
        <v>1</v>
      </c>
      <c r="BF2497" t="s">
        <v>2689</v>
      </c>
      <c r="BG2497" s="1">
        <v>44353.833333333336</v>
      </c>
      <c r="BH2497" s="1">
        <v>44354.040532407409</v>
      </c>
      <c r="BI2497" s="1">
        <v>44354.04115740741</v>
      </c>
      <c r="BJ2497" t="s">
        <v>85</v>
      </c>
      <c r="BK2497" t="s">
        <v>86</v>
      </c>
      <c r="BL2497" t="s">
        <v>87</v>
      </c>
    </row>
    <row r="2498" spans="1:64" x14ac:dyDescent="0.3">
      <c r="A2498" t="str">
        <f>"201659E0100"</f>
        <v>201659E0100</v>
      </c>
      <c r="B2498" t="str">
        <f>"201659E01003"</f>
        <v>201659E01003</v>
      </c>
      <c r="C2498" t="str">
        <f t="shared" si="158"/>
        <v>20</v>
      </c>
      <c r="D2498" t="s">
        <v>81</v>
      </c>
      <c r="E2498" t="str">
        <f t="shared" si="162"/>
        <v>364</v>
      </c>
      <c r="F2498" t="s">
        <v>2681</v>
      </c>
      <c r="G2498" t="str">
        <f t="shared" si="163"/>
        <v>1659</v>
      </c>
      <c r="H2498" t="str">
        <f>"0001"</f>
        <v>0001</v>
      </c>
      <c r="I2498" t="s">
        <v>122</v>
      </c>
      <c r="J2498">
        <v>0</v>
      </c>
      <c r="K2498">
        <v>1</v>
      </c>
      <c r="L2498">
        <v>3</v>
      </c>
      <c r="M2498">
        <v>233</v>
      </c>
      <c r="N2498">
        <v>498</v>
      </c>
      <c r="O2498">
        <v>8</v>
      </c>
      <c r="P2498">
        <v>498</v>
      </c>
      <c r="Q2498">
        <v>62</v>
      </c>
      <c r="R2498">
        <v>71</v>
      </c>
      <c r="S2498">
        <v>16</v>
      </c>
      <c r="T2498">
        <v>1</v>
      </c>
      <c r="U2498">
        <v>91</v>
      </c>
      <c r="X2498">
        <v>108</v>
      </c>
      <c r="Z2498">
        <v>4</v>
      </c>
      <c r="AB2498">
        <v>50</v>
      </c>
      <c r="AC2498">
        <v>72</v>
      </c>
      <c r="AP2498">
        <v>8</v>
      </c>
      <c r="AW2498">
        <v>0</v>
      </c>
      <c r="AX2498">
        <v>15</v>
      </c>
      <c r="AY2498">
        <v>498</v>
      </c>
      <c r="AZ2498">
        <v>498</v>
      </c>
      <c r="BA2498">
        <v>685</v>
      </c>
      <c r="BB2498">
        <v>46</v>
      </c>
      <c r="BD2498">
        <v>1</v>
      </c>
      <c r="BF2498" t="s">
        <v>2690</v>
      </c>
      <c r="BG2498" s="1">
        <v>44354.043749999997</v>
      </c>
      <c r="BH2498" s="1">
        <v>44354.05196759259</v>
      </c>
      <c r="BI2498" s="1">
        <v>44354.052893518521</v>
      </c>
      <c r="BJ2498" t="s">
        <v>85</v>
      </c>
      <c r="BK2498" t="s">
        <v>86</v>
      </c>
      <c r="BL2498" t="s">
        <v>87</v>
      </c>
    </row>
    <row r="2499" spans="1:64" x14ac:dyDescent="0.3">
      <c r="A2499" t="str">
        <f>"201659E0101"</f>
        <v>201659E0101</v>
      </c>
      <c r="B2499" t="str">
        <f>"201659E01013"</f>
        <v>201659E01013</v>
      </c>
      <c r="C2499" t="str">
        <f t="shared" si="158"/>
        <v>20</v>
      </c>
      <c r="D2499" t="s">
        <v>81</v>
      </c>
      <c r="E2499" t="str">
        <f t="shared" si="162"/>
        <v>364</v>
      </c>
      <c r="F2499" t="s">
        <v>2681</v>
      </c>
      <c r="G2499" t="str">
        <f t="shared" si="163"/>
        <v>1659</v>
      </c>
      <c r="H2499" t="str">
        <f>"0001"</f>
        <v>0001</v>
      </c>
      <c r="I2499" t="s">
        <v>122</v>
      </c>
      <c r="J2499">
        <v>1</v>
      </c>
      <c r="K2499">
        <v>1</v>
      </c>
      <c r="L2499">
        <v>3</v>
      </c>
      <c r="M2499">
        <v>241</v>
      </c>
      <c r="N2499">
        <v>488</v>
      </c>
      <c r="O2499">
        <v>12</v>
      </c>
      <c r="P2499">
        <v>488</v>
      </c>
      <c r="Q2499">
        <v>56</v>
      </c>
      <c r="R2499">
        <v>87</v>
      </c>
      <c r="S2499">
        <v>21</v>
      </c>
      <c r="T2499">
        <v>1</v>
      </c>
      <c r="U2499">
        <v>74</v>
      </c>
      <c r="X2499">
        <v>122</v>
      </c>
      <c r="Z2499">
        <v>16</v>
      </c>
      <c r="AB2499">
        <v>26</v>
      </c>
      <c r="AC2499">
        <v>83</v>
      </c>
      <c r="AP2499">
        <v>7</v>
      </c>
      <c r="AW2499">
        <v>0</v>
      </c>
      <c r="AX2499">
        <v>5</v>
      </c>
      <c r="AY2499">
        <v>488</v>
      </c>
      <c r="AZ2499">
        <v>498</v>
      </c>
      <c r="BA2499">
        <v>684</v>
      </c>
      <c r="BB2499">
        <v>46</v>
      </c>
      <c r="BD2499">
        <v>1</v>
      </c>
      <c r="BF2499" t="s">
        <v>2691</v>
      </c>
      <c r="BG2499" s="1">
        <v>44354.034722222219</v>
      </c>
      <c r="BH2499" s="1">
        <v>44354.042569444442</v>
      </c>
      <c r="BI2499" s="1">
        <v>44354.043182870373</v>
      </c>
      <c r="BJ2499" t="s">
        <v>85</v>
      </c>
      <c r="BK2499" t="s">
        <v>86</v>
      </c>
      <c r="BL2499" t="s">
        <v>87</v>
      </c>
    </row>
    <row r="2500" spans="1:64" x14ac:dyDescent="0.3">
      <c r="A2500" t="str">
        <f>"201659E0102"</f>
        <v>201659E0102</v>
      </c>
      <c r="B2500" t="str">
        <f>"201659E01023"</f>
        <v>201659E01023</v>
      </c>
      <c r="C2500" t="str">
        <f t="shared" si="158"/>
        <v>20</v>
      </c>
      <c r="D2500" t="s">
        <v>81</v>
      </c>
      <c r="E2500" t="str">
        <f t="shared" si="162"/>
        <v>364</v>
      </c>
      <c r="F2500" t="s">
        <v>2681</v>
      </c>
      <c r="G2500" t="str">
        <f t="shared" si="163"/>
        <v>1659</v>
      </c>
      <c r="H2500" t="str">
        <f>"0001"</f>
        <v>0001</v>
      </c>
      <c r="I2500" t="s">
        <v>122</v>
      </c>
      <c r="J2500">
        <v>2</v>
      </c>
      <c r="K2500">
        <v>1</v>
      </c>
      <c r="L2500">
        <v>3</v>
      </c>
      <c r="M2500">
        <v>250</v>
      </c>
      <c r="N2500">
        <v>480</v>
      </c>
      <c r="O2500">
        <v>9</v>
      </c>
      <c r="P2500">
        <v>480</v>
      </c>
      <c r="Q2500">
        <v>50</v>
      </c>
      <c r="R2500">
        <v>69</v>
      </c>
      <c r="S2500">
        <v>16</v>
      </c>
      <c r="T2500">
        <v>0</v>
      </c>
      <c r="U2500">
        <v>69</v>
      </c>
      <c r="X2500">
        <v>139</v>
      </c>
      <c r="Z2500">
        <v>3</v>
      </c>
      <c r="AB2500">
        <v>32</v>
      </c>
      <c r="AC2500">
        <v>84</v>
      </c>
      <c r="AP2500">
        <v>5</v>
      </c>
      <c r="AW2500">
        <v>0</v>
      </c>
      <c r="AX2500">
        <v>13</v>
      </c>
      <c r="AY2500">
        <v>480</v>
      </c>
      <c r="AZ2500">
        <v>480</v>
      </c>
      <c r="BA2500">
        <v>684</v>
      </c>
      <c r="BB2500">
        <v>46</v>
      </c>
      <c r="BD2500">
        <v>1</v>
      </c>
      <c r="BF2500" t="s">
        <v>2692</v>
      </c>
      <c r="BG2500" s="1">
        <v>44354.04583333333</v>
      </c>
      <c r="BH2500" s="1">
        <v>44354.053993055553</v>
      </c>
      <c r="BI2500" s="1">
        <v>44354.054293981484</v>
      </c>
      <c r="BJ2500" t="s">
        <v>85</v>
      </c>
      <c r="BK2500" t="s">
        <v>86</v>
      </c>
      <c r="BL2500" t="s">
        <v>87</v>
      </c>
    </row>
    <row r="2501" spans="1:64" x14ac:dyDescent="0.3">
      <c r="A2501" t="str">
        <f>"201660B0000"</f>
        <v>201660B0000</v>
      </c>
      <c r="B2501" t="str">
        <f>"201660B00003"</f>
        <v>201660B00003</v>
      </c>
      <c r="C2501" t="str">
        <f t="shared" si="158"/>
        <v>20</v>
      </c>
      <c r="D2501" t="s">
        <v>81</v>
      </c>
      <c r="E2501" t="str">
        <f t="shared" si="162"/>
        <v>364</v>
      </c>
      <c r="F2501" t="s">
        <v>2681</v>
      </c>
      <c r="G2501" t="str">
        <f>"1660"</f>
        <v>1660</v>
      </c>
      <c r="H2501" t="str">
        <f>"0000"</f>
        <v>0000</v>
      </c>
      <c r="I2501" t="s">
        <v>83</v>
      </c>
      <c r="J2501">
        <v>0</v>
      </c>
      <c r="K2501">
        <v>1</v>
      </c>
      <c r="L2501">
        <v>3</v>
      </c>
      <c r="M2501" t="s">
        <v>131</v>
      </c>
      <c r="N2501">
        <v>613</v>
      </c>
      <c r="O2501">
        <v>4</v>
      </c>
      <c r="P2501" t="s">
        <v>92</v>
      </c>
      <c r="Q2501">
        <v>81</v>
      </c>
      <c r="R2501">
        <v>25</v>
      </c>
      <c r="S2501">
        <v>95</v>
      </c>
      <c r="T2501">
        <v>0</v>
      </c>
      <c r="U2501">
        <v>43</v>
      </c>
      <c r="X2501">
        <v>76</v>
      </c>
      <c r="Z2501">
        <v>3</v>
      </c>
      <c r="AB2501">
        <v>2</v>
      </c>
      <c r="AC2501">
        <v>6</v>
      </c>
      <c r="AP2501">
        <v>6</v>
      </c>
      <c r="AW2501">
        <v>0</v>
      </c>
      <c r="AX2501">
        <v>20</v>
      </c>
      <c r="AY2501">
        <v>357</v>
      </c>
      <c r="AZ2501">
        <v>357</v>
      </c>
      <c r="BA2501">
        <v>567</v>
      </c>
      <c r="BB2501">
        <v>46</v>
      </c>
      <c r="BD2501">
        <v>1</v>
      </c>
      <c r="BF2501" t="s">
        <v>2693</v>
      </c>
      <c r="BG2501" s="1">
        <v>44354.084027777775</v>
      </c>
      <c r="BH2501" s="1">
        <v>44354.091111111113</v>
      </c>
      <c r="BI2501" s="1">
        <v>44354.091863425929</v>
      </c>
      <c r="BJ2501" t="s">
        <v>85</v>
      </c>
      <c r="BK2501" t="s">
        <v>86</v>
      </c>
      <c r="BL2501" t="s">
        <v>87</v>
      </c>
    </row>
    <row r="2502" spans="1:64" x14ac:dyDescent="0.3">
      <c r="A2502" t="str">
        <f>"201660C0100"</f>
        <v>201660C0100</v>
      </c>
      <c r="B2502" t="str">
        <f>"201660C01003"</f>
        <v>201660C01003</v>
      </c>
      <c r="C2502" t="str">
        <f t="shared" si="158"/>
        <v>20</v>
      </c>
      <c r="D2502" t="s">
        <v>81</v>
      </c>
      <c r="E2502" t="str">
        <f t="shared" si="162"/>
        <v>364</v>
      </c>
      <c r="F2502" t="s">
        <v>2681</v>
      </c>
      <c r="G2502" t="str">
        <f>"1660"</f>
        <v>1660</v>
      </c>
      <c r="H2502" t="str">
        <f>"0001"</f>
        <v>0001</v>
      </c>
      <c r="I2502" t="s">
        <v>89</v>
      </c>
      <c r="J2502">
        <v>0</v>
      </c>
      <c r="K2502">
        <v>1</v>
      </c>
      <c r="L2502">
        <v>3</v>
      </c>
      <c r="M2502">
        <v>253</v>
      </c>
      <c r="N2502" t="s">
        <v>131</v>
      </c>
      <c r="O2502">
        <v>11</v>
      </c>
      <c r="P2502">
        <v>0</v>
      </c>
      <c r="Q2502">
        <v>87</v>
      </c>
      <c r="R2502">
        <v>22</v>
      </c>
      <c r="S2502">
        <v>98</v>
      </c>
      <c r="T2502">
        <v>0</v>
      </c>
      <c r="U2502">
        <v>43</v>
      </c>
      <c r="X2502">
        <v>58</v>
      </c>
      <c r="Z2502">
        <v>7</v>
      </c>
      <c r="AB2502">
        <v>0</v>
      </c>
      <c r="AC2502">
        <v>17</v>
      </c>
      <c r="AP2502">
        <v>5</v>
      </c>
      <c r="AW2502" t="s">
        <v>131</v>
      </c>
      <c r="AX2502">
        <v>22</v>
      </c>
      <c r="AY2502">
        <v>359</v>
      </c>
      <c r="AZ2502">
        <v>359</v>
      </c>
      <c r="BA2502">
        <v>566</v>
      </c>
      <c r="BB2502">
        <v>46</v>
      </c>
      <c r="BC2502" t="s">
        <v>96</v>
      </c>
      <c r="BD2502">
        <v>1</v>
      </c>
      <c r="BF2502" t="s">
        <v>2694</v>
      </c>
      <c r="BG2502" s="1">
        <v>44354.086111111108</v>
      </c>
      <c r="BH2502" s="1">
        <v>44354.094351851854</v>
      </c>
      <c r="BI2502" s="1">
        <v>44354.095405092594</v>
      </c>
      <c r="BJ2502" t="s">
        <v>85</v>
      </c>
      <c r="BK2502" t="s">
        <v>86</v>
      </c>
      <c r="BL2502" t="s">
        <v>87</v>
      </c>
    </row>
    <row r="2503" spans="1:64" x14ac:dyDescent="0.3">
      <c r="A2503" t="str">
        <f>"201660E0100"</f>
        <v>201660E0100</v>
      </c>
      <c r="B2503" t="str">
        <f>"201660E01003"</f>
        <v>201660E01003</v>
      </c>
      <c r="C2503" t="str">
        <f t="shared" ref="C2503:C2566" si="164">"20"</f>
        <v>20</v>
      </c>
      <c r="D2503" t="s">
        <v>81</v>
      </c>
      <c r="E2503" t="str">
        <f t="shared" si="162"/>
        <v>364</v>
      </c>
      <c r="F2503" t="s">
        <v>2681</v>
      </c>
      <c r="G2503" t="str">
        <f>"1660"</f>
        <v>1660</v>
      </c>
      <c r="H2503" t="str">
        <f>"0001"</f>
        <v>0001</v>
      </c>
      <c r="I2503" t="s">
        <v>122</v>
      </c>
      <c r="J2503">
        <v>0</v>
      </c>
      <c r="K2503">
        <v>1</v>
      </c>
      <c r="L2503">
        <v>3</v>
      </c>
      <c r="M2503">
        <v>190</v>
      </c>
      <c r="N2503">
        <v>271</v>
      </c>
      <c r="O2503">
        <v>12</v>
      </c>
      <c r="P2503">
        <v>271</v>
      </c>
      <c r="Q2503">
        <v>12</v>
      </c>
      <c r="R2503">
        <v>68</v>
      </c>
      <c r="S2503">
        <v>9</v>
      </c>
      <c r="T2503">
        <v>1</v>
      </c>
      <c r="U2503">
        <v>62</v>
      </c>
      <c r="X2503">
        <v>96</v>
      </c>
      <c r="Z2503">
        <v>4</v>
      </c>
      <c r="AB2503">
        <v>5</v>
      </c>
      <c r="AC2503">
        <v>7</v>
      </c>
      <c r="AP2503">
        <v>0</v>
      </c>
      <c r="AW2503">
        <v>0</v>
      </c>
      <c r="AX2503">
        <v>7</v>
      </c>
      <c r="AY2503">
        <v>271</v>
      </c>
      <c r="AZ2503">
        <v>271</v>
      </c>
      <c r="BA2503">
        <v>415</v>
      </c>
      <c r="BB2503">
        <v>46</v>
      </c>
      <c r="BD2503">
        <v>1</v>
      </c>
      <c r="BF2503" t="s">
        <v>2695</v>
      </c>
      <c r="BG2503" s="1">
        <v>44354.056250000001</v>
      </c>
      <c r="BH2503" s="1">
        <v>44354.062650462962</v>
      </c>
      <c r="BI2503" s="1">
        <v>44354.063333333332</v>
      </c>
      <c r="BJ2503" t="s">
        <v>85</v>
      </c>
      <c r="BK2503" t="s">
        <v>86</v>
      </c>
      <c r="BL2503" t="s">
        <v>87</v>
      </c>
    </row>
    <row r="2504" spans="1:64" x14ac:dyDescent="0.3">
      <c r="A2504" t="str">
        <f>"201661B0000"</f>
        <v>201661B0000</v>
      </c>
      <c r="B2504" t="str">
        <f>"201661B00003"</f>
        <v>201661B00003</v>
      </c>
      <c r="C2504" t="str">
        <f t="shared" si="164"/>
        <v>20</v>
      </c>
      <c r="D2504" t="s">
        <v>81</v>
      </c>
      <c r="E2504" t="str">
        <f t="shared" si="162"/>
        <v>364</v>
      </c>
      <c r="F2504" t="s">
        <v>2681</v>
      </c>
      <c r="G2504" t="str">
        <f>"1661"</f>
        <v>1661</v>
      </c>
      <c r="H2504" t="str">
        <f>"0000"</f>
        <v>0000</v>
      </c>
      <c r="I2504" t="s">
        <v>83</v>
      </c>
      <c r="J2504">
        <v>0</v>
      </c>
      <c r="K2504">
        <v>1</v>
      </c>
      <c r="L2504">
        <v>3</v>
      </c>
      <c r="M2504">
        <v>198</v>
      </c>
      <c r="N2504">
        <v>442</v>
      </c>
      <c r="O2504">
        <v>14</v>
      </c>
      <c r="P2504" t="s">
        <v>92</v>
      </c>
      <c r="Q2504">
        <v>31</v>
      </c>
      <c r="R2504">
        <v>61</v>
      </c>
      <c r="S2504">
        <v>33</v>
      </c>
      <c r="T2504">
        <v>3</v>
      </c>
      <c r="U2504">
        <v>107</v>
      </c>
      <c r="X2504">
        <v>129</v>
      </c>
      <c r="Z2504">
        <v>6</v>
      </c>
      <c r="AB2504">
        <v>9</v>
      </c>
      <c r="AC2504">
        <v>40</v>
      </c>
      <c r="AP2504">
        <v>1</v>
      </c>
      <c r="AW2504">
        <v>0</v>
      </c>
      <c r="AX2504">
        <v>22</v>
      </c>
      <c r="AY2504">
        <v>442</v>
      </c>
      <c r="AZ2504">
        <v>442</v>
      </c>
      <c r="BA2504">
        <v>589</v>
      </c>
      <c r="BB2504">
        <v>46</v>
      </c>
      <c r="BD2504">
        <v>1</v>
      </c>
      <c r="BF2504" t="s">
        <v>2696</v>
      </c>
      <c r="BG2504" s="1">
        <v>44354.047222222223</v>
      </c>
      <c r="BH2504" s="1">
        <v>44354.054097222222</v>
      </c>
      <c r="BI2504" s="1">
        <v>44354.054432870369</v>
      </c>
      <c r="BJ2504" t="s">
        <v>85</v>
      </c>
      <c r="BK2504" t="s">
        <v>86</v>
      </c>
      <c r="BL2504" t="s">
        <v>87</v>
      </c>
    </row>
    <row r="2505" spans="1:64" x14ac:dyDescent="0.3">
      <c r="A2505" t="str">
        <f>"201661C0100"</f>
        <v>201661C0100</v>
      </c>
      <c r="B2505" t="str">
        <f>"201661C01003"</f>
        <v>201661C01003</v>
      </c>
      <c r="C2505" t="str">
        <f t="shared" si="164"/>
        <v>20</v>
      </c>
      <c r="D2505" t="s">
        <v>81</v>
      </c>
      <c r="E2505" t="str">
        <f t="shared" si="162"/>
        <v>364</v>
      </c>
      <c r="F2505" t="s">
        <v>2681</v>
      </c>
      <c r="G2505" t="str">
        <f>"1661"</f>
        <v>1661</v>
      </c>
      <c r="H2505" t="str">
        <f>"0001"</f>
        <v>0001</v>
      </c>
      <c r="I2505" t="s">
        <v>89</v>
      </c>
      <c r="J2505">
        <v>0</v>
      </c>
      <c r="K2505">
        <v>1</v>
      </c>
      <c r="L2505">
        <v>3</v>
      </c>
      <c r="M2505">
        <v>219</v>
      </c>
      <c r="N2505">
        <v>415</v>
      </c>
      <c r="O2505">
        <v>2</v>
      </c>
      <c r="P2505">
        <v>415</v>
      </c>
      <c r="Q2505">
        <v>38</v>
      </c>
      <c r="R2505">
        <v>64</v>
      </c>
      <c r="S2505">
        <v>19</v>
      </c>
      <c r="T2505">
        <v>1</v>
      </c>
      <c r="U2505">
        <v>100</v>
      </c>
      <c r="X2505">
        <v>125</v>
      </c>
      <c r="Z2505">
        <v>5</v>
      </c>
      <c r="AB2505">
        <v>11</v>
      </c>
      <c r="AC2505">
        <v>33</v>
      </c>
      <c r="AP2505">
        <v>1</v>
      </c>
      <c r="AW2505">
        <v>0</v>
      </c>
      <c r="AX2505">
        <v>18</v>
      </c>
      <c r="AY2505">
        <v>415</v>
      </c>
      <c r="AZ2505">
        <v>415</v>
      </c>
      <c r="BA2505">
        <v>588</v>
      </c>
      <c r="BB2505">
        <v>46</v>
      </c>
      <c r="BD2505">
        <v>1</v>
      </c>
      <c r="BF2505" t="s">
        <v>2697</v>
      </c>
      <c r="BG2505" s="1">
        <v>44354.049305555556</v>
      </c>
      <c r="BH2505" s="1">
        <v>44354.056458333333</v>
      </c>
      <c r="BI2505" s="1">
        <v>44354.056863425925</v>
      </c>
      <c r="BJ2505" t="s">
        <v>85</v>
      </c>
      <c r="BK2505" t="s">
        <v>86</v>
      </c>
      <c r="BL2505" t="s">
        <v>87</v>
      </c>
    </row>
    <row r="2506" spans="1:64" x14ac:dyDescent="0.3">
      <c r="A2506" t="str">
        <f>"201662B0000"</f>
        <v>201662B0000</v>
      </c>
      <c r="B2506" t="str">
        <f>"201662B00003"</f>
        <v>201662B00003</v>
      </c>
      <c r="C2506" t="str">
        <f t="shared" si="164"/>
        <v>20</v>
      </c>
      <c r="D2506" t="s">
        <v>81</v>
      </c>
      <c r="E2506" t="str">
        <f t="shared" si="162"/>
        <v>364</v>
      </c>
      <c r="F2506" t="s">
        <v>2681</v>
      </c>
      <c r="G2506" t="str">
        <f>"1662"</f>
        <v>1662</v>
      </c>
      <c r="H2506" t="str">
        <f>"0000"</f>
        <v>0000</v>
      </c>
      <c r="I2506" t="s">
        <v>83</v>
      </c>
      <c r="J2506">
        <v>0</v>
      </c>
      <c r="K2506">
        <v>1</v>
      </c>
      <c r="L2506">
        <v>3</v>
      </c>
      <c r="M2506">
        <v>242</v>
      </c>
      <c r="N2506">
        <v>399</v>
      </c>
      <c r="O2506">
        <v>12</v>
      </c>
      <c r="P2506">
        <v>399</v>
      </c>
      <c r="Q2506">
        <v>20</v>
      </c>
      <c r="R2506">
        <v>27</v>
      </c>
      <c r="S2506">
        <v>81</v>
      </c>
      <c r="T2506">
        <v>1</v>
      </c>
      <c r="U2506">
        <v>129</v>
      </c>
      <c r="X2506">
        <v>93</v>
      </c>
      <c r="Z2506">
        <v>5</v>
      </c>
      <c r="AB2506">
        <v>10</v>
      </c>
      <c r="AC2506">
        <v>23</v>
      </c>
      <c r="AP2506">
        <v>0</v>
      </c>
      <c r="AW2506">
        <v>0</v>
      </c>
      <c r="AX2506">
        <v>10</v>
      </c>
      <c r="AY2506">
        <v>399</v>
      </c>
      <c r="AZ2506">
        <v>399</v>
      </c>
      <c r="BA2506">
        <v>595</v>
      </c>
      <c r="BB2506">
        <v>46</v>
      </c>
      <c r="BD2506">
        <v>1</v>
      </c>
      <c r="BF2506" t="s">
        <v>2698</v>
      </c>
      <c r="BG2506" s="1">
        <v>44354.061805555553</v>
      </c>
      <c r="BH2506" s="1">
        <v>44354.069548611114</v>
      </c>
      <c r="BI2506" s="1">
        <v>44354.069918981484</v>
      </c>
      <c r="BJ2506" t="s">
        <v>85</v>
      </c>
      <c r="BK2506" t="s">
        <v>86</v>
      </c>
      <c r="BL2506" t="s">
        <v>87</v>
      </c>
    </row>
    <row r="2507" spans="1:64" x14ac:dyDescent="0.3">
      <c r="A2507" t="str">
        <f>"201662C0100"</f>
        <v>201662C0100</v>
      </c>
      <c r="B2507" t="str">
        <f>"201662C01003"</f>
        <v>201662C01003</v>
      </c>
      <c r="C2507" t="str">
        <f t="shared" si="164"/>
        <v>20</v>
      </c>
      <c r="D2507" t="s">
        <v>81</v>
      </c>
      <c r="E2507" t="str">
        <f t="shared" si="162"/>
        <v>364</v>
      </c>
      <c r="F2507" t="s">
        <v>2681</v>
      </c>
      <c r="G2507" t="str">
        <f>"1662"</f>
        <v>1662</v>
      </c>
      <c r="H2507" t="str">
        <f>"0001"</f>
        <v>0001</v>
      </c>
      <c r="I2507" t="s">
        <v>89</v>
      </c>
      <c r="J2507">
        <v>0</v>
      </c>
      <c r="K2507">
        <v>1</v>
      </c>
      <c r="L2507">
        <v>3</v>
      </c>
      <c r="M2507">
        <v>241</v>
      </c>
      <c r="N2507">
        <v>400</v>
      </c>
      <c r="O2507">
        <v>7</v>
      </c>
      <c r="P2507">
        <v>400</v>
      </c>
      <c r="Q2507">
        <v>27</v>
      </c>
      <c r="R2507">
        <v>27</v>
      </c>
      <c r="S2507">
        <v>83</v>
      </c>
      <c r="T2507">
        <v>1</v>
      </c>
      <c r="U2507">
        <v>140</v>
      </c>
      <c r="X2507">
        <v>72</v>
      </c>
      <c r="Z2507">
        <v>5</v>
      </c>
      <c r="AB2507">
        <v>5</v>
      </c>
      <c r="AC2507">
        <v>24</v>
      </c>
      <c r="AP2507">
        <v>5</v>
      </c>
      <c r="AW2507">
        <v>0</v>
      </c>
      <c r="AX2507">
        <v>11</v>
      </c>
      <c r="AY2507">
        <v>400</v>
      </c>
      <c r="AZ2507">
        <v>400</v>
      </c>
      <c r="BA2507">
        <v>595</v>
      </c>
      <c r="BB2507">
        <v>46</v>
      </c>
      <c r="BD2507">
        <v>1</v>
      </c>
      <c r="BF2507" t="s">
        <v>2699</v>
      </c>
      <c r="BG2507" s="1">
        <v>44354.063888888886</v>
      </c>
      <c r="BH2507" s="1">
        <v>44354.069351851853</v>
      </c>
      <c r="BI2507" s="1">
        <v>44354.069861111115</v>
      </c>
      <c r="BJ2507" t="s">
        <v>85</v>
      </c>
      <c r="BK2507" t="s">
        <v>86</v>
      </c>
      <c r="BL2507" t="s">
        <v>87</v>
      </c>
    </row>
    <row r="2508" spans="1:64" x14ac:dyDescent="0.3">
      <c r="A2508" t="str">
        <f>"201662E0100"</f>
        <v>201662E0100</v>
      </c>
      <c r="B2508" t="str">
        <f>"201662E01003"</f>
        <v>201662E01003</v>
      </c>
      <c r="C2508" t="str">
        <f t="shared" si="164"/>
        <v>20</v>
      </c>
      <c r="D2508" t="s">
        <v>81</v>
      </c>
      <c r="E2508" t="str">
        <f t="shared" si="162"/>
        <v>364</v>
      </c>
      <c r="F2508" t="s">
        <v>2681</v>
      </c>
      <c r="G2508" t="str">
        <f>"1662"</f>
        <v>1662</v>
      </c>
      <c r="H2508" t="str">
        <f>"0001"</f>
        <v>0001</v>
      </c>
      <c r="I2508" t="s">
        <v>122</v>
      </c>
      <c r="J2508">
        <v>0</v>
      </c>
      <c r="K2508">
        <v>1</v>
      </c>
      <c r="L2508">
        <v>3</v>
      </c>
      <c r="M2508">
        <v>134</v>
      </c>
      <c r="N2508">
        <v>174</v>
      </c>
      <c r="O2508">
        <v>11</v>
      </c>
      <c r="P2508">
        <v>174</v>
      </c>
      <c r="Q2508">
        <v>8</v>
      </c>
      <c r="R2508">
        <v>29</v>
      </c>
      <c r="S2508">
        <v>11</v>
      </c>
      <c r="T2508">
        <v>4</v>
      </c>
      <c r="U2508">
        <v>46</v>
      </c>
      <c r="X2508">
        <v>42</v>
      </c>
      <c r="Z2508">
        <v>8</v>
      </c>
      <c r="AB2508">
        <v>2</v>
      </c>
      <c r="AC2508">
        <v>16</v>
      </c>
      <c r="AP2508">
        <v>2</v>
      </c>
      <c r="AW2508">
        <v>0</v>
      </c>
      <c r="AX2508">
        <v>6</v>
      </c>
      <c r="AY2508">
        <v>174</v>
      </c>
      <c r="AZ2508">
        <v>174</v>
      </c>
      <c r="BA2508">
        <v>262</v>
      </c>
      <c r="BB2508">
        <v>46</v>
      </c>
      <c r="BD2508">
        <v>1</v>
      </c>
      <c r="BF2508" t="s">
        <v>2700</v>
      </c>
      <c r="BG2508" s="1">
        <v>44354.059027777781</v>
      </c>
      <c r="BH2508" s="1">
        <v>44354.065949074073</v>
      </c>
      <c r="BI2508" s="1">
        <v>44354.066400462965</v>
      </c>
      <c r="BJ2508" t="s">
        <v>85</v>
      </c>
      <c r="BK2508" t="s">
        <v>86</v>
      </c>
      <c r="BL2508" t="s">
        <v>87</v>
      </c>
    </row>
    <row r="2509" spans="1:64" x14ac:dyDescent="0.3">
      <c r="A2509" t="str">
        <f>"201663B0000"</f>
        <v>201663B0000</v>
      </c>
      <c r="B2509" t="str">
        <f>"201663B00003"</f>
        <v>201663B00003</v>
      </c>
      <c r="C2509" t="str">
        <f t="shared" si="164"/>
        <v>20</v>
      </c>
      <c r="D2509" t="s">
        <v>81</v>
      </c>
      <c r="E2509" t="str">
        <f t="shared" si="162"/>
        <v>364</v>
      </c>
      <c r="F2509" t="s">
        <v>2681</v>
      </c>
      <c r="G2509" t="str">
        <f>"1663"</f>
        <v>1663</v>
      </c>
      <c r="H2509" t="str">
        <f>"0000"</f>
        <v>0000</v>
      </c>
      <c r="I2509" t="s">
        <v>83</v>
      </c>
      <c r="J2509">
        <v>0</v>
      </c>
      <c r="K2509">
        <v>1</v>
      </c>
      <c r="L2509">
        <v>3</v>
      </c>
      <c r="M2509">
        <v>233</v>
      </c>
      <c r="N2509">
        <v>427</v>
      </c>
      <c r="O2509">
        <v>5</v>
      </c>
      <c r="P2509">
        <v>427</v>
      </c>
      <c r="Q2509">
        <v>64</v>
      </c>
      <c r="R2509">
        <v>111</v>
      </c>
      <c r="S2509">
        <v>20</v>
      </c>
      <c r="T2509">
        <v>1</v>
      </c>
      <c r="U2509">
        <v>38</v>
      </c>
      <c r="X2509">
        <v>108</v>
      </c>
      <c r="Z2509">
        <v>6</v>
      </c>
      <c r="AB2509">
        <v>18</v>
      </c>
      <c r="AC2509">
        <v>47</v>
      </c>
      <c r="AP2509">
        <v>0</v>
      </c>
      <c r="AW2509">
        <v>0</v>
      </c>
      <c r="AX2509">
        <v>14</v>
      </c>
      <c r="AY2509">
        <v>427</v>
      </c>
      <c r="AZ2509">
        <v>427</v>
      </c>
      <c r="BA2509">
        <v>614</v>
      </c>
      <c r="BB2509">
        <v>46</v>
      </c>
      <c r="BD2509">
        <v>1</v>
      </c>
      <c r="BF2509" t="s">
        <v>2701</v>
      </c>
      <c r="BG2509" s="1">
        <v>44354.216666666667</v>
      </c>
      <c r="BH2509" s="1">
        <v>44354.2190625</v>
      </c>
      <c r="BI2509" s="1">
        <v>44354.21943287037</v>
      </c>
      <c r="BJ2509" t="s">
        <v>85</v>
      </c>
      <c r="BK2509" t="s">
        <v>86</v>
      </c>
      <c r="BL2509" t="s">
        <v>87</v>
      </c>
    </row>
    <row r="2510" spans="1:64" x14ac:dyDescent="0.3">
      <c r="A2510" t="str">
        <f>"201663E0100"</f>
        <v>201663E0100</v>
      </c>
      <c r="B2510" t="str">
        <f>"201663E01003"</f>
        <v>201663E01003</v>
      </c>
      <c r="C2510" t="str">
        <f t="shared" si="164"/>
        <v>20</v>
      </c>
      <c r="D2510" t="s">
        <v>81</v>
      </c>
      <c r="E2510" t="str">
        <f t="shared" si="162"/>
        <v>364</v>
      </c>
      <c r="F2510" t="s">
        <v>2681</v>
      </c>
      <c r="G2510" t="str">
        <f>"1663"</f>
        <v>1663</v>
      </c>
      <c r="H2510" t="str">
        <f>"0001"</f>
        <v>0001</v>
      </c>
      <c r="I2510" t="s">
        <v>122</v>
      </c>
      <c r="J2510">
        <v>0</v>
      </c>
      <c r="K2510">
        <v>1</v>
      </c>
      <c r="L2510">
        <v>3</v>
      </c>
      <c r="M2510">
        <v>64</v>
      </c>
      <c r="N2510">
        <v>88</v>
      </c>
      <c r="O2510">
        <v>9</v>
      </c>
      <c r="P2510">
        <v>88</v>
      </c>
      <c r="Q2510">
        <v>1</v>
      </c>
      <c r="R2510">
        <v>29</v>
      </c>
      <c r="S2510">
        <v>3</v>
      </c>
      <c r="T2510">
        <v>0</v>
      </c>
      <c r="U2510">
        <v>4</v>
      </c>
      <c r="X2510">
        <v>15</v>
      </c>
      <c r="Z2510">
        <v>3</v>
      </c>
      <c r="AB2510">
        <v>9</v>
      </c>
      <c r="AC2510">
        <v>17</v>
      </c>
      <c r="AP2510">
        <v>0</v>
      </c>
      <c r="AW2510">
        <v>0</v>
      </c>
      <c r="AX2510">
        <v>7</v>
      </c>
      <c r="AY2510">
        <v>88</v>
      </c>
      <c r="AZ2510">
        <v>88</v>
      </c>
      <c r="BA2510">
        <v>106</v>
      </c>
      <c r="BB2510">
        <v>46</v>
      </c>
      <c r="BD2510">
        <v>1</v>
      </c>
      <c r="BF2510" t="s">
        <v>2702</v>
      </c>
      <c r="BG2510" s="1">
        <v>44354.083333333336</v>
      </c>
      <c r="BH2510" s="1">
        <v>44354.092997685184</v>
      </c>
      <c r="BI2510" s="1">
        <v>44354.093310185184</v>
      </c>
      <c r="BJ2510" t="s">
        <v>85</v>
      </c>
      <c r="BK2510" t="s">
        <v>86</v>
      </c>
      <c r="BL2510" t="s">
        <v>87</v>
      </c>
    </row>
    <row r="2511" spans="1:64" x14ac:dyDescent="0.3">
      <c r="A2511" t="str">
        <f>"201663E0200"</f>
        <v>201663E0200</v>
      </c>
      <c r="B2511" t="str">
        <f>"201663E02003"</f>
        <v>201663E02003</v>
      </c>
      <c r="C2511" t="str">
        <f t="shared" si="164"/>
        <v>20</v>
      </c>
      <c r="D2511" t="s">
        <v>81</v>
      </c>
      <c r="E2511" t="str">
        <f t="shared" si="162"/>
        <v>364</v>
      </c>
      <c r="F2511" t="s">
        <v>2681</v>
      </c>
      <c r="G2511" t="str">
        <f>"1663"</f>
        <v>1663</v>
      </c>
      <c r="H2511" t="str">
        <f>"0002"</f>
        <v>0002</v>
      </c>
      <c r="I2511" t="s">
        <v>122</v>
      </c>
      <c r="J2511">
        <v>0</v>
      </c>
      <c r="K2511">
        <v>1</v>
      </c>
      <c r="L2511">
        <v>3</v>
      </c>
      <c r="M2511">
        <v>73</v>
      </c>
      <c r="N2511">
        <v>104</v>
      </c>
      <c r="O2511">
        <v>13</v>
      </c>
      <c r="P2511">
        <v>104</v>
      </c>
      <c r="Q2511">
        <v>5</v>
      </c>
      <c r="R2511">
        <v>25</v>
      </c>
      <c r="S2511">
        <v>0</v>
      </c>
      <c r="T2511">
        <v>2</v>
      </c>
      <c r="U2511">
        <v>10</v>
      </c>
      <c r="X2511">
        <v>49</v>
      </c>
      <c r="Z2511">
        <v>0</v>
      </c>
      <c r="AB2511">
        <v>3</v>
      </c>
      <c r="AC2511">
        <v>5</v>
      </c>
      <c r="AP2511">
        <v>1</v>
      </c>
      <c r="AW2511">
        <v>0</v>
      </c>
      <c r="AX2511">
        <v>4</v>
      </c>
      <c r="AY2511">
        <v>104</v>
      </c>
      <c r="AZ2511">
        <v>104</v>
      </c>
      <c r="BA2511">
        <v>131</v>
      </c>
      <c r="BB2511">
        <v>46</v>
      </c>
      <c r="BD2511">
        <v>1</v>
      </c>
      <c r="BF2511" t="s">
        <v>2703</v>
      </c>
      <c r="BG2511" s="1">
        <v>44354.021527777775</v>
      </c>
      <c r="BH2511" s="1">
        <v>44354.037511574075</v>
      </c>
      <c r="BI2511" s="1">
        <v>44354.037893518522</v>
      </c>
      <c r="BJ2511" t="s">
        <v>85</v>
      </c>
      <c r="BK2511" t="s">
        <v>86</v>
      </c>
      <c r="BL2511" t="s">
        <v>87</v>
      </c>
    </row>
    <row r="2512" spans="1:64" x14ac:dyDescent="0.3">
      <c r="A2512" t="str">
        <f>"201663E0300"</f>
        <v>201663E0300</v>
      </c>
      <c r="B2512" t="str">
        <f>"201663E03003"</f>
        <v>201663E03003</v>
      </c>
      <c r="C2512" t="str">
        <f t="shared" si="164"/>
        <v>20</v>
      </c>
      <c r="D2512" t="s">
        <v>81</v>
      </c>
      <c r="E2512" t="str">
        <f t="shared" si="162"/>
        <v>364</v>
      </c>
      <c r="F2512" t="s">
        <v>2681</v>
      </c>
      <c r="G2512" t="str">
        <f>"1663"</f>
        <v>1663</v>
      </c>
      <c r="H2512" t="str">
        <f>"0003"</f>
        <v>0003</v>
      </c>
      <c r="I2512" t="s">
        <v>122</v>
      </c>
      <c r="J2512">
        <v>0</v>
      </c>
      <c r="K2512">
        <v>1</v>
      </c>
      <c r="L2512">
        <v>3</v>
      </c>
      <c r="M2512">
        <v>95</v>
      </c>
      <c r="N2512">
        <v>148</v>
      </c>
      <c r="O2512">
        <v>11</v>
      </c>
      <c r="P2512">
        <v>148</v>
      </c>
      <c r="Q2512">
        <v>19</v>
      </c>
      <c r="R2512">
        <v>17</v>
      </c>
      <c r="S2512">
        <v>14</v>
      </c>
      <c r="T2512">
        <v>0</v>
      </c>
      <c r="U2512">
        <v>9</v>
      </c>
      <c r="X2512">
        <v>55</v>
      </c>
      <c r="Z2512">
        <v>1</v>
      </c>
      <c r="AB2512">
        <v>16</v>
      </c>
      <c r="AC2512">
        <v>5</v>
      </c>
      <c r="AP2512">
        <v>6</v>
      </c>
      <c r="AW2512">
        <v>0</v>
      </c>
      <c r="AX2512">
        <v>6</v>
      </c>
      <c r="AY2512">
        <v>148</v>
      </c>
      <c r="AZ2512">
        <v>148</v>
      </c>
      <c r="BA2512">
        <v>197</v>
      </c>
      <c r="BB2512">
        <v>46</v>
      </c>
      <c r="BD2512">
        <v>1</v>
      </c>
      <c r="BF2512" t="s">
        <v>2704</v>
      </c>
      <c r="BG2512" s="1">
        <v>44354.222222222219</v>
      </c>
      <c r="BH2512" s="1">
        <v>44354.226539351854</v>
      </c>
      <c r="BI2512" s="1">
        <v>44354.226840277777</v>
      </c>
      <c r="BJ2512" t="s">
        <v>85</v>
      </c>
      <c r="BK2512" t="s">
        <v>86</v>
      </c>
      <c r="BL2512" t="s">
        <v>87</v>
      </c>
    </row>
    <row r="2513" spans="1:64" x14ac:dyDescent="0.3">
      <c r="A2513" t="str">
        <f>"201664B0000"</f>
        <v>201664B0000</v>
      </c>
      <c r="B2513" t="str">
        <f>"201664B00003"</f>
        <v>201664B00003</v>
      </c>
      <c r="C2513" t="str">
        <f t="shared" si="164"/>
        <v>20</v>
      </c>
      <c r="D2513" t="s">
        <v>81</v>
      </c>
      <c r="E2513" t="str">
        <f t="shared" si="162"/>
        <v>364</v>
      </c>
      <c r="F2513" t="s">
        <v>2681</v>
      </c>
      <c r="G2513" t="str">
        <f>"1664"</f>
        <v>1664</v>
      </c>
      <c r="H2513" t="str">
        <f>"0000"</f>
        <v>0000</v>
      </c>
      <c r="I2513" t="s">
        <v>83</v>
      </c>
      <c r="J2513">
        <v>0</v>
      </c>
      <c r="K2513">
        <v>1</v>
      </c>
      <c r="L2513">
        <v>3</v>
      </c>
      <c r="M2513">
        <v>209</v>
      </c>
      <c r="N2513">
        <v>409</v>
      </c>
      <c r="O2513">
        <v>9</v>
      </c>
      <c r="P2513">
        <v>409</v>
      </c>
      <c r="Q2513">
        <v>35</v>
      </c>
      <c r="R2513">
        <v>118</v>
      </c>
      <c r="S2513">
        <v>9</v>
      </c>
      <c r="T2513">
        <v>5</v>
      </c>
      <c r="U2513">
        <v>36</v>
      </c>
      <c r="X2513">
        <v>108</v>
      </c>
      <c r="Z2513">
        <v>9</v>
      </c>
      <c r="AB2513">
        <v>30</v>
      </c>
      <c r="AC2513">
        <v>41</v>
      </c>
      <c r="AP2513">
        <v>4</v>
      </c>
      <c r="AW2513">
        <v>0</v>
      </c>
      <c r="AX2513">
        <v>14</v>
      </c>
      <c r="AY2513">
        <v>409</v>
      </c>
      <c r="AZ2513">
        <v>409</v>
      </c>
      <c r="BA2513">
        <v>572</v>
      </c>
      <c r="BB2513">
        <v>46</v>
      </c>
      <c r="BD2513">
        <v>1</v>
      </c>
      <c r="BF2513" t="s">
        <v>2705</v>
      </c>
      <c r="BG2513" s="1">
        <v>44354.223611111112</v>
      </c>
      <c r="BH2513" s="1">
        <v>44354.225173611114</v>
      </c>
      <c r="BI2513" s="1">
        <v>44354.225601851853</v>
      </c>
      <c r="BJ2513" t="s">
        <v>85</v>
      </c>
      <c r="BK2513" t="s">
        <v>86</v>
      </c>
      <c r="BL2513" t="s">
        <v>1390</v>
      </c>
    </row>
    <row r="2514" spans="1:64" x14ac:dyDescent="0.3">
      <c r="A2514" t="str">
        <f>"201664E0100"</f>
        <v>201664E0100</v>
      </c>
      <c r="B2514" t="str">
        <f>"201664E01003"</f>
        <v>201664E01003</v>
      </c>
      <c r="C2514" t="str">
        <f t="shared" si="164"/>
        <v>20</v>
      </c>
      <c r="D2514" t="s">
        <v>81</v>
      </c>
      <c r="E2514" t="str">
        <f t="shared" si="162"/>
        <v>364</v>
      </c>
      <c r="F2514" t="s">
        <v>2681</v>
      </c>
      <c r="G2514" t="str">
        <f>"1664"</f>
        <v>1664</v>
      </c>
      <c r="H2514" t="str">
        <f>"0001"</f>
        <v>0001</v>
      </c>
      <c r="I2514" t="s">
        <v>122</v>
      </c>
      <c r="J2514">
        <v>0</v>
      </c>
      <c r="K2514">
        <v>1</v>
      </c>
      <c r="L2514">
        <v>3</v>
      </c>
      <c r="M2514">
        <v>93</v>
      </c>
      <c r="N2514">
        <v>122</v>
      </c>
      <c r="O2514">
        <v>12</v>
      </c>
      <c r="P2514">
        <v>122</v>
      </c>
      <c r="Q2514">
        <v>6</v>
      </c>
      <c r="R2514">
        <v>29</v>
      </c>
      <c r="S2514">
        <v>5</v>
      </c>
      <c r="T2514">
        <v>0</v>
      </c>
      <c r="U2514">
        <v>25</v>
      </c>
      <c r="X2514">
        <v>27</v>
      </c>
      <c r="Z2514">
        <v>1</v>
      </c>
      <c r="AB2514">
        <v>10</v>
      </c>
      <c r="AC2514">
        <v>18</v>
      </c>
      <c r="AP2514">
        <v>0</v>
      </c>
      <c r="AW2514">
        <v>0</v>
      </c>
      <c r="AX2514">
        <v>1</v>
      </c>
      <c r="AY2514">
        <v>122</v>
      </c>
      <c r="AZ2514">
        <v>122</v>
      </c>
      <c r="BA2514">
        <v>169</v>
      </c>
      <c r="BB2514">
        <v>46</v>
      </c>
      <c r="BD2514">
        <v>1</v>
      </c>
      <c r="BF2514" t="s">
        <v>2706</v>
      </c>
      <c r="BG2514" s="1">
        <v>44353.868055555555</v>
      </c>
      <c r="BH2514" s="1">
        <v>44353.995092592595</v>
      </c>
      <c r="BI2514" s="1">
        <v>44353.995509259257</v>
      </c>
      <c r="BJ2514" t="s">
        <v>85</v>
      </c>
      <c r="BK2514" t="s">
        <v>86</v>
      </c>
      <c r="BL2514" t="s">
        <v>87</v>
      </c>
    </row>
    <row r="2515" spans="1:64" x14ac:dyDescent="0.3">
      <c r="A2515" t="str">
        <f>"201686B0000"</f>
        <v>201686B0000</v>
      </c>
      <c r="B2515" t="str">
        <f>"201686B00003"</f>
        <v>201686B00003</v>
      </c>
      <c r="C2515" t="str">
        <f t="shared" si="164"/>
        <v>20</v>
      </c>
      <c r="D2515" t="s">
        <v>81</v>
      </c>
      <c r="E2515" t="str">
        <f t="shared" ref="E2515:E2529" si="165">"376"</f>
        <v>376</v>
      </c>
      <c r="F2515" t="s">
        <v>2707</v>
      </c>
      <c r="G2515" t="str">
        <f t="shared" ref="G2515:G2521" si="166">"1686"</f>
        <v>1686</v>
      </c>
      <c r="H2515" t="str">
        <f>"0000"</f>
        <v>0000</v>
      </c>
      <c r="I2515" t="s">
        <v>83</v>
      </c>
      <c r="J2515">
        <v>0</v>
      </c>
      <c r="K2515">
        <v>1</v>
      </c>
      <c r="L2515">
        <v>3</v>
      </c>
      <c r="M2515">
        <v>305</v>
      </c>
      <c r="N2515">
        <v>391</v>
      </c>
      <c r="O2515">
        <v>12</v>
      </c>
      <c r="P2515">
        <v>390</v>
      </c>
      <c r="Q2515">
        <v>6</v>
      </c>
      <c r="R2515">
        <v>13</v>
      </c>
      <c r="S2515">
        <v>2</v>
      </c>
      <c r="T2515">
        <v>1</v>
      </c>
      <c r="U2515">
        <v>15</v>
      </c>
      <c r="V2515">
        <v>2</v>
      </c>
      <c r="W2515">
        <v>39</v>
      </c>
      <c r="X2515">
        <v>100</v>
      </c>
      <c r="Y2515">
        <v>2</v>
      </c>
      <c r="Z2515">
        <v>3</v>
      </c>
      <c r="AA2515">
        <v>119</v>
      </c>
      <c r="AB2515">
        <v>13</v>
      </c>
      <c r="AC2515">
        <v>69</v>
      </c>
      <c r="AF2515">
        <v>0</v>
      </c>
      <c r="AG2515">
        <v>0</v>
      </c>
      <c r="AH2515">
        <v>0</v>
      </c>
      <c r="AI2515">
        <v>0</v>
      </c>
      <c r="AU2515">
        <v>0</v>
      </c>
      <c r="AW2515">
        <v>0</v>
      </c>
      <c r="AX2515">
        <v>6</v>
      </c>
      <c r="AY2515">
        <v>390</v>
      </c>
      <c r="AZ2515">
        <v>390</v>
      </c>
      <c r="BA2515">
        <v>652</v>
      </c>
      <c r="BB2515">
        <v>46</v>
      </c>
      <c r="BD2515">
        <v>1</v>
      </c>
      <c r="BF2515" t="s">
        <v>2708</v>
      </c>
      <c r="BG2515" s="1">
        <v>44353.999085648145</v>
      </c>
      <c r="BH2515" s="1">
        <v>44354.004467592589</v>
      </c>
      <c r="BI2515" s="1">
        <v>44354.005370370367</v>
      </c>
      <c r="BJ2515" t="s">
        <v>197</v>
      </c>
      <c r="BK2515" t="s">
        <v>198</v>
      </c>
      <c r="BL2515" t="s">
        <v>87</v>
      </c>
    </row>
    <row r="2516" spans="1:64" x14ac:dyDescent="0.3">
      <c r="A2516" t="str">
        <f>"201686C0100"</f>
        <v>201686C0100</v>
      </c>
      <c r="B2516" t="str">
        <f>"201686C01003"</f>
        <v>201686C01003</v>
      </c>
      <c r="C2516" t="str">
        <f t="shared" si="164"/>
        <v>20</v>
      </c>
      <c r="D2516" t="s">
        <v>81</v>
      </c>
      <c r="E2516" t="str">
        <f t="shared" si="165"/>
        <v>376</v>
      </c>
      <c r="F2516" t="s">
        <v>2707</v>
      </c>
      <c r="G2516" t="str">
        <f t="shared" si="166"/>
        <v>1686</v>
      </c>
      <c r="H2516" t="str">
        <f>"0001"</f>
        <v>0001</v>
      </c>
      <c r="I2516" t="s">
        <v>89</v>
      </c>
      <c r="J2516">
        <v>0</v>
      </c>
      <c r="K2516">
        <v>1</v>
      </c>
      <c r="L2516">
        <v>3</v>
      </c>
      <c r="M2516">
        <v>304</v>
      </c>
      <c r="N2516">
        <v>393</v>
      </c>
      <c r="O2516">
        <v>5</v>
      </c>
      <c r="P2516" t="s">
        <v>92</v>
      </c>
      <c r="Q2516">
        <v>5</v>
      </c>
      <c r="R2516">
        <v>3</v>
      </c>
      <c r="S2516">
        <v>4</v>
      </c>
      <c r="T2516">
        <v>2</v>
      </c>
      <c r="U2516">
        <v>14</v>
      </c>
      <c r="V2516">
        <v>3</v>
      </c>
      <c r="W2516">
        <v>49</v>
      </c>
      <c r="X2516">
        <v>94</v>
      </c>
      <c r="Y2516">
        <v>0</v>
      </c>
      <c r="Z2516">
        <v>2</v>
      </c>
      <c r="AA2516">
        <v>147</v>
      </c>
      <c r="AB2516">
        <v>2</v>
      </c>
      <c r="AC2516">
        <v>57</v>
      </c>
      <c r="AF2516">
        <v>3</v>
      </c>
      <c r="AG2516">
        <v>0</v>
      </c>
      <c r="AH2516">
        <v>0</v>
      </c>
      <c r="AI2516">
        <v>0</v>
      </c>
      <c r="AU2516">
        <v>0</v>
      </c>
      <c r="AW2516">
        <v>0</v>
      </c>
      <c r="AX2516">
        <v>8</v>
      </c>
      <c r="AY2516">
        <v>393</v>
      </c>
      <c r="AZ2516">
        <v>393</v>
      </c>
      <c r="BA2516">
        <v>652</v>
      </c>
      <c r="BB2516">
        <v>46</v>
      </c>
      <c r="BD2516">
        <v>1</v>
      </c>
      <c r="BF2516" t="s">
        <v>2709</v>
      </c>
      <c r="BG2516" s="1">
        <v>44353.994027777779</v>
      </c>
      <c r="BH2516" s="1">
        <v>44353.99858796296</v>
      </c>
      <c r="BI2516" s="1">
        <v>44353.999386574076</v>
      </c>
      <c r="BJ2516" t="s">
        <v>197</v>
      </c>
      <c r="BK2516" t="s">
        <v>198</v>
      </c>
      <c r="BL2516" t="s">
        <v>87</v>
      </c>
    </row>
    <row r="2517" spans="1:64" x14ac:dyDescent="0.3">
      <c r="A2517" t="str">
        <f>"201686C0200"</f>
        <v>201686C0200</v>
      </c>
      <c r="B2517" t="str">
        <f>"201686C02003"</f>
        <v>201686C02003</v>
      </c>
      <c r="C2517" t="str">
        <f t="shared" si="164"/>
        <v>20</v>
      </c>
      <c r="D2517" t="s">
        <v>81</v>
      </c>
      <c r="E2517" t="str">
        <f t="shared" si="165"/>
        <v>376</v>
      </c>
      <c r="F2517" t="s">
        <v>2707</v>
      </c>
      <c r="G2517" t="str">
        <f t="shared" si="166"/>
        <v>1686</v>
      </c>
      <c r="H2517" t="str">
        <f>"0002"</f>
        <v>0002</v>
      </c>
      <c r="I2517" t="s">
        <v>89</v>
      </c>
      <c r="J2517">
        <v>0</v>
      </c>
      <c r="K2517">
        <v>1</v>
      </c>
      <c r="L2517">
        <v>3</v>
      </c>
      <c r="M2517">
        <v>306</v>
      </c>
      <c r="N2517">
        <v>392</v>
      </c>
      <c r="O2517">
        <v>4</v>
      </c>
      <c r="P2517">
        <v>389</v>
      </c>
      <c r="Q2517">
        <v>15</v>
      </c>
      <c r="R2517">
        <v>11</v>
      </c>
      <c r="S2517">
        <v>0</v>
      </c>
      <c r="T2517">
        <v>1</v>
      </c>
      <c r="U2517">
        <v>16</v>
      </c>
      <c r="V2517">
        <v>2</v>
      </c>
      <c r="W2517">
        <v>33</v>
      </c>
      <c r="X2517">
        <v>108</v>
      </c>
      <c r="Y2517">
        <v>1</v>
      </c>
      <c r="Z2517">
        <v>2</v>
      </c>
      <c r="AA2517">
        <v>98</v>
      </c>
      <c r="AB2517">
        <v>15</v>
      </c>
      <c r="AC2517">
        <v>77</v>
      </c>
      <c r="AF2517">
        <v>2</v>
      </c>
      <c r="AG2517">
        <v>0</v>
      </c>
      <c r="AH2517">
        <v>0</v>
      </c>
      <c r="AI2517">
        <v>0</v>
      </c>
      <c r="AU2517">
        <v>0</v>
      </c>
      <c r="AW2517">
        <v>0</v>
      </c>
      <c r="AX2517">
        <v>11</v>
      </c>
      <c r="AY2517" t="s">
        <v>95</v>
      </c>
      <c r="AZ2517">
        <v>392</v>
      </c>
      <c r="BA2517">
        <v>652</v>
      </c>
      <c r="BB2517">
        <v>46</v>
      </c>
      <c r="BD2517">
        <v>1</v>
      </c>
      <c r="BF2517" t="s">
        <v>2710</v>
      </c>
      <c r="BG2517" s="1">
        <v>44354.077777777777</v>
      </c>
      <c r="BH2517" s="1">
        <v>44354.087835648148</v>
      </c>
      <c r="BI2517" s="1">
        <v>44354.088530092595</v>
      </c>
      <c r="BJ2517" t="s">
        <v>85</v>
      </c>
      <c r="BK2517" t="s">
        <v>86</v>
      </c>
      <c r="BL2517" t="s">
        <v>87</v>
      </c>
    </row>
    <row r="2518" spans="1:64" x14ac:dyDescent="0.3">
      <c r="A2518" t="str">
        <f>"201686C0300"</f>
        <v>201686C0300</v>
      </c>
      <c r="B2518" t="str">
        <f>"201686C03003"</f>
        <v>201686C03003</v>
      </c>
      <c r="C2518" t="str">
        <f t="shared" si="164"/>
        <v>20</v>
      </c>
      <c r="D2518" t="s">
        <v>81</v>
      </c>
      <c r="E2518" t="str">
        <f t="shared" si="165"/>
        <v>376</v>
      </c>
      <c r="F2518" t="s">
        <v>2707</v>
      </c>
      <c r="G2518" t="str">
        <f t="shared" si="166"/>
        <v>1686</v>
      </c>
      <c r="H2518" t="str">
        <f>"0003"</f>
        <v>0003</v>
      </c>
      <c r="I2518" t="s">
        <v>89</v>
      </c>
      <c r="J2518">
        <v>0</v>
      </c>
      <c r="K2518">
        <v>1</v>
      </c>
      <c r="L2518">
        <v>3</v>
      </c>
      <c r="M2518">
        <v>306</v>
      </c>
      <c r="N2518">
        <v>394</v>
      </c>
      <c r="O2518">
        <v>6</v>
      </c>
      <c r="P2518">
        <v>393</v>
      </c>
      <c r="Q2518">
        <v>7</v>
      </c>
      <c r="R2518">
        <v>8</v>
      </c>
      <c r="S2518">
        <v>0</v>
      </c>
      <c r="T2518">
        <v>0</v>
      </c>
      <c r="U2518">
        <v>13</v>
      </c>
      <c r="V2518">
        <v>4</v>
      </c>
      <c r="W2518">
        <v>26</v>
      </c>
      <c r="X2518">
        <v>122</v>
      </c>
      <c r="Y2518">
        <v>1</v>
      </c>
      <c r="Z2518">
        <v>2</v>
      </c>
      <c r="AA2518">
        <v>131</v>
      </c>
      <c r="AB2518">
        <v>6</v>
      </c>
      <c r="AC2518">
        <v>63</v>
      </c>
      <c r="AF2518">
        <v>1</v>
      </c>
      <c r="AG2518">
        <v>1</v>
      </c>
      <c r="AH2518">
        <v>0</v>
      </c>
      <c r="AI2518">
        <v>0</v>
      </c>
      <c r="AU2518">
        <v>0</v>
      </c>
      <c r="AW2518">
        <v>0</v>
      </c>
      <c r="AX2518">
        <v>8</v>
      </c>
      <c r="AY2518">
        <v>393</v>
      </c>
      <c r="AZ2518">
        <v>393</v>
      </c>
      <c r="BA2518">
        <v>652</v>
      </c>
      <c r="BB2518">
        <v>46</v>
      </c>
      <c r="BD2518">
        <v>1</v>
      </c>
      <c r="BF2518" t="s">
        <v>2711</v>
      </c>
      <c r="BG2518" s="1">
        <v>44354.005324074074</v>
      </c>
      <c r="BH2518" s="1">
        <v>44354.010682870372</v>
      </c>
      <c r="BI2518" s="1">
        <v>44354.011203703703</v>
      </c>
      <c r="BJ2518" t="s">
        <v>197</v>
      </c>
      <c r="BK2518" t="s">
        <v>198</v>
      </c>
      <c r="BL2518" t="s">
        <v>87</v>
      </c>
    </row>
    <row r="2519" spans="1:64" x14ac:dyDescent="0.3">
      <c r="A2519" t="str">
        <f>"201686C0400"</f>
        <v>201686C0400</v>
      </c>
      <c r="B2519" t="str">
        <f>"201686C04003"</f>
        <v>201686C04003</v>
      </c>
      <c r="C2519" t="str">
        <f t="shared" si="164"/>
        <v>20</v>
      </c>
      <c r="D2519" t="s">
        <v>81</v>
      </c>
      <c r="E2519" t="str">
        <f t="shared" si="165"/>
        <v>376</v>
      </c>
      <c r="F2519" t="s">
        <v>2707</v>
      </c>
      <c r="G2519" t="str">
        <f t="shared" si="166"/>
        <v>1686</v>
      </c>
      <c r="H2519" t="str">
        <f>"0004"</f>
        <v>0004</v>
      </c>
      <c r="I2519" t="s">
        <v>89</v>
      </c>
      <c r="J2519">
        <v>0</v>
      </c>
      <c r="K2519">
        <v>1</v>
      </c>
      <c r="L2519">
        <v>3</v>
      </c>
      <c r="M2519">
        <v>303</v>
      </c>
      <c r="N2519">
        <v>394</v>
      </c>
      <c r="O2519">
        <v>1</v>
      </c>
      <c r="P2519">
        <v>394</v>
      </c>
      <c r="Q2519">
        <v>11</v>
      </c>
      <c r="R2519">
        <v>11</v>
      </c>
      <c r="S2519">
        <v>0</v>
      </c>
      <c r="T2519">
        <v>1</v>
      </c>
      <c r="U2519">
        <v>12</v>
      </c>
      <c r="V2519">
        <v>5</v>
      </c>
      <c r="W2519">
        <v>31</v>
      </c>
      <c r="X2519">
        <v>123</v>
      </c>
      <c r="Y2519">
        <v>2</v>
      </c>
      <c r="Z2519">
        <v>4</v>
      </c>
      <c r="AA2519">
        <v>103</v>
      </c>
      <c r="AB2519">
        <v>5</v>
      </c>
      <c r="AC2519">
        <v>78</v>
      </c>
      <c r="AF2519">
        <v>0</v>
      </c>
      <c r="AG2519">
        <v>1</v>
      </c>
      <c r="AH2519">
        <v>0</v>
      </c>
      <c r="AI2519">
        <v>0</v>
      </c>
      <c r="AU2519">
        <v>0</v>
      </c>
      <c r="AW2519">
        <v>1</v>
      </c>
      <c r="AX2519">
        <v>6</v>
      </c>
      <c r="AY2519">
        <v>394</v>
      </c>
      <c r="AZ2519">
        <v>394</v>
      </c>
      <c r="BA2519">
        <v>651</v>
      </c>
      <c r="BB2519">
        <v>46</v>
      </c>
      <c r="BD2519">
        <v>1</v>
      </c>
      <c r="BF2519" t="s">
        <v>2712</v>
      </c>
      <c r="BG2519" s="1">
        <v>44353.918946759259</v>
      </c>
      <c r="BH2519" s="1">
        <v>44353.920902777776</v>
      </c>
      <c r="BI2519" s="1">
        <v>44353.921747685185</v>
      </c>
      <c r="BJ2519" t="s">
        <v>197</v>
      </c>
      <c r="BK2519" t="s">
        <v>198</v>
      </c>
      <c r="BL2519" t="s">
        <v>87</v>
      </c>
    </row>
    <row r="2520" spans="1:64" x14ac:dyDescent="0.3">
      <c r="A2520" t="str">
        <f>"201686C0500"</f>
        <v>201686C0500</v>
      </c>
      <c r="B2520" t="str">
        <f>"201686C05003"</f>
        <v>201686C05003</v>
      </c>
      <c r="C2520" t="str">
        <f t="shared" si="164"/>
        <v>20</v>
      </c>
      <c r="D2520" t="s">
        <v>81</v>
      </c>
      <c r="E2520" t="str">
        <f t="shared" si="165"/>
        <v>376</v>
      </c>
      <c r="F2520" t="s">
        <v>2707</v>
      </c>
      <c r="G2520" t="str">
        <f t="shared" si="166"/>
        <v>1686</v>
      </c>
      <c r="H2520" t="str">
        <f>"0005"</f>
        <v>0005</v>
      </c>
      <c r="I2520" t="s">
        <v>89</v>
      </c>
      <c r="J2520">
        <v>0</v>
      </c>
      <c r="K2520">
        <v>1</v>
      </c>
      <c r="L2520">
        <v>3</v>
      </c>
      <c r="M2520">
        <v>295</v>
      </c>
      <c r="N2520">
        <v>403</v>
      </c>
      <c r="O2520">
        <v>5</v>
      </c>
      <c r="P2520">
        <v>401</v>
      </c>
      <c r="Q2520">
        <v>10</v>
      </c>
      <c r="R2520">
        <v>0</v>
      </c>
      <c r="S2520">
        <v>2</v>
      </c>
      <c r="T2520">
        <v>3</v>
      </c>
      <c r="U2520">
        <v>14</v>
      </c>
      <c r="V2520">
        <v>6</v>
      </c>
      <c r="W2520">
        <v>28</v>
      </c>
      <c r="X2520">
        <v>147</v>
      </c>
      <c r="Y2520">
        <v>0</v>
      </c>
      <c r="Z2520">
        <v>2</v>
      </c>
      <c r="AA2520">
        <v>85</v>
      </c>
      <c r="AB2520">
        <v>13</v>
      </c>
      <c r="AC2520">
        <v>78</v>
      </c>
      <c r="AF2520">
        <v>0</v>
      </c>
      <c r="AG2520">
        <v>0</v>
      </c>
      <c r="AH2520">
        <v>0</v>
      </c>
      <c r="AI2520">
        <v>0</v>
      </c>
      <c r="AU2520">
        <v>0</v>
      </c>
      <c r="AW2520">
        <v>0</v>
      </c>
      <c r="AX2520">
        <v>13</v>
      </c>
      <c r="AY2520">
        <v>401</v>
      </c>
      <c r="AZ2520">
        <v>401</v>
      </c>
      <c r="BA2520">
        <v>651</v>
      </c>
      <c r="BB2520">
        <v>46</v>
      </c>
      <c r="BD2520">
        <v>1</v>
      </c>
      <c r="BF2520" s="2" t="s">
        <v>2713</v>
      </c>
      <c r="BG2520" s="1">
        <v>44353.953217592592</v>
      </c>
      <c r="BH2520" s="1">
        <v>44353.955185185187</v>
      </c>
      <c r="BI2520" s="1">
        <v>44353.956076388888</v>
      </c>
      <c r="BJ2520" t="s">
        <v>197</v>
      </c>
      <c r="BK2520" t="s">
        <v>198</v>
      </c>
      <c r="BL2520" t="s">
        <v>87</v>
      </c>
    </row>
    <row r="2521" spans="1:64" x14ac:dyDescent="0.3">
      <c r="A2521" t="str">
        <f>"201686C0600"</f>
        <v>201686C0600</v>
      </c>
      <c r="B2521" t="str">
        <f>"201686C06003"</f>
        <v>201686C06003</v>
      </c>
      <c r="C2521" t="str">
        <f t="shared" si="164"/>
        <v>20</v>
      </c>
      <c r="D2521" t="s">
        <v>81</v>
      </c>
      <c r="E2521" t="str">
        <f t="shared" si="165"/>
        <v>376</v>
      </c>
      <c r="F2521" t="s">
        <v>2707</v>
      </c>
      <c r="G2521" t="str">
        <f t="shared" si="166"/>
        <v>1686</v>
      </c>
      <c r="H2521" t="str">
        <f>"0006"</f>
        <v>0006</v>
      </c>
      <c r="I2521" t="s">
        <v>89</v>
      </c>
      <c r="J2521">
        <v>0</v>
      </c>
      <c r="K2521">
        <v>1</v>
      </c>
      <c r="L2521">
        <v>3</v>
      </c>
      <c r="M2521">
        <v>285</v>
      </c>
      <c r="N2521">
        <v>413</v>
      </c>
      <c r="O2521">
        <v>4</v>
      </c>
      <c r="P2521">
        <v>413</v>
      </c>
      <c r="Q2521">
        <v>5</v>
      </c>
      <c r="R2521">
        <v>8</v>
      </c>
      <c r="S2521">
        <v>0</v>
      </c>
      <c r="T2521">
        <v>0</v>
      </c>
      <c r="U2521">
        <v>15</v>
      </c>
      <c r="V2521">
        <v>5</v>
      </c>
      <c r="W2521">
        <v>56</v>
      </c>
      <c r="X2521">
        <v>127</v>
      </c>
      <c r="Y2521">
        <v>0</v>
      </c>
      <c r="Z2521">
        <v>0</v>
      </c>
      <c r="AA2521">
        <v>120</v>
      </c>
      <c r="AB2521">
        <v>6</v>
      </c>
      <c r="AC2521">
        <v>67</v>
      </c>
      <c r="AF2521">
        <v>0</v>
      </c>
      <c r="AG2521">
        <v>0</v>
      </c>
      <c r="AH2521">
        <v>0</v>
      </c>
      <c r="AI2521">
        <v>0</v>
      </c>
      <c r="AU2521">
        <v>0</v>
      </c>
      <c r="AW2521">
        <v>0</v>
      </c>
      <c r="AX2521">
        <v>4</v>
      </c>
      <c r="AY2521">
        <v>413</v>
      </c>
      <c r="AZ2521">
        <v>413</v>
      </c>
      <c r="BA2521">
        <v>651</v>
      </c>
      <c r="BB2521">
        <v>46</v>
      </c>
      <c r="BD2521">
        <v>1</v>
      </c>
      <c r="BF2521" t="s">
        <v>2714</v>
      </c>
      <c r="BG2521" s="1">
        <v>44353.974085648151</v>
      </c>
      <c r="BH2521" s="1">
        <v>44353.975798611114</v>
      </c>
      <c r="BI2521" s="1">
        <v>44353.977071759262</v>
      </c>
      <c r="BJ2521" t="s">
        <v>197</v>
      </c>
      <c r="BK2521" t="s">
        <v>198</v>
      </c>
      <c r="BL2521" t="s">
        <v>87</v>
      </c>
    </row>
    <row r="2522" spans="1:64" x14ac:dyDescent="0.3">
      <c r="A2522" t="str">
        <f>"201687B0000"</f>
        <v>201687B0000</v>
      </c>
      <c r="B2522" t="str">
        <f>"201687B00003"</f>
        <v>201687B00003</v>
      </c>
      <c r="C2522" t="str">
        <f t="shared" si="164"/>
        <v>20</v>
      </c>
      <c r="D2522" t="s">
        <v>81</v>
      </c>
      <c r="E2522" t="str">
        <f t="shared" si="165"/>
        <v>376</v>
      </c>
      <c r="F2522" t="s">
        <v>2707</v>
      </c>
      <c r="G2522" t="str">
        <f>"1687"</f>
        <v>1687</v>
      </c>
      <c r="H2522" t="str">
        <f>"0000"</f>
        <v>0000</v>
      </c>
      <c r="I2522" t="s">
        <v>83</v>
      </c>
      <c r="J2522">
        <v>0</v>
      </c>
      <c r="K2522">
        <v>1</v>
      </c>
      <c r="L2522">
        <v>3</v>
      </c>
      <c r="M2522" t="s">
        <v>92</v>
      </c>
      <c r="N2522" t="s">
        <v>92</v>
      </c>
      <c r="O2522" t="s">
        <v>92</v>
      </c>
      <c r="P2522">
        <v>371</v>
      </c>
      <c r="Q2522">
        <v>9</v>
      </c>
      <c r="R2522">
        <v>17</v>
      </c>
      <c r="S2522">
        <v>1</v>
      </c>
      <c r="T2522">
        <v>0</v>
      </c>
      <c r="U2522">
        <v>6</v>
      </c>
      <c r="V2522">
        <v>17</v>
      </c>
      <c r="W2522">
        <v>19</v>
      </c>
      <c r="X2522">
        <v>84</v>
      </c>
      <c r="Y2522">
        <v>0</v>
      </c>
      <c r="Z2522">
        <v>2</v>
      </c>
      <c r="AA2522">
        <v>65</v>
      </c>
      <c r="AB2522">
        <v>8</v>
      </c>
      <c r="AC2522">
        <v>132</v>
      </c>
      <c r="AF2522">
        <v>1</v>
      </c>
      <c r="AG2522">
        <v>0</v>
      </c>
      <c r="AH2522">
        <v>0</v>
      </c>
      <c r="AI2522">
        <v>0</v>
      </c>
      <c r="AU2522">
        <v>0</v>
      </c>
      <c r="AW2522">
        <v>0</v>
      </c>
      <c r="AX2522">
        <v>10</v>
      </c>
      <c r="AY2522">
        <v>371</v>
      </c>
      <c r="AZ2522">
        <v>371</v>
      </c>
      <c r="BA2522">
        <v>574</v>
      </c>
      <c r="BB2522">
        <v>46</v>
      </c>
      <c r="BD2522">
        <v>1</v>
      </c>
      <c r="BF2522" t="s">
        <v>2715</v>
      </c>
      <c r="BG2522" s="1">
        <v>44354.006944444445</v>
      </c>
      <c r="BH2522" s="1">
        <v>44354.021597222221</v>
      </c>
      <c r="BI2522" s="1">
        <v>44354.022430555553</v>
      </c>
      <c r="BJ2522" t="s">
        <v>85</v>
      </c>
      <c r="BK2522" t="s">
        <v>86</v>
      </c>
      <c r="BL2522" t="s">
        <v>87</v>
      </c>
    </row>
    <row r="2523" spans="1:64" x14ac:dyDescent="0.3">
      <c r="A2523" t="str">
        <f>"201687C0100"</f>
        <v>201687C0100</v>
      </c>
      <c r="B2523" t="str">
        <f>"201687C01003"</f>
        <v>201687C01003</v>
      </c>
      <c r="C2523" t="str">
        <f t="shared" si="164"/>
        <v>20</v>
      </c>
      <c r="D2523" t="s">
        <v>81</v>
      </c>
      <c r="E2523" t="str">
        <f t="shared" si="165"/>
        <v>376</v>
      </c>
      <c r="F2523" t="s">
        <v>2707</v>
      </c>
      <c r="G2523" t="str">
        <f>"1687"</f>
        <v>1687</v>
      </c>
      <c r="H2523" t="str">
        <f>"0001"</f>
        <v>0001</v>
      </c>
      <c r="I2523" t="s">
        <v>89</v>
      </c>
      <c r="J2523">
        <v>0</v>
      </c>
      <c r="K2523">
        <v>1</v>
      </c>
      <c r="L2523">
        <v>3</v>
      </c>
      <c r="M2523" t="s">
        <v>92</v>
      </c>
      <c r="N2523" t="s">
        <v>92</v>
      </c>
      <c r="O2523" t="s">
        <v>92</v>
      </c>
      <c r="P2523" t="s">
        <v>92</v>
      </c>
      <c r="Q2523">
        <v>8</v>
      </c>
      <c r="R2523">
        <v>23</v>
      </c>
      <c r="S2523">
        <v>3</v>
      </c>
      <c r="T2523">
        <v>0</v>
      </c>
      <c r="U2523">
        <v>5</v>
      </c>
      <c r="V2523">
        <v>7</v>
      </c>
      <c r="W2523">
        <v>24</v>
      </c>
      <c r="X2523">
        <v>86</v>
      </c>
      <c r="Y2523">
        <v>2</v>
      </c>
      <c r="Z2523">
        <v>6</v>
      </c>
      <c r="AA2523">
        <v>71</v>
      </c>
      <c r="AB2523">
        <v>8</v>
      </c>
      <c r="AC2523">
        <v>119</v>
      </c>
      <c r="AF2523">
        <v>0</v>
      </c>
      <c r="AG2523">
        <v>0</v>
      </c>
      <c r="AH2523">
        <v>0</v>
      </c>
      <c r="AI2523">
        <v>0</v>
      </c>
      <c r="AU2523">
        <v>0</v>
      </c>
      <c r="AW2523">
        <v>0</v>
      </c>
      <c r="AX2523">
        <v>7</v>
      </c>
      <c r="AY2523">
        <v>369</v>
      </c>
      <c r="AZ2523">
        <v>369</v>
      </c>
      <c r="BA2523">
        <v>574</v>
      </c>
      <c r="BB2523">
        <v>46</v>
      </c>
      <c r="BD2523">
        <v>1</v>
      </c>
      <c r="BF2523" t="s">
        <v>2716</v>
      </c>
      <c r="BG2523" s="1">
        <v>44354.099305555559</v>
      </c>
      <c r="BH2523" s="1">
        <v>44354.102523148147</v>
      </c>
      <c r="BI2523" s="1">
        <v>44354.104837962965</v>
      </c>
      <c r="BJ2523" t="s">
        <v>85</v>
      </c>
      <c r="BK2523" t="s">
        <v>86</v>
      </c>
      <c r="BL2523" t="s">
        <v>87</v>
      </c>
    </row>
    <row r="2524" spans="1:64" x14ac:dyDescent="0.3">
      <c r="A2524" t="str">
        <f>"201688B0000"</f>
        <v>201688B0000</v>
      </c>
      <c r="B2524" t="str">
        <f>"201688B00003"</f>
        <v>201688B00003</v>
      </c>
      <c r="C2524" t="str">
        <f t="shared" si="164"/>
        <v>20</v>
      </c>
      <c r="D2524" t="s">
        <v>81</v>
      </c>
      <c r="E2524" t="str">
        <f t="shared" si="165"/>
        <v>376</v>
      </c>
      <c r="F2524" t="s">
        <v>2707</v>
      </c>
      <c r="G2524" t="str">
        <f>"1688"</f>
        <v>1688</v>
      </c>
      <c r="H2524" t="str">
        <f>"0000"</f>
        <v>0000</v>
      </c>
      <c r="I2524" t="s">
        <v>83</v>
      </c>
      <c r="J2524">
        <v>0</v>
      </c>
      <c r="K2524">
        <v>1</v>
      </c>
      <c r="L2524">
        <v>3</v>
      </c>
      <c r="M2524">
        <v>340</v>
      </c>
      <c r="N2524">
        <v>430</v>
      </c>
      <c r="O2524">
        <v>9</v>
      </c>
      <c r="P2524">
        <v>430</v>
      </c>
      <c r="Q2524">
        <v>9</v>
      </c>
      <c r="R2524">
        <v>13</v>
      </c>
      <c r="S2524">
        <v>2</v>
      </c>
      <c r="T2524">
        <v>1</v>
      </c>
      <c r="U2524">
        <v>9</v>
      </c>
      <c r="V2524">
        <v>8</v>
      </c>
      <c r="W2524">
        <v>27</v>
      </c>
      <c r="X2524">
        <v>121</v>
      </c>
      <c r="Y2524">
        <v>5</v>
      </c>
      <c r="Z2524">
        <v>7</v>
      </c>
      <c r="AA2524">
        <v>85</v>
      </c>
      <c r="AB2524">
        <v>15</v>
      </c>
      <c r="AC2524">
        <v>125</v>
      </c>
      <c r="AF2524">
        <v>0</v>
      </c>
      <c r="AG2524">
        <v>0</v>
      </c>
      <c r="AH2524">
        <v>0</v>
      </c>
      <c r="AI2524">
        <v>0</v>
      </c>
      <c r="AU2524">
        <v>0</v>
      </c>
      <c r="AW2524">
        <v>0</v>
      </c>
      <c r="AX2524">
        <v>3</v>
      </c>
      <c r="AY2524">
        <v>430</v>
      </c>
      <c r="AZ2524">
        <v>430</v>
      </c>
      <c r="BA2524">
        <v>724</v>
      </c>
      <c r="BB2524">
        <v>46</v>
      </c>
      <c r="BD2524">
        <v>1</v>
      </c>
      <c r="BF2524" t="s">
        <v>2717</v>
      </c>
      <c r="BG2524" s="1">
        <v>44354.098611111112</v>
      </c>
      <c r="BH2524" s="1">
        <v>44354.101736111108</v>
      </c>
      <c r="BI2524" s="1">
        <v>44354.10224537037</v>
      </c>
      <c r="BJ2524" t="s">
        <v>85</v>
      </c>
      <c r="BK2524" t="s">
        <v>86</v>
      </c>
      <c r="BL2524" t="s">
        <v>87</v>
      </c>
    </row>
    <row r="2525" spans="1:64" x14ac:dyDescent="0.3">
      <c r="A2525" t="str">
        <f>"201688C0100"</f>
        <v>201688C0100</v>
      </c>
      <c r="B2525" t="str">
        <f>"201688C01003"</f>
        <v>201688C01003</v>
      </c>
      <c r="C2525" t="str">
        <f t="shared" si="164"/>
        <v>20</v>
      </c>
      <c r="D2525" t="s">
        <v>81</v>
      </c>
      <c r="E2525" t="str">
        <f t="shared" si="165"/>
        <v>376</v>
      </c>
      <c r="F2525" t="s">
        <v>2707</v>
      </c>
      <c r="G2525" t="str">
        <f>"1688"</f>
        <v>1688</v>
      </c>
      <c r="H2525" t="str">
        <f>"0001"</f>
        <v>0001</v>
      </c>
      <c r="I2525" t="s">
        <v>89</v>
      </c>
      <c r="J2525">
        <v>0</v>
      </c>
      <c r="K2525">
        <v>1</v>
      </c>
      <c r="L2525">
        <v>3</v>
      </c>
      <c r="M2525">
        <v>301</v>
      </c>
      <c r="N2525">
        <v>469</v>
      </c>
      <c r="O2525">
        <v>7</v>
      </c>
      <c r="P2525">
        <v>469</v>
      </c>
      <c r="Q2525">
        <v>3</v>
      </c>
      <c r="R2525">
        <v>10</v>
      </c>
      <c r="S2525">
        <v>0</v>
      </c>
      <c r="T2525">
        <v>0</v>
      </c>
      <c r="U2525">
        <v>10</v>
      </c>
      <c r="V2525">
        <v>2</v>
      </c>
      <c r="W2525">
        <v>36</v>
      </c>
      <c r="X2525">
        <v>128</v>
      </c>
      <c r="Y2525">
        <v>0</v>
      </c>
      <c r="Z2525">
        <v>6</v>
      </c>
      <c r="AA2525">
        <v>102</v>
      </c>
      <c r="AB2525">
        <v>12</v>
      </c>
      <c r="AC2525">
        <v>138</v>
      </c>
      <c r="AF2525">
        <v>0</v>
      </c>
      <c r="AG2525">
        <v>0</v>
      </c>
      <c r="AH2525">
        <v>0</v>
      </c>
      <c r="AI2525">
        <v>0</v>
      </c>
      <c r="AU2525">
        <v>0</v>
      </c>
      <c r="AW2525">
        <v>0</v>
      </c>
      <c r="AX2525">
        <v>22</v>
      </c>
      <c r="AY2525">
        <v>469</v>
      </c>
      <c r="AZ2525">
        <v>469</v>
      </c>
      <c r="BA2525">
        <v>724</v>
      </c>
      <c r="BB2525">
        <v>46</v>
      </c>
      <c r="BD2525">
        <v>1</v>
      </c>
      <c r="BF2525" t="s">
        <v>2718</v>
      </c>
      <c r="BG2525" s="1">
        <v>44354.004166666666</v>
      </c>
      <c r="BH2525" s="1">
        <v>44354.042708333334</v>
      </c>
      <c r="BI2525" s="1">
        <v>44354.043368055558</v>
      </c>
      <c r="BJ2525" t="s">
        <v>85</v>
      </c>
      <c r="BK2525" t="s">
        <v>86</v>
      </c>
      <c r="BL2525" t="s">
        <v>87</v>
      </c>
    </row>
    <row r="2526" spans="1:64" x14ac:dyDescent="0.3">
      <c r="A2526" t="str">
        <f>"201688C0200"</f>
        <v>201688C0200</v>
      </c>
      <c r="B2526" t="str">
        <f>"201688C02003"</f>
        <v>201688C02003</v>
      </c>
      <c r="C2526" t="str">
        <f t="shared" si="164"/>
        <v>20</v>
      </c>
      <c r="D2526" t="s">
        <v>81</v>
      </c>
      <c r="E2526" t="str">
        <f t="shared" si="165"/>
        <v>376</v>
      </c>
      <c r="F2526" t="s">
        <v>2707</v>
      </c>
      <c r="G2526" t="str">
        <f>"1688"</f>
        <v>1688</v>
      </c>
      <c r="H2526" t="str">
        <f>"0002"</f>
        <v>0002</v>
      </c>
      <c r="I2526" t="s">
        <v>89</v>
      </c>
      <c r="J2526">
        <v>0</v>
      </c>
      <c r="K2526">
        <v>1</v>
      </c>
      <c r="L2526">
        <v>3</v>
      </c>
      <c r="M2526">
        <v>344</v>
      </c>
      <c r="N2526">
        <v>426</v>
      </c>
      <c r="O2526">
        <v>8</v>
      </c>
      <c r="P2526">
        <v>426</v>
      </c>
      <c r="Q2526">
        <v>5</v>
      </c>
      <c r="R2526">
        <v>4</v>
      </c>
      <c r="S2526">
        <v>0</v>
      </c>
      <c r="T2526">
        <v>0</v>
      </c>
      <c r="U2526">
        <v>3</v>
      </c>
      <c r="V2526">
        <v>6</v>
      </c>
      <c r="W2526">
        <v>35</v>
      </c>
      <c r="X2526">
        <v>92</v>
      </c>
      <c r="Y2526">
        <v>2</v>
      </c>
      <c r="Z2526">
        <v>8</v>
      </c>
      <c r="AA2526">
        <v>99</v>
      </c>
      <c r="AB2526">
        <v>10</v>
      </c>
      <c r="AC2526">
        <v>154</v>
      </c>
      <c r="AF2526">
        <v>2</v>
      </c>
      <c r="AG2526">
        <v>0</v>
      </c>
      <c r="AH2526">
        <v>0</v>
      </c>
      <c r="AI2526">
        <v>0</v>
      </c>
      <c r="AU2526">
        <v>0</v>
      </c>
      <c r="AW2526">
        <v>0</v>
      </c>
      <c r="AX2526">
        <v>6</v>
      </c>
      <c r="AY2526">
        <v>426</v>
      </c>
      <c r="AZ2526">
        <v>426</v>
      </c>
      <c r="BA2526">
        <v>724</v>
      </c>
      <c r="BB2526">
        <v>46</v>
      </c>
      <c r="BD2526">
        <v>1</v>
      </c>
      <c r="BF2526" t="s">
        <v>2719</v>
      </c>
      <c r="BG2526" s="1">
        <v>44354.018750000003</v>
      </c>
      <c r="BH2526" s="1">
        <v>44354.028425925928</v>
      </c>
      <c r="BI2526" s="1">
        <v>44354.029085648152</v>
      </c>
      <c r="BJ2526" t="s">
        <v>85</v>
      </c>
      <c r="BK2526" t="s">
        <v>86</v>
      </c>
      <c r="BL2526" t="s">
        <v>87</v>
      </c>
    </row>
    <row r="2527" spans="1:64" x14ac:dyDescent="0.3">
      <c r="A2527" t="str">
        <f>"201688C0300"</f>
        <v>201688C0300</v>
      </c>
      <c r="B2527" t="str">
        <f>"201688C03003"</f>
        <v>201688C03003</v>
      </c>
      <c r="C2527" t="str">
        <f t="shared" si="164"/>
        <v>20</v>
      </c>
      <c r="D2527" t="s">
        <v>81</v>
      </c>
      <c r="E2527" t="str">
        <f t="shared" si="165"/>
        <v>376</v>
      </c>
      <c r="F2527" t="s">
        <v>2707</v>
      </c>
      <c r="G2527" t="str">
        <f>"1688"</f>
        <v>1688</v>
      </c>
      <c r="H2527" t="str">
        <f>"0003"</f>
        <v>0003</v>
      </c>
      <c r="I2527" t="s">
        <v>89</v>
      </c>
      <c r="J2527">
        <v>0</v>
      </c>
      <c r="K2527">
        <v>1</v>
      </c>
      <c r="L2527">
        <v>3</v>
      </c>
      <c r="M2527">
        <v>305</v>
      </c>
      <c r="N2527">
        <v>464</v>
      </c>
      <c r="O2527">
        <v>2</v>
      </c>
      <c r="P2527">
        <v>464</v>
      </c>
      <c r="Q2527">
        <v>6</v>
      </c>
      <c r="R2527">
        <v>8</v>
      </c>
      <c r="S2527">
        <v>3</v>
      </c>
      <c r="T2527">
        <v>2</v>
      </c>
      <c r="U2527">
        <v>7</v>
      </c>
      <c r="V2527">
        <v>3</v>
      </c>
      <c r="W2527">
        <v>23</v>
      </c>
      <c r="X2527">
        <v>90</v>
      </c>
      <c r="Y2527">
        <v>1</v>
      </c>
      <c r="Z2527">
        <v>8</v>
      </c>
      <c r="AA2527">
        <v>121</v>
      </c>
      <c r="AB2527">
        <v>11</v>
      </c>
      <c r="AC2527">
        <v>166</v>
      </c>
      <c r="AF2527">
        <v>2</v>
      </c>
      <c r="AG2527">
        <v>0</v>
      </c>
      <c r="AH2527">
        <v>0</v>
      </c>
      <c r="AI2527">
        <v>0</v>
      </c>
      <c r="AU2527">
        <v>0</v>
      </c>
      <c r="AW2527">
        <v>0</v>
      </c>
      <c r="AX2527">
        <v>13</v>
      </c>
      <c r="AY2527">
        <v>464</v>
      </c>
      <c r="AZ2527">
        <v>464</v>
      </c>
      <c r="BA2527">
        <v>724</v>
      </c>
      <c r="BB2527">
        <v>46</v>
      </c>
      <c r="BD2527">
        <v>1</v>
      </c>
      <c r="BF2527" t="s">
        <v>2720</v>
      </c>
      <c r="BG2527" s="1">
        <v>44354.022222222222</v>
      </c>
      <c r="BH2527" s="1">
        <v>44354.031041666669</v>
      </c>
      <c r="BI2527" s="1">
        <v>44354.03162037037</v>
      </c>
      <c r="BJ2527" t="s">
        <v>85</v>
      </c>
      <c r="BK2527" t="s">
        <v>86</v>
      </c>
      <c r="BL2527" t="s">
        <v>87</v>
      </c>
    </row>
    <row r="2528" spans="1:64" x14ac:dyDescent="0.3">
      <c r="A2528" t="str">
        <f>"201689B0000"</f>
        <v>201689B0000</v>
      </c>
      <c r="B2528" t="str">
        <f>"201689B00003"</f>
        <v>201689B00003</v>
      </c>
      <c r="C2528" t="str">
        <f t="shared" si="164"/>
        <v>20</v>
      </c>
      <c r="D2528" t="s">
        <v>81</v>
      </c>
      <c r="E2528" t="str">
        <f t="shared" si="165"/>
        <v>376</v>
      </c>
      <c r="F2528" t="s">
        <v>2707</v>
      </c>
      <c r="G2528" t="str">
        <f>"1689"</f>
        <v>1689</v>
      </c>
      <c r="H2528" t="str">
        <f>"0000"</f>
        <v>0000</v>
      </c>
      <c r="I2528" t="s">
        <v>83</v>
      </c>
      <c r="J2528">
        <v>0</v>
      </c>
      <c r="K2528">
        <v>1</v>
      </c>
      <c r="L2528">
        <v>3</v>
      </c>
      <c r="M2528">
        <v>221</v>
      </c>
      <c r="N2528">
        <v>360</v>
      </c>
      <c r="O2528">
        <v>3</v>
      </c>
      <c r="P2528">
        <v>360</v>
      </c>
      <c r="Q2528">
        <v>11</v>
      </c>
      <c r="R2528">
        <v>7</v>
      </c>
      <c r="S2528">
        <v>0</v>
      </c>
      <c r="T2528">
        <v>1</v>
      </c>
      <c r="U2528">
        <v>17</v>
      </c>
      <c r="V2528">
        <v>7</v>
      </c>
      <c r="W2528">
        <v>17</v>
      </c>
      <c r="X2528">
        <v>79</v>
      </c>
      <c r="Y2528">
        <v>0</v>
      </c>
      <c r="Z2528">
        <v>2</v>
      </c>
      <c r="AA2528">
        <v>63</v>
      </c>
      <c r="AB2528">
        <v>8</v>
      </c>
      <c r="AC2528">
        <v>140</v>
      </c>
      <c r="AF2528">
        <v>4</v>
      </c>
      <c r="AG2528">
        <v>0</v>
      </c>
      <c r="AH2528">
        <v>0</v>
      </c>
      <c r="AI2528">
        <v>0</v>
      </c>
      <c r="AU2528">
        <v>0</v>
      </c>
      <c r="AW2528">
        <v>0</v>
      </c>
      <c r="AX2528">
        <v>4</v>
      </c>
      <c r="AY2528">
        <v>360</v>
      </c>
      <c r="AZ2528">
        <v>360</v>
      </c>
      <c r="BA2528">
        <v>534</v>
      </c>
      <c r="BB2528">
        <v>46</v>
      </c>
      <c r="BD2528">
        <v>1</v>
      </c>
      <c r="BF2528" t="s">
        <v>2721</v>
      </c>
      <c r="BG2528" s="1">
        <v>44354.011111111111</v>
      </c>
      <c r="BH2528" s="1">
        <v>44354.022962962961</v>
      </c>
      <c r="BI2528" s="1">
        <v>44354.0234837963</v>
      </c>
      <c r="BJ2528" t="s">
        <v>85</v>
      </c>
      <c r="BK2528" t="s">
        <v>86</v>
      </c>
      <c r="BL2528" t="s">
        <v>87</v>
      </c>
    </row>
    <row r="2529" spans="1:64" x14ac:dyDescent="0.3">
      <c r="A2529" t="str">
        <f>"201689C0100"</f>
        <v>201689C0100</v>
      </c>
      <c r="B2529" t="str">
        <f>"201689C01003"</f>
        <v>201689C01003</v>
      </c>
      <c r="C2529" t="str">
        <f t="shared" si="164"/>
        <v>20</v>
      </c>
      <c r="D2529" t="s">
        <v>81</v>
      </c>
      <c r="E2529" t="str">
        <f t="shared" si="165"/>
        <v>376</v>
      </c>
      <c r="F2529" t="s">
        <v>2707</v>
      </c>
      <c r="G2529" t="str">
        <f>"1689"</f>
        <v>1689</v>
      </c>
      <c r="H2529" t="str">
        <f>"0001"</f>
        <v>0001</v>
      </c>
      <c r="I2529" t="s">
        <v>89</v>
      </c>
      <c r="J2529">
        <v>0</v>
      </c>
      <c r="K2529">
        <v>1</v>
      </c>
      <c r="L2529">
        <v>3</v>
      </c>
      <c r="M2529">
        <v>210</v>
      </c>
      <c r="N2529">
        <v>374</v>
      </c>
      <c r="O2529">
        <v>4</v>
      </c>
      <c r="P2529">
        <v>370</v>
      </c>
      <c r="Q2529">
        <v>3</v>
      </c>
      <c r="R2529">
        <v>6</v>
      </c>
      <c r="S2529">
        <v>0</v>
      </c>
      <c r="T2529">
        <v>3</v>
      </c>
      <c r="U2529">
        <v>11</v>
      </c>
      <c r="V2529">
        <v>9</v>
      </c>
      <c r="W2529">
        <v>19</v>
      </c>
      <c r="X2529">
        <v>83</v>
      </c>
      <c r="Y2529">
        <v>0</v>
      </c>
      <c r="Z2529">
        <v>0</v>
      </c>
      <c r="AA2529">
        <v>88</v>
      </c>
      <c r="AB2529">
        <v>1</v>
      </c>
      <c r="AC2529">
        <v>136</v>
      </c>
      <c r="AF2529" t="s">
        <v>95</v>
      </c>
      <c r="AG2529" t="s">
        <v>95</v>
      </c>
      <c r="AH2529" t="s">
        <v>95</v>
      </c>
      <c r="AI2529" t="s">
        <v>95</v>
      </c>
      <c r="AU2529" t="s">
        <v>95</v>
      </c>
      <c r="AW2529" t="s">
        <v>95</v>
      </c>
      <c r="AX2529">
        <v>10</v>
      </c>
      <c r="AY2529">
        <v>370</v>
      </c>
      <c r="AZ2529">
        <v>369</v>
      </c>
      <c r="BA2529">
        <v>534</v>
      </c>
      <c r="BB2529">
        <v>46</v>
      </c>
      <c r="BC2529" t="s">
        <v>96</v>
      </c>
      <c r="BD2529">
        <v>1</v>
      </c>
      <c r="BF2529" t="s">
        <v>2722</v>
      </c>
      <c r="BG2529" s="1">
        <v>44354.013888888891</v>
      </c>
      <c r="BH2529" s="1">
        <v>44354.027013888888</v>
      </c>
      <c r="BI2529" s="1">
        <v>44354.028298611112</v>
      </c>
      <c r="BJ2529" t="s">
        <v>85</v>
      </c>
      <c r="BK2529" t="s">
        <v>86</v>
      </c>
      <c r="BL2529" t="s">
        <v>87</v>
      </c>
    </row>
    <row r="2530" spans="1:64" x14ac:dyDescent="0.3">
      <c r="A2530" t="str">
        <f>"201691B0000"</f>
        <v>201691B0000</v>
      </c>
      <c r="B2530" t="str">
        <f>"201691B00003"</f>
        <v>201691B00003</v>
      </c>
      <c r="C2530" t="str">
        <f t="shared" si="164"/>
        <v>20</v>
      </c>
      <c r="D2530" t="s">
        <v>81</v>
      </c>
      <c r="E2530" t="str">
        <f t="shared" ref="E2530:E2545" si="167">"378"</f>
        <v>378</v>
      </c>
      <c r="F2530" t="s">
        <v>2723</v>
      </c>
      <c r="G2530" t="str">
        <f>"1691"</f>
        <v>1691</v>
      </c>
      <c r="H2530" t="str">
        <f>"0000"</f>
        <v>0000</v>
      </c>
      <c r="I2530" t="s">
        <v>83</v>
      </c>
      <c r="J2530">
        <v>0</v>
      </c>
      <c r="K2530">
        <v>1</v>
      </c>
      <c r="L2530">
        <v>3</v>
      </c>
      <c r="M2530">
        <v>189</v>
      </c>
      <c r="N2530">
        <v>415</v>
      </c>
      <c r="O2530">
        <v>9</v>
      </c>
      <c r="P2530">
        <v>415</v>
      </c>
      <c r="Q2530">
        <v>2</v>
      </c>
      <c r="R2530">
        <v>169</v>
      </c>
      <c r="S2530">
        <v>1</v>
      </c>
      <c r="T2530">
        <v>1</v>
      </c>
      <c r="U2530">
        <v>105</v>
      </c>
      <c r="X2530">
        <v>116</v>
      </c>
      <c r="Z2530">
        <v>2</v>
      </c>
      <c r="AB2530">
        <v>2</v>
      </c>
      <c r="AF2530">
        <v>8</v>
      </c>
      <c r="AG2530">
        <v>0</v>
      </c>
      <c r="AH2530">
        <v>0</v>
      </c>
      <c r="AI2530">
        <v>0</v>
      </c>
      <c r="AW2530">
        <v>0</v>
      </c>
      <c r="AX2530">
        <v>9</v>
      </c>
      <c r="AY2530">
        <v>415</v>
      </c>
      <c r="AZ2530">
        <v>415</v>
      </c>
      <c r="BA2530">
        <v>558</v>
      </c>
      <c r="BB2530">
        <v>46</v>
      </c>
      <c r="BD2530">
        <v>1</v>
      </c>
      <c r="BF2530" t="s">
        <v>2724</v>
      </c>
      <c r="BG2530" s="1">
        <v>44354.462500000001</v>
      </c>
      <c r="BH2530" s="1">
        <v>44354.467546296299</v>
      </c>
      <c r="BI2530" s="1">
        <v>44354.468344907407</v>
      </c>
      <c r="BJ2530" t="s">
        <v>85</v>
      </c>
      <c r="BK2530" t="s">
        <v>86</v>
      </c>
      <c r="BL2530" t="s">
        <v>87</v>
      </c>
    </row>
    <row r="2531" spans="1:64" x14ac:dyDescent="0.3">
      <c r="A2531" t="str">
        <f>"201691C0100"</f>
        <v>201691C0100</v>
      </c>
      <c r="B2531" t="str">
        <f>"201691C01003"</f>
        <v>201691C01003</v>
      </c>
      <c r="C2531" t="str">
        <f t="shared" si="164"/>
        <v>20</v>
      </c>
      <c r="D2531" t="s">
        <v>81</v>
      </c>
      <c r="E2531" t="str">
        <f t="shared" si="167"/>
        <v>378</v>
      </c>
      <c r="F2531" t="s">
        <v>2723</v>
      </c>
      <c r="G2531" t="str">
        <f>"1691"</f>
        <v>1691</v>
      </c>
      <c r="H2531" t="str">
        <f>"0001"</f>
        <v>0001</v>
      </c>
      <c r="I2531" t="s">
        <v>89</v>
      </c>
      <c r="J2531">
        <v>0</v>
      </c>
      <c r="K2531">
        <v>1</v>
      </c>
      <c r="L2531">
        <v>3</v>
      </c>
      <c r="M2531">
        <v>177</v>
      </c>
      <c r="N2531">
        <v>426</v>
      </c>
      <c r="O2531">
        <v>6</v>
      </c>
      <c r="P2531">
        <v>426</v>
      </c>
      <c r="Q2531">
        <v>3</v>
      </c>
      <c r="R2531">
        <v>139</v>
      </c>
      <c r="S2531">
        <v>2</v>
      </c>
      <c r="T2531">
        <v>0</v>
      </c>
      <c r="U2531">
        <v>108</v>
      </c>
      <c r="X2531">
        <v>139</v>
      </c>
      <c r="Z2531">
        <v>2</v>
      </c>
      <c r="AB2531">
        <v>3</v>
      </c>
      <c r="AF2531">
        <v>5</v>
      </c>
      <c r="AG2531">
        <v>1</v>
      </c>
      <c r="AH2531">
        <v>0</v>
      </c>
      <c r="AI2531">
        <v>0</v>
      </c>
      <c r="AW2531">
        <v>0</v>
      </c>
      <c r="AX2531">
        <v>24</v>
      </c>
      <c r="AY2531">
        <v>426</v>
      </c>
      <c r="AZ2531">
        <v>426</v>
      </c>
      <c r="BA2531">
        <v>557</v>
      </c>
      <c r="BB2531">
        <v>46</v>
      </c>
      <c r="BD2531">
        <v>1</v>
      </c>
      <c r="BF2531" t="s">
        <v>2725</v>
      </c>
      <c r="BG2531" s="1">
        <v>44354.461111111108</v>
      </c>
      <c r="BH2531" s="1">
        <v>44354.465752314813</v>
      </c>
      <c r="BI2531" s="1">
        <v>44354.466516203705</v>
      </c>
      <c r="BJ2531" t="s">
        <v>85</v>
      </c>
      <c r="BK2531" t="s">
        <v>86</v>
      </c>
      <c r="BL2531" t="s">
        <v>87</v>
      </c>
    </row>
    <row r="2532" spans="1:64" x14ac:dyDescent="0.3">
      <c r="A2532" t="str">
        <f>"201692B0000"</f>
        <v>201692B0000</v>
      </c>
      <c r="B2532" t="str">
        <f>"201692B00003"</f>
        <v>201692B00003</v>
      </c>
      <c r="C2532" t="str">
        <f t="shared" si="164"/>
        <v>20</v>
      </c>
      <c r="D2532" t="s">
        <v>81</v>
      </c>
      <c r="E2532" t="str">
        <f t="shared" si="167"/>
        <v>378</v>
      </c>
      <c r="F2532" t="s">
        <v>2723</v>
      </c>
      <c r="G2532" t="str">
        <f>"1692"</f>
        <v>1692</v>
      </c>
      <c r="H2532" t="str">
        <f>"0000"</f>
        <v>0000</v>
      </c>
      <c r="I2532" t="s">
        <v>83</v>
      </c>
      <c r="J2532">
        <v>0</v>
      </c>
      <c r="K2532">
        <v>1</v>
      </c>
      <c r="L2532">
        <v>3</v>
      </c>
      <c r="M2532">
        <v>157</v>
      </c>
      <c r="N2532">
        <v>425</v>
      </c>
      <c r="O2532">
        <v>10</v>
      </c>
      <c r="P2532">
        <v>425</v>
      </c>
      <c r="Q2532">
        <v>7</v>
      </c>
      <c r="R2532">
        <v>108</v>
      </c>
      <c r="S2532">
        <v>7</v>
      </c>
      <c r="T2532">
        <v>5</v>
      </c>
      <c r="U2532">
        <v>125</v>
      </c>
      <c r="X2532">
        <v>159</v>
      </c>
      <c r="Z2532">
        <v>4</v>
      </c>
      <c r="AB2532">
        <v>1</v>
      </c>
      <c r="AF2532">
        <v>1</v>
      </c>
      <c r="AG2532">
        <v>0</v>
      </c>
      <c r="AH2532">
        <v>0</v>
      </c>
      <c r="AI2532">
        <v>0</v>
      </c>
      <c r="AW2532">
        <v>0</v>
      </c>
      <c r="AX2532">
        <v>8</v>
      </c>
      <c r="AY2532">
        <v>425</v>
      </c>
      <c r="AZ2532">
        <v>425</v>
      </c>
      <c r="BA2532">
        <v>537</v>
      </c>
      <c r="BB2532">
        <v>46</v>
      </c>
      <c r="BD2532">
        <v>1</v>
      </c>
      <c r="BF2532" t="s">
        <v>2726</v>
      </c>
      <c r="BG2532" s="1">
        <v>44354.40625</v>
      </c>
      <c r="BH2532" s="1">
        <v>44354.409745370373</v>
      </c>
      <c r="BI2532" s="1">
        <v>44354.410324074073</v>
      </c>
      <c r="BJ2532" t="s">
        <v>85</v>
      </c>
      <c r="BK2532" t="s">
        <v>86</v>
      </c>
      <c r="BL2532" t="s">
        <v>87</v>
      </c>
    </row>
    <row r="2533" spans="1:64" x14ac:dyDescent="0.3">
      <c r="A2533" t="str">
        <f>"201693B0000"</f>
        <v>201693B0000</v>
      </c>
      <c r="B2533" t="str">
        <f>"201693B00003"</f>
        <v>201693B00003</v>
      </c>
      <c r="C2533" t="str">
        <f t="shared" si="164"/>
        <v>20</v>
      </c>
      <c r="D2533" t="s">
        <v>81</v>
      </c>
      <c r="E2533" t="str">
        <f t="shared" si="167"/>
        <v>378</v>
      </c>
      <c r="F2533" t="s">
        <v>2723</v>
      </c>
      <c r="G2533" t="str">
        <f>"1693"</f>
        <v>1693</v>
      </c>
      <c r="H2533" t="str">
        <f>"0000"</f>
        <v>0000</v>
      </c>
      <c r="I2533" t="s">
        <v>83</v>
      </c>
      <c r="J2533">
        <v>0</v>
      </c>
      <c r="K2533">
        <v>1</v>
      </c>
      <c r="L2533">
        <v>3</v>
      </c>
      <c r="M2533">
        <v>213</v>
      </c>
      <c r="N2533">
        <v>421</v>
      </c>
      <c r="O2533">
        <v>4</v>
      </c>
      <c r="P2533">
        <v>421</v>
      </c>
      <c r="Q2533">
        <v>2</v>
      </c>
      <c r="R2533">
        <v>4</v>
      </c>
      <c r="S2533">
        <v>6</v>
      </c>
      <c r="T2533">
        <v>2</v>
      </c>
      <c r="U2533">
        <v>306</v>
      </c>
      <c r="X2533">
        <v>91</v>
      </c>
      <c r="Z2533">
        <v>1</v>
      </c>
      <c r="AB2533">
        <v>0</v>
      </c>
      <c r="AF2533">
        <v>0</v>
      </c>
      <c r="AG2533">
        <v>0</v>
      </c>
      <c r="AH2533">
        <v>0</v>
      </c>
      <c r="AI2533">
        <v>0</v>
      </c>
      <c r="AW2533">
        <v>0</v>
      </c>
      <c r="AX2533">
        <v>9</v>
      </c>
      <c r="AY2533">
        <v>421</v>
      </c>
      <c r="AZ2533">
        <v>421</v>
      </c>
      <c r="BA2533">
        <v>588</v>
      </c>
      <c r="BB2533">
        <v>46</v>
      </c>
      <c r="BD2533">
        <v>1</v>
      </c>
      <c r="BF2533" t="s">
        <v>2727</v>
      </c>
      <c r="BG2533" s="1">
        <v>44354.40347222222</v>
      </c>
      <c r="BH2533" s="1">
        <v>44354.409166666665</v>
      </c>
      <c r="BI2533" s="1">
        <v>44354.410671296297</v>
      </c>
      <c r="BJ2533" t="s">
        <v>85</v>
      </c>
      <c r="BK2533" t="s">
        <v>86</v>
      </c>
      <c r="BL2533" t="s">
        <v>87</v>
      </c>
    </row>
    <row r="2534" spans="1:64" x14ac:dyDescent="0.3">
      <c r="A2534" t="str">
        <f>"201693E0100"</f>
        <v>201693E0100</v>
      </c>
      <c r="B2534" t="str">
        <f>"201693E01003"</f>
        <v>201693E01003</v>
      </c>
      <c r="C2534" t="str">
        <f t="shared" si="164"/>
        <v>20</v>
      </c>
      <c r="D2534" t="s">
        <v>81</v>
      </c>
      <c r="E2534" t="str">
        <f t="shared" si="167"/>
        <v>378</v>
      </c>
      <c r="F2534" t="s">
        <v>2723</v>
      </c>
      <c r="G2534" t="str">
        <f>"1693"</f>
        <v>1693</v>
      </c>
      <c r="H2534" t="str">
        <f>"0001"</f>
        <v>0001</v>
      </c>
      <c r="I2534" t="s">
        <v>122</v>
      </c>
      <c r="J2534">
        <v>0</v>
      </c>
      <c r="K2534">
        <v>1</v>
      </c>
      <c r="L2534">
        <v>3</v>
      </c>
      <c r="M2534">
        <v>303</v>
      </c>
      <c r="N2534">
        <v>475</v>
      </c>
      <c r="O2534">
        <v>11</v>
      </c>
      <c r="P2534">
        <v>0</v>
      </c>
      <c r="Q2534">
        <v>1</v>
      </c>
      <c r="R2534">
        <v>85</v>
      </c>
      <c r="S2534">
        <v>5</v>
      </c>
      <c r="T2534">
        <v>3</v>
      </c>
      <c r="U2534">
        <v>105</v>
      </c>
      <c r="X2534">
        <v>252</v>
      </c>
      <c r="Z2534">
        <v>3</v>
      </c>
      <c r="AB2534">
        <v>2</v>
      </c>
      <c r="AF2534">
        <v>1</v>
      </c>
      <c r="AG2534">
        <v>0</v>
      </c>
      <c r="AH2534">
        <v>0</v>
      </c>
      <c r="AI2534">
        <v>0</v>
      </c>
      <c r="AW2534">
        <v>0</v>
      </c>
      <c r="AX2534">
        <v>18</v>
      </c>
      <c r="AY2534">
        <v>475</v>
      </c>
      <c r="AZ2534">
        <v>475</v>
      </c>
      <c r="BA2534">
        <v>732</v>
      </c>
      <c r="BB2534">
        <v>46</v>
      </c>
      <c r="BD2534">
        <v>1</v>
      </c>
      <c r="BF2534" t="s">
        <v>2728</v>
      </c>
      <c r="BG2534" s="1">
        <v>44354.461805555555</v>
      </c>
      <c r="BH2534" s="1">
        <v>44354.464120370372</v>
      </c>
      <c r="BI2534" s="1">
        <v>44354.464837962965</v>
      </c>
      <c r="BJ2534" t="s">
        <v>85</v>
      </c>
      <c r="BK2534" t="s">
        <v>86</v>
      </c>
      <c r="BL2534" t="s">
        <v>87</v>
      </c>
    </row>
    <row r="2535" spans="1:64" x14ac:dyDescent="0.3">
      <c r="A2535" t="str">
        <f>"201694B0000"</f>
        <v>201694B0000</v>
      </c>
      <c r="B2535" t="str">
        <f>"201694B00003"</f>
        <v>201694B00003</v>
      </c>
      <c r="C2535" t="str">
        <f t="shared" si="164"/>
        <v>20</v>
      </c>
      <c r="D2535" t="s">
        <v>81</v>
      </c>
      <c r="E2535" t="str">
        <f t="shared" si="167"/>
        <v>378</v>
      </c>
      <c r="F2535" t="s">
        <v>2723</v>
      </c>
      <c r="G2535" t="str">
        <f>"1694"</f>
        <v>1694</v>
      </c>
      <c r="H2535" t="str">
        <f>"0000"</f>
        <v>0000</v>
      </c>
      <c r="I2535" t="s">
        <v>83</v>
      </c>
      <c r="J2535">
        <v>0</v>
      </c>
      <c r="K2535">
        <v>1</v>
      </c>
      <c r="L2535">
        <v>3</v>
      </c>
      <c r="M2535">
        <v>164</v>
      </c>
      <c r="N2535">
        <v>347</v>
      </c>
      <c r="O2535">
        <v>9</v>
      </c>
      <c r="P2535">
        <v>347</v>
      </c>
      <c r="Q2535">
        <v>1</v>
      </c>
      <c r="R2535">
        <v>133</v>
      </c>
      <c r="S2535">
        <v>8</v>
      </c>
      <c r="T2535">
        <v>3</v>
      </c>
      <c r="U2535">
        <v>118</v>
      </c>
      <c r="X2535">
        <v>57</v>
      </c>
      <c r="Z2535">
        <v>2</v>
      </c>
      <c r="AB2535">
        <v>4</v>
      </c>
      <c r="AF2535">
        <v>1</v>
      </c>
      <c r="AG2535">
        <v>0</v>
      </c>
      <c r="AH2535">
        <v>0</v>
      </c>
      <c r="AI2535">
        <v>0</v>
      </c>
      <c r="AW2535">
        <v>0</v>
      </c>
      <c r="AX2535">
        <v>20</v>
      </c>
      <c r="AY2535">
        <v>347</v>
      </c>
      <c r="AZ2535">
        <v>347</v>
      </c>
      <c r="BA2535">
        <v>465</v>
      </c>
      <c r="BB2535">
        <v>46</v>
      </c>
      <c r="BD2535">
        <v>1</v>
      </c>
      <c r="BF2535" t="s">
        <v>2729</v>
      </c>
      <c r="BG2535" s="1">
        <v>44354.40625</v>
      </c>
      <c r="BH2535" s="1">
        <v>44354.410451388889</v>
      </c>
      <c r="BI2535" s="1">
        <v>44354.410995370374</v>
      </c>
      <c r="BJ2535" t="s">
        <v>85</v>
      </c>
      <c r="BK2535" t="s">
        <v>86</v>
      </c>
      <c r="BL2535" t="s">
        <v>87</v>
      </c>
    </row>
    <row r="2536" spans="1:64" x14ac:dyDescent="0.3">
      <c r="A2536" t="str">
        <f>"201694C0100"</f>
        <v>201694C0100</v>
      </c>
      <c r="B2536" t="str">
        <f>"201694C01003"</f>
        <v>201694C01003</v>
      </c>
      <c r="C2536" t="str">
        <f t="shared" si="164"/>
        <v>20</v>
      </c>
      <c r="D2536" t="s">
        <v>81</v>
      </c>
      <c r="E2536" t="str">
        <f t="shared" si="167"/>
        <v>378</v>
      </c>
      <c r="F2536" t="s">
        <v>2723</v>
      </c>
      <c r="G2536" t="str">
        <f>"1694"</f>
        <v>1694</v>
      </c>
      <c r="H2536" t="str">
        <f>"0001"</f>
        <v>0001</v>
      </c>
      <c r="I2536" t="s">
        <v>89</v>
      </c>
      <c r="J2536">
        <v>0</v>
      </c>
      <c r="K2536">
        <v>1</v>
      </c>
      <c r="L2536">
        <v>3</v>
      </c>
      <c r="M2536">
        <v>172</v>
      </c>
      <c r="N2536">
        <v>338</v>
      </c>
      <c r="O2536">
        <v>5</v>
      </c>
      <c r="P2536">
        <v>338</v>
      </c>
      <c r="Q2536">
        <v>1</v>
      </c>
      <c r="R2536">
        <v>99</v>
      </c>
      <c r="S2536">
        <v>6</v>
      </c>
      <c r="T2536">
        <v>1</v>
      </c>
      <c r="U2536">
        <v>129</v>
      </c>
      <c r="X2536">
        <v>86</v>
      </c>
      <c r="Z2536">
        <v>4</v>
      </c>
      <c r="AB2536">
        <v>3</v>
      </c>
      <c r="AF2536">
        <v>1</v>
      </c>
      <c r="AG2536">
        <v>0</v>
      </c>
      <c r="AH2536">
        <v>0</v>
      </c>
      <c r="AI2536">
        <v>1</v>
      </c>
      <c r="AW2536">
        <v>0</v>
      </c>
      <c r="AX2536">
        <v>7</v>
      </c>
      <c r="AY2536">
        <v>338</v>
      </c>
      <c r="AZ2536">
        <v>338</v>
      </c>
      <c r="BA2536">
        <v>464</v>
      </c>
      <c r="BB2536">
        <v>46</v>
      </c>
      <c r="BD2536">
        <v>1</v>
      </c>
      <c r="BF2536" t="s">
        <v>2730</v>
      </c>
      <c r="BG2536" s="1">
        <v>44354.463194444441</v>
      </c>
      <c r="BH2536" s="1">
        <v>44354.465856481482</v>
      </c>
      <c r="BI2536" s="1">
        <v>44354.466365740744</v>
      </c>
      <c r="BJ2536" t="s">
        <v>85</v>
      </c>
      <c r="BK2536" t="s">
        <v>86</v>
      </c>
      <c r="BL2536" t="s">
        <v>87</v>
      </c>
    </row>
    <row r="2537" spans="1:64" x14ac:dyDescent="0.3">
      <c r="A2537" t="str">
        <f>"201695B0000"</f>
        <v>201695B0000</v>
      </c>
      <c r="B2537" t="str">
        <f>"201695B00003"</f>
        <v>201695B00003</v>
      </c>
      <c r="C2537" t="str">
        <f t="shared" si="164"/>
        <v>20</v>
      </c>
      <c r="D2537" t="s">
        <v>81</v>
      </c>
      <c r="E2537" t="str">
        <f t="shared" si="167"/>
        <v>378</v>
      </c>
      <c r="F2537" t="s">
        <v>2723</v>
      </c>
      <c r="G2537" t="str">
        <f>"1695"</f>
        <v>1695</v>
      </c>
      <c r="H2537" t="str">
        <f>"0000"</f>
        <v>0000</v>
      </c>
      <c r="I2537" t="s">
        <v>83</v>
      </c>
      <c r="J2537">
        <v>0</v>
      </c>
      <c r="K2537">
        <v>1</v>
      </c>
      <c r="L2537">
        <v>3</v>
      </c>
      <c r="M2537">
        <v>215</v>
      </c>
      <c r="N2537">
        <v>494</v>
      </c>
      <c r="O2537">
        <v>10</v>
      </c>
      <c r="P2537">
        <v>494</v>
      </c>
      <c r="Q2537">
        <v>4</v>
      </c>
      <c r="R2537">
        <v>143</v>
      </c>
      <c r="S2537">
        <v>9</v>
      </c>
      <c r="T2537">
        <v>0</v>
      </c>
      <c r="U2537">
        <v>84</v>
      </c>
      <c r="X2537">
        <v>195</v>
      </c>
      <c r="Z2537">
        <v>4</v>
      </c>
      <c r="AB2537">
        <v>0</v>
      </c>
      <c r="AF2537">
        <v>4</v>
      </c>
      <c r="AG2537">
        <v>0</v>
      </c>
      <c r="AH2537">
        <v>0</v>
      </c>
      <c r="AI2537">
        <v>1</v>
      </c>
      <c r="AW2537">
        <v>0</v>
      </c>
      <c r="AX2537">
        <v>25</v>
      </c>
      <c r="AY2537" t="s">
        <v>95</v>
      </c>
      <c r="AZ2537">
        <v>469</v>
      </c>
      <c r="BA2537">
        <v>663</v>
      </c>
      <c r="BB2537">
        <v>46</v>
      </c>
      <c r="BD2537">
        <v>1</v>
      </c>
      <c r="BF2537" t="s">
        <v>2731</v>
      </c>
      <c r="BG2537" s="1">
        <v>44354.402083333334</v>
      </c>
      <c r="BH2537" s="1">
        <v>44354.406469907408</v>
      </c>
      <c r="BI2537" s="1">
        <v>44354.407199074078</v>
      </c>
      <c r="BJ2537" t="s">
        <v>85</v>
      </c>
      <c r="BK2537" t="s">
        <v>86</v>
      </c>
      <c r="BL2537" t="s">
        <v>87</v>
      </c>
    </row>
    <row r="2538" spans="1:64" x14ac:dyDescent="0.3">
      <c r="A2538" t="str">
        <f>"201695E0100"</f>
        <v>201695E0100</v>
      </c>
      <c r="B2538" t="str">
        <f>"201695E01003"</f>
        <v>201695E01003</v>
      </c>
      <c r="C2538" t="str">
        <f t="shared" si="164"/>
        <v>20</v>
      </c>
      <c r="D2538" t="s">
        <v>81</v>
      </c>
      <c r="E2538" t="str">
        <f t="shared" si="167"/>
        <v>378</v>
      </c>
      <c r="F2538" t="s">
        <v>2723</v>
      </c>
      <c r="G2538" t="str">
        <f>"1695"</f>
        <v>1695</v>
      </c>
      <c r="H2538" t="str">
        <f>"0001"</f>
        <v>0001</v>
      </c>
      <c r="I2538" t="s">
        <v>122</v>
      </c>
      <c r="J2538">
        <v>0</v>
      </c>
      <c r="K2538">
        <v>1</v>
      </c>
      <c r="L2538">
        <v>3</v>
      </c>
      <c r="M2538">
        <v>91</v>
      </c>
      <c r="N2538">
        <v>225</v>
      </c>
      <c r="O2538">
        <v>3</v>
      </c>
      <c r="P2538">
        <v>225</v>
      </c>
      <c r="Q2538">
        <v>3</v>
      </c>
      <c r="R2538">
        <v>118</v>
      </c>
      <c r="S2538">
        <v>4</v>
      </c>
      <c r="T2538">
        <v>1</v>
      </c>
      <c r="U2538">
        <v>62</v>
      </c>
      <c r="X2538">
        <v>26</v>
      </c>
      <c r="Z2538">
        <v>2</v>
      </c>
      <c r="AB2538">
        <v>0</v>
      </c>
      <c r="AF2538">
        <v>0</v>
      </c>
      <c r="AG2538">
        <v>0</v>
      </c>
      <c r="AH2538">
        <v>0</v>
      </c>
      <c r="AI2538">
        <v>2</v>
      </c>
      <c r="AW2538">
        <v>0</v>
      </c>
      <c r="AX2538">
        <v>7</v>
      </c>
      <c r="AY2538">
        <v>225</v>
      </c>
      <c r="AZ2538">
        <v>225</v>
      </c>
      <c r="BA2538">
        <v>270</v>
      </c>
      <c r="BB2538">
        <v>46</v>
      </c>
      <c r="BD2538">
        <v>1</v>
      </c>
      <c r="BF2538" s="2" t="s">
        <v>2732</v>
      </c>
      <c r="BG2538" s="1">
        <v>44354.402083333334</v>
      </c>
      <c r="BH2538" s="1">
        <v>44354.405972222223</v>
      </c>
      <c r="BI2538" s="1">
        <v>44354.406678240739</v>
      </c>
      <c r="BJ2538" t="s">
        <v>85</v>
      </c>
      <c r="BK2538" t="s">
        <v>86</v>
      </c>
      <c r="BL2538" t="s">
        <v>87</v>
      </c>
    </row>
    <row r="2539" spans="1:64" x14ac:dyDescent="0.3">
      <c r="A2539" t="str">
        <f>"201696B0000"</f>
        <v>201696B0000</v>
      </c>
      <c r="B2539" t="str">
        <f>"201696B00003"</f>
        <v>201696B00003</v>
      </c>
      <c r="C2539" t="str">
        <f t="shared" si="164"/>
        <v>20</v>
      </c>
      <c r="D2539" t="s">
        <v>81</v>
      </c>
      <c r="E2539" t="str">
        <f t="shared" si="167"/>
        <v>378</v>
      </c>
      <c r="F2539" t="s">
        <v>2723</v>
      </c>
      <c r="G2539" t="str">
        <f>"1696"</f>
        <v>1696</v>
      </c>
      <c r="H2539" t="str">
        <f>"0000"</f>
        <v>0000</v>
      </c>
      <c r="I2539" t="s">
        <v>83</v>
      </c>
      <c r="J2539">
        <v>0</v>
      </c>
      <c r="K2539">
        <v>1</v>
      </c>
      <c r="L2539">
        <v>3</v>
      </c>
      <c r="M2539">
        <v>119</v>
      </c>
      <c r="N2539">
        <v>277</v>
      </c>
      <c r="O2539" t="s">
        <v>92</v>
      </c>
      <c r="P2539">
        <v>277</v>
      </c>
      <c r="Q2539">
        <v>6</v>
      </c>
      <c r="R2539">
        <v>48</v>
      </c>
      <c r="S2539">
        <v>4</v>
      </c>
      <c r="T2539">
        <v>0</v>
      </c>
      <c r="U2539">
        <v>76</v>
      </c>
      <c r="X2539">
        <v>131</v>
      </c>
      <c r="Z2539">
        <v>3</v>
      </c>
      <c r="AB2539">
        <v>1</v>
      </c>
      <c r="AF2539" t="s">
        <v>95</v>
      </c>
      <c r="AG2539" t="s">
        <v>95</v>
      </c>
      <c r="AH2539" t="s">
        <v>95</v>
      </c>
      <c r="AI2539" t="s">
        <v>95</v>
      </c>
      <c r="AW2539" t="s">
        <v>95</v>
      </c>
      <c r="AX2539">
        <v>8</v>
      </c>
      <c r="AY2539">
        <v>277</v>
      </c>
      <c r="AZ2539">
        <v>277</v>
      </c>
      <c r="BA2539">
        <v>350</v>
      </c>
      <c r="BB2539">
        <v>46</v>
      </c>
      <c r="BC2539" t="s">
        <v>96</v>
      </c>
      <c r="BD2539">
        <v>1</v>
      </c>
      <c r="BF2539" t="s">
        <v>2733</v>
      </c>
      <c r="BG2539" s="1">
        <v>44354.459722222222</v>
      </c>
      <c r="BH2539" s="1">
        <v>44354.462175925924</v>
      </c>
      <c r="BI2539" s="1">
        <v>44354.462881944448</v>
      </c>
      <c r="BJ2539" t="s">
        <v>85</v>
      </c>
      <c r="BK2539" t="s">
        <v>86</v>
      </c>
      <c r="BL2539" t="s">
        <v>87</v>
      </c>
    </row>
    <row r="2540" spans="1:64" x14ac:dyDescent="0.3">
      <c r="A2540" t="str">
        <f>"201696E0100"</f>
        <v>201696E0100</v>
      </c>
      <c r="B2540" t="str">
        <f>"201696E01003"</f>
        <v>201696E01003</v>
      </c>
      <c r="C2540" t="str">
        <f t="shared" si="164"/>
        <v>20</v>
      </c>
      <c r="D2540" t="s">
        <v>81</v>
      </c>
      <c r="E2540" t="str">
        <f t="shared" si="167"/>
        <v>378</v>
      </c>
      <c r="F2540" t="s">
        <v>2723</v>
      </c>
      <c r="G2540" t="str">
        <f>"1696"</f>
        <v>1696</v>
      </c>
      <c r="H2540" t="str">
        <f>"0001"</f>
        <v>0001</v>
      </c>
      <c r="I2540" t="s">
        <v>122</v>
      </c>
      <c r="J2540">
        <v>0</v>
      </c>
      <c r="K2540">
        <v>1</v>
      </c>
      <c r="L2540">
        <v>3</v>
      </c>
      <c r="M2540">
        <v>96</v>
      </c>
      <c r="N2540">
        <v>229</v>
      </c>
      <c r="O2540">
        <v>7</v>
      </c>
      <c r="P2540">
        <v>229</v>
      </c>
      <c r="Q2540">
        <v>5</v>
      </c>
      <c r="R2540">
        <v>79</v>
      </c>
      <c r="S2540">
        <v>1</v>
      </c>
      <c r="T2540">
        <v>2</v>
      </c>
      <c r="U2540">
        <v>45</v>
      </c>
      <c r="X2540">
        <v>91</v>
      </c>
      <c r="Z2540">
        <v>0</v>
      </c>
      <c r="AB2540">
        <v>2</v>
      </c>
      <c r="AF2540">
        <v>1</v>
      </c>
      <c r="AG2540">
        <v>0</v>
      </c>
      <c r="AH2540">
        <v>0</v>
      </c>
      <c r="AI2540">
        <v>1</v>
      </c>
      <c r="AW2540" t="s">
        <v>95</v>
      </c>
      <c r="AX2540">
        <v>2</v>
      </c>
      <c r="AY2540">
        <v>229</v>
      </c>
      <c r="AZ2540">
        <v>229</v>
      </c>
      <c r="BA2540">
        <v>279</v>
      </c>
      <c r="BB2540">
        <v>46</v>
      </c>
      <c r="BC2540" t="s">
        <v>96</v>
      </c>
      <c r="BD2540">
        <v>1</v>
      </c>
      <c r="BF2540" t="s">
        <v>2734</v>
      </c>
      <c r="BG2540" s="1">
        <v>44354.457638888889</v>
      </c>
      <c r="BH2540" s="1">
        <v>44354.460752314815</v>
      </c>
      <c r="BI2540" s="1">
        <v>44354.461053240739</v>
      </c>
      <c r="BJ2540" t="s">
        <v>85</v>
      </c>
      <c r="BK2540" t="s">
        <v>86</v>
      </c>
      <c r="BL2540" t="s">
        <v>87</v>
      </c>
    </row>
    <row r="2541" spans="1:64" x14ac:dyDescent="0.3">
      <c r="A2541" t="str">
        <f>"201697B0000"</f>
        <v>201697B0000</v>
      </c>
      <c r="B2541" t="str">
        <f>"201697B00003"</f>
        <v>201697B00003</v>
      </c>
      <c r="C2541" t="str">
        <f t="shared" si="164"/>
        <v>20</v>
      </c>
      <c r="D2541" t="s">
        <v>81</v>
      </c>
      <c r="E2541" t="str">
        <f t="shared" si="167"/>
        <v>378</v>
      </c>
      <c r="F2541" t="s">
        <v>2723</v>
      </c>
      <c r="G2541" t="str">
        <f>"1697"</f>
        <v>1697</v>
      </c>
      <c r="H2541" t="str">
        <f>"0000"</f>
        <v>0000</v>
      </c>
      <c r="I2541" t="s">
        <v>83</v>
      </c>
      <c r="J2541">
        <v>0</v>
      </c>
      <c r="K2541">
        <v>1</v>
      </c>
      <c r="L2541">
        <v>3</v>
      </c>
      <c r="M2541">
        <v>228</v>
      </c>
      <c r="N2541">
        <v>270</v>
      </c>
      <c r="O2541">
        <v>2</v>
      </c>
      <c r="P2541">
        <v>270</v>
      </c>
      <c r="Q2541">
        <v>0</v>
      </c>
      <c r="R2541">
        <v>106</v>
      </c>
      <c r="S2541">
        <v>3</v>
      </c>
      <c r="T2541">
        <v>2</v>
      </c>
      <c r="U2541">
        <v>74</v>
      </c>
      <c r="X2541">
        <v>80</v>
      </c>
      <c r="Z2541">
        <v>0</v>
      </c>
      <c r="AB2541">
        <v>0</v>
      </c>
      <c r="AF2541">
        <v>1</v>
      </c>
      <c r="AG2541">
        <v>0</v>
      </c>
      <c r="AH2541">
        <v>0</v>
      </c>
      <c r="AI2541">
        <v>1</v>
      </c>
      <c r="AW2541">
        <v>0</v>
      </c>
      <c r="AX2541">
        <v>3</v>
      </c>
      <c r="AY2541">
        <v>270</v>
      </c>
      <c r="AZ2541">
        <v>270</v>
      </c>
      <c r="BA2541">
        <v>452</v>
      </c>
      <c r="BB2541">
        <v>46</v>
      </c>
      <c r="BD2541">
        <v>1</v>
      </c>
      <c r="BF2541" t="s">
        <v>2735</v>
      </c>
      <c r="BG2541" s="1">
        <v>44354.452777777777</v>
      </c>
      <c r="BH2541" s="1">
        <v>44354.455335648148</v>
      </c>
      <c r="BI2541" s="1">
        <v>44354.455937500003</v>
      </c>
      <c r="BJ2541" t="s">
        <v>85</v>
      </c>
      <c r="BK2541" t="s">
        <v>86</v>
      </c>
      <c r="BL2541" t="s">
        <v>87</v>
      </c>
    </row>
    <row r="2542" spans="1:64" x14ac:dyDescent="0.3">
      <c r="A2542" t="str">
        <f>"201697C0100"</f>
        <v>201697C0100</v>
      </c>
      <c r="B2542" t="str">
        <f>"201697C01003"</f>
        <v>201697C01003</v>
      </c>
      <c r="C2542" t="str">
        <f t="shared" si="164"/>
        <v>20</v>
      </c>
      <c r="D2542" t="s">
        <v>81</v>
      </c>
      <c r="E2542" t="str">
        <f t="shared" si="167"/>
        <v>378</v>
      </c>
      <c r="F2542" t="s">
        <v>2723</v>
      </c>
      <c r="G2542" t="str">
        <f>"1697"</f>
        <v>1697</v>
      </c>
      <c r="H2542" t="str">
        <f>"0001"</f>
        <v>0001</v>
      </c>
      <c r="I2542" t="s">
        <v>89</v>
      </c>
      <c r="J2542">
        <v>0</v>
      </c>
      <c r="K2542">
        <v>1</v>
      </c>
      <c r="L2542">
        <v>3</v>
      </c>
      <c r="M2542">
        <v>200</v>
      </c>
      <c r="N2542">
        <v>297</v>
      </c>
      <c r="O2542">
        <v>0</v>
      </c>
      <c r="P2542">
        <v>297</v>
      </c>
      <c r="Q2542">
        <v>1</v>
      </c>
      <c r="R2542">
        <v>96</v>
      </c>
      <c r="S2542">
        <v>3</v>
      </c>
      <c r="T2542" t="s">
        <v>95</v>
      </c>
      <c r="U2542">
        <v>68</v>
      </c>
      <c r="X2542">
        <v>118</v>
      </c>
      <c r="Z2542">
        <v>2</v>
      </c>
      <c r="AB2542" t="s">
        <v>95</v>
      </c>
      <c r="AF2542">
        <v>2</v>
      </c>
      <c r="AG2542" t="s">
        <v>95</v>
      </c>
      <c r="AH2542" t="s">
        <v>95</v>
      </c>
      <c r="AI2542" t="s">
        <v>95</v>
      </c>
      <c r="AW2542" t="s">
        <v>95</v>
      </c>
      <c r="AX2542">
        <v>7</v>
      </c>
      <c r="AY2542">
        <v>297</v>
      </c>
      <c r="AZ2542">
        <v>297</v>
      </c>
      <c r="BA2542">
        <v>451</v>
      </c>
      <c r="BB2542">
        <v>46</v>
      </c>
      <c r="BC2542" t="s">
        <v>96</v>
      </c>
      <c r="BD2542">
        <v>1</v>
      </c>
      <c r="BF2542" t="s">
        <v>2736</v>
      </c>
      <c r="BG2542" s="1">
        <v>44354.402777777781</v>
      </c>
      <c r="BH2542" s="1">
        <v>44354.405648148146</v>
      </c>
      <c r="BI2542" s="1">
        <v>44354.4062962963</v>
      </c>
      <c r="BJ2542" t="s">
        <v>85</v>
      </c>
      <c r="BK2542" t="s">
        <v>86</v>
      </c>
      <c r="BL2542" t="s">
        <v>87</v>
      </c>
    </row>
    <row r="2543" spans="1:64" x14ac:dyDescent="0.3">
      <c r="A2543" t="str">
        <f>"201698B0000"</f>
        <v>201698B0000</v>
      </c>
      <c r="B2543" t="str">
        <f>"201698B00003"</f>
        <v>201698B00003</v>
      </c>
      <c r="C2543" t="str">
        <f t="shared" si="164"/>
        <v>20</v>
      </c>
      <c r="D2543" t="s">
        <v>81</v>
      </c>
      <c r="E2543" t="str">
        <f t="shared" si="167"/>
        <v>378</v>
      </c>
      <c r="F2543" t="s">
        <v>2723</v>
      </c>
      <c r="G2543" t="str">
        <f>"1698"</f>
        <v>1698</v>
      </c>
      <c r="H2543" t="str">
        <f>"0000"</f>
        <v>0000</v>
      </c>
      <c r="I2543" t="s">
        <v>83</v>
      </c>
      <c r="J2543">
        <v>0</v>
      </c>
      <c r="K2543">
        <v>1</v>
      </c>
      <c r="L2543">
        <v>3</v>
      </c>
      <c r="M2543">
        <v>284</v>
      </c>
      <c r="N2543">
        <v>432</v>
      </c>
      <c r="O2543">
        <v>2</v>
      </c>
      <c r="P2543" t="s">
        <v>92</v>
      </c>
      <c r="Q2543">
        <v>2</v>
      </c>
      <c r="R2543">
        <v>129</v>
      </c>
      <c r="S2543">
        <v>15</v>
      </c>
      <c r="T2543">
        <v>2</v>
      </c>
      <c r="U2543">
        <v>134</v>
      </c>
      <c r="X2543">
        <v>123</v>
      </c>
      <c r="Z2543">
        <v>3</v>
      </c>
      <c r="AB2543">
        <v>0</v>
      </c>
      <c r="AF2543">
        <v>8</v>
      </c>
      <c r="AG2543">
        <v>0</v>
      </c>
      <c r="AH2543">
        <v>0</v>
      </c>
      <c r="AI2543">
        <v>1</v>
      </c>
      <c r="AW2543">
        <v>0</v>
      </c>
      <c r="AX2543">
        <v>15</v>
      </c>
      <c r="AY2543">
        <v>432</v>
      </c>
      <c r="AZ2543">
        <v>432</v>
      </c>
      <c r="BA2543">
        <v>670</v>
      </c>
      <c r="BB2543">
        <v>46</v>
      </c>
      <c r="BD2543">
        <v>1</v>
      </c>
      <c r="BF2543" t="s">
        <v>2737</v>
      </c>
      <c r="BG2543" s="1">
        <v>44354.404861111114</v>
      </c>
      <c r="BH2543" s="1">
        <v>44354.407708333332</v>
      </c>
      <c r="BI2543" s="1">
        <v>44354.408113425925</v>
      </c>
      <c r="BJ2543" t="s">
        <v>85</v>
      </c>
      <c r="BK2543" t="s">
        <v>86</v>
      </c>
      <c r="BL2543" t="s">
        <v>87</v>
      </c>
    </row>
    <row r="2544" spans="1:64" x14ac:dyDescent="0.3">
      <c r="A2544" t="str">
        <f>"201698C0100"</f>
        <v>201698C0100</v>
      </c>
      <c r="B2544" t="str">
        <f>"201698C01003"</f>
        <v>201698C01003</v>
      </c>
      <c r="C2544" t="str">
        <f t="shared" si="164"/>
        <v>20</v>
      </c>
      <c r="D2544" t="s">
        <v>81</v>
      </c>
      <c r="E2544" t="str">
        <f t="shared" si="167"/>
        <v>378</v>
      </c>
      <c r="F2544" t="s">
        <v>2723</v>
      </c>
      <c r="G2544" t="str">
        <f>"1698"</f>
        <v>1698</v>
      </c>
      <c r="H2544" t="str">
        <f>"0001"</f>
        <v>0001</v>
      </c>
      <c r="I2544" t="s">
        <v>89</v>
      </c>
      <c r="J2544">
        <v>0</v>
      </c>
      <c r="K2544">
        <v>1</v>
      </c>
      <c r="L2544">
        <v>3</v>
      </c>
      <c r="M2544">
        <v>296</v>
      </c>
      <c r="N2544">
        <v>420</v>
      </c>
      <c r="O2544">
        <v>3</v>
      </c>
      <c r="P2544">
        <v>420</v>
      </c>
      <c r="Q2544">
        <v>3</v>
      </c>
      <c r="R2544">
        <v>155</v>
      </c>
      <c r="S2544">
        <v>14</v>
      </c>
      <c r="T2544">
        <v>1</v>
      </c>
      <c r="U2544">
        <v>96</v>
      </c>
      <c r="X2544">
        <v>127</v>
      </c>
      <c r="Z2544">
        <v>6</v>
      </c>
      <c r="AB2544">
        <v>1</v>
      </c>
      <c r="AF2544">
        <v>8</v>
      </c>
      <c r="AG2544">
        <v>1</v>
      </c>
      <c r="AH2544">
        <v>0</v>
      </c>
      <c r="AI2544">
        <v>0</v>
      </c>
      <c r="AW2544">
        <v>0</v>
      </c>
      <c r="AX2544">
        <v>8</v>
      </c>
      <c r="AY2544">
        <v>420</v>
      </c>
      <c r="AZ2544">
        <v>420</v>
      </c>
      <c r="BA2544">
        <v>670</v>
      </c>
      <c r="BB2544">
        <v>46</v>
      </c>
      <c r="BD2544">
        <v>1</v>
      </c>
      <c r="BF2544" t="s">
        <v>2738</v>
      </c>
      <c r="BG2544" s="1">
        <v>44354.400694444441</v>
      </c>
      <c r="BH2544" s="1">
        <v>44354.407187500001</v>
      </c>
      <c r="BI2544" s="1">
        <v>44354.407604166663</v>
      </c>
      <c r="BJ2544" t="s">
        <v>85</v>
      </c>
      <c r="BK2544" t="s">
        <v>86</v>
      </c>
      <c r="BL2544" t="s">
        <v>87</v>
      </c>
    </row>
    <row r="2545" spans="1:64" x14ac:dyDescent="0.3">
      <c r="A2545" t="str">
        <f>"201698E0100"</f>
        <v>201698E0100</v>
      </c>
      <c r="B2545" t="str">
        <f>"201698E01003"</f>
        <v>201698E01003</v>
      </c>
      <c r="C2545" t="str">
        <f t="shared" si="164"/>
        <v>20</v>
      </c>
      <c r="D2545" t="s">
        <v>81</v>
      </c>
      <c r="E2545" t="str">
        <f t="shared" si="167"/>
        <v>378</v>
      </c>
      <c r="F2545" t="s">
        <v>2723</v>
      </c>
      <c r="G2545" t="str">
        <f>"1698"</f>
        <v>1698</v>
      </c>
      <c r="H2545" t="str">
        <f>"0001"</f>
        <v>0001</v>
      </c>
      <c r="I2545" t="s">
        <v>122</v>
      </c>
      <c r="J2545">
        <v>0</v>
      </c>
      <c r="K2545">
        <v>1</v>
      </c>
      <c r="L2545">
        <v>3</v>
      </c>
      <c r="M2545">
        <v>121</v>
      </c>
      <c r="N2545">
        <v>200</v>
      </c>
      <c r="O2545">
        <v>1</v>
      </c>
      <c r="P2545">
        <v>200</v>
      </c>
      <c r="Q2545">
        <v>0</v>
      </c>
      <c r="R2545">
        <v>24</v>
      </c>
      <c r="S2545">
        <v>2</v>
      </c>
      <c r="T2545">
        <v>0</v>
      </c>
      <c r="U2545">
        <v>147</v>
      </c>
      <c r="X2545">
        <v>23</v>
      </c>
      <c r="Z2545">
        <v>1</v>
      </c>
      <c r="AB2545">
        <v>0</v>
      </c>
      <c r="AF2545">
        <v>0</v>
      </c>
      <c r="AG2545">
        <v>0</v>
      </c>
      <c r="AH2545">
        <v>0</v>
      </c>
      <c r="AI2545">
        <v>1</v>
      </c>
      <c r="AW2545">
        <v>0</v>
      </c>
      <c r="AX2545">
        <v>2</v>
      </c>
      <c r="AY2545">
        <v>200</v>
      </c>
      <c r="AZ2545">
        <v>200</v>
      </c>
      <c r="BA2545">
        <v>277</v>
      </c>
      <c r="BB2545">
        <v>46</v>
      </c>
      <c r="BD2545">
        <v>1</v>
      </c>
      <c r="BF2545" t="s">
        <v>2739</v>
      </c>
      <c r="BG2545" s="1">
        <v>44354.45208333333</v>
      </c>
      <c r="BH2545" s="1">
        <v>44354.454699074071</v>
      </c>
      <c r="BI2545" s="1">
        <v>44354.45517361111</v>
      </c>
      <c r="BJ2545" t="s">
        <v>85</v>
      </c>
      <c r="BK2545" t="s">
        <v>86</v>
      </c>
      <c r="BL2545" t="s">
        <v>87</v>
      </c>
    </row>
    <row r="2546" spans="1:64" x14ac:dyDescent="0.3">
      <c r="A2546" t="str">
        <f>"201704B0000"</f>
        <v>201704B0000</v>
      </c>
      <c r="B2546" t="str">
        <f>"201704B00003"</f>
        <v>201704B00003</v>
      </c>
      <c r="C2546" t="str">
        <f t="shared" si="164"/>
        <v>20</v>
      </c>
      <c r="D2546" t="s">
        <v>81</v>
      </c>
      <c r="E2546" t="str">
        <f>"382"</f>
        <v>382</v>
      </c>
      <c r="F2546" t="s">
        <v>2740</v>
      </c>
      <c r="G2546" t="str">
        <f>"1704"</f>
        <v>1704</v>
      </c>
      <c r="H2546" t="str">
        <f>"0000"</f>
        <v>0000</v>
      </c>
      <c r="I2546" t="s">
        <v>83</v>
      </c>
      <c r="J2546">
        <v>0</v>
      </c>
      <c r="K2546">
        <v>1</v>
      </c>
      <c r="L2546">
        <v>3</v>
      </c>
      <c r="M2546">
        <v>189</v>
      </c>
      <c r="N2546">
        <v>334</v>
      </c>
      <c r="O2546">
        <v>6</v>
      </c>
      <c r="P2546">
        <v>334</v>
      </c>
      <c r="Q2546">
        <v>2</v>
      </c>
      <c r="R2546">
        <v>1</v>
      </c>
      <c r="S2546">
        <v>32</v>
      </c>
      <c r="T2546">
        <v>45</v>
      </c>
      <c r="U2546">
        <v>0</v>
      </c>
      <c r="V2546">
        <v>101</v>
      </c>
      <c r="X2546">
        <v>12</v>
      </c>
      <c r="Y2546">
        <v>0</v>
      </c>
      <c r="Z2546">
        <v>90</v>
      </c>
      <c r="AB2546">
        <v>42</v>
      </c>
      <c r="AF2546">
        <v>0</v>
      </c>
      <c r="AG2546">
        <v>0</v>
      </c>
      <c r="AH2546">
        <v>0</v>
      </c>
      <c r="AI2546">
        <v>0</v>
      </c>
      <c r="AU2546">
        <v>1</v>
      </c>
      <c r="AW2546">
        <v>0</v>
      </c>
      <c r="AX2546">
        <v>8</v>
      </c>
      <c r="AY2546">
        <v>334</v>
      </c>
      <c r="AZ2546">
        <v>334</v>
      </c>
      <c r="BA2546">
        <v>479</v>
      </c>
      <c r="BB2546">
        <v>44</v>
      </c>
      <c r="BD2546">
        <v>1</v>
      </c>
      <c r="BF2546" t="s">
        <v>2741</v>
      </c>
      <c r="BG2546" s="1">
        <v>44354.395138888889</v>
      </c>
      <c r="BH2546" s="1">
        <v>44354.397164351853</v>
      </c>
      <c r="BI2546" s="1">
        <v>44354.397592592592</v>
      </c>
      <c r="BJ2546" t="s">
        <v>85</v>
      </c>
      <c r="BK2546" t="s">
        <v>86</v>
      </c>
      <c r="BL2546" t="s">
        <v>87</v>
      </c>
    </row>
    <row r="2547" spans="1:64" x14ac:dyDescent="0.3">
      <c r="A2547" t="str">
        <f>"201704C0100"</f>
        <v>201704C0100</v>
      </c>
      <c r="B2547" t="str">
        <f>"201704C01003"</f>
        <v>201704C01003</v>
      </c>
      <c r="C2547" t="str">
        <f t="shared" si="164"/>
        <v>20</v>
      </c>
      <c r="D2547" t="s">
        <v>81</v>
      </c>
      <c r="E2547" t="str">
        <f>"382"</f>
        <v>382</v>
      </c>
      <c r="F2547" t="s">
        <v>2740</v>
      </c>
      <c r="G2547" t="str">
        <f>"1704"</f>
        <v>1704</v>
      </c>
      <c r="H2547" t="str">
        <f>"0001"</f>
        <v>0001</v>
      </c>
      <c r="I2547" t="s">
        <v>89</v>
      </c>
      <c r="J2547">
        <v>0</v>
      </c>
      <c r="K2547">
        <v>1</v>
      </c>
      <c r="L2547">
        <v>3</v>
      </c>
      <c r="M2547">
        <v>191</v>
      </c>
      <c r="N2547">
        <v>331</v>
      </c>
      <c r="O2547">
        <v>2</v>
      </c>
      <c r="P2547" t="s">
        <v>92</v>
      </c>
      <c r="Q2547">
        <v>0</v>
      </c>
      <c r="R2547">
        <v>4</v>
      </c>
      <c r="S2547">
        <v>24</v>
      </c>
      <c r="T2547">
        <v>37</v>
      </c>
      <c r="U2547">
        <v>1</v>
      </c>
      <c r="V2547">
        <v>114</v>
      </c>
      <c r="X2547">
        <v>9</v>
      </c>
      <c r="Y2547">
        <v>0</v>
      </c>
      <c r="Z2547">
        <v>82</v>
      </c>
      <c r="AB2547">
        <v>47</v>
      </c>
      <c r="AF2547">
        <v>0</v>
      </c>
      <c r="AG2547">
        <v>0</v>
      </c>
      <c r="AH2547">
        <v>0</v>
      </c>
      <c r="AI2547">
        <v>0</v>
      </c>
      <c r="AU2547">
        <v>0</v>
      </c>
      <c r="AW2547">
        <v>0</v>
      </c>
      <c r="AX2547">
        <v>13</v>
      </c>
      <c r="AY2547">
        <v>331</v>
      </c>
      <c r="AZ2547">
        <v>331</v>
      </c>
      <c r="BA2547">
        <v>478</v>
      </c>
      <c r="BB2547">
        <v>44</v>
      </c>
      <c r="BD2547">
        <v>1</v>
      </c>
      <c r="BF2547" t="s">
        <v>2742</v>
      </c>
      <c r="BG2547" s="1">
        <v>44354.395138888889</v>
      </c>
      <c r="BH2547" s="1">
        <v>44354.408449074072</v>
      </c>
      <c r="BI2547" s="1">
        <v>44354.409097222226</v>
      </c>
      <c r="BJ2547" t="s">
        <v>85</v>
      </c>
      <c r="BK2547" t="s">
        <v>86</v>
      </c>
      <c r="BL2547" t="s">
        <v>87</v>
      </c>
    </row>
    <row r="2548" spans="1:64" x14ac:dyDescent="0.3">
      <c r="A2548" t="str">
        <f>"201705B0000"</f>
        <v>201705B0000</v>
      </c>
      <c r="B2548" t="str">
        <f>"201705B00003"</f>
        <v>201705B00003</v>
      </c>
      <c r="C2548" t="str">
        <f t="shared" si="164"/>
        <v>20</v>
      </c>
      <c r="D2548" t="s">
        <v>81</v>
      </c>
      <c r="E2548" t="str">
        <f>"382"</f>
        <v>382</v>
      </c>
      <c r="F2548" t="s">
        <v>2740</v>
      </c>
      <c r="G2548" t="str">
        <f>"1705"</f>
        <v>1705</v>
      </c>
      <c r="H2548" t="str">
        <f>"0000"</f>
        <v>0000</v>
      </c>
      <c r="I2548" t="s">
        <v>83</v>
      </c>
      <c r="J2548">
        <v>0</v>
      </c>
      <c r="K2548">
        <v>1</v>
      </c>
      <c r="L2548">
        <v>3</v>
      </c>
      <c r="M2548">
        <v>187</v>
      </c>
      <c r="N2548">
        <v>248</v>
      </c>
      <c r="O2548">
        <v>0</v>
      </c>
      <c r="P2548">
        <v>248</v>
      </c>
      <c r="Q2548">
        <v>0</v>
      </c>
      <c r="R2548">
        <v>3</v>
      </c>
      <c r="S2548">
        <v>7</v>
      </c>
      <c r="T2548">
        <v>36</v>
      </c>
      <c r="U2548">
        <v>1</v>
      </c>
      <c r="V2548">
        <v>75</v>
      </c>
      <c r="X2548">
        <v>10</v>
      </c>
      <c r="Y2548">
        <v>0</v>
      </c>
      <c r="Z2548">
        <v>86</v>
      </c>
      <c r="AB2548">
        <v>24</v>
      </c>
      <c r="AF2548">
        <v>0</v>
      </c>
      <c r="AG2548">
        <v>0</v>
      </c>
      <c r="AH2548">
        <v>0</v>
      </c>
      <c r="AI2548">
        <v>0</v>
      </c>
      <c r="AU2548">
        <v>0</v>
      </c>
      <c r="AW2548">
        <v>0</v>
      </c>
      <c r="AX2548">
        <v>6</v>
      </c>
      <c r="AY2548">
        <v>248</v>
      </c>
      <c r="AZ2548">
        <v>248</v>
      </c>
      <c r="BA2548">
        <v>391</v>
      </c>
      <c r="BB2548">
        <v>44</v>
      </c>
      <c r="BD2548">
        <v>1</v>
      </c>
      <c r="BF2548" t="s">
        <v>2743</v>
      </c>
      <c r="BG2548" s="1">
        <v>44354.395833333336</v>
      </c>
      <c r="BH2548" s="1">
        <v>44354.408425925925</v>
      </c>
      <c r="BI2548" s="1">
        <v>44354.408888888887</v>
      </c>
      <c r="BJ2548" t="s">
        <v>85</v>
      </c>
      <c r="BK2548" t="s">
        <v>86</v>
      </c>
      <c r="BL2548" t="s">
        <v>87</v>
      </c>
    </row>
    <row r="2549" spans="1:64" x14ac:dyDescent="0.3">
      <c r="A2549" t="str">
        <f>"201705C0100"</f>
        <v>201705C0100</v>
      </c>
      <c r="B2549" t="str">
        <f>"201705C01003"</f>
        <v>201705C01003</v>
      </c>
      <c r="C2549" t="str">
        <f t="shared" si="164"/>
        <v>20</v>
      </c>
      <c r="D2549" t="s">
        <v>81</v>
      </c>
      <c r="E2549" t="str">
        <f>"382"</f>
        <v>382</v>
      </c>
      <c r="F2549" t="s">
        <v>2740</v>
      </c>
      <c r="G2549" t="str">
        <f>"1705"</f>
        <v>1705</v>
      </c>
      <c r="H2549" t="str">
        <f>"0001"</f>
        <v>0001</v>
      </c>
      <c r="I2549" t="s">
        <v>89</v>
      </c>
      <c r="J2549">
        <v>0</v>
      </c>
      <c r="K2549">
        <v>1</v>
      </c>
      <c r="L2549">
        <v>3</v>
      </c>
      <c r="M2549">
        <v>157</v>
      </c>
      <c r="N2549">
        <v>277</v>
      </c>
      <c r="O2549">
        <v>1</v>
      </c>
      <c r="P2549">
        <v>278</v>
      </c>
      <c r="Q2549">
        <v>0</v>
      </c>
      <c r="R2549">
        <v>0</v>
      </c>
      <c r="S2549">
        <v>15</v>
      </c>
      <c r="T2549">
        <v>30</v>
      </c>
      <c r="U2549">
        <v>2</v>
      </c>
      <c r="V2549">
        <v>110</v>
      </c>
      <c r="X2549">
        <v>19</v>
      </c>
      <c r="Y2549">
        <v>1</v>
      </c>
      <c r="Z2549">
        <v>74</v>
      </c>
      <c r="AB2549">
        <v>20</v>
      </c>
      <c r="AF2549">
        <v>0</v>
      </c>
      <c r="AG2549">
        <v>0</v>
      </c>
      <c r="AH2549">
        <v>0</v>
      </c>
      <c r="AI2549">
        <v>0</v>
      </c>
      <c r="AU2549">
        <v>0</v>
      </c>
      <c r="AW2549" t="s">
        <v>95</v>
      </c>
      <c r="AX2549">
        <v>7</v>
      </c>
      <c r="AY2549">
        <v>278</v>
      </c>
      <c r="AZ2549">
        <v>278</v>
      </c>
      <c r="BA2549">
        <v>391</v>
      </c>
      <c r="BB2549">
        <v>44</v>
      </c>
      <c r="BC2549" t="s">
        <v>96</v>
      </c>
      <c r="BD2549">
        <v>1</v>
      </c>
      <c r="BF2549" t="s">
        <v>2744</v>
      </c>
      <c r="BG2549" s="1">
        <v>44354.395833333336</v>
      </c>
      <c r="BH2549" s="1">
        <v>44354.398344907408</v>
      </c>
      <c r="BI2549" s="1">
        <v>44354.398912037039</v>
      </c>
      <c r="BJ2549" t="s">
        <v>85</v>
      </c>
      <c r="BK2549" t="s">
        <v>86</v>
      </c>
      <c r="BL2549" t="s">
        <v>87</v>
      </c>
    </row>
    <row r="2550" spans="1:64" x14ac:dyDescent="0.3">
      <c r="A2550" t="str">
        <f>"201706B0000"</f>
        <v>201706B0000</v>
      </c>
      <c r="B2550" t="str">
        <f>"201706B00003"</f>
        <v>201706B00003</v>
      </c>
      <c r="C2550" t="str">
        <f t="shared" si="164"/>
        <v>20</v>
      </c>
      <c r="D2550" t="s">
        <v>81</v>
      </c>
      <c r="E2550" t="str">
        <f>"382"</f>
        <v>382</v>
      </c>
      <c r="F2550" t="s">
        <v>2740</v>
      </c>
      <c r="G2550" t="str">
        <f>"1706"</f>
        <v>1706</v>
      </c>
      <c r="H2550" t="str">
        <f>"0000"</f>
        <v>0000</v>
      </c>
      <c r="I2550" t="s">
        <v>83</v>
      </c>
      <c r="J2550">
        <v>0</v>
      </c>
      <c r="K2550">
        <v>1</v>
      </c>
      <c r="L2550">
        <v>3</v>
      </c>
      <c r="M2550">
        <v>215</v>
      </c>
      <c r="N2550">
        <v>217</v>
      </c>
      <c r="O2550">
        <v>2</v>
      </c>
      <c r="P2550">
        <v>217</v>
      </c>
      <c r="Q2550">
        <v>0</v>
      </c>
      <c r="R2550">
        <v>2</v>
      </c>
      <c r="S2550">
        <v>6</v>
      </c>
      <c r="T2550">
        <v>41</v>
      </c>
      <c r="U2550">
        <v>3</v>
      </c>
      <c r="V2550">
        <v>70</v>
      </c>
      <c r="X2550">
        <v>22</v>
      </c>
      <c r="Y2550">
        <v>1</v>
      </c>
      <c r="Z2550">
        <v>48</v>
      </c>
      <c r="AB2550">
        <v>14</v>
      </c>
      <c r="AF2550">
        <v>0</v>
      </c>
      <c r="AG2550">
        <v>0</v>
      </c>
      <c r="AH2550">
        <v>0</v>
      </c>
      <c r="AI2550">
        <v>0</v>
      </c>
      <c r="AU2550">
        <v>0</v>
      </c>
      <c r="AW2550">
        <v>0</v>
      </c>
      <c r="AX2550">
        <v>10</v>
      </c>
      <c r="AY2550">
        <v>217</v>
      </c>
      <c r="AZ2550">
        <v>217</v>
      </c>
      <c r="BA2550">
        <v>388</v>
      </c>
      <c r="BB2550">
        <v>44</v>
      </c>
      <c r="BD2550">
        <v>1</v>
      </c>
      <c r="BF2550" t="s">
        <v>2745</v>
      </c>
      <c r="BG2550" s="1">
        <v>44354.395833333336</v>
      </c>
      <c r="BH2550" s="1">
        <v>44354.406863425924</v>
      </c>
      <c r="BI2550" s="1">
        <v>44354.407534722224</v>
      </c>
      <c r="BJ2550" t="s">
        <v>85</v>
      </c>
      <c r="BK2550" t="s">
        <v>86</v>
      </c>
      <c r="BL2550" t="s">
        <v>87</v>
      </c>
    </row>
    <row r="2551" spans="1:64" x14ac:dyDescent="0.3">
      <c r="A2551" t="str">
        <f>"200037B0000"</f>
        <v>200037B0000</v>
      </c>
      <c r="B2551" t="str">
        <f>"200037B00003"</f>
        <v>200037B00003</v>
      </c>
      <c r="C2551" t="str">
        <f t="shared" si="164"/>
        <v>20</v>
      </c>
      <c r="D2551" t="s">
        <v>81</v>
      </c>
      <c r="E2551" t="str">
        <f t="shared" ref="E2551:E2582" si="168">"386"</f>
        <v>386</v>
      </c>
      <c r="F2551" t="s">
        <v>2746</v>
      </c>
      <c r="G2551" t="str">
        <f>"0037"</f>
        <v>0037</v>
      </c>
      <c r="H2551" t="str">
        <f>"0000"</f>
        <v>0000</v>
      </c>
      <c r="I2551" t="s">
        <v>83</v>
      </c>
      <c r="J2551">
        <v>0</v>
      </c>
      <c r="K2551">
        <v>1</v>
      </c>
      <c r="L2551">
        <v>3</v>
      </c>
      <c r="M2551">
        <v>297</v>
      </c>
      <c r="N2551">
        <v>390</v>
      </c>
      <c r="O2551">
        <v>0</v>
      </c>
      <c r="P2551">
        <v>390</v>
      </c>
      <c r="Q2551">
        <v>12</v>
      </c>
      <c r="R2551">
        <v>36</v>
      </c>
      <c r="S2551">
        <v>5</v>
      </c>
      <c r="T2551">
        <v>7</v>
      </c>
      <c r="U2551">
        <v>27</v>
      </c>
      <c r="V2551">
        <v>2</v>
      </c>
      <c r="W2551">
        <v>14</v>
      </c>
      <c r="X2551">
        <v>126</v>
      </c>
      <c r="Y2551">
        <v>5</v>
      </c>
      <c r="Z2551">
        <v>24</v>
      </c>
      <c r="AA2551">
        <v>5</v>
      </c>
      <c r="AB2551">
        <v>109</v>
      </c>
      <c r="AJ2551">
        <v>0</v>
      </c>
      <c r="AK2551">
        <v>3</v>
      </c>
      <c r="AL2551">
        <v>0</v>
      </c>
      <c r="AM2551">
        <v>0</v>
      </c>
      <c r="AN2551">
        <v>0</v>
      </c>
      <c r="AO2551">
        <v>1</v>
      </c>
      <c r="AP2551">
        <v>1</v>
      </c>
      <c r="AQ2551">
        <v>0</v>
      </c>
      <c r="AR2551">
        <v>0</v>
      </c>
      <c r="AS2551">
        <v>0</v>
      </c>
      <c r="AT2551">
        <v>0</v>
      </c>
      <c r="AW2551">
        <v>0</v>
      </c>
      <c r="AX2551">
        <v>13</v>
      </c>
      <c r="AY2551">
        <v>390</v>
      </c>
      <c r="AZ2551">
        <v>390</v>
      </c>
      <c r="BA2551">
        <v>647</v>
      </c>
      <c r="BB2551">
        <v>44</v>
      </c>
      <c r="BD2551">
        <v>1</v>
      </c>
      <c r="BF2551" t="s">
        <v>2747</v>
      </c>
      <c r="BG2551" s="1">
        <v>44354.021527777775</v>
      </c>
      <c r="BH2551" s="1">
        <v>44354.040960648148</v>
      </c>
      <c r="BI2551" s="1">
        <v>44354.041828703703</v>
      </c>
      <c r="BJ2551" t="s">
        <v>85</v>
      </c>
      <c r="BK2551" t="s">
        <v>86</v>
      </c>
      <c r="BL2551" t="s">
        <v>87</v>
      </c>
    </row>
    <row r="2552" spans="1:64" x14ac:dyDescent="0.3">
      <c r="A2552" t="str">
        <f>"200037C0100"</f>
        <v>200037C0100</v>
      </c>
      <c r="B2552" t="str">
        <f>"200037C01003"</f>
        <v>200037C01003</v>
      </c>
      <c r="C2552" t="str">
        <f t="shared" si="164"/>
        <v>20</v>
      </c>
      <c r="D2552" t="s">
        <v>81</v>
      </c>
      <c r="E2552" t="str">
        <f t="shared" si="168"/>
        <v>386</v>
      </c>
      <c r="F2552" t="s">
        <v>2746</v>
      </c>
      <c r="G2552" t="str">
        <f>"0037"</f>
        <v>0037</v>
      </c>
      <c r="H2552" t="str">
        <f>"0001"</f>
        <v>0001</v>
      </c>
      <c r="I2552" t="s">
        <v>89</v>
      </c>
      <c r="J2552">
        <v>0</v>
      </c>
      <c r="K2552">
        <v>1</v>
      </c>
      <c r="L2552">
        <v>3</v>
      </c>
      <c r="M2552">
        <v>294</v>
      </c>
      <c r="N2552">
        <v>397</v>
      </c>
      <c r="O2552">
        <v>5</v>
      </c>
      <c r="P2552">
        <v>397</v>
      </c>
      <c r="Q2552">
        <v>9</v>
      </c>
      <c r="R2552">
        <v>28</v>
      </c>
      <c r="S2552">
        <v>4</v>
      </c>
      <c r="T2552">
        <v>6</v>
      </c>
      <c r="U2552">
        <v>45</v>
      </c>
      <c r="V2552">
        <v>1</v>
      </c>
      <c r="W2552">
        <v>13</v>
      </c>
      <c r="X2552">
        <v>116</v>
      </c>
      <c r="Y2552">
        <v>3</v>
      </c>
      <c r="Z2552">
        <v>36</v>
      </c>
      <c r="AA2552">
        <v>2</v>
      </c>
      <c r="AB2552">
        <v>120</v>
      </c>
      <c r="AJ2552">
        <v>0</v>
      </c>
      <c r="AK2552">
        <v>0</v>
      </c>
      <c r="AL2552">
        <v>0</v>
      </c>
      <c r="AM2552">
        <v>0</v>
      </c>
      <c r="AN2552">
        <v>0</v>
      </c>
      <c r="AO2552">
        <v>0</v>
      </c>
      <c r="AP2552">
        <v>0</v>
      </c>
      <c r="AQ2552">
        <v>0</v>
      </c>
      <c r="AR2552">
        <v>0</v>
      </c>
      <c r="AS2552">
        <v>0</v>
      </c>
      <c r="AT2552">
        <v>0</v>
      </c>
      <c r="AW2552">
        <v>0</v>
      </c>
      <c r="AX2552">
        <v>14</v>
      </c>
      <c r="AY2552">
        <v>397</v>
      </c>
      <c r="AZ2552">
        <v>397</v>
      </c>
      <c r="BA2552">
        <v>647</v>
      </c>
      <c r="BB2552">
        <v>44</v>
      </c>
      <c r="BD2552">
        <v>1</v>
      </c>
      <c r="BF2552" t="s">
        <v>2748</v>
      </c>
      <c r="BG2552" s="1">
        <v>44354.021527777775</v>
      </c>
      <c r="BH2552" s="1">
        <v>44354.032418981478</v>
      </c>
      <c r="BI2552" s="1">
        <v>44354.033425925925</v>
      </c>
      <c r="BJ2552" t="s">
        <v>85</v>
      </c>
      <c r="BK2552" t="s">
        <v>86</v>
      </c>
      <c r="BL2552" t="s">
        <v>87</v>
      </c>
    </row>
    <row r="2553" spans="1:64" x14ac:dyDescent="0.3">
      <c r="A2553" t="str">
        <f>"200037C0200"</f>
        <v>200037C0200</v>
      </c>
      <c r="B2553" t="str">
        <f>"200037C02003"</f>
        <v>200037C02003</v>
      </c>
      <c r="C2553" t="str">
        <f t="shared" si="164"/>
        <v>20</v>
      </c>
      <c r="D2553" t="s">
        <v>81</v>
      </c>
      <c r="E2553" t="str">
        <f t="shared" si="168"/>
        <v>386</v>
      </c>
      <c r="F2553" t="s">
        <v>2746</v>
      </c>
      <c r="G2553" t="str">
        <f>"0037"</f>
        <v>0037</v>
      </c>
      <c r="H2553" t="str">
        <f>"0002"</f>
        <v>0002</v>
      </c>
      <c r="I2553" t="s">
        <v>89</v>
      </c>
      <c r="J2553">
        <v>0</v>
      </c>
      <c r="K2553">
        <v>1</v>
      </c>
      <c r="L2553">
        <v>3</v>
      </c>
      <c r="M2553">
        <v>272</v>
      </c>
      <c r="N2553">
        <v>420</v>
      </c>
      <c r="O2553">
        <v>2</v>
      </c>
      <c r="P2553">
        <v>420</v>
      </c>
      <c r="Q2553">
        <v>8</v>
      </c>
      <c r="R2553">
        <v>24</v>
      </c>
      <c r="S2553">
        <v>8</v>
      </c>
      <c r="T2553">
        <v>4</v>
      </c>
      <c r="U2553">
        <v>37</v>
      </c>
      <c r="V2553">
        <v>1</v>
      </c>
      <c r="W2553">
        <v>10</v>
      </c>
      <c r="X2553">
        <v>133</v>
      </c>
      <c r="Y2553">
        <v>8</v>
      </c>
      <c r="Z2553">
        <v>12</v>
      </c>
      <c r="AA2553">
        <v>3</v>
      </c>
      <c r="AB2553">
        <v>152</v>
      </c>
      <c r="AJ2553">
        <v>0</v>
      </c>
      <c r="AK2553">
        <v>1</v>
      </c>
      <c r="AL2553">
        <v>0</v>
      </c>
      <c r="AM2553">
        <v>0</v>
      </c>
      <c r="AN2553">
        <v>0</v>
      </c>
      <c r="AO2553">
        <v>0</v>
      </c>
      <c r="AP2553">
        <v>0</v>
      </c>
      <c r="AQ2553">
        <v>0</v>
      </c>
      <c r="AR2553">
        <v>0</v>
      </c>
      <c r="AS2553">
        <v>0</v>
      </c>
      <c r="AT2553">
        <v>0</v>
      </c>
      <c r="AW2553">
        <v>0</v>
      </c>
      <c r="AX2553">
        <v>19</v>
      </c>
      <c r="AY2553">
        <v>420</v>
      </c>
      <c r="AZ2553">
        <v>420</v>
      </c>
      <c r="BA2553">
        <v>647</v>
      </c>
      <c r="BB2553">
        <v>44</v>
      </c>
      <c r="BD2553">
        <v>1</v>
      </c>
      <c r="BF2553" t="s">
        <v>2749</v>
      </c>
      <c r="BG2553" s="1">
        <v>44354.021527777775</v>
      </c>
      <c r="BH2553" s="1">
        <v>44354.03162037037</v>
      </c>
      <c r="BI2553" s="1">
        <v>44354.032222222224</v>
      </c>
      <c r="BJ2553" t="s">
        <v>85</v>
      </c>
      <c r="BK2553" t="s">
        <v>86</v>
      </c>
      <c r="BL2553" t="s">
        <v>87</v>
      </c>
    </row>
    <row r="2554" spans="1:64" x14ac:dyDescent="0.3">
      <c r="A2554" t="str">
        <f>"200038B0000"</f>
        <v>200038B0000</v>
      </c>
      <c r="B2554" t="str">
        <f>"200038B00003"</f>
        <v>200038B00003</v>
      </c>
      <c r="C2554" t="str">
        <f t="shared" si="164"/>
        <v>20</v>
      </c>
      <c r="D2554" t="s">
        <v>81</v>
      </c>
      <c r="E2554" t="str">
        <f t="shared" si="168"/>
        <v>386</v>
      </c>
      <c r="F2554" t="s">
        <v>2746</v>
      </c>
      <c r="G2554" t="str">
        <f>"0038"</f>
        <v>0038</v>
      </c>
      <c r="H2554" t="str">
        <f>"0000"</f>
        <v>0000</v>
      </c>
      <c r="I2554" t="s">
        <v>83</v>
      </c>
      <c r="J2554">
        <v>0</v>
      </c>
      <c r="K2554">
        <v>1</v>
      </c>
      <c r="L2554">
        <v>3</v>
      </c>
      <c r="M2554">
        <v>327</v>
      </c>
      <c r="N2554">
        <v>390</v>
      </c>
      <c r="O2554">
        <v>4</v>
      </c>
      <c r="P2554">
        <v>390</v>
      </c>
      <c r="Q2554">
        <v>8</v>
      </c>
      <c r="R2554">
        <v>25</v>
      </c>
      <c r="S2554">
        <v>9</v>
      </c>
      <c r="T2554">
        <v>6</v>
      </c>
      <c r="U2554">
        <v>25</v>
      </c>
      <c r="V2554">
        <v>12</v>
      </c>
      <c r="W2554">
        <v>3</v>
      </c>
      <c r="X2554">
        <v>148</v>
      </c>
      <c r="Y2554">
        <v>12</v>
      </c>
      <c r="Z2554">
        <v>24</v>
      </c>
      <c r="AA2554">
        <v>3</v>
      </c>
      <c r="AB2554">
        <v>118</v>
      </c>
      <c r="AJ2554">
        <v>0</v>
      </c>
      <c r="AK2554">
        <v>0</v>
      </c>
      <c r="AL2554">
        <v>0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  <c r="AS2554">
        <v>0</v>
      </c>
      <c r="AT2554">
        <v>0</v>
      </c>
      <c r="AW2554">
        <v>0</v>
      </c>
      <c r="AX2554">
        <v>0</v>
      </c>
      <c r="AY2554">
        <v>0</v>
      </c>
      <c r="AZ2554">
        <v>393</v>
      </c>
      <c r="BA2554">
        <v>673</v>
      </c>
      <c r="BB2554">
        <v>44</v>
      </c>
      <c r="BD2554">
        <v>1</v>
      </c>
      <c r="BF2554" t="s">
        <v>2750</v>
      </c>
      <c r="BG2554" s="1">
        <v>44354.021527777775</v>
      </c>
      <c r="BH2554" s="1">
        <v>44354.037812499999</v>
      </c>
      <c r="BI2554" s="1">
        <v>44354.039085648146</v>
      </c>
      <c r="BJ2554" t="s">
        <v>85</v>
      </c>
      <c r="BK2554" t="s">
        <v>86</v>
      </c>
      <c r="BL2554" t="s">
        <v>87</v>
      </c>
    </row>
    <row r="2555" spans="1:64" x14ac:dyDescent="0.3">
      <c r="A2555" t="str">
        <f>"200038C0100"</f>
        <v>200038C0100</v>
      </c>
      <c r="B2555" t="str">
        <f>"200038C01003"</f>
        <v>200038C01003</v>
      </c>
      <c r="C2555" t="str">
        <f t="shared" si="164"/>
        <v>20</v>
      </c>
      <c r="D2555" t="s">
        <v>81</v>
      </c>
      <c r="E2555" t="str">
        <f t="shared" si="168"/>
        <v>386</v>
      </c>
      <c r="F2555" t="s">
        <v>2746</v>
      </c>
      <c r="G2555" t="str">
        <f>"0038"</f>
        <v>0038</v>
      </c>
      <c r="H2555" t="str">
        <f>"0001"</f>
        <v>0001</v>
      </c>
      <c r="I2555" t="s">
        <v>89</v>
      </c>
      <c r="J2555">
        <v>0</v>
      </c>
      <c r="K2555">
        <v>1</v>
      </c>
      <c r="L2555">
        <v>3</v>
      </c>
      <c r="M2555">
        <v>315</v>
      </c>
      <c r="N2555">
        <v>401</v>
      </c>
      <c r="O2555">
        <v>7</v>
      </c>
      <c r="P2555">
        <v>401</v>
      </c>
      <c r="Q2555">
        <v>6</v>
      </c>
      <c r="R2555">
        <v>35</v>
      </c>
      <c r="S2555">
        <v>5</v>
      </c>
      <c r="T2555">
        <v>3</v>
      </c>
      <c r="U2555">
        <v>28</v>
      </c>
      <c r="V2555">
        <v>2</v>
      </c>
      <c r="W2555">
        <v>8</v>
      </c>
      <c r="X2555">
        <v>151</v>
      </c>
      <c r="Y2555">
        <v>4</v>
      </c>
      <c r="Z2555">
        <v>24</v>
      </c>
      <c r="AA2555">
        <v>3</v>
      </c>
      <c r="AB2555">
        <v>111</v>
      </c>
      <c r="AJ2555">
        <v>1</v>
      </c>
      <c r="AK2555">
        <v>0</v>
      </c>
      <c r="AL2555">
        <v>0</v>
      </c>
      <c r="AM2555">
        <v>0</v>
      </c>
      <c r="AN2555">
        <v>0</v>
      </c>
      <c r="AO2555">
        <v>0</v>
      </c>
      <c r="AP2555">
        <v>0</v>
      </c>
      <c r="AQ2555">
        <v>0</v>
      </c>
      <c r="AR2555">
        <v>0</v>
      </c>
      <c r="AS2555">
        <v>0</v>
      </c>
      <c r="AT2555">
        <v>0</v>
      </c>
      <c r="AW2555">
        <v>0</v>
      </c>
      <c r="AX2555">
        <v>20</v>
      </c>
      <c r="AY2555">
        <v>401</v>
      </c>
      <c r="AZ2555">
        <v>401</v>
      </c>
      <c r="BA2555">
        <v>672</v>
      </c>
      <c r="BB2555">
        <v>44</v>
      </c>
      <c r="BD2555">
        <v>1</v>
      </c>
      <c r="BF2555" t="s">
        <v>2751</v>
      </c>
      <c r="BG2555" s="1">
        <v>44354.021527777775</v>
      </c>
      <c r="BH2555" s="1">
        <v>44354.031701388885</v>
      </c>
      <c r="BI2555" s="1">
        <v>44354.032384259262</v>
      </c>
      <c r="BJ2555" t="s">
        <v>85</v>
      </c>
      <c r="BK2555" t="s">
        <v>86</v>
      </c>
      <c r="BL2555" t="s">
        <v>87</v>
      </c>
    </row>
    <row r="2556" spans="1:64" x14ac:dyDescent="0.3">
      <c r="A2556" t="str">
        <f>"201712B0000"</f>
        <v>201712B0000</v>
      </c>
      <c r="B2556" t="str">
        <f>"201712B00003"</f>
        <v>201712B00003</v>
      </c>
      <c r="C2556" t="str">
        <f t="shared" si="164"/>
        <v>20</v>
      </c>
      <c r="D2556" t="s">
        <v>81</v>
      </c>
      <c r="E2556" t="str">
        <f t="shared" si="168"/>
        <v>386</v>
      </c>
      <c r="F2556" t="s">
        <v>2746</v>
      </c>
      <c r="G2556" t="str">
        <f>"1712"</f>
        <v>1712</v>
      </c>
      <c r="H2556" t="str">
        <f>"0000"</f>
        <v>0000</v>
      </c>
      <c r="I2556" t="s">
        <v>83</v>
      </c>
      <c r="J2556">
        <v>0</v>
      </c>
      <c r="K2556">
        <v>1</v>
      </c>
      <c r="L2556">
        <v>3</v>
      </c>
      <c r="M2556">
        <v>385</v>
      </c>
      <c r="N2556">
        <v>405</v>
      </c>
      <c r="O2556">
        <v>6</v>
      </c>
      <c r="P2556">
        <v>403</v>
      </c>
      <c r="Q2556">
        <v>30</v>
      </c>
      <c r="R2556">
        <v>84</v>
      </c>
      <c r="S2556">
        <v>17</v>
      </c>
      <c r="T2556">
        <v>5</v>
      </c>
      <c r="U2556">
        <v>16</v>
      </c>
      <c r="V2556">
        <v>6</v>
      </c>
      <c r="W2556">
        <v>8</v>
      </c>
      <c r="X2556">
        <v>139</v>
      </c>
      <c r="Y2556">
        <v>18</v>
      </c>
      <c r="Z2556">
        <v>5</v>
      </c>
      <c r="AA2556">
        <v>12</v>
      </c>
      <c r="AB2556">
        <v>41</v>
      </c>
      <c r="AJ2556">
        <v>2</v>
      </c>
      <c r="AK2556">
        <v>3</v>
      </c>
      <c r="AL2556">
        <v>0</v>
      </c>
      <c r="AM2556">
        <v>0</v>
      </c>
      <c r="AN2556">
        <v>1</v>
      </c>
      <c r="AO2556">
        <v>1</v>
      </c>
      <c r="AP2556">
        <v>1</v>
      </c>
      <c r="AQ2556">
        <v>0</v>
      </c>
      <c r="AR2556">
        <v>0</v>
      </c>
      <c r="AS2556">
        <v>0</v>
      </c>
      <c r="AT2556">
        <v>0</v>
      </c>
      <c r="AW2556">
        <v>0</v>
      </c>
      <c r="AX2556">
        <v>14</v>
      </c>
      <c r="AY2556">
        <v>403</v>
      </c>
      <c r="AZ2556">
        <v>403</v>
      </c>
      <c r="BA2556">
        <v>746</v>
      </c>
      <c r="BB2556">
        <v>44</v>
      </c>
      <c r="BD2556">
        <v>1</v>
      </c>
      <c r="BF2556" t="s">
        <v>2752</v>
      </c>
      <c r="BG2556" s="1">
        <v>44354.102083333331</v>
      </c>
      <c r="BH2556" s="1">
        <v>44354.127060185187</v>
      </c>
      <c r="BI2556" s="1">
        <v>44354.128252314818</v>
      </c>
      <c r="BJ2556" t="s">
        <v>85</v>
      </c>
      <c r="BK2556" t="s">
        <v>86</v>
      </c>
      <c r="BL2556" t="s">
        <v>87</v>
      </c>
    </row>
    <row r="2557" spans="1:64" x14ac:dyDescent="0.3">
      <c r="A2557" t="str">
        <f>"201712C0100"</f>
        <v>201712C0100</v>
      </c>
      <c r="B2557" t="str">
        <f>"201712C01003"</f>
        <v>201712C01003</v>
      </c>
      <c r="C2557" t="str">
        <f t="shared" si="164"/>
        <v>20</v>
      </c>
      <c r="D2557" t="s">
        <v>81</v>
      </c>
      <c r="E2557" t="str">
        <f t="shared" si="168"/>
        <v>386</v>
      </c>
      <c r="F2557" t="s">
        <v>2746</v>
      </c>
      <c r="G2557" t="str">
        <f>"1712"</f>
        <v>1712</v>
      </c>
      <c r="H2557" t="str">
        <f>"0001"</f>
        <v>0001</v>
      </c>
      <c r="I2557" t="s">
        <v>89</v>
      </c>
      <c r="J2557">
        <v>0</v>
      </c>
      <c r="K2557">
        <v>1</v>
      </c>
      <c r="L2557">
        <v>3</v>
      </c>
      <c r="M2557">
        <v>366</v>
      </c>
      <c r="N2557">
        <v>424</v>
      </c>
      <c r="O2557">
        <v>8</v>
      </c>
      <c r="P2557">
        <v>424</v>
      </c>
      <c r="Q2557">
        <v>24</v>
      </c>
      <c r="R2557">
        <v>93</v>
      </c>
      <c r="S2557">
        <v>13</v>
      </c>
      <c r="T2557">
        <v>7</v>
      </c>
      <c r="U2557">
        <v>11</v>
      </c>
      <c r="V2557">
        <v>6</v>
      </c>
      <c r="W2557">
        <v>8</v>
      </c>
      <c r="X2557">
        <v>169</v>
      </c>
      <c r="Y2557">
        <v>17</v>
      </c>
      <c r="Z2557">
        <v>9</v>
      </c>
      <c r="AA2557">
        <v>3</v>
      </c>
      <c r="AB2557">
        <v>46</v>
      </c>
      <c r="AJ2557">
        <v>2</v>
      </c>
      <c r="AK2557">
        <v>0</v>
      </c>
      <c r="AL2557">
        <v>0</v>
      </c>
      <c r="AM2557">
        <v>0</v>
      </c>
      <c r="AN2557">
        <v>0</v>
      </c>
      <c r="AO2557">
        <v>1</v>
      </c>
      <c r="AP2557">
        <v>0</v>
      </c>
      <c r="AQ2557">
        <v>1</v>
      </c>
      <c r="AR2557">
        <v>0</v>
      </c>
      <c r="AS2557">
        <v>0</v>
      </c>
      <c r="AT2557">
        <v>1</v>
      </c>
      <c r="AW2557">
        <v>0</v>
      </c>
      <c r="AX2557">
        <v>13</v>
      </c>
      <c r="AY2557">
        <v>424</v>
      </c>
      <c r="AZ2557">
        <v>424</v>
      </c>
      <c r="BA2557">
        <v>746</v>
      </c>
      <c r="BB2557">
        <v>44</v>
      </c>
      <c r="BD2557">
        <v>1</v>
      </c>
      <c r="BF2557" t="s">
        <v>2753</v>
      </c>
      <c r="BG2557" s="1">
        <v>44354.102083333331</v>
      </c>
      <c r="BH2557" s="1">
        <v>44354.130937499998</v>
      </c>
      <c r="BI2557" s="1">
        <v>44354.131284722222</v>
      </c>
      <c r="BJ2557" t="s">
        <v>85</v>
      </c>
      <c r="BK2557" t="s">
        <v>86</v>
      </c>
      <c r="BL2557" t="s">
        <v>87</v>
      </c>
    </row>
    <row r="2558" spans="1:64" x14ac:dyDescent="0.3">
      <c r="A2558" t="str">
        <f>"201713B0000"</f>
        <v>201713B0000</v>
      </c>
      <c r="B2558" t="str">
        <f>"201713B00003"</f>
        <v>201713B00003</v>
      </c>
      <c r="C2558" t="str">
        <f t="shared" si="164"/>
        <v>20</v>
      </c>
      <c r="D2558" t="s">
        <v>81</v>
      </c>
      <c r="E2558" t="str">
        <f t="shared" si="168"/>
        <v>386</v>
      </c>
      <c r="F2558" t="s">
        <v>2746</v>
      </c>
      <c r="G2558" t="str">
        <f>"1713"</f>
        <v>1713</v>
      </c>
      <c r="H2558" t="str">
        <f>"0000"</f>
        <v>0000</v>
      </c>
      <c r="I2558" t="s">
        <v>83</v>
      </c>
      <c r="J2558">
        <v>0</v>
      </c>
      <c r="K2558">
        <v>1</v>
      </c>
      <c r="L2558">
        <v>3</v>
      </c>
      <c r="M2558">
        <v>289</v>
      </c>
      <c r="N2558">
        <v>332</v>
      </c>
      <c r="O2558">
        <v>3</v>
      </c>
      <c r="P2558">
        <v>331</v>
      </c>
      <c r="Q2558">
        <v>24</v>
      </c>
      <c r="R2558">
        <v>84</v>
      </c>
      <c r="S2558">
        <v>16</v>
      </c>
      <c r="T2558">
        <v>1</v>
      </c>
      <c r="U2558">
        <v>16</v>
      </c>
      <c r="V2558">
        <v>5</v>
      </c>
      <c r="W2558">
        <v>5</v>
      </c>
      <c r="X2558">
        <v>108</v>
      </c>
      <c r="Y2558">
        <v>24</v>
      </c>
      <c r="Z2558">
        <v>5</v>
      </c>
      <c r="AA2558">
        <v>3</v>
      </c>
      <c r="AB2558">
        <v>28</v>
      </c>
      <c r="AJ2558">
        <v>0</v>
      </c>
      <c r="AK2558">
        <v>0</v>
      </c>
      <c r="AL2558">
        <v>1</v>
      </c>
      <c r="AM2558">
        <v>1</v>
      </c>
      <c r="AN2558">
        <v>2</v>
      </c>
      <c r="AO2558">
        <v>0</v>
      </c>
      <c r="AP2558">
        <v>0</v>
      </c>
      <c r="AQ2558">
        <v>0</v>
      </c>
      <c r="AR2558">
        <v>0</v>
      </c>
      <c r="AS2558">
        <v>0</v>
      </c>
      <c r="AT2558">
        <v>0</v>
      </c>
      <c r="AW2558">
        <v>0</v>
      </c>
      <c r="AX2558">
        <v>5</v>
      </c>
      <c r="AY2558">
        <v>328</v>
      </c>
      <c r="AZ2558">
        <v>328</v>
      </c>
      <c r="BA2558">
        <v>574</v>
      </c>
      <c r="BB2558">
        <v>44</v>
      </c>
      <c r="BD2558">
        <v>1</v>
      </c>
      <c r="BF2558" t="s">
        <v>2754</v>
      </c>
      <c r="BG2558" s="1">
        <v>44354.097916666666</v>
      </c>
      <c r="BH2558" s="1">
        <v>44354.117777777778</v>
      </c>
      <c r="BI2558" s="1">
        <v>44354.118541666663</v>
      </c>
      <c r="BJ2558" t="s">
        <v>85</v>
      </c>
      <c r="BK2558" t="s">
        <v>86</v>
      </c>
      <c r="BL2558" t="s">
        <v>87</v>
      </c>
    </row>
    <row r="2559" spans="1:64" x14ac:dyDescent="0.3">
      <c r="A2559" t="str">
        <f>"201713C0100"</f>
        <v>201713C0100</v>
      </c>
      <c r="B2559" t="str">
        <f>"201713C01003"</f>
        <v>201713C01003</v>
      </c>
      <c r="C2559" t="str">
        <f t="shared" si="164"/>
        <v>20</v>
      </c>
      <c r="D2559" t="s">
        <v>81</v>
      </c>
      <c r="E2559" t="str">
        <f t="shared" si="168"/>
        <v>386</v>
      </c>
      <c r="F2559" t="s">
        <v>2746</v>
      </c>
      <c r="G2559" t="str">
        <f>"1713"</f>
        <v>1713</v>
      </c>
      <c r="H2559" t="str">
        <f>"0001"</f>
        <v>0001</v>
      </c>
      <c r="I2559" t="s">
        <v>89</v>
      </c>
      <c r="J2559">
        <v>0</v>
      </c>
      <c r="K2559">
        <v>1</v>
      </c>
      <c r="L2559">
        <v>3</v>
      </c>
      <c r="M2559">
        <v>278</v>
      </c>
      <c r="N2559">
        <v>347</v>
      </c>
      <c r="O2559">
        <v>0</v>
      </c>
      <c r="P2559">
        <v>347</v>
      </c>
      <c r="Q2559">
        <v>18</v>
      </c>
      <c r="R2559">
        <v>87</v>
      </c>
      <c r="S2559">
        <v>10</v>
      </c>
      <c r="T2559">
        <v>6</v>
      </c>
      <c r="U2559">
        <v>8</v>
      </c>
      <c r="V2559">
        <v>6</v>
      </c>
      <c r="W2559">
        <v>4</v>
      </c>
      <c r="X2559">
        <v>130</v>
      </c>
      <c r="Y2559">
        <v>26</v>
      </c>
      <c r="Z2559">
        <v>7</v>
      </c>
      <c r="AA2559">
        <v>1</v>
      </c>
      <c r="AB2559">
        <v>27</v>
      </c>
      <c r="AJ2559">
        <v>2</v>
      </c>
      <c r="AK2559">
        <v>3</v>
      </c>
      <c r="AL2559">
        <v>0</v>
      </c>
      <c r="AM2559">
        <v>0</v>
      </c>
      <c r="AN2559">
        <v>0</v>
      </c>
      <c r="AO2559">
        <v>1</v>
      </c>
      <c r="AP2559">
        <v>0</v>
      </c>
      <c r="AQ2559">
        <v>1</v>
      </c>
      <c r="AR2559">
        <v>0</v>
      </c>
      <c r="AS2559">
        <v>0</v>
      </c>
      <c r="AT2559">
        <v>0</v>
      </c>
      <c r="AW2559">
        <v>1</v>
      </c>
      <c r="AX2559">
        <v>9</v>
      </c>
      <c r="AY2559">
        <v>347</v>
      </c>
      <c r="AZ2559">
        <v>347</v>
      </c>
      <c r="BA2559">
        <v>574</v>
      </c>
      <c r="BB2559">
        <v>44</v>
      </c>
      <c r="BD2559">
        <v>1</v>
      </c>
      <c r="BF2559" t="s">
        <v>2755</v>
      </c>
      <c r="BG2559" s="1">
        <v>44354.097916666666</v>
      </c>
      <c r="BH2559" s="1">
        <v>44354.116851851853</v>
      </c>
      <c r="BI2559" s="1">
        <v>44354.118773148148</v>
      </c>
      <c r="BJ2559" t="s">
        <v>85</v>
      </c>
      <c r="BK2559" t="s">
        <v>86</v>
      </c>
      <c r="BL2559" t="s">
        <v>87</v>
      </c>
    </row>
    <row r="2560" spans="1:64" x14ac:dyDescent="0.3">
      <c r="A2560" t="str">
        <f>"201713C0200"</f>
        <v>201713C0200</v>
      </c>
      <c r="B2560" t="str">
        <f>"201713C02003"</f>
        <v>201713C02003</v>
      </c>
      <c r="C2560" t="str">
        <f t="shared" si="164"/>
        <v>20</v>
      </c>
      <c r="D2560" t="s">
        <v>81</v>
      </c>
      <c r="E2560" t="str">
        <f t="shared" si="168"/>
        <v>386</v>
      </c>
      <c r="F2560" t="s">
        <v>2746</v>
      </c>
      <c r="G2560" t="str">
        <f>"1713"</f>
        <v>1713</v>
      </c>
      <c r="H2560" t="str">
        <f>"0002"</f>
        <v>0002</v>
      </c>
      <c r="I2560" t="s">
        <v>89</v>
      </c>
      <c r="J2560">
        <v>0</v>
      </c>
      <c r="K2560">
        <v>1</v>
      </c>
      <c r="L2560">
        <v>3</v>
      </c>
      <c r="M2560">
        <v>296</v>
      </c>
      <c r="N2560">
        <v>319</v>
      </c>
      <c r="O2560">
        <v>3</v>
      </c>
      <c r="P2560">
        <v>323</v>
      </c>
      <c r="Q2560">
        <v>12</v>
      </c>
      <c r="R2560">
        <v>88</v>
      </c>
      <c r="S2560">
        <v>9</v>
      </c>
      <c r="T2560">
        <v>4</v>
      </c>
      <c r="U2560">
        <v>19</v>
      </c>
      <c r="V2560">
        <v>3</v>
      </c>
      <c r="W2560">
        <v>2</v>
      </c>
      <c r="X2560">
        <v>95</v>
      </c>
      <c r="Y2560">
        <v>24</v>
      </c>
      <c r="Z2560">
        <v>5</v>
      </c>
      <c r="AA2560">
        <v>1</v>
      </c>
      <c r="AB2560">
        <v>46</v>
      </c>
      <c r="AJ2560">
        <v>2</v>
      </c>
      <c r="AK2560">
        <v>3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  <c r="AS2560">
        <v>3</v>
      </c>
      <c r="AT2560">
        <v>0</v>
      </c>
      <c r="AW2560">
        <v>0</v>
      </c>
      <c r="AX2560">
        <v>7</v>
      </c>
      <c r="AY2560">
        <v>323</v>
      </c>
      <c r="AZ2560">
        <v>323</v>
      </c>
      <c r="BA2560">
        <v>573</v>
      </c>
      <c r="BB2560">
        <v>44</v>
      </c>
      <c r="BD2560">
        <v>1</v>
      </c>
      <c r="BF2560" t="s">
        <v>2756</v>
      </c>
      <c r="BG2560" s="1">
        <v>44354.097916666666</v>
      </c>
      <c r="BH2560" s="1">
        <v>44354.115324074075</v>
      </c>
      <c r="BI2560" s="1">
        <v>44354.116481481484</v>
      </c>
      <c r="BJ2560" t="s">
        <v>85</v>
      </c>
      <c r="BK2560" t="s">
        <v>86</v>
      </c>
      <c r="BL2560" t="s">
        <v>87</v>
      </c>
    </row>
    <row r="2561" spans="1:64" x14ac:dyDescent="0.3">
      <c r="A2561" t="str">
        <f>"201714B0000"</f>
        <v>201714B0000</v>
      </c>
      <c r="B2561" t="str">
        <f>"201714B00003"</f>
        <v>201714B00003</v>
      </c>
      <c r="C2561" t="str">
        <f t="shared" si="164"/>
        <v>20</v>
      </c>
      <c r="D2561" t="s">
        <v>81</v>
      </c>
      <c r="E2561" t="str">
        <f t="shared" si="168"/>
        <v>386</v>
      </c>
      <c r="F2561" t="s">
        <v>2746</v>
      </c>
      <c r="G2561" t="str">
        <f>"1714"</f>
        <v>1714</v>
      </c>
      <c r="H2561" t="str">
        <f>"0000"</f>
        <v>0000</v>
      </c>
      <c r="I2561" t="s">
        <v>83</v>
      </c>
      <c r="J2561">
        <v>0</v>
      </c>
      <c r="K2561">
        <v>1</v>
      </c>
      <c r="L2561">
        <v>3</v>
      </c>
      <c r="M2561">
        <v>277</v>
      </c>
      <c r="N2561">
        <v>295</v>
      </c>
      <c r="O2561">
        <v>5</v>
      </c>
      <c r="P2561">
        <v>295</v>
      </c>
      <c r="Q2561">
        <v>16</v>
      </c>
      <c r="R2561">
        <v>51</v>
      </c>
      <c r="S2561">
        <v>16</v>
      </c>
      <c r="T2561">
        <v>7</v>
      </c>
      <c r="U2561">
        <v>14</v>
      </c>
      <c r="V2561">
        <v>5</v>
      </c>
      <c r="W2561">
        <v>6</v>
      </c>
      <c r="X2561">
        <v>86</v>
      </c>
      <c r="Y2561">
        <v>19</v>
      </c>
      <c r="Z2561">
        <v>5</v>
      </c>
      <c r="AA2561">
        <v>3</v>
      </c>
      <c r="AB2561">
        <v>48</v>
      </c>
      <c r="AJ2561">
        <v>0</v>
      </c>
      <c r="AK2561">
        <v>4</v>
      </c>
      <c r="AL2561">
        <v>3</v>
      </c>
      <c r="AM2561">
        <v>0</v>
      </c>
      <c r="AN2561">
        <v>1</v>
      </c>
      <c r="AO2561">
        <v>2</v>
      </c>
      <c r="AP2561">
        <v>0</v>
      </c>
      <c r="AQ2561">
        <v>0</v>
      </c>
      <c r="AR2561">
        <v>0</v>
      </c>
      <c r="AS2561">
        <v>0</v>
      </c>
      <c r="AT2561">
        <v>0</v>
      </c>
      <c r="AW2561">
        <v>0</v>
      </c>
      <c r="AX2561">
        <v>9</v>
      </c>
      <c r="AY2561">
        <v>295</v>
      </c>
      <c r="AZ2561">
        <v>295</v>
      </c>
      <c r="BA2561">
        <v>528</v>
      </c>
      <c r="BB2561">
        <v>44</v>
      </c>
      <c r="BD2561">
        <v>1</v>
      </c>
      <c r="BF2561" t="s">
        <v>2757</v>
      </c>
      <c r="BG2561" s="1">
        <v>44354.097916666666</v>
      </c>
      <c r="BH2561" s="1">
        <v>44354.117476851854</v>
      </c>
      <c r="BI2561" s="1">
        <v>44354.117766203701</v>
      </c>
      <c r="BJ2561" t="s">
        <v>85</v>
      </c>
      <c r="BK2561" t="s">
        <v>86</v>
      </c>
      <c r="BL2561" t="s">
        <v>87</v>
      </c>
    </row>
    <row r="2562" spans="1:64" x14ac:dyDescent="0.3">
      <c r="A2562" t="str">
        <f>"201714C0100"</f>
        <v>201714C0100</v>
      </c>
      <c r="B2562" t="str">
        <f>"201714C01003"</f>
        <v>201714C01003</v>
      </c>
      <c r="C2562" t="str">
        <f t="shared" si="164"/>
        <v>20</v>
      </c>
      <c r="D2562" t="s">
        <v>81</v>
      </c>
      <c r="E2562" t="str">
        <f t="shared" si="168"/>
        <v>386</v>
      </c>
      <c r="F2562" t="s">
        <v>2746</v>
      </c>
      <c r="G2562" t="str">
        <f>"1714"</f>
        <v>1714</v>
      </c>
      <c r="H2562" t="str">
        <f>"0001"</f>
        <v>0001</v>
      </c>
      <c r="I2562" t="s">
        <v>89</v>
      </c>
      <c r="J2562">
        <v>0</v>
      </c>
      <c r="K2562">
        <v>1</v>
      </c>
      <c r="L2562">
        <v>3</v>
      </c>
      <c r="M2562">
        <v>270</v>
      </c>
      <c r="N2562">
        <v>302</v>
      </c>
      <c r="O2562">
        <v>6</v>
      </c>
      <c r="P2562">
        <v>302</v>
      </c>
      <c r="Q2562">
        <v>22</v>
      </c>
      <c r="R2562">
        <v>70</v>
      </c>
      <c r="S2562">
        <v>17</v>
      </c>
      <c r="T2562">
        <v>1</v>
      </c>
      <c r="U2562">
        <v>17</v>
      </c>
      <c r="V2562">
        <v>7</v>
      </c>
      <c r="W2562">
        <v>7</v>
      </c>
      <c r="X2562">
        <v>98</v>
      </c>
      <c r="Y2562">
        <v>19</v>
      </c>
      <c r="Z2562">
        <v>4</v>
      </c>
      <c r="AA2562">
        <v>1</v>
      </c>
      <c r="AB2562">
        <v>29</v>
      </c>
      <c r="AJ2562">
        <v>0</v>
      </c>
      <c r="AK2562">
        <v>0</v>
      </c>
      <c r="AL2562">
        <v>0</v>
      </c>
      <c r="AM2562">
        <v>0</v>
      </c>
      <c r="AN2562">
        <v>0</v>
      </c>
      <c r="AO2562">
        <v>0</v>
      </c>
      <c r="AP2562">
        <v>0</v>
      </c>
      <c r="AQ2562">
        <v>0</v>
      </c>
      <c r="AR2562">
        <v>0</v>
      </c>
      <c r="AS2562">
        <v>0</v>
      </c>
      <c r="AT2562">
        <v>0</v>
      </c>
      <c r="AW2562">
        <v>0</v>
      </c>
      <c r="AX2562">
        <v>10</v>
      </c>
      <c r="AY2562">
        <v>302</v>
      </c>
      <c r="AZ2562">
        <v>302</v>
      </c>
      <c r="BA2562">
        <v>528</v>
      </c>
      <c r="BB2562">
        <v>44</v>
      </c>
      <c r="BD2562">
        <v>1</v>
      </c>
      <c r="BF2562" t="s">
        <v>2758</v>
      </c>
      <c r="BG2562" s="1">
        <v>44354.097916666666</v>
      </c>
      <c r="BH2562" s="1">
        <v>44354.115717592591</v>
      </c>
      <c r="BI2562" s="1">
        <v>44354.116805555554</v>
      </c>
      <c r="BJ2562" t="s">
        <v>85</v>
      </c>
      <c r="BK2562" t="s">
        <v>86</v>
      </c>
      <c r="BL2562" t="s">
        <v>87</v>
      </c>
    </row>
    <row r="2563" spans="1:64" x14ac:dyDescent="0.3">
      <c r="A2563" t="str">
        <f>"201714C0200"</f>
        <v>201714C0200</v>
      </c>
      <c r="B2563" t="str">
        <f>"201714C02003"</f>
        <v>201714C02003</v>
      </c>
      <c r="C2563" t="str">
        <f t="shared" si="164"/>
        <v>20</v>
      </c>
      <c r="D2563" t="s">
        <v>81</v>
      </c>
      <c r="E2563" t="str">
        <f t="shared" si="168"/>
        <v>386</v>
      </c>
      <c r="F2563" t="s">
        <v>2746</v>
      </c>
      <c r="G2563" t="str">
        <f>"1714"</f>
        <v>1714</v>
      </c>
      <c r="H2563" t="str">
        <f>"0002"</f>
        <v>0002</v>
      </c>
      <c r="I2563" t="s">
        <v>89</v>
      </c>
      <c r="J2563">
        <v>0</v>
      </c>
      <c r="K2563">
        <v>1</v>
      </c>
      <c r="L2563">
        <v>3</v>
      </c>
      <c r="M2563" t="s">
        <v>92</v>
      </c>
      <c r="N2563" t="s">
        <v>92</v>
      </c>
      <c r="O2563" t="s">
        <v>92</v>
      </c>
      <c r="P2563" t="s">
        <v>92</v>
      </c>
      <c r="Q2563">
        <v>19</v>
      </c>
      <c r="R2563">
        <v>44</v>
      </c>
      <c r="S2563">
        <v>10</v>
      </c>
      <c r="T2563">
        <v>3</v>
      </c>
      <c r="U2563">
        <v>13</v>
      </c>
      <c r="V2563">
        <v>2</v>
      </c>
      <c r="W2563">
        <v>5</v>
      </c>
      <c r="X2563">
        <v>96</v>
      </c>
      <c r="Y2563">
        <v>25</v>
      </c>
      <c r="Z2563">
        <v>3</v>
      </c>
      <c r="AA2563">
        <v>2</v>
      </c>
      <c r="AB2563">
        <v>49</v>
      </c>
      <c r="AJ2563">
        <v>0</v>
      </c>
      <c r="AK2563">
        <v>5</v>
      </c>
      <c r="AL2563">
        <v>0</v>
      </c>
      <c r="AM2563">
        <v>0</v>
      </c>
      <c r="AN2563">
        <v>0</v>
      </c>
      <c r="AO2563">
        <v>0</v>
      </c>
      <c r="AP2563">
        <v>0</v>
      </c>
      <c r="AQ2563">
        <v>0</v>
      </c>
      <c r="AR2563">
        <v>0</v>
      </c>
      <c r="AS2563">
        <v>1</v>
      </c>
      <c r="AT2563">
        <v>0</v>
      </c>
      <c r="AW2563">
        <v>0</v>
      </c>
      <c r="AX2563">
        <v>4</v>
      </c>
      <c r="AY2563">
        <v>277</v>
      </c>
      <c r="AZ2563">
        <v>281</v>
      </c>
      <c r="BA2563">
        <v>528</v>
      </c>
      <c r="BB2563">
        <v>44</v>
      </c>
      <c r="BD2563">
        <v>1</v>
      </c>
      <c r="BF2563" t="s">
        <v>2759</v>
      </c>
      <c r="BG2563" s="1">
        <v>44354.097916666666</v>
      </c>
      <c r="BH2563" s="1">
        <v>44354.117384259262</v>
      </c>
      <c r="BI2563" s="1">
        <v>44354.11855324074</v>
      </c>
      <c r="BJ2563" t="s">
        <v>85</v>
      </c>
      <c r="BK2563" t="s">
        <v>86</v>
      </c>
      <c r="BL2563" t="s">
        <v>87</v>
      </c>
    </row>
    <row r="2564" spans="1:64" x14ac:dyDescent="0.3">
      <c r="A2564" t="str">
        <f>"201715B0000"</f>
        <v>201715B0000</v>
      </c>
      <c r="B2564" t="str">
        <f>"201715B00003"</f>
        <v>201715B00003</v>
      </c>
      <c r="C2564" t="str">
        <f t="shared" si="164"/>
        <v>20</v>
      </c>
      <c r="D2564" t="s">
        <v>81</v>
      </c>
      <c r="E2564" t="str">
        <f t="shared" si="168"/>
        <v>386</v>
      </c>
      <c r="F2564" t="s">
        <v>2746</v>
      </c>
      <c r="G2564" t="str">
        <f>"1715"</f>
        <v>1715</v>
      </c>
      <c r="H2564" t="str">
        <f>"0000"</f>
        <v>0000</v>
      </c>
      <c r="I2564" t="s">
        <v>83</v>
      </c>
      <c r="J2564">
        <v>0</v>
      </c>
      <c r="K2564">
        <v>1</v>
      </c>
      <c r="L2564">
        <v>3</v>
      </c>
      <c r="M2564">
        <v>309</v>
      </c>
      <c r="N2564">
        <v>311</v>
      </c>
      <c r="O2564">
        <v>7</v>
      </c>
      <c r="P2564">
        <v>315</v>
      </c>
      <c r="Q2564">
        <v>12</v>
      </c>
      <c r="R2564">
        <v>37</v>
      </c>
      <c r="S2564">
        <v>15</v>
      </c>
      <c r="T2564">
        <v>6</v>
      </c>
      <c r="U2564">
        <v>20</v>
      </c>
      <c r="V2564">
        <v>2</v>
      </c>
      <c r="W2564">
        <v>6</v>
      </c>
      <c r="X2564">
        <v>122</v>
      </c>
      <c r="Y2564">
        <v>8</v>
      </c>
      <c r="Z2564">
        <v>2</v>
      </c>
      <c r="AA2564">
        <v>1</v>
      </c>
      <c r="AB2564">
        <v>73</v>
      </c>
      <c r="AJ2564">
        <v>0</v>
      </c>
      <c r="AK2564">
        <v>0</v>
      </c>
      <c r="AL2564">
        <v>0</v>
      </c>
      <c r="AM2564">
        <v>0</v>
      </c>
      <c r="AN2564">
        <v>0</v>
      </c>
      <c r="AO2564">
        <v>0</v>
      </c>
      <c r="AP2564">
        <v>0</v>
      </c>
      <c r="AQ2564">
        <v>0</v>
      </c>
      <c r="AR2564">
        <v>0</v>
      </c>
      <c r="AS2564">
        <v>0</v>
      </c>
      <c r="AT2564">
        <v>0</v>
      </c>
      <c r="AW2564">
        <v>0</v>
      </c>
      <c r="AX2564">
        <v>11</v>
      </c>
      <c r="AY2564">
        <v>315</v>
      </c>
      <c r="AZ2564">
        <v>315</v>
      </c>
      <c r="BA2564">
        <v>576</v>
      </c>
      <c r="BB2564">
        <v>44</v>
      </c>
      <c r="BD2564">
        <v>1</v>
      </c>
      <c r="BF2564" t="s">
        <v>2760</v>
      </c>
      <c r="BG2564" s="1">
        <v>44353.959027777775</v>
      </c>
      <c r="BH2564" s="1">
        <v>44354.002013888887</v>
      </c>
      <c r="BI2564" s="1">
        <v>44354.003032407411</v>
      </c>
      <c r="BJ2564" t="s">
        <v>85</v>
      </c>
      <c r="BK2564" t="s">
        <v>86</v>
      </c>
      <c r="BL2564" t="s">
        <v>87</v>
      </c>
    </row>
    <row r="2565" spans="1:64" x14ac:dyDescent="0.3">
      <c r="A2565" t="str">
        <f>"201715C0100"</f>
        <v>201715C0100</v>
      </c>
      <c r="B2565" t="str">
        <f>"201715C01003"</f>
        <v>201715C01003</v>
      </c>
      <c r="C2565" t="str">
        <f t="shared" si="164"/>
        <v>20</v>
      </c>
      <c r="D2565" t="s">
        <v>81</v>
      </c>
      <c r="E2565" t="str">
        <f t="shared" si="168"/>
        <v>386</v>
      </c>
      <c r="F2565" t="s">
        <v>2746</v>
      </c>
      <c r="G2565" t="str">
        <f>"1715"</f>
        <v>1715</v>
      </c>
      <c r="H2565" t="str">
        <f>"0001"</f>
        <v>0001</v>
      </c>
      <c r="I2565" t="s">
        <v>89</v>
      </c>
      <c r="J2565">
        <v>0</v>
      </c>
      <c r="K2565">
        <v>1</v>
      </c>
      <c r="L2565">
        <v>3</v>
      </c>
      <c r="M2565">
        <v>249</v>
      </c>
      <c r="N2565">
        <v>371</v>
      </c>
      <c r="O2565">
        <v>5</v>
      </c>
      <c r="P2565" t="s">
        <v>92</v>
      </c>
      <c r="Q2565">
        <v>11</v>
      </c>
      <c r="R2565">
        <v>56</v>
      </c>
      <c r="S2565">
        <v>11</v>
      </c>
      <c r="T2565">
        <v>8</v>
      </c>
      <c r="U2565">
        <v>23</v>
      </c>
      <c r="V2565">
        <v>6</v>
      </c>
      <c r="W2565">
        <v>4</v>
      </c>
      <c r="X2565">
        <v>140</v>
      </c>
      <c r="Y2565">
        <v>12</v>
      </c>
      <c r="Z2565">
        <v>4</v>
      </c>
      <c r="AA2565">
        <v>0</v>
      </c>
      <c r="AB2565">
        <v>79</v>
      </c>
      <c r="AJ2565">
        <v>3</v>
      </c>
      <c r="AK2565">
        <v>0</v>
      </c>
      <c r="AL2565">
        <v>0</v>
      </c>
      <c r="AM2565">
        <v>0</v>
      </c>
      <c r="AN2565">
        <v>0</v>
      </c>
      <c r="AO2565">
        <v>0</v>
      </c>
      <c r="AP2565">
        <v>0</v>
      </c>
      <c r="AQ2565">
        <v>0</v>
      </c>
      <c r="AR2565">
        <v>1</v>
      </c>
      <c r="AS2565">
        <v>0</v>
      </c>
      <c r="AT2565">
        <v>0</v>
      </c>
      <c r="AW2565">
        <v>0</v>
      </c>
      <c r="AX2565">
        <v>10</v>
      </c>
      <c r="AY2565">
        <v>368</v>
      </c>
      <c r="AZ2565">
        <v>368</v>
      </c>
      <c r="BA2565">
        <v>576</v>
      </c>
      <c r="BB2565">
        <v>44</v>
      </c>
      <c r="BD2565">
        <v>1</v>
      </c>
      <c r="BF2565" t="s">
        <v>2761</v>
      </c>
      <c r="BG2565" s="1">
        <v>44353.959027777775</v>
      </c>
      <c r="BH2565" s="1">
        <v>44354.000844907408</v>
      </c>
      <c r="BI2565" s="1">
        <v>44354.002002314817</v>
      </c>
      <c r="BJ2565" t="s">
        <v>85</v>
      </c>
      <c r="BK2565" t="s">
        <v>86</v>
      </c>
      <c r="BL2565" t="s">
        <v>87</v>
      </c>
    </row>
    <row r="2566" spans="1:64" x14ac:dyDescent="0.3">
      <c r="A2566" t="str">
        <f>"201715C0200"</f>
        <v>201715C0200</v>
      </c>
      <c r="B2566" t="str">
        <f>"201715C02003"</f>
        <v>201715C02003</v>
      </c>
      <c r="C2566" t="str">
        <f t="shared" si="164"/>
        <v>20</v>
      </c>
      <c r="D2566" t="s">
        <v>81</v>
      </c>
      <c r="E2566" t="str">
        <f t="shared" si="168"/>
        <v>386</v>
      </c>
      <c r="F2566" t="s">
        <v>2746</v>
      </c>
      <c r="G2566" t="str">
        <f>"1715"</f>
        <v>1715</v>
      </c>
      <c r="H2566" t="str">
        <f>"0002"</f>
        <v>0002</v>
      </c>
      <c r="I2566" t="s">
        <v>89</v>
      </c>
      <c r="J2566">
        <v>0</v>
      </c>
      <c r="K2566">
        <v>1</v>
      </c>
      <c r="L2566">
        <v>3</v>
      </c>
      <c r="M2566">
        <v>246</v>
      </c>
      <c r="N2566">
        <v>374</v>
      </c>
      <c r="O2566">
        <v>2</v>
      </c>
      <c r="P2566">
        <v>374</v>
      </c>
      <c r="Q2566">
        <v>14</v>
      </c>
      <c r="R2566">
        <v>36</v>
      </c>
      <c r="S2566">
        <v>10</v>
      </c>
      <c r="T2566">
        <v>6</v>
      </c>
      <c r="U2566">
        <v>29</v>
      </c>
      <c r="V2566">
        <v>5</v>
      </c>
      <c r="W2566">
        <v>9</v>
      </c>
      <c r="X2566">
        <v>158</v>
      </c>
      <c r="Y2566">
        <v>6</v>
      </c>
      <c r="Z2566">
        <v>5</v>
      </c>
      <c r="AA2566">
        <v>3</v>
      </c>
      <c r="AB2566">
        <v>84</v>
      </c>
      <c r="AJ2566">
        <v>0</v>
      </c>
      <c r="AK2566">
        <v>0</v>
      </c>
      <c r="AL2566">
        <v>0</v>
      </c>
      <c r="AM2566">
        <v>0</v>
      </c>
      <c r="AN2566">
        <v>0</v>
      </c>
      <c r="AO2566">
        <v>1</v>
      </c>
      <c r="AP2566">
        <v>1</v>
      </c>
      <c r="AQ2566">
        <v>0</v>
      </c>
      <c r="AR2566">
        <v>1</v>
      </c>
      <c r="AS2566">
        <v>0</v>
      </c>
      <c r="AT2566">
        <v>0</v>
      </c>
      <c r="AW2566">
        <v>0</v>
      </c>
      <c r="AX2566">
        <v>0</v>
      </c>
      <c r="AY2566">
        <v>0</v>
      </c>
      <c r="AZ2566">
        <v>368</v>
      </c>
      <c r="BA2566">
        <v>576</v>
      </c>
      <c r="BB2566">
        <v>44</v>
      </c>
      <c r="BD2566">
        <v>1</v>
      </c>
      <c r="BF2566" t="s">
        <v>2762</v>
      </c>
      <c r="BG2566" s="1">
        <v>44353.959027777775</v>
      </c>
      <c r="BH2566" s="1">
        <v>44354.002662037034</v>
      </c>
      <c r="BI2566" s="1">
        <v>44354.003553240742</v>
      </c>
      <c r="BJ2566" t="s">
        <v>85</v>
      </c>
      <c r="BK2566" t="s">
        <v>86</v>
      </c>
      <c r="BL2566" t="s">
        <v>87</v>
      </c>
    </row>
    <row r="2567" spans="1:64" x14ac:dyDescent="0.3">
      <c r="A2567" t="str">
        <f>"201715C0300"</f>
        <v>201715C0300</v>
      </c>
      <c r="B2567" t="str">
        <f>"201715C03003"</f>
        <v>201715C03003</v>
      </c>
      <c r="C2567" t="str">
        <f t="shared" ref="C2567:C2630" si="169">"20"</f>
        <v>20</v>
      </c>
      <c r="D2567" t="s">
        <v>81</v>
      </c>
      <c r="E2567" t="str">
        <f t="shared" si="168"/>
        <v>386</v>
      </c>
      <c r="F2567" t="s">
        <v>2746</v>
      </c>
      <c r="G2567" t="str">
        <f>"1715"</f>
        <v>1715</v>
      </c>
      <c r="H2567" t="str">
        <f>"0003"</f>
        <v>0003</v>
      </c>
      <c r="I2567" t="s">
        <v>89</v>
      </c>
      <c r="J2567">
        <v>0</v>
      </c>
      <c r="K2567">
        <v>1</v>
      </c>
      <c r="L2567">
        <v>3</v>
      </c>
      <c r="M2567">
        <v>270</v>
      </c>
      <c r="N2567">
        <v>348</v>
      </c>
      <c r="O2567">
        <v>5</v>
      </c>
      <c r="P2567">
        <v>348</v>
      </c>
      <c r="Q2567">
        <v>12</v>
      </c>
      <c r="R2567">
        <v>53</v>
      </c>
      <c r="S2567">
        <v>5</v>
      </c>
      <c r="T2567">
        <v>4</v>
      </c>
      <c r="U2567">
        <v>22</v>
      </c>
      <c r="V2567">
        <v>2</v>
      </c>
      <c r="W2567">
        <v>4</v>
      </c>
      <c r="X2567">
        <v>140</v>
      </c>
      <c r="Y2567">
        <v>7</v>
      </c>
      <c r="Z2567">
        <v>8</v>
      </c>
      <c r="AA2567">
        <v>3</v>
      </c>
      <c r="AB2567">
        <v>81</v>
      </c>
      <c r="AJ2567">
        <v>2</v>
      </c>
      <c r="AK2567">
        <v>1</v>
      </c>
      <c r="AL2567">
        <v>0</v>
      </c>
      <c r="AM2567">
        <v>0</v>
      </c>
      <c r="AN2567">
        <v>0</v>
      </c>
      <c r="AO2567">
        <v>0</v>
      </c>
      <c r="AP2567">
        <v>0</v>
      </c>
      <c r="AQ2567">
        <v>0</v>
      </c>
      <c r="AR2567">
        <v>0</v>
      </c>
      <c r="AS2567">
        <v>0</v>
      </c>
      <c r="AT2567">
        <v>0</v>
      </c>
      <c r="AW2567">
        <v>0</v>
      </c>
      <c r="AX2567">
        <v>4</v>
      </c>
      <c r="AY2567">
        <v>348</v>
      </c>
      <c r="AZ2567">
        <v>348</v>
      </c>
      <c r="BA2567">
        <v>575</v>
      </c>
      <c r="BB2567">
        <v>44</v>
      </c>
      <c r="BD2567">
        <v>1</v>
      </c>
      <c r="BF2567" t="s">
        <v>2763</v>
      </c>
      <c r="BG2567" s="1">
        <v>44353.959027777775</v>
      </c>
      <c r="BH2567" s="1">
        <v>44354.000254629631</v>
      </c>
      <c r="BI2567" s="1">
        <v>44354.000925925924</v>
      </c>
      <c r="BJ2567" t="s">
        <v>85</v>
      </c>
      <c r="BK2567" t="s">
        <v>86</v>
      </c>
      <c r="BL2567" t="s">
        <v>87</v>
      </c>
    </row>
    <row r="2568" spans="1:64" x14ac:dyDescent="0.3">
      <c r="A2568" t="str">
        <f>"201716B0000"</f>
        <v>201716B0000</v>
      </c>
      <c r="B2568" t="str">
        <f>"201716B00003"</f>
        <v>201716B00003</v>
      </c>
      <c r="C2568" t="str">
        <f t="shared" si="169"/>
        <v>20</v>
      </c>
      <c r="D2568" t="s">
        <v>81</v>
      </c>
      <c r="E2568" t="str">
        <f t="shared" si="168"/>
        <v>386</v>
      </c>
      <c r="F2568" t="s">
        <v>2746</v>
      </c>
      <c r="G2568" t="str">
        <f>"1716"</f>
        <v>1716</v>
      </c>
      <c r="H2568" t="str">
        <f>"0000"</f>
        <v>0000</v>
      </c>
      <c r="I2568" t="s">
        <v>83</v>
      </c>
      <c r="J2568">
        <v>0</v>
      </c>
      <c r="K2568">
        <v>1</v>
      </c>
      <c r="L2568">
        <v>3</v>
      </c>
      <c r="M2568">
        <v>311</v>
      </c>
      <c r="N2568">
        <v>444</v>
      </c>
      <c r="O2568">
        <v>4</v>
      </c>
      <c r="P2568">
        <v>443</v>
      </c>
      <c r="Q2568">
        <v>5</v>
      </c>
      <c r="R2568">
        <v>37</v>
      </c>
      <c r="S2568">
        <v>11</v>
      </c>
      <c r="T2568">
        <v>5</v>
      </c>
      <c r="U2568">
        <v>26</v>
      </c>
      <c r="V2568">
        <v>2</v>
      </c>
      <c r="W2568">
        <v>9</v>
      </c>
      <c r="X2568">
        <v>188</v>
      </c>
      <c r="Y2568">
        <v>4</v>
      </c>
      <c r="Z2568">
        <v>3</v>
      </c>
      <c r="AA2568">
        <v>3</v>
      </c>
      <c r="AB2568">
        <v>134</v>
      </c>
      <c r="AJ2568">
        <v>1</v>
      </c>
      <c r="AK2568">
        <v>1</v>
      </c>
      <c r="AL2568">
        <v>0</v>
      </c>
      <c r="AM2568">
        <v>0</v>
      </c>
      <c r="AN2568">
        <v>0</v>
      </c>
      <c r="AO2568">
        <v>0</v>
      </c>
      <c r="AP2568">
        <v>0</v>
      </c>
      <c r="AQ2568">
        <v>0</v>
      </c>
      <c r="AR2568">
        <v>1</v>
      </c>
      <c r="AS2568">
        <v>1</v>
      </c>
      <c r="AT2568">
        <v>0</v>
      </c>
      <c r="AW2568">
        <v>0</v>
      </c>
      <c r="AX2568">
        <v>12</v>
      </c>
      <c r="AY2568">
        <v>443</v>
      </c>
      <c r="AZ2568">
        <v>443</v>
      </c>
      <c r="BA2568">
        <v>711</v>
      </c>
      <c r="BB2568">
        <v>44</v>
      </c>
      <c r="BD2568">
        <v>1</v>
      </c>
      <c r="BF2568" t="s">
        <v>2764</v>
      </c>
      <c r="BG2568" s="1">
        <v>44354.102777777778</v>
      </c>
      <c r="BH2568" s="1">
        <v>44354.131122685183</v>
      </c>
      <c r="BI2568" s="1">
        <v>44354.131863425922</v>
      </c>
      <c r="BJ2568" t="s">
        <v>85</v>
      </c>
      <c r="BK2568" t="s">
        <v>86</v>
      </c>
      <c r="BL2568" t="s">
        <v>87</v>
      </c>
    </row>
    <row r="2569" spans="1:64" x14ac:dyDescent="0.3">
      <c r="A2569" t="str">
        <f>"201716C0100"</f>
        <v>201716C0100</v>
      </c>
      <c r="B2569" t="str">
        <f>"201716C01003"</f>
        <v>201716C01003</v>
      </c>
      <c r="C2569" t="str">
        <f t="shared" si="169"/>
        <v>20</v>
      </c>
      <c r="D2569" t="s">
        <v>81</v>
      </c>
      <c r="E2569" t="str">
        <f t="shared" si="168"/>
        <v>386</v>
      </c>
      <c r="F2569" t="s">
        <v>2746</v>
      </c>
      <c r="G2569" t="str">
        <f>"1716"</f>
        <v>1716</v>
      </c>
      <c r="H2569" t="str">
        <f>"0001"</f>
        <v>0001</v>
      </c>
      <c r="I2569" t="s">
        <v>89</v>
      </c>
      <c r="J2569">
        <v>0</v>
      </c>
      <c r="K2569">
        <v>1</v>
      </c>
      <c r="L2569">
        <v>3</v>
      </c>
      <c r="M2569">
        <v>317</v>
      </c>
      <c r="N2569">
        <v>437</v>
      </c>
      <c r="O2569">
        <v>9</v>
      </c>
      <c r="P2569">
        <v>437</v>
      </c>
      <c r="Q2569">
        <v>7</v>
      </c>
      <c r="R2569">
        <v>38</v>
      </c>
      <c r="S2569">
        <v>4</v>
      </c>
      <c r="T2569">
        <v>0</v>
      </c>
      <c r="U2569">
        <v>20</v>
      </c>
      <c r="V2569">
        <v>4</v>
      </c>
      <c r="W2569">
        <v>6</v>
      </c>
      <c r="X2569">
        <v>187</v>
      </c>
      <c r="Y2569">
        <v>7</v>
      </c>
      <c r="Z2569">
        <v>4</v>
      </c>
      <c r="AA2569">
        <v>6</v>
      </c>
      <c r="AB2569">
        <v>146</v>
      </c>
      <c r="AJ2569">
        <v>0</v>
      </c>
      <c r="AK2569">
        <v>2</v>
      </c>
      <c r="AL2569">
        <v>0</v>
      </c>
      <c r="AM2569">
        <v>0</v>
      </c>
      <c r="AN2569">
        <v>0</v>
      </c>
      <c r="AO2569">
        <v>1</v>
      </c>
      <c r="AP2569">
        <v>0</v>
      </c>
      <c r="AQ2569">
        <v>0</v>
      </c>
      <c r="AR2569">
        <v>0</v>
      </c>
      <c r="AS2569">
        <v>0</v>
      </c>
      <c r="AT2569">
        <v>0</v>
      </c>
      <c r="AW2569">
        <v>0</v>
      </c>
      <c r="AX2569">
        <v>5</v>
      </c>
      <c r="AY2569">
        <v>437</v>
      </c>
      <c r="AZ2569">
        <v>437</v>
      </c>
      <c r="BA2569">
        <v>710</v>
      </c>
      <c r="BB2569">
        <v>44</v>
      </c>
      <c r="BD2569">
        <v>1</v>
      </c>
      <c r="BF2569" t="s">
        <v>2765</v>
      </c>
      <c r="BG2569" s="1">
        <v>44354.102083333331</v>
      </c>
      <c r="BH2569" s="1">
        <v>44354.129189814812</v>
      </c>
      <c r="BI2569" s="1">
        <v>44354.129861111112</v>
      </c>
      <c r="BJ2569" t="s">
        <v>85</v>
      </c>
      <c r="BK2569" t="s">
        <v>86</v>
      </c>
      <c r="BL2569" t="s">
        <v>87</v>
      </c>
    </row>
    <row r="2570" spans="1:64" x14ac:dyDescent="0.3">
      <c r="A2570" t="str">
        <f>"201716C0200"</f>
        <v>201716C0200</v>
      </c>
      <c r="B2570" t="str">
        <f>"201716C02003"</f>
        <v>201716C02003</v>
      </c>
      <c r="C2570" t="str">
        <f t="shared" si="169"/>
        <v>20</v>
      </c>
      <c r="D2570" t="s">
        <v>81</v>
      </c>
      <c r="E2570" t="str">
        <f t="shared" si="168"/>
        <v>386</v>
      </c>
      <c r="F2570" t="s">
        <v>2746</v>
      </c>
      <c r="G2570" t="str">
        <f>"1716"</f>
        <v>1716</v>
      </c>
      <c r="H2570" t="str">
        <f>"0002"</f>
        <v>0002</v>
      </c>
      <c r="I2570" t="s">
        <v>89</v>
      </c>
      <c r="J2570">
        <v>0</v>
      </c>
      <c r="K2570">
        <v>1</v>
      </c>
      <c r="L2570">
        <v>3</v>
      </c>
      <c r="M2570">
        <v>324</v>
      </c>
      <c r="N2570">
        <v>431</v>
      </c>
      <c r="O2570">
        <v>3</v>
      </c>
      <c r="P2570">
        <v>431</v>
      </c>
      <c r="Q2570">
        <v>10</v>
      </c>
      <c r="R2570">
        <v>30</v>
      </c>
      <c r="S2570">
        <v>6</v>
      </c>
      <c r="T2570">
        <v>3</v>
      </c>
      <c r="U2570">
        <v>32</v>
      </c>
      <c r="V2570">
        <v>11</v>
      </c>
      <c r="W2570">
        <v>4</v>
      </c>
      <c r="X2570">
        <v>177</v>
      </c>
      <c r="Y2570">
        <v>7</v>
      </c>
      <c r="Z2570">
        <v>8</v>
      </c>
      <c r="AA2570">
        <v>1</v>
      </c>
      <c r="AB2570">
        <v>123</v>
      </c>
      <c r="AJ2570">
        <v>2</v>
      </c>
      <c r="AK2570">
        <v>1</v>
      </c>
      <c r="AL2570">
        <v>0</v>
      </c>
      <c r="AM2570">
        <v>0</v>
      </c>
      <c r="AN2570">
        <v>0</v>
      </c>
      <c r="AO2570">
        <v>0</v>
      </c>
      <c r="AP2570">
        <v>0</v>
      </c>
      <c r="AQ2570">
        <v>0</v>
      </c>
      <c r="AR2570">
        <v>0</v>
      </c>
      <c r="AS2570">
        <v>0</v>
      </c>
      <c r="AT2570">
        <v>0</v>
      </c>
      <c r="AW2570">
        <v>0</v>
      </c>
      <c r="AX2570">
        <v>16</v>
      </c>
      <c r="AY2570">
        <v>431</v>
      </c>
      <c r="AZ2570">
        <v>431</v>
      </c>
      <c r="BA2570">
        <v>710</v>
      </c>
      <c r="BB2570">
        <v>44</v>
      </c>
      <c r="BD2570">
        <v>1</v>
      </c>
      <c r="BF2570" t="s">
        <v>2766</v>
      </c>
      <c r="BG2570" s="1">
        <v>44354.102777777778</v>
      </c>
      <c r="BH2570" s="1">
        <v>44354.131238425929</v>
      </c>
      <c r="BI2570" s="1">
        <v>44354.133530092593</v>
      </c>
      <c r="BJ2570" t="s">
        <v>85</v>
      </c>
      <c r="BK2570" t="s">
        <v>86</v>
      </c>
      <c r="BL2570" t="s">
        <v>87</v>
      </c>
    </row>
    <row r="2571" spans="1:64" x14ac:dyDescent="0.3">
      <c r="A2571" t="str">
        <f>"201717B0000"</f>
        <v>201717B0000</v>
      </c>
      <c r="B2571" t="str">
        <f>"201717B00003"</f>
        <v>201717B00003</v>
      </c>
      <c r="C2571" t="str">
        <f t="shared" si="169"/>
        <v>20</v>
      </c>
      <c r="D2571" t="s">
        <v>81</v>
      </c>
      <c r="E2571" t="str">
        <f t="shared" si="168"/>
        <v>386</v>
      </c>
      <c r="F2571" t="s">
        <v>2746</v>
      </c>
      <c r="G2571" t="str">
        <f>"1717"</f>
        <v>1717</v>
      </c>
      <c r="H2571" t="str">
        <f>"0000"</f>
        <v>0000</v>
      </c>
      <c r="I2571" t="s">
        <v>83</v>
      </c>
      <c r="J2571">
        <v>0</v>
      </c>
      <c r="K2571">
        <v>1</v>
      </c>
      <c r="L2571">
        <v>3</v>
      </c>
      <c r="M2571">
        <v>433</v>
      </c>
      <c r="N2571">
        <v>436</v>
      </c>
      <c r="O2571">
        <v>2</v>
      </c>
      <c r="P2571" t="s">
        <v>92</v>
      </c>
      <c r="Q2571">
        <v>5</v>
      </c>
      <c r="R2571">
        <v>52</v>
      </c>
      <c r="S2571">
        <v>12</v>
      </c>
      <c r="T2571">
        <v>0</v>
      </c>
      <c r="U2571">
        <v>20</v>
      </c>
      <c r="V2571">
        <v>4</v>
      </c>
      <c r="W2571">
        <v>9</v>
      </c>
      <c r="X2571">
        <v>129</v>
      </c>
      <c r="Y2571">
        <v>6</v>
      </c>
      <c r="Z2571">
        <v>7</v>
      </c>
      <c r="AA2571">
        <v>2</v>
      </c>
      <c r="AB2571">
        <v>180</v>
      </c>
      <c r="AJ2571" t="s">
        <v>95</v>
      </c>
      <c r="AK2571">
        <v>1</v>
      </c>
      <c r="AL2571" t="s">
        <v>95</v>
      </c>
      <c r="AM2571" t="s">
        <v>95</v>
      </c>
      <c r="AN2571" t="s">
        <v>95</v>
      </c>
      <c r="AO2571" t="s">
        <v>95</v>
      </c>
      <c r="AP2571" t="s">
        <v>95</v>
      </c>
      <c r="AQ2571" t="s">
        <v>95</v>
      </c>
      <c r="AR2571" t="s">
        <v>95</v>
      </c>
      <c r="AS2571" t="s">
        <v>95</v>
      </c>
      <c r="AT2571" t="s">
        <v>95</v>
      </c>
      <c r="AW2571" t="s">
        <v>95</v>
      </c>
      <c r="AX2571">
        <v>8</v>
      </c>
      <c r="AY2571">
        <v>435</v>
      </c>
      <c r="AZ2571">
        <v>435</v>
      </c>
      <c r="BA2571">
        <v>635</v>
      </c>
      <c r="BB2571">
        <v>44</v>
      </c>
      <c r="BC2571" t="s">
        <v>96</v>
      </c>
      <c r="BD2571">
        <v>1</v>
      </c>
      <c r="BF2571" t="s">
        <v>2767</v>
      </c>
      <c r="BG2571" s="1">
        <v>44353.996527777781</v>
      </c>
      <c r="BH2571" s="1">
        <v>44354.011516203704</v>
      </c>
      <c r="BI2571" s="1">
        <v>44354.01221064815</v>
      </c>
      <c r="BJ2571" t="s">
        <v>85</v>
      </c>
      <c r="BK2571" t="s">
        <v>86</v>
      </c>
      <c r="BL2571" t="s">
        <v>87</v>
      </c>
    </row>
    <row r="2572" spans="1:64" x14ac:dyDescent="0.3">
      <c r="A2572" t="str">
        <f>"201717C0100"</f>
        <v>201717C0100</v>
      </c>
      <c r="B2572" t="str">
        <f>"201717C01003"</f>
        <v>201717C01003</v>
      </c>
      <c r="C2572" t="str">
        <f t="shared" si="169"/>
        <v>20</v>
      </c>
      <c r="D2572" t="s">
        <v>81</v>
      </c>
      <c r="E2572" t="str">
        <f t="shared" si="168"/>
        <v>386</v>
      </c>
      <c r="F2572" t="s">
        <v>2746</v>
      </c>
      <c r="G2572" t="str">
        <f>"1717"</f>
        <v>1717</v>
      </c>
      <c r="H2572" t="str">
        <f>"0001"</f>
        <v>0001</v>
      </c>
      <c r="I2572" t="s">
        <v>89</v>
      </c>
      <c r="J2572">
        <v>0</v>
      </c>
      <c r="K2572">
        <v>1</v>
      </c>
      <c r="L2572">
        <v>3</v>
      </c>
      <c r="M2572">
        <v>258</v>
      </c>
      <c r="N2572">
        <v>421</v>
      </c>
      <c r="O2572">
        <v>3</v>
      </c>
      <c r="P2572">
        <v>421</v>
      </c>
      <c r="Q2572">
        <v>10</v>
      </c>
      <c r="R2572">
        <v>44</v>
      </c>
      <c r="S2572">
        <v>14</v>
      </c>
      <c r="T2572">
        <v>0</v>
      </c>
      <c r="U2572">
        <v>17</v>
      </c>
      <c r="V2572">
        <v>5</v>
      </c>
      <c r="W2572">
        <v>8</v>
      </c>
      <c r="X2572">
        <v>143</v>
      </c>
      <c r="Y2572">
        <v>2</v>
      </c>
      <c r="Z2572">
        <v>10</v>
      </c>
      <c r="AA2572">
        <v>4</v>
      </c>
      <c r="AB2572">
        <v>159</v>
      </c>
      <c r="AJ2572" t="s">
        <v>95</v>
      </c>
      <c r="AK2572" t="s">
        <v>95</v>
      </c>
      <c r="AL2572" t="s">
        <v>95</v>
      </c>
      <c r="AM2572" t="s">
        <v>95</v>
      </c>
      <c r="AN2572" t="s">
        <v>95</v>
      </c>
      <c r="AO2572" t="s">
        <v>95</v>
      </c>
      <c r="AP2572" t="s">
        <v>95</v>
      </c>
      <c r="AQ2572" t="s">
        <v>95</v>
      </c>
      <c r="AR2572" t="s">
        <v>95</v>
      </c>
      <c r="AS2572" t="s">
        <v>95</v>
      </c>
      <c r="AT2572" t="s">
        <v>95</v>
      </c>
      <c r="AW2572" t="s">
        <v>95</v>
      </c>
      <c r="AX2572" t="s">
        <v>95</v>
      </c>
      <c r="AY2572" t="s">
        <v>95</v>
      </c>
      <c r="AZ2572">
        <v>416</v>
      </c>
      <c r="BA2572">
        <v>635</v>
      </c>
      <c r="BB2572">
        <v>44</v>
      </c>
      <c r="BC2572" t="s">
        <v>96</v>
      </c>
      <c r="BD2572">
        <v>1</v>
      </c>
      <c r="BF2572" t="s">
        <v>2768</v>
      </c>
      <c r="BG2572" s="1">
        <v>44353.996527777781</v>
      </c>
      <c r="BH2572" s="1">
        <v>44354.011388888888</v>
      </c>
      <c r="BI2572" s="1">
        <v>44354.013043981482</v>
      </c>
      <c r="BJ2572" t="s">
        <v>85</v>
      </c>
      <c r="BK2572" t="s">
        <v>86</v>
      </c>
      <c r="BL2572" t="s">
        <v>87</v>
      </c>
    </row>
    <row r="2573" spans="1:64" x14ac:dyDescent="0.3">
      <c r="A2573" t="str">
        <f>"201717C0200"</f>
        <v>201717C0200</v>
      </c>
      <c r="B2573" t="str">
        <f>"201717C02003"</f>
        <v>201717C02003</v>
      </c>
      <c r="C2573" t="str">
        <f t="shared" si="169"/>
        <v>20</v>
      </c>
      <c r="D2573" t="s">
        <v>81</v>
      </c>
      <c r="E2573" t="str">
        <f t="shared" si="168"/>
        <v>386</v>
      </c>
      <c r="F2573" t="s">
        <v>2746</v>
      </c>
      <c r="G2573" t="str">
        <f>"1717"</f>
        <v>1717</v>
      </c>
      <c r="H2573" t="str">
        <f>"0002"</f>
        <v>0002</v>
      </c>
      <c r="I2573" t="s">
        <v>89</v>
      </c>
      <c r="J2573">
        <v>0</v>
      </c>
      <c r="K2573">
        <v>1</v>
      </c>
      <c r="L2573">
        <v>3</v>
      </c>
      <c r="M2573">
        <v>242</v>
      </c>
      <c r="N2573">
        <v>436</v>
      </c>
      <c r="O2573">
        <v>3</v>
      </c>
      <c r="P2573">
        <v>436</v>
      </c>
      <c r="Q2573">
        <v>5</v>
      </c>
      <c r="R2573">
        <v>43</v>
      </c>
      <c r="S2573">
        <v>14</v>
      </c>
      <c r="T2573">
        <v>6</v>
      </c>
      <c r="U2573">
        <v>18</v>
      </c>
      <c r="V2573">
        <v>8</v>
      </c>
      <c r="W2573">
        <v>7</v>
      </c>
      <c r="X2573">
        <v>140</v>
      </c>
      <c r="Y2573">
        <v>1</v>
      </c>
      <c r="Z2573">
        <v>11</v>
      </c>
      <c r="AA2573">
        <v>3</v>
      </c>
      <c r="AB2573">
        <v>164</v>
      </c>
      <c r="AJ2573">
        <v>0</v>
      </c>
      <c r="AK2573">
        <v>0</v>
      </c>
      <c r="AL2573">
        <v>0</v>
      </c>
      <c r="AM2573">
        <v>0</v>
      </c>
      <c r="AN2573">
        <v>0</v>
      </c>
      <c r="AO2573">
        <v>0</v>
      </c>
      <c r="AP2573">
        <v>0</v>
      </c>
      <c r="AQ2573">
        <v>0</v>
      </c>
      <c r="AR2573">
        <v>0</v>
      </c>
      <c r="AS2573">
        <v>0</v>
      </c>
      <c r="AT2573">
        <v>0</v>
      </c>
      <c r="AW2573">
        <v>0</v>
      </c>
      <c r="AX2573">
        <v>16</v>
      </c>
      <c r="AY2573">
        <v>436</v>
      </c>
      <c r="AZ2573">
        <v>436</v>
      </c>
      <c r="BA2573">
        <v>634</v>
      </c>
      <c r="BB2573">
        <v>44</v>
      </c>
      <c r="BD2573">
        <v>1</v>
      </c>
      <c r="BF2573" t="s">
        <v>2769</v>
      </c>
      <c r="BG2573" s="1">
        <v>44353.996527777781</v>
      </c>
      <c r="BH2573" s="1">
        <v>44354.020960648151</v>
      </c>
      <c r="BI2573" s="1">
        <v>44354.021770833337</v>
      </c>
      <c r="BJ2573" t="s">
        <v>85</v>
      </c>
      <c r="BK2573" t="s">
        <v>86</v>
      </c>
      <c r="BL2573" t="s">
        <v>87</v>
      </c>
    </row>
    <row r="2574" spans="1:64" x14ac:dyDescent="0.3">
      <c r="A2574" t="str">
        <f>"201717C0300"</f>
        <v>201717C0300</v>
      </c>
      <c r="B2574" t="str">
        <f>"201717C03003"</f>
        <v>201717C03003</v>
      </c>
      <c r="C2574" t="str">
        <f t="shared" si="169"/>
        <v>20</v>
      </c>
      <c r="D2574" t="s">
        <v>81</v>
      </c>
      <c r="E2574" t="str">
        <f t="shared" si="168"/>
        <v>386</v>
      </c>
      <c r="F2574" t="s">
        <v>2746</v>
      </c>
      <c r="G2574" t="str">
        <f>"1717"</f>
        <v>1717</v>
      </c>
      <c r="H2574" t="str">
        <f>"0003"</f>
        <v>0003</v>
      </c>
      <c r="I2574" t="s">
        <v>89</v>
      </c>
      <c r="J2574">
        <v>0</v>
      </c>
      <c r="K2574">
        <v>1</v>
      </c>
      <c r="L2574">
        <v>3</v>
      </c>
      <c r="M2574">
        <v>267</v>
      </c>
      <c r="N2574">
        <v>411</v>
      </c>
      <c r="O2574">
        <v>7</v>
      </c>
      <c r="P2574">
        <v>411</v>
      </c>
      <c r="Q2574">
        <v>11</v>
      </c>
      <c r="R2574">
        <v>46</v>
      </c>
      <c r="S2574">
        <v>112</v>
      </c>
      <c r="T2574">
        <v>1</v>
      </c>
      <c r="U2574">
        <v>17</v>
      </c>
      <c r="V2574">
        <v>7</v>
      </c>
      <c r="W2574">
        <v>7</v>
      </c>
      <c r="X2574">
        <v>140</v>
      </c>
      <c r="Y2574">
        <v>6</v>
      </c>
      <c r="Z2574">
        <v>4</v>
      </c>
      <c r="AA2574">
        <v>2</v>
      </c>
      <c r="AB2574">
        <v>156</v>
      </c>
      <c r="AJ2574">
        <v>0</v>
      </c>
      <c r="AK2574">
        <v>0</v>
      </c>
      <c r="AL2574">
        <v>0</v>
      </c>
      <c r="AM2574">
        <v>0</v>
      </c>
      <c r="AN2574">
        <v>0</v>
      </c>
      <c r="AO2574">
        <v>0</v>
      </c>
      <c r="AP2574">
        <v>0</v>
      </c>
      <c r="AQ2574">
        <v>0</v>
      </c>
      <c r="AR2574">
        <v>0</v>
      </c>
      <c r="AS2574">
        <v>0</v>
      </c>
      <c r="AT2574">
        <v>0</v>
      </c>
      <c r="AW2574">
        <v>0</v>
      </c>
      <c r="AX2574">
        <v>6</v>
      </c>
      <c r="AY2574">
        <v>411</v>
      </c>
      <c r="AZ2574">
        <v>515</v>
      </c>
      <c r="BA2574">
        <v>634</v>
      </c>
      <c r="BB2574">
        <v>44</v>
      </c>
      <c r="BD2574">
        <v>1</v>
      </c>
      <c r="BF2574" t="s">
        <v>2770</v>
      </c>
      <c r="BG2574" s="1">
        <v>44353.996527777781</v>
      </c>
      <c r="BH2574" s="1">
        <v>44354.013333333336</v>
      </c>
      <c r="BI2574" s="1">
        <v>44354.014166666668</v>
      </c>
      <c r="BJ2574" t="s">
        <v>85</v>
      </c>
      <c r="BK2574" t="s">
        <v>86</v>
      </c>
      <c r="BL2574" t="s">
        <v>87</v>
      </c>
    </row>
    <row r="2575" spans="1:64" x14ac:dyDescent="0.3">
      <c r="A2575" t="str">
        <f>"201718B0000"</f>
        <v>201718B0000</v>
      </c>
      <c r="B2575" t="str">
        <f>"201718B00003"</f>
        <v>201718B00003</v>
      </c>
      <c r="C2575" t="str">
        <f t="shared" si="169"/>
        <v>20</v>
      </c>
      <c r="D2575" t="s">
        <v>81</v>
      </c>
      <c r="E2575" t="str">
        <f t="shared" si="168"/>
        <v>386</v>
      </c>
      <c r="F2575" t="s">
        <v>2746</v>
      </c>
      <c r="G2575" t="str">
        <f t="shared" ref="G2575:G2582" si="170">"1718"</f>
        <v>1718</v>
      </c>
      <c r="H2575" t="str">
        <f>"0000"</f>
        <v>0000</v>
      </c>
      <c r="I2575" t="s">
        <v>83</v>
      </c>
      <c r="J2575">
        <v>0</v>
      </c>
      <c r="K2575">
        <v>1</v>
      </c>
      <c r="L2575">
        <v>3</v>
      </c>
      <c r="M2575">
        <v>276</v>
      </c>
      <c r="N2575">
        <v>476</v>
      </c>
      <c r="O2575">
        <v>6</v>
      </c>
      <c r="P2575">
        <v>475</v>
      </c>
      <c r="Q2575">
        <v>10</v>
      </c>
      <c r="R2575">
        <v>28</v>
      </c>
      <c r="S2575">
        <v>9</v>
      </c>
      <c r="T2575">
        <v>8</v>
      </c>
      <c r="U2575">
        <v>40</v>
      </c>
      <c r="V2575">
        <v>5</v>
      </c>
      <c r="W2575">
        <v>8</v>
      </c>
      <c r="X2575">
        <v>146</v>
      </c>
      <c r="Y2575">
        <v>5</v>
      </c>
      <c r="Z2575">
        <v>12</v>
      </c>
      <c r="AA2575">
        <v>0</v>
      </c>
      <c r="AB2575">
        <v>197</v>
      </c>
      <c r="AJ2575">
        <v>0</v>
      </c>
      <c r="AK2575">
        <v>1</v>
      </c>
      <c r="AL2575">
        <v>0</v>
      </c>
      <c r="AM2575">
        <v>0</v>
      </c>
      <c r="AN2575">
        <v>0</v>
      </c>
      <c r="AO2575">
        <v>0</v>
      </c>
      <c r="AP2575">
        <v>1</v>
      </c>
      <c r="AQ2575">
        <v>0</v>
      </c>
      <c r="AR2575">
        <v>0</v>
      </c>
      <c r="AS2575">
        <v>0</v>
      </c>
      <c r="AT2575">
        <v>0</v>
      </c>
      <c r="AW2575">
        <v>0</v>
      </c>
      <c r="AX2575">
        <v>5</v>
      </c>
      <c r="AY2575">
        <v>475</v>
      </c>
      <c r="AZ2575">
        <v>475</v>
      </c>
      <c r="BA2575">
        <v>709</v>
      </c>
      <c r="BB2575">
        <v>44</v>
      </c>
      <c r="BD2575">
        <v>1</v>
      </c>
      <c r="BF2575" t="s">
        <v>2771</v>
      </c>
      <c r="BG2575" s="1">
        <v>44353.892361111109</v>
      </c>
      <c r="BH2575" s="1">
        <v>44354.058194444442</v>
      </c>
      <c r="BI2575" s="1">
        <v>44354.058912037035</v>
      </c>
      <c r="BJ2575" t="s">
        <v>85</v>
      </c>
      <c r="BK2575" t="s">
        <v>86</v>
      </c>
      <c r="BL2575" t="s">
        <v>87</v>
      </c>
    </row>
    <row r="2576" spans="1:64" x14ac:dyDescent="0.3">
      <c r="A2576" t="str">
        <f>"201718C0100"</f>
        <v>201718C0100</v>
      </c>
      <c r="B2576" t="str">
        <f>"201718C01003"</f>
        <v>201718C01003</v>
      </c>
      <c r="C2576" t="str">
        <f t="shared" si="169"/>
        <v>20</v>
      </c>
      <c r="D2576" t="s">
        <v>81</v>
      </c>
      <c r="E2576" t="str">
        <f t="shared" si="168"/>
        <v>386</v>
      </c>
      <c r="F2576" t="s">
        <v>2746</v>
      </c>
      <c r="G2576" t="str">
        <f t="shared" si="170"/>
        <v>1718</v>
      </c>
      <c r="H2576" t="str">
        <f>"0001"</f>
        <v>0001</v>
      </c>
      <c r="I2576" t="s">
        <v>89</v>
      </c>
      <c r="J2576">
        <v>0</v>
      </c>
      <c r="K2576">
        <v>1</v>
      </c>
      <c r="L2576">
        <v>3</v>
      </c>
      <c r="M2576">
        <v>309</v>
      </c>
      <c r="N2576">
        <v>447</v>
      </c>
      <c r="O2576">
        <v>4</v>
      </c>
      <c r="P2576">
        <v>445</v>
      </c>
      <c r="Q2576">
        <v>3</v>
      </c>
      <c r="R2576">
        <v>30</v>
      </c>
      <c r="S2576">
        <v>11</v>
      </c>
      <c r="T2576">
        <v>0</v>
      </c>
      <c r="U2576">
        <v>24</v>
      </c>
      <c r="V2576">
        <v>5</v>
      </c>
      <c r="W2576">
        <v>13</v>
      </c>
      <c r="X2576">
        <v>143</v>
      </c>
      <c r="Y2576">
        <v>8</v>
      </c>
      <c r="Z2576">
        <v>7</v>
      </c>
      <c r="AA2576">
        <v>1</v>
      </c>
      <c r="AB2576">
        <v>189</v>
      </c>
      <c r="AJ2576">
        <v>2</v>
      </c>
      <c r="AK2576">
        <v>1</v>
      </c>
      <c r="AL2576" t="s">
        <v>95</v>
      </c>
      <c r="AM2576" t="s">
        <v>95</v>
      </c>
      <c r="AN2576" t="s">
        <v>95</v>
      </c>
      <c r="AO2576" t="s">
        <v>95</v>
      </c>
      <c r="AP2576" t="s">
        <v>95</v>
      </c>
      <c r="AQ2576" t="s">
        <v>95</v>
      </c>
      <c r="AR2576">
        <v>2</v>
      </c>
      <c r="AS2576">
        <v>1</v>
      </c>
      <c r="AT2576" t="s">
        <v>95</v>
      </c>
      <c r="AW2576" t="s">
        <v>95</v>
      </c>
      <c r="AX2576">
        <v>5</v>
      </c>
      <c r="AY2576">
        <v>145</v>
      </c>
      <c r="AZ2576">
        <v>445</v>
      </c>
      <c r="BA2576">
        <v>709</v>
      </c>
      <c r="BB2576">
        <v>44</v>
      </c>
      <c r="BC2576" t="s">
        <v>96</v>
      </c>
      <c r="BD2576">
        <v>1</v>
      </c>
      <c r="BF2576" t="s">
        <v>2772</v>
      </c>
      <c r="BG2576" s="1">
        <v>44354.037499999999</v>
      </c>
      <c r="BH2576" s="1">
        <v>44354.05127314815</v>
      </c>
      <c r="BI2576" s="1">
        <v>44354.052557870367</v>
      </c>
      <c r="BJ2576" t="s">
        <v>85</v>
      </c>
      <c r="BK2576" t="s">
        <v>86</v>
      </c>
      <c r="BL2576" t="s">
        <v>87</v>
      </c>
    </row>
    <row r="2577" spans="1:64" x14ac:dyDescent="0.3">
      <c r="A2577" t="str">
        <f>"201718C0200"</f>
        <v>201718C0200</v>
      </c>
      <c r="B2577" t="str">
        <f>"201718C02003"</f>
        <v>201718C02003</v>
      </c>
      <c r="C2577" t="str">
        <f t="shared" si="169"/>
        <v>20</v>
      </c>
      <c r="D2577" t="s">
        <v>81</v>
      </c>
      <c r="E2577" t="str">
        <f t="shared" si="168"/>
        <v>386</v>
      </c>
      <c r="F2577" t="s">
        <v>2746</v>
      </c>
      <c r="G2577" t="str">
        <f t="shared" si="170"/>
        <v>1718</v>
      </c>
      <c r="H2577" t="str">
        <f>"0002"</f>
        <v>0002</v>
      </c>
      <c r="I2577" t="s">
        <v>89</v>
      </c>
      <c r="J2577">
        <v>0</v>
      </c>
      <c r="K2577">
        <v>1</v>
      </c>
      <c r="L2577">
        <v>3</v>
      </c>
      <c r="M2577">
        <v>333</v>
      </c>
      <c r="N2577" t="s">
        <v>92</v>
      </c>
      <c r="O2577" t="s">
        <v>92</v>
      </c>
      <c r="P2577" t="s">
        <v>92</v>
      </c>
      <c r="Q2577">
        <v>10</v>
      </c>
      <c r="R2577">
        <v>25</v>
      </c>
      <c r="S2577">
        <v>11</v>
      </c>
      <c r="T2577">
        <v>5</v>
      </c>
      <c r="U2577">
        <v>17</v>
      </c>
      <c r="V2577">
        <v>7</v>
      </c>
      <c r="W2577">
        <v>8</v>
      </c>
      <c r="X2577">
        <v>123</v>
      </c>
      <c r="Y2577">
        <v>2</v>
      </c>
      <c r="Z2577">
        <v>7</v>
      </c>
      <c r="AA2577" t="s">
        <v>95</v>
      </c>
      <c r="AB2577">
        <v>187</v>
      </c>
      <c r="AJ2577">
        <v>1</v>
      </c>
      <c r="AK2577">
        <v>2</v>
      </c>
      <c r="AL2577" t="s">
        <v>95</v>
      </c>
      <c r="AM2577" t="s">
        <v>95</v>
      </c>
      <c r="AN2577" t="s">
        <v>95</v>
      </c>
      <c r="AO2577" t="s">
        <v>95</v>
      </c>
      <c r="AP2577" t="s">
        <v>95</v>
      </c>
      <c r="AQ2577" t="s">
        <v>95</v>
      </c>
      <c r="AR2577" t="s">
        <v>95</v>
      </c>
      <c r="AS2577" t="s">
        <v>95</v>
      </c>
      <c r="AT2577" t="s">
        <v>95</v>
      </c>
      <c r="AW2577" t="s">
        <v>95</v>
      </c>
      <c r="AX2577">
        <v>17</v>
      </c>
      <c r="AY2577">
        <v>422</v>
      </c>
      <c r="AZ2577">
        <v>422</v>
      </c>
      <c r="BA2577">
        <v>709</v>
      </c>
      <c r="BB2577">
        <v>44</v>
      </c>
      <c r="BC2577" t="s">
        <v>96</v>
      </c>
      <c r="BD2577">
        <v>1</v>
      </c>
      <c r="BF2577" t="s">
        <v>2773</v>
      </c>
      <c r="BG2577" s="1">
        <v>44354.036805555559</v>
      </c>
      <c r="BH2577" s="1">
        <v>44354.050949074073</v>
      </c>
      <c r="BI2577" s="1">
        <v>44354.051747685182</v>
      </c>
      <c r="BJ2577" t="s">
        <v>85</v>
      </c>
      <c r="BK2577" t="s">
        <v>86</v>
      </c>
      <c r="BL2577" t="s">
        <v>87</v>
      </c>
    </row>
    <row r="2578" spans="1:64" x14ac:dyDescent="0.3">
      <c r="A2578" t="str">
        <f>"201718C0300"</f>
        <v>201718C0300</v>
      </c>
      <c r="B2578" t="str">
        <f>"201718C03003"</f>
        <v>201718C03003</v>
      </c>
      <c r="C2578" t="str">
        <f t="shared" si="169"/>
        <v>20</v>
      </c>
      <c r="D2578" t="s">
        <v>81</v>
      </c>
      <c r="E2578" t="str">
        <f t="shared" si="168"/>
        <v>386</v>
      </c>
      <c r="F2578" t="s">
        <v>2746</v>
      </c>
      <c r="G2578" t="str">
        <f t="shared" si="170"/>
        <v>1718</v>
      </c>
      <c r="H2578" t="str">
        <f>"0003"</f>
        <v>0003</v>
      </c>
      <c r="I2578" t="s">
        <v>89</v>
      </c>
      <c r="J2578">
        <v>0</v>
      </c>
      <c r="K2578">
        <v>1</v>
      </c>
      <c r="L2578">
        <v>3</v>
      </c>
      <c r="M2578">
        <v>312</v>
      </c>
      <c r="N2578">
        <v>444</v>
      </c>
      <c r="O2578">
        <v>3</v>
      </c>
      <c r="P2578">
        <v>441</v>
      </c>
      <c r="Q2578">
        <v>10</v>
      </c>
      <c r="R2578">
        <v>29</v>
      </c>
      <c r="S2578">
        <v>14</v>
      </c>
      <c r="T2578">
        <v>3</v>
      </c>
      <c r="U2578">
        <v>23</v>
      </c>
      <c r="V2578">
        <v>3</v>
      </c>
      <c r="W2578">
        <v>8</v>
      </c>
      <c r="X2578">
        <v>136</v>
      </c>
      <c r="Y2578">
        <v>3</v>
      </c>
      <c r="Z2578">
        <v>8</v>
      </c>
      <c r="AA2578">
        <v>7</v>
      </c>
      <c r="AB2578">
        <v>188</v>
      </c>
      <c r="AJ2578">
        <v>1</v>
      </c>
      <c r="AK2578" t="s">
        <v>95</v>
      </c>
      <c r="AL2578" t="s">
        <v>95</v>
      </c>
      <c r="AM2578" t="s">
        <v>95</v>
      </c>
      <c r="AN2578" t="s">
        <v>95</v>
      </c>
      <c r="AO2578" t="s">
        <v>95</v>
      </c>
      <c r="AP2578" t="s">
        <v>95</v>
      </c>
      <c r="AQ2578" t="s">
        <v>95</v>
      </c>
      <c r="AR2578" t="s">
        <v>95</v>
      </c>
      <c r="AS2578" t="s">
        <v>95</v>
      </c>
      <c r="AT2578" t="s">
        <v>95</v>
      </c>
      <c r="AW2578" t="s">
        <v>95</v>
      </c>
      <c r="AX2578">
        <v>7</v>
      </c>
      <c r="AY2578">
        <v>441</v>
      </c>
      <c r="AZ2578">
        <v>440</v>
      </c>
      <c r="BA2578">
        <v>709</v>
      </c>
      <c r="BB2578">
        <v>44</v>
      </c>
      <c r="BC2578" t="s">
        <v>96</v>
      </c>
      <c r="BD2578">
        <v>1</v>
      </c>
      <c r="BF2578" t="s">
        <v>2774</v>
      </c>
      <c r="BG2578" s="1">
        <v>44354.037499999999</v>
      </c>
      <c r="BH2578" s="1">
        <v>44354.051157407404</v>
      </c>
      <c r="BI2578" s="1">
        <v>44354.051782407405</v>
      </c>
      <c r="BJ2578" t="s">
        <v>85</v>
      </c>
      <c r="BK2578" t="s">
        <v>86</v>
      </c>
      <c r="BL2578" t="s">
        <v>87</v>
      </c>
    </row>
    <row r="2579" spans="1:64" x14ac:dyDescent="0.3">
      <c r="A2579" t="str">
        <f>"201718C0400"</f>
        <v>201718C0400</v>
      </c>
      <c r="B2579" t="str">
        <f>"201718C04003"</f>
        <v>201718C04003</v>
      </c>
      <c r="C2579" t="str">
        <f t="shared" si="169"/>
        <v>20</v>
      </c>
      <c r="D2579" t="s">
        <v>81</v>
      </c>
      <c r="E2579" t="str">
        <f t="shared" si="168"/>
        <v>386</v>
      </c>
      <c r="F2579" t="s">
        <v>2746</v>
      </c>
      <c r="G2579" t="str">
        <f t="shared" si="170"/>
        <v>1718</v>
      </c>
      <c r="H2579" t="str">
        <f>"0004"</f>
        <v>0004</v>
      </c>
      <c r="I2579" t="s">
        <v>89</v>
      </c>
      <c r="J2579">
        <v>0</v>
      </c>
      <c r="K2579">
        <v>1</v>
      </c>
      <c r="L2579">
        <v>3</v>
      </c>
      <c r="M2579">
        <v>284</v>
      </c>
      <c r="N2579">
        <v>469</v>
      </c>
      <c r="O2579">
        <v>2</v>
      </c>
      <c r="P2579">
        <v>469</v>
      </c>
      <c r="Q2579">
        <v>9</v>
      </c>
      <c r="R2579">
        <v>29</v>
      </c>
      <c r="S2579">
        <v>10</v>
      </c>
      <c r="T2579">
        <v>3</v>
      </c>
      <c r="U2579">
        <v>17</v>
      </c>
      <c r="V2579">
        <v>5</v>
      </c>
      <c r="W2579">
        <v>11</v>
      </c>
      <c r="X2579">
        <v>143</v>
      </c>
      <c r="Y2579">
        <v>5</v>
      </c>
      <c r="Z2579">
        <v>8</v>
      </c>
      <c r="AA2579">
        <v>0</v>
      </c>
      <c r="AB2579">
        <v>214</v>
      </c>
      <c r="AJ2579">
        <v>0</v>
      </c>
      <c r="AK2579">
        <v>2</v>
      </c>
      <c r="AL2579">
        <v>1</v>
      </c>
      <c r="AM2579">
        <v>0</v>
      </c>
      <c r="AN2579">
        <v>0</v>
      </c>
      <c r="AO2579">
        <v>0</v>
      </c>
      <c r="AP2579">
        <v>0</v>
      </c>
      <c r="AQ2579">
        <v>0</v>
      </c>
      <c r="AR2579">
        <v>1</v>
      </c>
      <c r="AS2579">
        <v>1</v>
      </c>
      <c r="AT2579">
        <v>0</v>
      </c>
      <c r="AW2579">
        <v>0</v>
      </c>
      <c r="AX2579">
        <v>10</v>
      </c>
      <c r="AY2579">
        <v>469</v>
      </c>
      <c r="AZ2579">
        <v>469</v>
      </c>
      <c r="BA2579">
        <v>709</v>
      </c>
      <c r="BB2579">
        <v>44</v>
      </c>
      <c r="BD2579">
        <v>1</v>
      </c>
      <c r="BF2579" t="s">
        <v>2775</v>
      </c>
      <c r="BG2579" s="1">
        <v>44354.037499999999</v>
      </c>
      <c r="BH2579" s="1">
        <v>44354.058368055557</v>
      </c>
      <c r="BI2579" s="1">
        <v>44354.059155092589</v>
      </c>
      <c r="BJ2579" t="s">
        <v>85</v>
      </c>
      <c r="BK2579" t="s">
        <v>86</v>
      </c>
      <c r="BL2579" t="s">
        <v>87</v>
      </c>
    </row>
    <row r="2580" spans="1:64" x14ac:dyDescent="0.3">
      <c r="A2580" t="str">
        <f>"201718C0500"</f>
        <v>201718C0500</v>
      </c>
      <c r="B2580" t="str">
        <f>"201718C05003"</f>
        <v>201718C05003</v>
      </c>
      <c r="C2580" t="str">
        <f t="shared" si="169"/>
        <v>20</v>
      </c>
      <c r="D2580" t="s">
        <v>81</v>
      </c>
      <c r="E2580" t="str">
        <f t="shared" si="168"/>
        <v>386</v>
      </c>
      <c r="F2580" t="s">
        <v>2746</v>
      </c>
      <c r="G2580" t="str">
        <f t="shared" si="170"/>
        <v>1718</v>
      </c>
      <c r="H2580" t="str">
        <f>"0005"</f>
        <v>0005</v>
      </c>
      <c r="I2580" t="s">
        <v>89</v>
      </c>
      <c r="J2580">
        <v>0</v>
      </c>
      <c r="K2580">
        <v>1</v>
      </c>
      <c r="L2580">
        <v>3</v>
      </c>
      <c r="M2580">
        <v>302</v>
      </c>
      <c r="N2580">
        <v>451</v>
      </c>
      <c r="O2580">
        <v>1</v>
      </c>
      <c r="P2580">
        <v>450</v>
      </c>
      <c r="Q2580">
        <v>13</v>
      </c>
      <c r="R2580">
        <v>33</v>
      </c>
      <c r="S2580">
        <v>19</v>
      </c>
      <c r="T2580">
        <v>3</v>
      </c>
      <c r="U2580">
        <v>22</v>
      </c>
      <c r="V2580">
        <v>1</v>
      </c>
      <c r="W2580">
        <v>11</v>
      </c>
      <c r="X2580">
        <v>111</v>
      </c>
      <c r="Y2580">
        <v>2</v>
      </c>
      <c r="Z2580">
        <v>6</v>
      </c>
      <c r="AA2580">
        <v>3</v>
      </c>
      <c r="AB2580">
        <v>220</v>
      </c>
      <c r="AJ2580">
        <v>0</v>
      </c>
      <c r="AK2580">
        <v>1</v>
      </c>
      <c r="AL2580">
        <v>0</v>
      </c>
      <c r="AM2580">
        <v>0</v>
      </c>
      <c r="AN2580">
        <v>0</v>
      </c>
      <c r="AO2580">
        <v>0</v>
      </c>
      <c r="AP2580">
        <v>0</v>
      </c>
      <c r="AQ2580">
        <v>0</v>
      </c>
      <c r="AR2580">
        <v>0</v>
      </c>
      <c r="AS2580">
        <v>0</v>
      </c>
      <c r="AT2580">
        <v>0</v>
      </c>
      <c r="AW2580">
        <v>0</v>
      </c>
      <c r="AX2580">
        <v>5</v>
      </c>
      <c r="AY2580">
        <v>450</v>
      </c>
      <c r="AZ2580">
        <v>450</v>
      </c>
      <c r="BA2580">
        <v>709</v>
      </c>
      <c r="BB2580">
        <v>44</v>
      </c>
      <c r="BD2580">
        <v>1</v>
      </c>
      <c r="BF2580" t="s">
        <v>2776</v>
      </c>
      <c r="BG2580" s="1">
        <v>44354.037499999999</v>
      </c>
      <c r="BH2580" s="1">
        <v>44354.058749999997</v>
      </c>
      <c r="BI2580" s="1">
        <v>44354.059490740743</v>
      </c>
      <c r="BJ2580" t="s">
        <v>85</v>
      </c>
      <c r="BK2580" t="s">
        <v>86</v>
      </c>
      <c r="BL2580" t="s">
        <v>87</v>
      </c>
    </row>
    <row r="2581" spans="1:64" x14ac:dyDescent="0.3">
      <c r="A2581" t="str">
        <f>"201718C0600"</f>
        <v>201718C0600</v>
      </c>
      <c r="B2581" t="str">
        <f>"201718C06003"</f>
        <v>201718C06003</v>
      </c>
      <c r="C2581" t="str">
        <f t="shared" si="169"/>
        <v>20</v>
      </c>
      <c r="D2581" t="s">
        <v>81</v>
      </c>
      <c r="E2581" t="str">
        <f t="shared" si="168"/>
        <v>386</v>
      </c>
      <c r="F2581" t="s">
        <v>2746</v>
      </c>
      <c r="G2581" t="str">
        <f t="shared" si="170"/>
        <v>1718</v>
      </c>
      <c r="H2581" t="str">
        <f>"0006"</f>
        <v>0006</v>
      </c>
      <c r="I2581" t="s">
        <v>89</v>
      </c>
      <c r="J2581">
        <v>0</v>
      </c>
      <c r="K2581">
        <v>1</v>
      </c>
      <c r="L2581">
        <v>3</v>
      </c>
      <c r="M2581">
        <v>317</v>
      </c>
      <c r="N2581">
        <v>436</v>
      </c>
      <c r="O2581">
        <v>3</v>
      </c>
      <c r="P2581">
        <v>436</v>
      </c>
      <c r="Q2581">
        <v>11</v>
      </c>
      <c r="R2581">
        <v>32</v>
      </c>
      <c r="S2581">
        <v>10</v>
      </c>
      <c r="T2581">
        <v>5</v>
      </c>
      <c r="U2581">
        <v>26</v>
      </c>
      <c r="V2581">
        <v>3</v>
      </c>
      <c r="W2581">
        <v>14</v>
      </c>
      <c r="X2581">
        <v>127</v>
      </c>
      <c r="Y2581">
        <v>2</v>
      </c>
      <c r="Z2581">
        <v>7</v>
      </c>
      <c r="AA2581">
        <v>1</v>
      </c>
      <c r="AB2581">
        <v>180</v>
      </c>
      <c r="AJ2581">
        <v>2</v>
      </c>
      <c r="AK2581">
        <v>1</v>
      </c>
      <c r="AL2581" t="s">
        <v>95</v>
      </c>
      <c r="AM2581" t="s">
        <v>95</v>
      </c>
      <c r="AN2581" t="s">
        <v>95</v>
      </c>
      <c r="AO2581">
        <v>1</v>
      </c>
      <c r="AP2581" t="s">
        <v>95</v>
      </c>
      <c r="AQ2581" t="s">
        <v>95</v>
      </c>
      <c r="AR2581" t="s">
        <v>95</v>
      </c>
      <c r="AS2581" t="s">
        <v>95</v>
      </c>
      <c r="AT2581" t="s">
        <v>95</v>
      </c>
      <c r="AW2581" t="s">
        <v>95</v>
      </c>
      <c r="AX2581">
        <v>14</v>
      </c>
      <c r="AY2581">
        <v>436</v>
      </c>
      <c r="AZ2581">
        <v>436</v>
      </c>
      <c r="BA2581">
        <v>709</v>
      </c>
      <c r="BB2581">
        <v>44</v>
      </c>
      <c r="BC2581" t="s">
        <v>96</v>
      </c>
      <c r="BD2581">
        <v>1</v>
      </c>
      <c r="BF2581" t="s">
        <v>2777</v>
      </c>
      <c r="BG2581" s="1">
        <v>44354.036805555559</v>
      </c>
      <c r="BH2581" s="1">
        <v>44354.050497685188</v>
      </c>
      <c r="BI2581" s="1">
        <v>44354.051157407404</v>
      </c>
      <c r="BJ2581" t="s">
        <v>85</v>
      </c>
      <c r="BK2581" t="s">
        <v>86</v>
      </c>
      <c r="BL2581" t="s">
        <v>87</v>
      </c>
    </row>
    <row r="2582" spans="1:64" x14ac:dyDescent="0.3">
      <c r="A2582" t="str">
        <f>"201718S0100"</f>
        <v>201718S0100</v>
      </c>
      <c r="B2582" t="str">
        <f>"201718S01003E"</f>
        <v>201718S01003E</v>
      </c>
      <c r="C2582" t="str">
        <f t="shared" si="169"/>
        <v>20</v>
      </c>
      <c r="D2582" t="s">
        <v>81</v>
      </c>
      <c r="E2582" t="str">
        <f t="shared" si="168"/>
        <v>386</v>
      </c>
      <c r="F2582" t="s">
        <v>2746</v>
      </c>
      <c r="G2582" t="str">
        <f t="shared" si="170"/>
        <v>1718</v>
      </c>
      <c r="H2582" t="str">
        <f>"0001"</f>
        <v>0001</v>
      </c>
      <c r="I2582" t="s">
        <v>99</v>
      </c>
      <c r="J2582">
        <v>0</v>
      </c>
      <c r="K2582">
        <v>1</v>
      </c>
      <c r="L2582" t="s">
        <v>100</v>
      </c>
      <c r="M2582">
        <v>855</v>
      </c>
      <c r="N2582">
        <v>145</v>
      </c>
      <c r="O2582">
        <v>0</v>
      </c>
      <c r="P2582">
        <v>145</v>
      </c>
      <c r="Q2582">
        <v>3</v>
      </c>
      <c r="R2582">
        <v>11</v>
      </c>
      <c r="S2582">
        <v>6</v>
      </c>
      <c r="T2582">
        <v>1</v>
      </c>
      <c r="U2582">
        <v>14</v>
      </c>
      <c r="V2582">
        <v>4</v>
      </c>
      <c r="W2582">
        <v>2</v>
      </c>
      <c r="X2582">
        <v>50</v>
      </c>
      <c r="Y2582">
        <v>3</v>
      </c>
      <c r="Z2582">
        <v>0</v>
      </c>
      <c r="AA2582">
        <v>0</v>
      </c>
      <c r="AB2582">
        <v>49</v>
      </c>
      <c r="AJ2582">
        <v>0</v>
      </c>
      <c r="AK2582">
        <v>0</v>
      </c>
      <c r="AL2582">
        <v>0</v>
      </c>
      <c r="AM2582">
        <v>0</v>
      </c>
      <c r="AN2582">
        <v>0</v>
      </c>
      <c r="AO2582">
        <v>0</v>
      </c>
      <c r="AP2582">
        <v>0</v>
      </c>
      <c r="AQ2582">
        <v>0</v>
      </c>
      <c r="AR2582">
        <v>0</v>
      </c>
      <c r="AS2582">
        <v>0</v>
      </c>
      <c r="AT2582">
        <v>0</v>
      </c>
      <c r="AW2582">
        <v>0</v>
      </c>
      <c r="AX2582">
        <v>2</v>
      </c>
      <c r="AY2582">
        <v>145</v>
      </c>
      <c r="AZ2582">
        <v>145</v>
      </c>
      <c r="BA2582">
        <v>0</v>
      </c>
      <c r="BB2582">
        <v>44</v>
      </c>
      <c r="BD2582">
        <v>1</v>
      </c>
      <c r="BF2582" t="s">
        <v>2778</v>
      </c>
      <c r="BG2582" s="1">
        <v>44354.05</v>
      </c>
      <c r="BH2582" s="1">
        <v>44354.105057870373</v>
      </c>
      <c r="BI2582" s="1">
        <v>44354.105694444443</v>
      </c>
      <c r="BJ2582" t="s">
        <v>85</v>
      </c>
      <c r="BK2582" t="s">
        <v>86</v>
      </c>
      <c r="BL2582" t="s">
        <v>87</v>
      </c>
    </row>
    <row r="2583" spans="1:64" x14ac:dyDescent="0.3">
      <c r="A2583" t="str">
        <f>"201719B0000"</f>
        <v>201719B0000</v>
      </c>
      <c r="B2583" t="str">
        <f>"201719B00003"</f>
        <v>201719B00003</v>
      </c>
      <c r="C2583" t="str">
        <f t="shared" si="169"/>
        <v>20</v>
      </c>
      <c r="D2583" t="s">
        <v>81</v>
      </c>
      <c r="E2583" t="str">
        <f t="shared" ref="E2583:E2614" si="171">"386"</f>
        <v>386</v>
      </c>
      <c r="F2583" t="s">
        <v>2746</v>
      </c>
      <c r="G2583" t="str">
        <f>"1719"</f>
        <v>1719</v>
      </c>
      <c r="H2583" t="str">
        <f>"0000"</f>
        <v>0000</v>
      </c>
      <c r="I2583" t="s">
        <v>83</v>
      </c>
      <c r="J2583">
        <v>0</v>
      </c>
      <c r="K2583">
        <v>1</v>
      </c>
      <c r="L2583">
        <v>3</v>
      </c>
      <c r="BA2583">
        <v>690</v>
      </c>
      <c r="BB2583">
        <v>44</v>
      </c>
      <c r="BC2583" t="s">
        <v>381</v>
      </c>
      <c r="BD2583">
        <v>0</v>
      </c>
      <c r="BF2583" t="s">
        <v>2779</v>
      </c>
      <c r="BG2583" s="1">
        <v>44354.145138888889</v>
      </c>
      <c r="BH2583" s="1">
        <v>44354.169293981482</v>
      </c>
      <c r="BI2583" s="1">
        <v>44354.169293981482</v>
      </c>
      <c r="BJ2583" t="s">
        <v>85</v>
      </c>
      <c r="BK2583" t="s">
        <v>86</v>
      </c>
      <c r="BL2583" t="s">
        <v>87</v>
      </c>
    </row>
    <row r="2584" spans="1:64" x14ac:dyDescent="0.3">
      <c r="A2584" t="str">
        <f>"201719C0100"</f>
        <v>201719C0100</v>
      </c>
      <c r="B2584" t="str">
        <f>"201719C01003"</f>
        <v>201719C01003</v>
      </c>
      <c r="C2584" t="str">
        <f t="shared" si="169"/>
        <v>20</v>
      </c>
      <c r="D2584" t="s">
        <v>81</v>
      </c>
      <c r="E2584" t="str">
        <f t="shared" si="171"/>
        <v>386</v>
      </c>
      <c r="F2584" t="s">
        <v>2746</v>
      </c>
      <c r="G2584" t="str">
        <f>"1719"</f>
        <v>1719</v>
      </c>
      <c r="H2584" t="str">
        <f>"0001"</f>
        <v>0001</v>
      </c>
      <c r="I2584" t="s">
        <v>89</v>
      </c>
      <c r="J2584">
        <v>0</v>
      </c>
      <c r="K2584">
        <v>1</v>
      </c>
      <c r="L2584">
        <v>3</v>
      </c>
      <c r="M2584">
        <v>325</v>
      </c>
      <c r="N2584">
        <v>409</v>
      </c>
      <c r="O2584">
        <v>4</v>
      </c>
      <c r="P2584">
        <v>410</v>
      </c>
      <c r="Q2584">
        <v>7</v>
      </c>
      <c r="R2584">
        <v>46</v>
      </c>
      <c r="S2584">
        <v>6</v>
      </c>
      <c r="T2584">
        <v>3</v>
      </c>
      <c r="U2584">
        <v>25</v>
      </c>
      <c r="V2584">
        <v>6</v>
      </c>
      <c r="W2584">
        <v>17</v>
      </c>
      <c r="X2584">
        <v>139</v>
      </c>
      <c r="Y2584">
        <v>4</v>
      </c>
      <c r="Z2584">
        <v>16</v>
      </c>
      <c r="AA2584">
        <v>4</v>
      </c>
      <c r="AB2584">
        <v>120</v>
      </c>
      <c r="AJ2584">
        <v>1</v>
      </c>
      <c r="AK2584">
        <v>3</v>
      </c>
      <c r="AL2584">
        <v>0</v>
      </c>
      <c r="AM2584">
        <v>0</v>
      </c>
      <c r="AN2584">
        <v>0</v>
      </c>
      <c r="AO2584">
        <v>0</v>
      </c>
      <c r="AP2584">
        <v>0</v>
      </c>
      <c r="AQ2584">
        <v>0</v>
      </c>
      <c r="AR2584">
        <v>0</v>
      </c>
      <c r="AS2584">
        <v>0</v>
      </c>
      <c r="AT2584">
        <v>0</v>
      </c>
      <c r="AW2584">
        <v>1</v>
      </c>
      <c r="AX2584">
        <v>12</v>
      </c>
      <c r="AY2584">
        <v>410</v>
      </c>
      <c r="AZ2584">
        <v>410</v>
      </c>
      <c r="BA2584">
        <v>690</v>
      </c>
      <c r="BB2584">
        <v>44</v>
      </c>
      <c r="BD2584">
        <v>1</v>
      </c>
      <c r="BF2584" t="s">
        <v>2780</v>
      </c>
      <c r="BG2584" s="1">
        <v>44354.04791666667</v>
      </c>
      <c r="BH2584" s="1">
        <v>44354.091678240744</v>
      </c>
      <c r="BI2584" s="1">
        <v>44354.092083333337</v>
      </c>
      <c r="BJ2584" t="s">
        <v>85</v>
      </c>
      <c r="BK2584" t="s">
        <v>86</v>
      </c>
      <c r="BL2584" t="s">
        <v>87</v>
      </c>
    </row>
    <row r="2585" spans="1:64" x14ac:dyDescent="0.3">
      <c r="A2585" t="str">
        <f>"201719C0200"</f>
        <v>201719C0200</v>
      </c>
      <c r="B2585" t="str">
        <f>"201719C02003"</f>
        <v>201719C02003</v>
      </c>
      <c r="C2585" t="str">
        <f t="shared" si="169"/>
        <v>20</v>
      </c>
      <c r="D2585" t="s">
        <v>81</v>
      </c>
      <c r="E2585" t="str">
        <f t="shared" si="171"/>
        <v>386</v>
      </c>
      <c r="F2585" t="s">
        <v>2746</v>
      </c>
      <c r="G2585" t="str">
        <f>"1719"</f>
        <v>1719</v>
      </c>
      <c r="H2585" t="str">
        <f>"0002"</f>
        <v>0002</v>
      </c>
      <c r="I2585" t="s">
        <v>89</v>
      </c>
      <c r="J2585">
        <v>0</v>
      </c>
      <c r="K2585">
        <v>1</v>
      </c>
      <c r="L2585">
        <v>3</v>
      </c>
      <c r="M2585">
        <v>307</v>
      </c>
      <c r="N2585">
        <v>427</v>
      </c>
      <c r="O2585">
        <v>5</v>
      </c>
      <c r="P2585" t="s">
        <v>92</v>
      </c>
      <c r="Q2585">
        <v>12</v>
      </c>
      <c r="R2585">
        <v>56</v>
      </c>
      <c r="S2585">
        <v>9</v>
      </c>
      <c r="T2585">
        <v>5</v>
      </c>
      <c r="U2585">
        <v>17</v>
      </c>
      <c r="V2585">
        <v>5</v>
      </c>
      <c r="W2585">
        <v>14</v>
      </c>
      <c r="X2585">
        <v>144</v>
      </c>
      <c r="Y2585">
        <v>4</v>
      </c>
      <c r="Z2585">
        <v>14</v>
      </c>
      <c r="AA2585">
        <v>1</v>
      </c>
      <c r="AB2585">
        <v>120</v>
      </c>
      <c r="AJ2585">
        <v>3</v>
      </c>
      <c r="AK2585">
        <v>3</v>
      </c>
      <c r="AL2585">
        <v>0</v>
      </c>
      <c r="AM2585">
        <v>0</v>
      </c>
      <c r="AN2585">
        <v>0</v>
      </c>
      <c r="AO2585">
        <v>0</v>
      </c>
      <c r="AP2585">
        <v>0</v>
      </c>
      <c r="AQ2585">
        <v>0</v>
      </c>
      <c r="AR2585">
        <v>0</v>
      </c>
      <c r="AS2585">
        <v>1</v>
      </c>
      <c r="AT2585">
        <v>1</v>
      </c>
      <c r="AW2585">
        <v>0</v>
      </c>
      <c r="AX2585">
        <v>18</v>
      </c>
      <c r="AY2585">
        <v>427</v>
      </c>
      <c r="AZ2585">
        <v>427</v>
      </c>
      <c r="BA2585">
        <v>690</v>
      </c>
      <c r="BB2585">
        <v>44</v>
      </c>
      <c r="BD2585">
        <v>1</v>
      </c>
      <c r="BF2585" t="s">
        <v>2781</v>
      </c>
      <c r="BG2585" s="1">
        <v>44354.04791666667</v>
      </c>
      <c r="BH2585" s="1">
        <v>44354.106550925928</v>
      </c>
      <c r="BI2585" s="1">
        <v>44354.107430555552</v>
      </c>
      <c r="BJ2585" t="s">
        <v>85</v>
      </c>
      <c r="BK2585" t="s">
        <v>86</v>
      </c>
      <c r="BL2585" t="s">
        <v>87</v>
      </c>
    </row>
    <row r="2586" spans="1:64" x14ac:dyDescent="0.3">
      <c r="A2586" t="str">
        <f>"201719C0300"</f>
        <v>201719C0300</v>
      </c>
      <c r="B2586" t="str">
        <f>"201719C03003"</f>
        <v>201719C03003</v>
      </c>
      <c r="C2586" t="str">
        <f t="shared" si="169"/>
        <v>20</v>
      </c>
      <c r="D2586" t="s">
        <v>81</v>
      </c>
      <c r="E2586" t="str">
        <f t="shared" si="171"/>
        <v>386</v>
      </c>
      <c r="F2586" t="s">
        <v>2746</v>
      </c>
      <c r="G2586" t="str">
        <f>"1719"</f>
        <v>1719</v>
      </c>
      <c r="H2586" t="str">
        <f>"0003"</f>
        <v>0003</v>
      </c>
      <c r="I2586" t="s">
        <v>89</v>
      </c>
      <c r="J2586">
        <v>0</v>
      </c>
      <c r="K2586">
        <v>1</v>
      </c>
      <c r="L2586">
        <v>3</v>
      </c>
      <c r="M2586">
        <v>317</v>
      </c>
      <c r="N2586">
        <v>417</v>
      </c>
      <c r="O2586">
        <v>4</v>
      </c>
      <c r="P2586">
        <v>417</v>
      </c>
      <c r="Q2586">
        <v>14</v>
      </c>
      <c r="R2586">
        <v>53</v>
      </c>
      <c r="S2586">
        <v>9</v>
      </c>
      <c r="T2586">
        <v>3</v>
      </c>
      <c r="U2586">
        <v>28</v>
      </c>
      <c r="V2586">
        <v>9</v>
      </c>
      <c r="W2586">
        <v>17</v>
      </c>
      <c r="X2586">
        <v>141</v>
      </c>
      <c r="Y2586">
        <v>5</v>
      </c>
      <c r="Z2586">
        <v>13</v>
      </c>
      <c r="AA2586">
        <v>5</v>
      </c>
      <c r="AB2586">
        <v>104</v>
      </c>
      <c r="AJ2586">
        <v>1</v>
      </c>
      <c r="AK2586">
        <v>7</v>
      </c>
      <c r="AL2586">
        <v>0</v>
      </c>
      <c r="AM2586">
        <v>0</v>
      </c>
      <c r="AN2586">
        <v>0</v>
      </c>
      <c r="AO2586">
        <v>1</v>
      </c>
      <c r="AP2586">
        <v>0</v>
      </c>
      <c r="AQ2586">
        <v>0</v>
      </c>
      <c r="AR2586">
        <v>0</v>
      </c>
      <c r="AS2586">
        <v>0</v>
      </c>
      <c r="AT2586">
        <v>0</v>
      </c>
      <c r="AW2586">
        <v>0</v>
      </c>
      <c r="AX2586">
        <v>7</v>
      </c>
      <c r="AY2586">
        <v>417</v>
      </c>
      <c r="AZ2586">
        <v>417</v>
      </c>
      <c r="BA2586">
        <v>690</v>
      </c>
      <c r="BB2586">
        <v>44</v>
      </c>
      <c r="BD2586">
        <v>1</v>
      </c>
      <c r="BF2586" t="s">
        <v>2782</v>
      </c>
      <c r="BG2586" s="1">
        <v>44354.04791666667</v>
      </c>
      <c r="BH2586" s="1">
        <v>44354.091990740744</v>
      </c>
      <c r="BI2586" s="1">
        <v>44354.092997685184</v>
      </c>
      <c r="BJ2586" t="s">
        <v>85</v>
      </c>
      <c r="BK2586" t="s">
        <v>86</v>
      </c>
      <c r="BL2586" t="s">
        <v>87</v>
      </c>
    </row>
    <row r="2587" spans="1:64" x14ac:dyDescent="0.3">
      <c r="A2587" t="str">
        <f>"201720B0000"</f>
        <v>201720B0000</v>
      </c>
      <c r="B2587" t="str">
        <f>"201720B00003"</f>
        <v>201720B00003</v>
      </c>
      <c r="C2587" t="str">
        <f t="shared" si="169"/>
        <v>20</v>
      </c>
      <c r="D2587" t="s">
        <v>81</v>
      </c>
      <c r="E2587" t="str">
        <f t="shared" si="171"/>
        <v>386</v>
      </c>
      <c r="F2587" t="s">
        <v>2746</v>
      </c>
      <c r="G2587" t="str">
        <f t="shared" ref="G2587:G2597" si="172">"1720"</f>
        <v>1720</v>
      </c>
      <c r="H2587" t="str">
        <f>"0000"</f>
        <v>0000</v>
      </c>
      <c r="I2587" t="s">
        <v>83</v>
      </c>
      <c r="J2587">
        <v>0</v>
      </c>
      <c r="K2587">
        <v>1</v>
      </c>
      <c r="L2587">
        <v>3</v>
      </c>
      <c r="M2587">
        <v>329</v>
      </c>
      <c r="N2587">
        <v>380</v>
      </c>
      <c r="O2587">
        <v>4</v>
      </c>
      <c r="P2587" t="s">
        <v>92</v>
      </c>
      <c r="Q2587">
        <v>16</v>
      </c>
      <c r="R2587">
        <v>63</v>
      </c>
      <c r="S2587">
        <v>10</v>
      </c>
      <c r="T2587">
        <v>7</v>
      </c>
      <c r="U2587">
        <v>23</v>
      </c>
      <c r="V2587">
        <v>11</v>
      </c>
      <c r="W2587">
        <v>8</v>
      </c>
      <c r="X2587">
        <v>128</v>
      </c>
      <c r="Y2587">
        <v>3</v>
      </c>
      <c r="Z2587">
        <v>12</v>
      </c>
      <c r="AA2587">
        <v>3</v>
      </c>
      <c r="AB2587">
        <v>86</v>
      </c>
      <c r="AJ2587">
        <v>1</v>
      </c>
      <c r="AK2587">
        <v>1</v>
      </c>
      <c r="AL2587">
        <v>0</v>
      </c>
      <c r="AM2587">
        <v>0</v>
      </c>
      <c r="AN2587">
        <v>0</v>
      </c>
      <c r="AO2587">
        <v>0</v>
      </c>
      <c r="AP2587">
        <v>0</v>
      </c>
      <c r="AQ2587">
        <v>1</v>
      </c>
      <c r="AR2587">
        <v>0</v>
      </c>
      <c r="AS2587">
        <v>0</v>
      </c>
      <c r="AT2587">
        <v>0</v>
      </c>
      <c r="AW2587">
        <v>0</v>
      </c>
      <c r="AX2587">
        <v>7</v>
      </c>
      <c r="AY2587">
        <v>380</v>
      </c>
      <c r="AZ2587">
        <v>380</v>
      </c>
      <c r="BA2587">
        <v>664</v>
      </c>
      <c r="BB2587">
        <v>44</v>
      </c>
      <c r="BD2587">
        <v>1</v>
      </c>
      <c r="BF2587" t="s">
        <v>2783</v>
      </c>
      <c r="BG2587" s="1">
        <v>44353.972222222219</v>
      </c>
      <c r="BH2587" s="1">
        <v>44354.107002314813</v>
      </c>
      <c r="BI2587" s="1">
        <v>44354.107662037037</v>
      </c>
      <c r="BJ2587" t="s">
        <v>85</v>
      </c>
      <c r="BK2587" t="s">
        <v>86</v>
      </c>
      <c r="BL2587" t="s">
        <v>87</v>
      </c>
    </row>
    <row r="2588" spans="1:64" x14ac:dyDescent="0.3">
      <c r="A2588" t="str">
        <f>"201720C0100"</f>
        <v>201720C0100</v>
      </c>
      <c r="B2588" t="str">
        <f>"201720C01003"</f>
        <v>201720C01003</v>
      </c>
      <c r="C2588" t="str">
        <f t="shared" si="169"/>
        <v>20</v>
      </c>
      <c r="D2588" t="s">
        <v>81</v>
      </c>
      <c r="E2588" t="str">
        <f t="shared" si="171"/>
        <v>386</v>
      </c>
      <c r="F2588" t="s">
        <v>2746</v>
      </c>
      <c r="G2588" t="str">
        <f t="shared" si="172"/>
        <v>1720</v>
      </c>
      <c r="H2588" t="str">
        <f>"0001"</f>
        <v>0001</v>
      </c>
      <c r="I2588" t="s">
        <v>89</v>
      </c>
      <c r="J2588">
        <v>0</v>
      </c>
      <c r="K2588">
        <v>1</v>
      </c>
      <c r="L2588">
        <v>3</v>
      </c>
      <c r="M2588">
        <v>322</v>
      </c>
      <c r="N2588">
        <v>387</v>
      </c>
      <c r="O2588">
        <v>6</v>
      </c>
      <c r="P2588">
        <v>384</v>
      </c>
      <c r="Q2588">
        <v>13</v>
      </c>
      <c r="R2588">
        <v>52</v>
      </c>
      <c r="S2588">
        <v>5</v>
      </c>
      <c r="T2588">
        <v>5</v>
      </c>
      <c r="U2588">
        <v>15</v>
      </c>
      <c r="V2588">
        <v>3</v>
      </c>
      <c r="W2588">
        <v>12</v>
      </c>
      <c r="X2588">
        <v>152</v>
      </c>
      <c r="Y2588">
        <v>7</v>
      </c>
      <c r="Z2588">
        <v>13</v>
      </c>
      <c r="AA2588">
        <v>1</v>
      </c>
      <c r="AB2588">
        <v>96</v>
      </c>
      <c r="AJ2588">
        <v>0</v>
      </c>
      <c r="AK2588">
        <v>1</v>
      </c>
      <c r="AL2588">
        <v>0</v>
      </c>
      <c r="AM2588">
        <v>0</v>
      </c>
      <c r="AN2588">
        <v>0</v>
      </c>
      <c r="AO2588">
        <v>0</v>
      </c>
      <c r="AP2588">
        <v>0</v>
      </c>
      <c r="AQ2588">
        <v>0</v>
      </c>
      <c r="AR2588">
        <v>0</v>
      </c>
      <c r="AS2588">
        <v>0</v>
      </c>
      <c r="AT2588">
        <v>0</v>
      </c>
      <c r="AW2588">
        <v>0</v>
      </c>
      <c r="AX2588">
        <v>9</v>
      </c>
      <c r="AY2588">
        <v>384</v>
      </c>
      <c r="AZ2588">
        <v>384</v>
      </c>
      <c r="BA2588">
        <v>664</v>
      </c>
      <c r="BB2588">
        <v>44</v>
      </c>
      <c r="BD2588">
        <v>1</v>
      </c>
      <c r="BF2588" t="s">
        <v>2784</v>
      </c>
      <c r="BG2588" s="1">
        <v>44354.081944444442</v>
      </c>
      <c r="BH2588" s="1">
        <v>44354.107291666667</v>
      </c>
      <c r="BI2588" s="1">
        <v>44354.107881944445</v>
      </c>
      <c r="BJ2588" t="s">
        <v>85</v>
      </c>
      <c r="BK2588" t="s">
        <v>86</v>
      </c>
      <c r="BL2588" t="s">
        <v>87</v>
      </c>
    </row>
    <row r="2589" spans="1:64" x14ac:dyDescent="0.3">
      <c r="A2589" t="str">
        <f>"201720C0200"</f>
        <v>201720C0200</v>
      </c>
      <c r="B2589" t="str">
        <f>"201720C02003"</f>
        <v>201720C02003</v>
      </c>
      <c r="C2589" t="str">
        <f t="shared" si="169"/>
        <v>20</v>
      </c>
      <c r="D2589" t="s">
        <v>81</v>
      </c>
      <c r="E2589" t="str">
        <f t="shared" si="171"/>
        <v>386</v>
      </c>
      <c r="F2589" t="s">
        <v>2746</v>
      </c>
      <c r="G2589" t="str">
        <f t="shared" si="172"/>
        <v>1720</v>
      </c>
      <c r="H2589" t="str">
        <f>"0002"</f>
        <v>0002</v>
      </c>
      <c r="I2589" t="s">
        <v>89</v>
      </c>
      <c r="J2589">
        <v>0</v>
      </c>
      <c r="K2589">
        <v>1</v>
      </c>
      <c r="L2589">
        <v>3</v>
      </c>
      <c r="M2589">
        <v>334</v>
      </c>
      <c r="N2589">
        <v>375</v>
      </c>
      <c r="O2589">
        <v>8</v>
      </c>
      <c r="P2589" t="s">
        <v>92</v>
      </c>
      <c r="Q2589">
        <v>15</v>
      </c>
      <c r="R2589">
        <v>62</v>
      </c>
      <c r="S2589">
        <v>3</v>
      </c>
      <c r="T2589">
        <v>7</v>
      </c>
      <c r="U2589">
        <v>22</v>
      </c>
      <c r="V2589">
        <v>7</v>
      </c>
      <c r="W2589">
        <v>9</v>
      </c>
      <c r="X2589">
        <v>142</v>
      </c>
      <c r="Y2589">
        <v>3</v>
      </c>
      <c r="Z2589">
        <v>13</v>
      </c>
      <c r="AA2589">
        <v>3</v>
      </c>
      <c r="AB2589">
        <v>81</v>
      </c>
      <c r="AJ2589">
        <v>0</v>
      </c>
      <c r="AK2589">
        <v>3</v>
      </c>
      <c r="AL2589">
        <v>0</v>
      </c>
      <c r="AM2589">
        <v>0</v>
      </c>
      <c r="AN2589">
        <v>0</v>
      </c>
      <c r="AO2589">
        <v>0</v>
      </c>
      <c r="AP2589">
        <v>0</v>
      </c>
      <c r="AQ2589">
        <v>0</v>
      </c>
      <c r="AR2589">
        <v>0</v>
      </c>
      <c r="AS2589">
        <v>0</v>
      </c>
      <c r="AT2589">
        <v>0</v>
      </c>
      <c r="AW2589">
        <v>0</v>
      </c>
      <c r="AX2589">
        <v>5</v>
      </c>
      <c r="AY2589">
        <v>375</v>
      </c>
      <c r="AZ2589">
        <v>375</v>
      </c>
      <c r="BA2589">
        <v>664</v>
      </c>
      <c r="BB2589">
        <v>44</v>
      </c>
      <c r="BD2589">
        <v>1</v>
      </c>
      <c r="BF2589" t="s">
        <v>2785</v>
      </c>
      <c r="BG2589" s="1">
        <v>44354.019444444442</v>
      </c>
      <c r="BH2589" s="1">
        <v>44354.038923611108</v>
      </c>
      <c r="BI2589" s="1">
        <v>44354.039849537039</v>
      </c>
      <c r="BJ2589" t="s">
        <v>85</v>
      </c>
      <c r="BK2589" t="s">
        <v>86</v>
      </c>
      <c r="BL2589" t="s">
        <v>87</v>
      </c>
    </row>
    <row r="2590" spans="1:64" x14ac:dyDescent="0.3">
      <c r="A2590" t="str">
        <f>"201720C0300"</f>
        <v>201720C0300</v>
      </c>
      <c r="B2590" t="str">
        <f>"201720C03003"</f>
        <v>201720C03003</v>
      </c>
      <c r="C2590" t="str">
        <f t="shared" si="169"/>
        <v>20</v>
      </c>
      <c r="D2590" t="s">
        <v>81</v>
      </c>
      <c r="E2590" t="str">
        <f t="shared" si="171"/>
        <v>386</v>
      </c>
      <c r="F2590" t="s">
        <v>2746</v>
      </c>
      <c r="G2590" t="str">
        <f t="shared" si="172"/>
        <v>1720</v>
      </c>
      <c r="H2590" t="str">
        <f>"0003"</f>
        <v>0003</v>
      </c>
      <c r="I2590" t="s">
        <v>89</v>
      </c>
      <c r="J2590">
        <v>0</v>
      </c>
      <c r="K2590">
        <v>1</v>
      </c>
      <c r="L2590">
        <v>3</v>
      </c>
      <c r="M2590">
        <v>316</v>
      </c>
      <c r="N2590">
        <v>390</v>
      </c>
      <c r="O2590">
        <v>6</v>
      </c>
      <c r="P2590">
        <v>388</v>
      </c>
      <c r="Q2590">
        <v>19</v>
      </c>
      <c r="R2590">
        <v>57</v>
      </c>
      <c r="S2590">
        <v>9</v>
      </c>
      <c r="T2590">
        <v>3</v>
      </c>
      <c r="U2590">
        <v>14</v>
      </c>
      <c r="V2590">
        <v>12</v>
      </c>
      <c r="W2590">
        <v>14</v>
      </c>
      <c r="X2590">
        <v>134</v>
      </c>
      <c r="Y2590">
        <v>8</v>
      </c>
      <c r="Z2590">
        <v>6</v>
      </c>
      <c r="AA2590">
        <v>1</v>
      </c>
      <c r="AB2590">
        <v>99</v>
      </c>
      <c r="AJ2590">
        <v>1</v>
      </c>
      <c r="AK2590">
        <v>1</v>
      </c>
      <c r="AL2590">
        <v>0</v>
      </c>
      <c r="AM2590">
        <v>0</v>
      </c>
      <c r="AN2590">
        <v>0</v>
      </c>
      <c r="AO2590">
        <v>2</v>
      </c>
      <c r="AP2590">
        <v>0</v>
      </c>
      <c r="AQ2590">
        <v>0</v>
      </c>
      <c r="AR2590">
        <v>2</v>
      </c>
      <c r="AS2590">
        <v>0</v>
      </c>
      <c r="AT2590">
        <v>0</v>
      </c>
      <c r="AW2590">
        <v>0</v>
      </c>
      <c r="AX2590">
        <v>6</v>
      </c>
      <c r="AY2590">
        <v>388</v>
      </c>
      <c r="AZ2590">
        <v>388</v>
      </c>
      <c r="BA2590">
        <v>663</v>
      </c>
      <c r="BB2590">
        <v>44</v>
      </c>
      <c r="BD2590">
        <v>1</v>
      </c>
      <c r="BF2590" t="s">
        <v>2786</v>
      </c>
      <c r="BG2590" s="1">
        <v>44353.907638888886</v>
      </c>
      <c r="BH2590" s="1">
        <v>44354.323831018519</v>
      </c>
      <c r="BI2590" s="1">
        <v>44354.340601851851</v>
      </c>
      <c r="BJ2590" t="s">
        <v>85</v>
      </c>
      <c r="BK2590" t="s">
        <v>86</v>
      </c>
      <c r="BL2590" t="s">
        <v>87</v>
      </c>
    </row>
    <row r="2591" spans="1:64" x14ac:dyDescent="0.3">
      <c r="A2591" t="str">
        <f>"201720C0400"</f>
        <v>201720C0400</v>
      </c>
      <c r="B2591" t="str">
        <f>"201720C04003"</f>
        <v>201720C04003</v>
      </c>
      <c r="C2591" t="str">
        <f t="shared" si="169"/>
        <v>20</v>
      </c>
      <c r="D2591" t="s">
        <v>81</v>
      </c>
      <c r="E2591" t="str">
        <f t="shared" si="171"/>
        <v>386</v>
      </c>
      <c r="F2591" t="s">
        <v>2746</v>
      </c>
      <c r="G2591" t="str">
        <f t="shared" si="172"/>
        <v>1720</v>
      </c>
      <c r="H2591" t="str">
        <f>"0004"</f>
        <v>0004</v>
      </c>
      <c r="I2591" t="s">
        <v>89</v>
      </c>
      <c r="J2591">
        <v>0</v>
      </c>
      <c r="K2591">
        <v>1</v>
      </c>
      <c r="L2591">
        <v>3</v>
      </c>
      <c r="M2591">
        <v>313</v>
      </c>
      <c r="N2591">
        <v>394</v>
      </c>
      <c r="O2591">
        <v>5</v>
      </c>
      <c r="P2591">
        <v>395</v>
      </c>
      <c r="Q2591">
        <v>20</v>
      </c>
      <c r="R2591">
        <v>67</v>
      </c>
      <c r="S2591">
        <v>3</v>
      </c>
      <c r="T2591">
        <v>9</v>
      </c>
      <c r="U2591">
        <v>13</v>
      </c>
      <c r="V2591">
        <v>3</v>
      </c>
      <c r="W2591">
        <v>16</v>
      </c>
      <c r="X2591">
        <v>130</v>
      </c>
      <c r="Y2591">
        <v>6</v>
      </c>
      <c r="Z2591">
        <v>20</v>
      </c>
      <c r="AA2591">
        <v>2</v>
      </c>
      <c r="AB2591">
        <v>96</v>
      </c>
      <c r="AJ2591" t="s">
        <v>95</v>
      </c>
      <c r="AK2591">
        <v>3</v>
      </c>
      <c r="AL2591" t="s">
        <v>95</v>
      </c>
      <c r="AM2591" t="s">
        <v>95</v>
      </c>
      <c r="AN2591" t="s">
        <v>95</v>
      </c>
      <c r="AO2591" t="s">
        <v>95</v>
      </c>
      <c r="AP2591" t="s">
        <v>95</v>
      </c>
      <c r="AQ2591" t="s">
        <v>95</v>
      </c>
      <c r="AR2591" t="s">
        <v>95</v>
      </c>
      <c r="AS2591" t="s">
        <v>95</v>
      </c>
      <c r="AT2591" t="s">
        <v>95</v>
      </c>
      <c r="AW2591" t="s">
        <v>95</v>
      </c>
      <c r="AX2591">
        <v>7</v>
      </c>
      <c r="AY2591">
        <v>395</v>
      </c>
      <c r="AZ2591">
        <v>395</v>
      </c>
      <c r="BA2591">
        <v>663</v>
      </c>
      <c r="BB2591">
        <v>44</v>
      </c>
      <c r="BC2591" t="s">
        <v>96</v>
      </c>
      <c r="BD2591">
        <v>1</v>
      </c>
      <c r="BF2591" t="s">
        <v>2787</v>
      </c>
      <c r="BG2591" s="1">
        <v>44354.019444444442</v>
      </c>
      <c r="BH2591" s="1">
        <v>44354.034907407404</v>
      </c>
      <c r="BI2591" s="1">
        <v>44354.035613425927</v>
      </c>
      <c r="BJ2591" t="s">
        <v>85</v>
      </c>
      <c r="BK2591" t="s">
        <v>86</v>
      </c>
      <c r="BL2591" t="s">
        <v>87</v>
      </c>
    </row>
    <row r="2592" spans="1:64" x14ac:dyDescent="0.3">
      <c r="A2592" t="str">
        <f>"201720C0500"</f>
        <v>201720C0500</v>
      </c>
      <c r="B2592" t="str">
        <f>"201720C05003"</f>
        <v>201720C05003</v>
      </c>
      <c r="C2592" t="str">
        <f t="shared" si="169"/>
        <v>20</v>
      </c>
      <c r="D2592" t="s">
        <v>81</v>
      </c>
      <c r="E2592" t="str">
        <f t="shared" si="171"/>
        <v>386</v>
      </c>
      <c r="F2592" t="s">
        <v>2746</v>
      </c>
      <c r="G2592" t="str">
        <f t="shared" si="172"/>
        <v>1720</v>
      </c>
      <c r="H2592" t="str">
        <f>"0005"</f>
        <v>0005</v>
      </c>
      <c r="I2592" t="s">
        <v>89</v>
      </c>
      <c r="J2592">
        <v>0</v>
      </c>
      <c r="K2592">
        <v>1</v>
      </c>
      <c r="L2592">
        <v>3</v>
      </c>
      <c r="M2592">
        <v>342</v>
      </c>
      <c r="N2592">
        <v>366</v>
      </c>
      <c r="O2592">
        <v>6</v>
      </c>
      <c r="P2592">
        <v>366</v>
      </c>
      <c r="Q2592">
        <v>26</v>
      </c>
      <c r="R2592">
        <v>54</v>
      </c>
      <c r="S2592">
        <v>7</v>
      </c>
      <c r="T2592">
        <v>6</v>
      </c>
      <c r="U2592">
        <v>19</v>
      </c>
      <c r="V2592">
        <v>3</v>
      </c>
      <c r="W2592">
        <v>8</v>
      </c>
      <c r="X2592">
        <v>130</v>
      </c>
      <c r="Y2592">
        <v>4</v>
      </c>
      <c r="Z2592">
        <v>7</v>
      </c>
      <c r="AA2592">
        <v>4</v>
      </c>
      <c r="AB2592">
        <v>90</v>
      </c>
      <c r="AJ2592" t="s">
        <v>95</v>
      </c>
      <c r="AK2592">
        <v>2</v>
      </c>
      <c r="AL2592">
        <v>1</v>
      </c>
      <c r="AM2592" t="s">
        <v>95</v>
      </c>
      <c r="AN2592" t="s">
        <v>95</v>
      </c>
      <c r="AO2592" t="s">
        <v>95</v>
      </c>
      <c r="AP2592">
        <v>1</v>
      </c>
      <c r="AQ2592" t="s">
        <v>95</v>
      </c>
      <c r="AR2592" t="s">
        <v>95</v>
      </c>
      <c r="AS2592" t="s">
        <v>95</v>
      </c>
      <c r="AT2592" t="s">
        <v>95</v>
      </c>
      <c r="AW2592">
        <v>1</v>
      </c>
      <c r="AX2592">
        <v>3</v>
      </c>
      <c r="AY2592">
        <v>366</v>
      </c>
      <c r="AZ2592">
        <v>366</v>
      </c>
      <c r="BA2592">
        <v>663</v>
      </c>
      <c r="BB2592">
        <v>44</v>
      </c>
      <c r="BC2592" t="s">
        <v>96</v>
      </c>
      <c r="BD2592">
        <v>1</v>
      </c>
      <c r="BF2592" t="s">
        <v>2788</v>
      </c>
      <c r="BG2592" s="1">
        <v>44354.019444444442</v>
      </c>
      <c r="BH2592" s="1">
        <v>44354.032997685186</v>
      </c>
      <c r="BI2592" s="1">
        <v>44354.03365740741</v>
      </c>
      <c r="BJ2592" t="s">
        <v>85</v>
      </c>
      <c r="BK2592" t="s">
        <v>86</v>
      </c>
      <c r="BL2592" t="s">
        <v>87</v>
      </c>
    </row>
    <row r="2593" spans="1:64" x14ac:dyDescent="0.3">
      <c r="A2593" t="str">
        <f>"201720E0100"</f>
        <v>201720E0100</v>
      </c>
      <c r="B2593" t="str">
        <f>"201720E01003"</f>
        <v>201720E01003</v>
      </c>
      <c r="C2593" t="str">
        <f t="shared" si="169"/>
        <v>20</v>
      </c>
      <c r="D2593" t="s">
        <v>81</v>
      </c>
      <c r="E2593" t="str">
        <f t="shared" si="171"/>
        <v>386</v>
      </c>
      <c r="F2593" t="s">
        <v>2746</v>
      </c>
      <c r="G2593" t="str">
        <f t="shared" si="172"/>
        <v>1720</v>
      </c>
      <c r="H2593" t="str">
        <f>"0001"</f>
        <v>0001</v>
      </c>
      <c r="I2593" t="s">
        <v>122</v>
      </c>
      <c r="J2593">
        <v>0</v>
      </c>
      <c r="K2593">
        <v>1</v>
      </c>
      <c r="L2593">
        <v>3</v>
      </c>
      <c r="M2593">
        <v>463</v>
      </c>
      <c r="N2593">
        <v>316</v>
      </c>
      <c r="O2593">
        <v>0</v>
      </c>
      <c r="P2593">
        <v>316</v>
      </c>
      <c r="Q2593">
        <v>18</v>
      </c>
      <c r="R2593">
        <v>55</v>
      </c>
      <c r="S2593">
        <v>4</v>
      </c>
      <c r="T2593">
        <v>12</v>
      </c>
      <c r="U2593">
        <v>17</v>
      </c>
      <c r="V2593">
        <v>9</v>
      </c>
      <c r="W2593">
        <v>2</v>
      </c>
      <c r="X2593">
        <v>115</v>
      </c>
      <c r="Y2593">
        <v>5</v>
      </c>
      <c r="Z2593">
        <v>6</v>
      </c>
      <c r="AA2593">
        <v>3</v>
      </c>
      <c r="AB2593">
        <v>57</v>
      </c>
      <c r="AJ2593">
        <v>0</v>
      </c>
      <c r="AK2593">
        <v>1</v>
      </c>
      <c r="AL2593">
        <v>0</v>
      </c>
      <c r="AM2593">
        <v>0</v>
      </c>
      <c r="AN2593">
        <v>0</v>
      </c>
      <c r="AO2593">
        <v>0</v>
      </c>
      <c r="AP2593">
        <v>0</v>
      </c>
      <c r="AQ2593">
        <v>0</v>
      </c>
      <c r="AR2593">
        <v>0</v>
      </c>
      <c r="AS2593">
        <v>0</v>
      </c>
      <c r="AT2593">
        <v>0</v>
      </c>
      <c r="AW2593">
        <v>0</v>
      </c>
      <c r="AX2593">
        <v>11</v>
      </c>
      <c r="AY2593">
        <v>316</v>
      </c>
      <c r="AZ2593">
        <v>315</v>
      </c>
      <c r="BA2593">
        <v>735</v>
      </c>
      <c r="BB2593">
        <v>44</v>
      </c>
      <c r="BD2593">
        <v>1</v>
      </c>
      <c r="BF2593" t="s">
        <v>2789</v>
      </c>
      <c r="BG2593" s="1">
        <v>44354.043055555558</v>
      </c>
      <c r="BH2593" s="1">
        <v>44354.089236111111</v>
      </c>
      <c r="BI2593" s="1">
        <v>44354.08997685185</v>
      </c>
      <c r="BJ2593" t="s">
        <v>85</v>
      </c>
      <c r="BK2593" t="s">
        <v>86</v>
      </c>
      <c r="BL2593" t="s">
        <v>87</v>
      </c>
    </row>
    <row r="2594" spans="1:64" x14ac:dyDescent="0.3">
      <c r="A2594" t="str">
        <f>"201720E0101"</f>
        <v>201720E0101</v>
      </c>
      <c r="B2594" t="str">
        <f>"201720E01013"</f>
        <v>201720E01013</v>
      </c>
      <c r="C2594" t="str">
        <f t="shared" si="169"/>
        <v>20</v>
      </c>
      <c r="D2594" t="s">
        <v>81</v>
      </c>
      <c r="E2594" t="str">
        <f t="shared" si="171"/>
        <v>386</v>
      </c>
      <c r="F2594" t="s">
        <v>2746</v>
      </c>
      <c r="G2594" t="str">
        <f t="shared" si="172"/>
        <v>1720</v>
      </c>
      <c r="H2594" t="str">
        <f>"0001"</f>
        <v>0001</v>
      </c>
      <c r="I2594" t="s">
        <v>122</v>
      </c>
      <c r="J2594">
        <v>1</v>
      </c>
      <c r="K2594">
        <v>1</v>
      </c>
      <c r="L2594">
        <v>3</v>
      </c>
      <c r="M2594">
        <v>448</v>
      </c>
      <c r="N2594">
        <v>330</v>
      </c>
      <c r="O2594">
        <v>7</v>
      </c>
      <c r="P2594">
        <v>330</v>
      </c>
      <c r="Q2594">
        <v>20</v>
      </c>
      <c r="R2594">
        <v>51</v>
      </c>
      <c r="S2594">
        <v>4</v>
      </c>
      <c r="T2594">
        <v>11</v>
      </c>
      <c r="U2594">
        <v>23</v>
      </c>
      <c r="V2594">
        <v>4</v>
      </c>
      <c r="W2594">
        <v>5</v>
      </c>
      <c r="X2594">
        <v>124</v>
      </c>
      <c r="Y2594">
        <v>4</v>
      </c>
      <c r="Z2594">
        <v>12</v>
      </c>
      <c r="AA2594">
        <v>1</v>
      </c>
      <c r="AB2594">
        <v>52</v>
      </c>
      <c r="AJ2594">
        <v>0</v>
      </c>
      <c r="AK2594">
        <v>2</v>
      </c>
      <c r="AL2594">
        <v>0</v>
      </c>
      <c r="AM2594">
        <v>0</v>
      </c>
      <c r="AN2594">
        <v>0</v>
      </c>
      <c r="AO2594">
        <v>0</v>
      </c>
      <c r="AP2594">
        <v>0</v>
      </c>
      <c r="AQ2594">
        <v>0</v>
      </c>
      <c r="AR2594">
        <v>1</v>
      </c>
      <c r="AS2594">
        <v>0</v>
      </c>
      <c r="AT2594">
        <v>0</v>
      </c>
      <c r="AW2594">
        <v>0</v>
      </c>
      <c r="AX2594">
        <v>16</v>
      </c>
      <c r="AY2594">
        <v>330</v>
      </c>
      <c r="AZ2594">
        <v>330</v>
      </c>
      <c r="BA2594">
        <v>734</v>
      </c>
      <c r="BB2594">
        <v>44</v>
      </c>
      <c r="BD2594">
        <v>1</v>
      </c>
      <c r="BF2594" t="s">
        <v>2790</v>
      </c>
      <c r="BG2594" s="1">
        <v>44354.043055555558</v>
      </c>
      <c r="BH2594" s="1">
        <v>44354.089780092596</v>
      </c>
      <c r="BI2594" s="1">
        <v>44354.090567129628</v>
      </c>
      <c r="BJ2594" t="s">
        <v>85</v>
      </c>
      <c r="BK2594" t="s">
        <v>86</v>
      </c>
      <c r="BL2594" t="s">
        <v>87</v>
      </c>
    </row>
    <row r="2595" spans="1:64" x14ac:dyDescent="0.3">
      <c r="A2595" t="str">
        <f>"201720E0102"</f>
        <v>201720E0102</v>
      </c>
      <c r="B2595" t="str">
        <f>"201720E01023"</f>
        <v>201720E01023</v>
      </c>
      <c r="C2595" t="str">
        <f t="shared" si="169"/>
        <v>20</v>
      </c>
      <c r="D2595" t="s">
        <v>81</v>
      </c>
      <c r="E2595" t="str">
        <f t="shared" si="171"/>
        <v>386</v>
      </c>
      <c r="F2595" t="s">
        <v>2746</v>
      </c>
      <c r="G2595" t="str">
        <f t="shared" si="172"/>
        <v>1720</v>
      </c>
      <c r="H2595" t="str">
        <f>"0001"</f>
        <v>0001</v>
      </c>
      <c r="I2595" t="s">
        <v>122</v>
      </c>
      <c r="J2595">
        <v>2</v>
      </c>
      <c r="K2595">
        <v>1</v>
      </c>
      <c r="L2595">
        <v>3</v>
      </c>
      <c r="M2595">
        <v>447</v>
      </c>
      <c r="N2595">
        <v>331</v>
      </c>
      <c r="O2595">
        <v>5</v>
      </c>
      <c r="P2595">
        <v>331</v>
      </c>
      <c r="Q2595">
        <v>12</v>
      </c>
      <c r="R2595">
        <v>34</v>
      </c>
      <c r="S2595">
        <v>7</v>
      </c>
      <c r="T2595">
        <v>7</v>
      </c>
      <c r="U2595">
        <v>25</v>
      </c>
      <c r="V2595">
        <v>10</v>
      </c>
      <c r="W2595">
        <v>8</v>
      </c>
      <c r="X2595">
        <v>137</v>
      </c>
      <c r="Y2595">
        <v>3</v>
      </c>
      <c r="Z2595">
        <v>3</v>
      </c>
      <c r="AA2595">
        <v>1</v>
      </c>
      <c r="AB2595">
        <v>73</v>
      </c>
      <c r="AJ2595">
        <v>3</v>
      </c>
      <c r="AK2595">
        <v>1</v>
      </c>
      <c r="AL2595">
        <v>0</v>
      </c>
      <c r="AM2595">
        <v>0</v>
      </c>
      <c r="AN2595">
        <v>0</v>
      </c>
      <c r="AO2595">
        <v>0</v>
      </c>
      <c r="AP2595">
        <v>0</v>
      </c>
      <c r="AQ2595">
        <v>0</v>
      </c>
      <c r="AR2595">
        <v>0</v>
      </c>
      <c r="AS2595">
        <v>0</v>
      </c>
      <c r="AT2595">
        <v>0</v>
      </c>
      <c r="AW2595">
        <v>0</v>
      </c>
      <c r="AX2595">
        <v>7</v>
      </c>
      <c r="AY2595">
        <v>331</v>
      </c>
      <c r="AZ2595">
        <v>331</v>
      </c>
      <c r="BA2595">
        <v>734</v>
      </c>
      <c r="BB2595">
        <v>44</v>
      </c>
      <c r="BD2595">
        <v>1</v>
      </c>
      <c r="BF2595" t="s">
        <v>2791</v>
      </c>
      <c r="BG2595" s="1">
        <v>44354.043055555558</v>
      </c>
      <c r="BH2595" s="1">
        <v>44354.089467592596</v>
      </c>
      <c r="BI2595" s="1">
        <v>44354.090567129628</v>
      </c>
      <c r="BJ2595" t="s">
        <v>85</v>
      </c>
      <c r="BK2595" t="s">
        <v>86</v>
      </c>
      <c r="BL2595" t="s">
        <v>87</v>
      </c>
    </row>
    <row r="2596" spans="1:64" x14ac:dyDescent="0.3">
      <c r="A2596" t="str">
        <f>"201720E0103"</f>
        <v>201720E0103</v>
      </c>
      <c r="B2596" t="str">
        <f>"201720E01033"</f>
        <v>201720E01033</v>
      </c>
      <c r="C2596" t="str">
        <f t="shared" si="169"/>
        <v>20</v>
      </c>
      <c r="D2596" t="s">
        <v>81</v>
      </c>
      <c r="E2596" t="str">
        <f t="shared" si="171"/>
        <v>386</v>
      </c>
      <c r="F2596" t="s">
        <v>2746</v>
      </c>
      <c r="G2596" t="str">
        <f t="shared" si="172"/>
        <v>1720</v>
      </c>
      <c r="H2596" t="str">
        <f>"0001"</f>
        <v>0001</v>
      </c>
      <c r="I2596" t="s">
        <v>122</v>
      </c>
      <c r="J2596">
        <v>3</v>
      </c>
      <c r="K2596">
        <v>1</v>
      </c>
      <c r="L2596">
        <v>3</v>
      </c>
      <c r="M2596">
        <v>443</v>
      </c>
      <c r="N2596">
        <v>335</v>
      </c>
      <c r="O2596">
        <v>2</v>
      </c>
      <c r="P2596" t="s">
        <v>92</v>
      </c>
      <c r="Q2596">
        <v>21</v>
      </c>
      <c r="R2596">
        <v>49</v>
      </c>
      <c r="S2596">
        <v>3</v>
      </c>
      <c r="T2596">
        <v>13</v>
      </c>
      <c r="U2596">
        <v>16</v>
      </c>
      <c r="V2596">
        <v>6</v>
      </c>
      <c r="W2596">
        <v>9</v>
      </c>
      <c r="X2596">
        <v>130</v>
      </c>
      <c r="Y2596">
        <v>7</v>
      </c>
      <c r="Z2596">
        <v>13</v>
      </c>
      <c r="AA2596">
        <v>4</v>
      </c>
      <c r="AB2596">
        <v>55</v>
      </c>
      <c r="AJ2596">
        <v>0</v>
      </c>
      <c r="AK2596">
        <v>0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  <c r="AS2596">
        <v>0</v>
      </c>
      <c r="AT2596">
        <v>0</v>
      </c>
      <c r="AW2596">
        <v>0</v>
      </c>
      <c r="AX2596">
        <v>9</v>
      </c>
      <c r="AY2596">
        <v>335</v>
      </c>
      <c r="AZ2596">
        <v>335</v>
      </c>
      <c r="BA2596">
        <v>734</v>
      </c>
      <c r="BB2596">
        <v>44</v>
      </c>
      <c r="BD2596">
        <v>1</v>
      </c>
      <c r="BF2596" t="s">
        <v>2792</v>
      </c>
      <c r="BG2596" s="1">
        <v>44354.042361111111</v>
      </c>
      <c r="BH2596" s="1">
        <v>44354.090150462966</v>
      </c>
      <c r="BI2596" s="1">
        <v>44354.090833333335</v>
      </c>
      <c r="BJ2596" t="s">
        <v>85</v>
      </c>
      <c r="BK2596" t="s">
        <v>86</v>
      </c>
      <c r="BL2596" t="s">
        <v>87</v>
      </c>
    </row>
    <row r="2597" spans="1:64" x14ac:dyDescent="0.3">
      <c r="A2597" t="str">
        <f>"201720E0104"</f>
        <v>201720E0104</v>
      </c>
      <c r="B2597" t="str">
        <f>"201720E01043"</f>
        <v>201720E01043</v>
      </c>
      <c r="C2597" t="str">
        <f t="shared" si="169"/>
        <v>20</v>
      </c>
      <c r="D2597" t="s">
        <v>81</v>
      </c>
      <c r="E2597" t="str">
        <f t="shared" si="171"/>
        <v>386</v>
      </c>
      <c r="F2597" t="s">
        <v>2746</v>
      </c>
      <c r="G2597" t="str">
        <f t="shared" si="172"/>
        <v>1720</v>
      </c>
      <c r="H2597" t="str">
        <f>"0001"</f>
        <v>0001</v>
      </c>
      <c r="I2597" t="s">
        <v>122</v>
      </c>
      <c r="J2597">
        <v>4</v>
      </c>
      <c r="K2597">
        <v>1</v>
      </c>
      <c r="L2597">
        <v>3</v>
      </c>
      <c r="M2597">
        <v>441</v>
      </c>
      <c r="N2597">
        <v>337</v>
      </c>
      <c r="O2597">
        <v>12</v>
      </c>
      <c r="P2597">
        <v>338</v>
      </c>
      <c r="Q2597">
        <v>22</v>
      </c>
      <c r="R2597">
        <v>41</v>
      </c>
      <c r="S2597">
        <v>3</v>
      </c>
      <c r="T2597">
        <v>10</v>
      </c>
      <c r="U2597">
        <v>32</v>
      </c>
      <c r="V2597">
        <v>4</v>
      </c>
      <c r="W2597">
        <v>10</v>
      </c>
      <c r="X2597">
        <v>117</v>
      </c>
      <c r="Y2597">
        <v>5</v>
      </c>
      <c r="Z2597">
        <v>12</v>
      </c>
      <c r="AA2597">
        <v>1</v>
      </c>
      <c r="AB2597">
        <v>74</v>
      </c>
      <c r="AJ2597">
        <v>0</v>
      </c>
      <c r="AK2597">
        <v>0</v>
      </c>
      <c r="AL2597">
        <v>0</v>
      </c>
      <c r="AM2597">
        <v>0</v>
      </c>
      <c r="AN2597">
        <v>0</v>
      </c>
      <c r="AO2597">
        <v>1</v>
      </c>
      <c r="AP2597">
        <v>0</v>
      </c>
      <c r="AQ2597">
        <v>0</v>
      </c>
      <c r="AR2597">
        <v>1</v>
      </c>
      <c r="AS2597">
        <v>0</v>
      </c>
      <c r="AT2597">
        <v>0</v>
      </c>
      <c r="AW2597">
        <v>1</v>
      </c>
      <c r="AX2597">
        <v>4</v>
      </c>
      <c r="AY2597">
        <v>338</v>
      </c>
      <c r="AZ2597">
        <v>338</v>
      </c>
      <c r="BA2597">
        <v>734</v>
      </c>
      <c r="BB2597">
        <v>44</v>
      </c>
      <c r="BD2597">
        <v>1</v>
      </c>
      <c r="BF2597" t="s">
        <v>2793</v>
      </c>
      <c r="BG2597" s="1">
        <v>44354.042361111111</v>
      </c>
      <c r="BH2597" s="1">
        <v>44354.091157407405</v>
      </c>
      <c r="BI2597" s="1">
        <v>44354.092118055552</v>
      </c>
      <c r="BJ2597" t="s">
        <v>85</v>
      </c>
      <c r="BK2597" t="s">
        <v>86</v>
      </c>
      <c r="BL2597" t="s">
        <v>87</v>
      </c>
    </row>
    <row r="2598" spans="1:64" x14ac:dyDescent="0.3">
      <c r="A2598" t="str">
        <f>"201721B0000"</f>
        <v>201721B0000</v>
      </c>
      <c r="B2598" t="str">
        <f>"201721B00003"</f>
        <v>201721B00003</v>
      </c>
      <c r="C2598" t="str">
        <f t="shared" si="169"/>
        <v>20</v>
      </c>
      <c r="D2598" t="s">
        <v>81</v>
      </c>
      <c r="E2598" t="str">
        <f t="shared" si="171"/>
        <v>386</v>
      </c>
      <c r="F2598" t="s">
        <v>2746</v>
      </c>
      <c r="G2598" t="str">
        <f>"1721"</f>
        <v>1721</v>
      </c>
      <c r="H2598" t="str">
        <f>"0000"</f>
        <v>0000</v>
      </c>
      <c r="I2598" t="s">
        <v>83</v>
      </c>
      <c r="J2598">
        <v>0</v>
      </c>
      <c r="K2598">
        <v>1</v>
      </c>
      <c r="L2598">
        <v>3</v>
      </c>
      <c r="M2598">
        <v>290</v>
      </c>
      <c r="N2598">
        <v>416</v>
      </c>
      <c r="O2598">
        <v>5</v>
      </c>
      <c r="P2598">
        <v>416</v>
      </c>
      <c r="Q2598">
        <v>8</v>
      </c>
      <c r="R2598">
        <v>32</v>
      </c>
      <c r="S2598">
        <v>5</v>
      </c>
      <c r="T2598">
        <v>5</v>
      </c>
      <c r="U2598">
        <v>25</v>
      </c>
      <c r="V2598">
        <v>0</v>
      </c>
      <c r="W2598">
        <v>17</v>
      </c>
      <c r="X2598">
        <v>122</v>
      </c>
      <c r="Y2598">
        <v>2</v>
      </c>
      <c r="Z2598">
        <v>3</v>
      </c>
      <c r="AA2598">
        <v>3</v>
      </c>
      <c r="AB2598">
        <v>186</v>
      </c>
      <c r="AJ2598">
        <v>1</v>
      </c>
      <c r="AK2598" t="s">
        <v>95</v>
      </c>
      <c r="AL2598" t="s">
        <v>95</v>
      </c>
      <c r="AM2598" t="s">
        <v>95</v>
      </c>
      <c r="AN2598" t="s">
        <v>95</v>
      </c>
      <c r="AO2598" t="s">
        <v>95</v>
      </c>
      <c r="AP2598" t="s">
        <v>95</v>
      </c>
      <c r="AQ2598" t="s">
        <v>95</v>
      </c>
      <c r="AR2598" t="s">
        <v>95</v>
      </c>
      <c r="AS2598" t="s">
        <v>95</v>
      </c>
      <c r="AT2598" t="s">
        <v>95</v>
      </c>
      <c r="AW2598" t="s">
        <v>95</v>
      </c>
      <c r="AX2598">
        <v>7</v>
      </c>
      <c r="AY2598">
        <v>416</v>
      </c>
      <c r="AZ2598">
        <v>416</v>
      </c>
      <c r="BA2598">
        <v>662</v>
      </c>
      <c r="BB2598">
        <v>44</v>
      </c>
      <c r="BC2598" t="s">
        <v>96</v>
      </c>
      <c r="BD2598">
        <v>1</v>
      </c>
      <c r="BF2598" t="s">
        <v>2794</v>
      </c>
      <c r="BG2598" s="1">
        <v>44353.989583333336</v>
      </c>
      <c r="BH2598" s="1">
        <v>44354.008321759262</v>
      </c>
      <c r="BI2598" s="1">
        <v>44354.009062500001</v>
      </c>
      <c r="BJ2598" t="s">
        <v>85</v>
      </c>
      <c r="BK2598" t="s">
        <v>86</v>
      </c>
      <c r="BL2598" t="s">
        <v>87</v>
      </c>
    </row>
    <row r="2599" spans="1:64" x14ac:dyDescent="0.3">
      <c r="A2599" t="str">
        <f>"201721C0100"</f>
        <v>201721C0100</v>
      </c>
      <c r="B2599" t="str">
        <f>"201721C01003"</f>
        <v>201721C01003</v>
      </c>
      <c r="C2599" t="str">
        <f t="shared" si="169"/>
        <v>20</v>
      </c>
      <c r="D2599" t="s">
        <v>81</v>
      </c>
      <c r="E2599" t="str">
        <f t="shared" si="171"/>
        <v>386</v>
      </c>
      <c r="F2599" t="s">
        <v>2746</v>
      </c>
      <c r="G2599" t="str">
        <f>"1721"</f>
        <v>1721</v>
      </c>
      <c r="H2599" t="str">
        <f>"0001"</f>
        <v>0001</v>
      </c>
      <c r="I2599" t="s">
        <v>89</v>
      </c>
      <c r="J2599">
        <v>0</v>
      </c>
      <c r="K2599">
        <v>1</v>
      </c>
      <c r="L2599">
        <v>3</v>
      </c>
      <c r="M2599">
        <v>279</v>
      </c>
      <c r="N2599">
        <v>427</v>
      </c>
      <c r="O2599">
        <v>0</v>
      </c>
      <c r="P2599">
        <v>427</v>
      </c>
      <c r="Q2599">
        <v>12</v>
      </c>
      <c r="R2599">
        <v>26</v>
      </c>
      <c r="S2599">
        <v>5</v>
      </c>
      <c r="T2599">
        <v>4</v>
      </c>
      <c r="U2599">
        <v>18</v>
      </c>
      <c r="V2599">
        <v>2</v>
      </c>
      <c r="W2599">
        <v>11</v>
      </c>
      <c r="X2599">
        <v>115</v>
      </c>
      <c r="Y2599">
        <v>5</v>
      </c>
      <c r="Z2599">
        <v>6</v>
      </c>
      <c r="AA2599">
        <v>0</v>
      </c>
      <c r="AB2599">
        <v>210</v>
      </c>
      <c r="AJ2599">
        <v>0</v>
      </c>
      <c r="AK2599">
        <v>0</v>
      </c>
      <c r="AL2599">
        <v>0</v>
      </c>
      <c r="AM2599">
        <v>0</v>
      </c>
      <c r="AN2599">
        <v>0</v>
      </c>
      <c r="AO2599">
        <v>0</v>
      </c>
      <c r="AP2599">
        <v>0</v>
      </c>
      <c r="AQ2599">
        <v>0</v>
      </c>
      <c r="AR2599">
        <v>0</v>
      </c>
      <c r="AS2599">
        <v>0</v>
      </c>
      <c r="AT2599">
        <v>0</v>
      </c>
      <c r="AW2599">
        <v>0</v>
      </c>
      <c r="AX2599">
        <v>13</v>
      </c>
      <c r="AY2599">
        <v>427</v>
      </c>
      <c r="AZ2599">
        <v>427</v>
      </c>
      <c r="BA2599">
        <v>662</v>
      </c>
      <c r="BB2599">
        <v>44</v>
      </c>
      <c r="BD2599">
        <v>1</v>
      </c>
      <c r="BF2599" t="s">
        <v>2795</v>
      </c>
      <c r="BG2599" s="1">
        <v>44353.989583333336</v>
      </c>
      <c r="BH2599" s="1">
        <v>44354.007430555554</v>
      </c>
      <c r="BI2599" s="1">
        <v>44354.009189814817</v>
      </c>
      <c r="BJ2599" t="s">
        <v>85</v>
      </c>
      <c r="BK2599" t="s">
        <v>86</v>
      </c>
      <c r="BL2599" t="s">
        <v>87</v>
      </c>
    </row>
    <row r="2600" spans="1:64" x14ac:dyDescent="0.3">
      <c r="A2600" t="str">
        <f>"201721C0200"</f>
        <v>201721C0200</v>
      </c>
      <c r="B2600" t="str">
        <f>"201721C02003"</f>
        <v>201721C02003</v>
      </c>
      <c r="C2600" t="str">
        <f t="shared" si="169"/>
        <v>20</v>
      </c>
      <c r="D2600" t="s">
        <v>81</v>
      </c>
      <c r="E2600" t="str">
        <f t="shared" si="171"/>
        <v>386</v>
      </c>
      <c r="F2600" t="s">
        <v>2746</v>
      </c>
      <c r="G2600" t="str">
        <f>"1721"</f>
        <v>1721</v>
      </c>
      <c r="H2600" t="str">
        <f>"0002"</f>
        <v>0002</v>
      </c>
      <c r="I2600" t="s">
        <v>89</v>
      </c>
      <c r="J2600">
        <v>0</v>
      </c>
      <c r="K2600">
        <v>1</v>
      </c>
      <c r="L2600">
        <v>3</v>
      </c>
      <c r="M2600" t="s">
        <v>92</v>
      </c>
      <c r="N2600" t="s">
        <v>92</v>
      </c>
      <c r="O2600" t="s">
        <v>92</v>
      </c>
      <c r="P2600" t="s">
        <v>92</v>
      </c>
      <c r="Q2600" t="s">
        <v>95</v>
      </c>
      <c r="R2600" t="s">
        <v>95</v>
      </c>
      <c r="S2600" t="s">
        <v>95</v>
      </c>
      <c r="T2600" t="s">
        <v>95</v>
      </c>
      <c r="U2600" t="s">
        <v>95</v>
      </c>
      <c r="V2600" t="s">
        <v>95</v>
      </c>
      <c r="W2600" t="s">
        <v>95</v>
      </c>
      <c r="X2600" t="s">
        <v>95</v>
      </c>
      <c r="Y2600" t="s">
        <v>95</v>
      </c>
      <c r="Z2600" t="s">
        <v>95</v>
      </c>
      <c r="AA2600" t="s">
        <v>95</v>
      </c>
      <c r="AB2600" t="s">
        <v>95</v>
      </c>
      <c r="AJ2600" t="s">
        <v>95</v>
      </c>
      <c r="AK2600" t="s">
        <v>95</v>
      </c>
      <c r="AL2600" t="s">
        <v>95</v>
      </c>
      <c r="AM2600" t="s">
        <v>95</v>
      </c>
      <c r="AN2600" t="s">
        <v>95</v>
      </c>
      <c r="AO2600" t="s">
        <v>95</v>
      </c>
      <c r="AP2600" t="s">
        <v>95</v>
      </c>
      <c r="AQ2600" t="s">
        <v>95</v>
      </c>
      <c r="AR2600" t="s">
        <v>95</v>
      </c>
      <c r="AS2600" t="s">
        <v>95</v>
      </c>
      <c r="AT2600" t="s">
        <v>95</v>
      </c>
      <c r="AW2600" t="s">
        <v>95</v>
      </c>
      <c r="AX2600" t="s">
        <v>95</v>
      </c>
      <c r="BA2600">
        <v>661</v>
      </c>
      <c r="BB2600">
        <v>44</v>
      </c>
      <c r="BC2600" t="s">
        <v>712</v>
      </c>
      <c r="BD2600">
        <v>0</v>
      </c>
      <c r="BF2600" t="s">
        <v>2796</v>
      </c>
      <c r="BG2600" s="1">
        <v>44353.989583333336</v>
      </c>
      <c r="BH2600" s="1">
        <v>44354.019560185188</v>
      </c>
      <c r="BI2600" s="1">
        <v>44354.019560185188</v>
      </c>
      <c r="BJ2600" t="s">
        <v>85</v>
      </c>
      <c r="BK2600" t="s">
        <v>86</v>
      </c>
      <c r="BL2600" t="s">
        <v>87</v>
      </c>
    </row>
    <row r="2601" spans="1:64" x14ac:dyDescent="0.3">
      <c r="A2601" t="str">
        <f>"201721C0300"</f>
        <v>201721C0300</v>
      </c>
      <c r="B2601" t="str">
        <f>"201721C03003"</f>
        <v>201721C03003</v>
      </c>
      <c r="C2601" t="str">
        <f t="shared" si="169"/>
        <v>20</v>
      </c>
      <c r="D2601" t="s">
        <v>81</v>
      </c>
      <c r="E2601" t="str">
        <f t="shared" si="171"/>
        <v>386</v>
      </c>
      <c r="F2601" t="s">
        <v>2746</v>
      </c>
      <c r="G2601" t="str">
        <f>"1721"</f>
        <v>1721</v>
      </c>
      <c r="H2601" t="str">
        <f>"0003"</f>
        <v>0003</v>
      </c>
      <c r="I2601" t="s">
        <v>89</v>
      </c>
      <c r="J2601">
        <v>0</v>
      </c>
      <c r="K2601">
        <v>1</v>
      </c>
      <c r="L2601">
        <v>3</v>
      </c>
      <c r="M2601">
        <v>265</v>
      </c>
      <c r="N2601">
        <v>440</v>
      </c>
      <c r="O2601">
        <v>10</v>
      </c>
      <c r="P2601">
        <v>439</v>
      </c>
      <c r="Q2601">
        <v>11</v>
      </c>
      <c r="R2601">
        <v>29</v>
      </c>
      <c r="S2601">
        <v>5</v>
      </c>
      <c r="T2601">
        <v>9</v>
      </c>
      <c r="U2601">
        <v>27</v>
      </c>
      <c r="V2601">
        <v>5</v>
      </c>
      <c r="W2601">
        <v>6</v>
      </c>
      <c r="X2601">
        <v>146</v>
      </c>
      <c r="Y2601">
        <v>1</v>
      </c>
      <c r="Z2601">
        <v>7</v>
      </c>
      <c r="AA2601">
        <v>2</v>
      </c>
      <c r="AB2601">
        <v>174</v>
      </c>
      <c r="AJ2601">
        <v>0</v>
      </c>
      <c r="AK2601">
        <v>1</v>
      </c>
      <c r="AL2601">
        <v>0</v>
      </c>
      <c r="AM2601">
        <v>0</v>
      </c>
      <c r="AN2601">
        <v>0</v>
      </c>
      <c r="AO2601">
        <v>1</v>
      </c>
      <c r="AP2601">
        <v>0</v>
      </c>
      <c r="AQ2601">
        <v>0</v>
      </c>
      <c r="AR2601">
        <v>1</v>
      </c>
      <c r="AS2601">
        <v>0</v>
      </c>
      <c r="AT2601">
        <v>0</v>
      </c>
      <c r="AW2601">
        <v>0</v>
      </c>
      <c r="AX2601">
        <v>14</v>
      </c>
      <c r="AY2601">
        <v>439</v>
      </c>
      <c r="AZ2601">
        <v>439</v>
      </c>
      <c r="BA2601">
        <v>661</v>
      </c>
      <c r="BB2601">
        <v>44</v>
      </c>
      <c r="BD2601">
        <v>1</v>
      </c>
      <c r="BF2601" t="s">
        <v>2797</v>
      </c>
      <c r="BG2601" s="1">
        <v>44353.989583333336</v>
      </c>
      <c r="BH2601" s="1">
        <v>44354.004317129627</v>
      </c>
      <c r="BI2601" s="1">
        <v>44354.005300925928</v>
      </c>
      <c r="BJ2601" t="s">
        <v>85</v>
      </c>
      <c r="BK2601" t="s">
        <v>86</v>
      </c>
      <c r="BL2601" t="s">
        <v>87</v>
      </c>
    </row>
    <row r="2602" spans="1:64" x14ac:dyDescent="0.3">
      <c r="A2602" t="str">
        <f>"201721C0400"</f>
        <v>201721C0400</v>
      </c>
      <c r="B2602" t="str">
        <f>"201721C04003"</f>
        <v>201721C04003</v>
      </c>
      <c r="C2602" t="str">
        <f t="shared" si="169"/>
        <v>20</v>
      </c>
      <c r="D2602" t="s">
        <v>81</v>
      </c>
      <c r="E2602" t="str">
        <f t="shared" si="171"/>
        <v>386</v>
      </c>
      <c r="F2602" t="s">
        <v>2746</v>
      </c>
      <c r="G2602" t="str">
        <f>"1721"</f>
        <v>1721</v>
      </c>
      <c r="H2602" t="str">
        <f>"0004"</f>
        <v>0004</v>
      </c>
      <c r="I2602" t="s">
        <v>89</v>
      </c>
      <c r="J2602">
        <v>0</v>
      </c>
      <c r="K2602">
        <v>1</v>
      </c>
      <c r="L2602">
        <v>3</v>
      </c>
      <c r="M2602">
        <v>295</v>
      </c>
      <c r="N2602">
        <v>410</v>
      </c>
      <c r="O2602">
        <v>9</v>
      </c>
      <c r="P2602">
        <v>410</v>
      </c>
      <c r="Q2602">
        <v>6</v>
      </c>
      <c r="R2602">
        <v>32</v>
      </c>
      <c r="S2602">
        <v>8</v>
      </c>
      <c r="T2602">
        <v>2</v>
      </c>
      <c r="U2602">
        <v>35</v>
      </c>
      <c r="V2602">
        <v>1</v>
      </c>
      <c r="W2602">
        <v>11</v>
      </c>
      <c r="X2602">
        <v>129</v>
      </c>
      <c r="Y2602">
        <v>5</v>
      </c>
      <c r="Z2602">
        <v>2</v>
      </c>
      <c r="AA2602">
        <v>1</v>
      </c>
      <c r="AB2602">
        <v>169</v>
      </c>
      <c r="AJ2602" t="s">
        <v>95</v>
      </c>
      <c r="AK2602">
        <v>2</v>
      </c>
      <c r="AL2602" t="s">
        <v>95</v>
      </c>
      <c r="AM2602" t="s">
        <v>95</v>
      </c>
      <c r="AN2602" t="s">
        <v>95</v>
      </c>
      <c r="AO2602" t="s">
        <v>95</v>
      </c>
      <c r="AP2602" t="s">
        <v>95</v>
      </c>
      <c r="AQ2602" t="s">
        <v>95</v>
      </c>
      <c r="AR2602" t="s">
        <v>95</v>
      </c>
      <c r="AS2602" t="s">
        <v>95</v>
      </c>
      <c r="AT2602" t="s">
        <v>95</v>
      </c>
      <c r="AW2602">
        <v>7</v>
      </c>
      <c r="AX2602">
        <v>7</v>
      </c>
      <c r="AY2602">
        <v>410</v>
      </c>
      <c r="AZ2602">
        <v>417</v>
      </c>
      <c r="BA2602">
        <v>661</v>
      </c>
      <c r="BB2602">
        <v>44</v>
      </c>
      <c r="BC2602" t="s">
        <v>96</v>
      </c>
      <c r="BD2602">
        <v>1</v>
      </c>
      <c r="BF2602" t="s">
        <v>2798</v>
      </c>
      <c r="BG2602" s="1">
        <v>44353.948611111111</v>
      </c>
      <c r="BH2602" s="1">
        <v>44353.957291666666</v>
      </c>
      <c r="BI2602" s="1">
        <v>44353.958148148151</v>
      </c>
      <c r="BJ2602" t="s">
        <v>85</v>
      </c>
      <c r="BK2602" t="s">
        <v>86</v>
      </c>
      <c r="BL2602" t="s">
        <v>87</v>
      </c>
    </row>
    <row r="2603" spans="1:64" x14ac:dyDescent="0.3">
      <c r="A2603" t="str">
        <f>"201722B0000"</f>
        <v>201722B0000</v>
      </c>
      <c r="B2603" t="str">
        <f>"201722B00003"</f>
        <v>201722B00003</v>
      </c>
      <c r="C2603" t="str">
        <f t="shared" si="169"/>
        <v>20</v>
      </c>
      <c r="D2603" t="s">
        <v>81</v>
      </c>
      <c r="E2603" t="str">
        <f t="shared" si="171"/>
        <v>386</v>
      </c>
      <c r="F2603" t="s">
        <v>2746</v>
      </c>
      <c r="G2603" t="str">
        <f t="shared" ref="G2603:G2617" si="173">"1722"</f>
        <v>1722</v>
      </c>
      <c r="H2603" t="str">
        <f>"0000"</f>
        <v>0000</v>
      </c>
      <c r="I2603" t="s">
        <v>83</v>
      </c>
      <c r="J2603">
        <v>0</v>
      </c>
      <c r="K2603">
        <v>1</v>
      </c>
      <c r="L2603">
        <v>3</v>
      </c>
      <c r="M2603">
        <v>218</v>
      </c>
      <c r="N2603">
        <v>460</v>
      </c>
      <c r="O2603">
        <v>8</v>
      </c>
      <c r="P2603">
        <v>460</v>
      </c>
      <c r="Q2603">
        <v>2</v>
      </c>
      <c r="R2603">
        <v>24</v>
      </c>
      <c r="S2603">
        <v>8</v>
      </c>
      <c r="T2603">
        <v>3</v>
      </c>
      <c r="U2603">
        <v>17</v>
      </c>
      <c r="V2603">
        <v>2</v>
      </c>
      <c r="W2603">
        <v>17</v>
      </c>
      <c r="X2603">
        <v>127</v>
      </c>
      <c r="Y2603">
        <v>3</v>
      </c>
      <c r="Z2603">
        <v>13</v>
      </c>
      <c r="AA2603">
        <v>4</v>
      </c>
      <c r="AB2603">
        <v>229</v>
      </c>
      <c r="AJ2603">
        <v>1</v>
      </c>
      <c r="AK2603">
        <v>2</v>
      </c>
      <c r="AL2603">
        <v>0</v>
      </c>
      <c r="AM2603">
        <v>0</v>
      </c>
      <c r="AN2603">
        <v>0</v>
      </c>
      <c r="AO2603">
        <v>0</v>
      </c>
      <c r="AP2603">
        <v>0</v>
      </c>
      <c r="AQ2603">
        <v>0</v>
      </c>
      <c r="AR2603">
        <v>0</v>
      </c>
      <c r="AS2603">
        <v>0</v>
      </c>
      <c r="AT2603">
        <v>0</v>
      </c>
      <c r="AW2603">
        <v>0</v>
      </c>
      <c r="AX2603">
        <v>8</v>
      </c>
      <c r="AY2603">
        <v>460</v>
      </c>
      <c r="AZ2603">
        <v>460</v>
      </c>
      <c r="BA2603">
        <v>634</v>
      </c>
      <c r="BB2603">
        <v>44</v>
      </c>
      <c r="BD2603">
        <v>1</v>
      </c>
      <c r="BF2603" t="s">
        <v>2799</v>
      </c>
      <c r="BG2603" s="1">
        <v>44353.982638888891</v>
      </c>
      <c r="BH2603" s="1">
        <v>44354.001006944447</v>
      </c>
      <c r="BI2603" s="1">
        <v>44354.00167824074</v>
      </c>
      <c r="BJ2603" t="s">
        <v>85</v>
      </c>
      <c r="BK2603" t="s">
        <v>86</v>
      </c>
      <c r="BL2603" t="s">
        <v>87</v>
      </c>
    </row>
    <row r="2604" spans="1:64" x14ac:dyDescent="0.3">
      <c r="A2604" t="str">
        <f>"201722C0100"</f>
        <v>201722C0100</v>
      </c>
      <c r="B2604" t="str">
        <f>"201722C01003"</f>
        <v>201722C01003</v>
      </c>
      <c r="C2604" t="str">
        <f t="shared" si="169"/>
        <v>20</v>
      </c>
      <c r="D2604" t="s">
        <v>81</v>
      </c>
      <c r="E2604" t="str">
        <f t="shared" si="171"/>
        <v>386</v>
      </c>
      <c r="F2604" t="s">
        <v>2746</v>
      </c>
      <c r="G2604" t="str">
        <f t="shared" si="173"/>
        <v>1722</v>
      </c>
      <c r="H2604" t="str">
        <f>"0001"</f>
        <v>0001</v>
      </c>
      <c r="I2604" t="s">
        <v>89</v>
      </c>
      <c r="J2604">
        <v>0</v>
      </c>
      <c r="K2604">
        <v>1</v>
      </c>
      <c r="L2604">
        <v>3</v>
      </c>
      <c r="M2604">
        <v>251</v>
      </c>
      <c r="N2604">
        <v>426</v>
      </c>
      <c r="O2604">
        <v>7</v>
      </c>
      <c r="P2604">
        <v>425</v>
      </c>
      <c r="Q2604">
        <v>11</v>
      </c>
      <c r="R2604">
        <v>20</v>
      </c>
      <c r="S2604">
        <v>5</v>
      </c>
      <c r="T2604">
        <v>5</v>
      </c>
      <c r="U2604">
        <v>20</v>
      </c>
      <c r="V2604">
        <v>2</v>
      </c>
      <c r="W2604">
        <v>18</v>
      </c>
      <c r="X2604">
        <v>147</v>
      </c>
      <c r="Y2604">
        <v>2</v>
      </c>
      <c r="Z2604">
        <v>3</v>
      </c>
      <c r="AA2604">
        <v>0</v>
      </c>
      <c r="AB2604">
        <v>182</v>
      </c>
      <c r="AJ2604" t="s">
        <v>95</v>
      </c>
      <c r="AK2604">
        <v>2</v>
      </c>
      <c r="AL2604" t="s">
        <v>95</v>
      </c>
      <c r="AM2604" t="s">
        <v>95</v>
      </c>
      <c r="AN2604" t="s">
        <v>95</v>
      </c>
      <c r="AO2604" t="s">
        <v>95</v>
      </c>
      <c r="AP2604" t="s">
        <v>95</v>
      </c>
      <c r="AQ2604" t="s">
        <v>95</v>
      </c>
      <c r="AR2604">
        <v>1</v>
      </c>
      <c r="AS2604" t="s">
        <v>95</v>
      </c>
      <c r="AT2604" t="s">
        <v>95</v>
      </c>
      <c r="AW2604" t="s">
        <v>95</v>
      </c>
      <c r="AX2604">
        <v>7</v>
      </c>
      <c r="AY2604">
        <v>425</v>
      </c>
      <c r="AZ2604">
        <v>425</v>
      </c>
      <c r="BA2604">
        <v>633</v>
      </c>
      <c r="BB2604">
        <v>44</v>
      </c>
      <c r="BC2604" t="s">
        <v>96</v>
      </c>
      <c r="BD2604">
        <v>1</v>
      </c>
      <c r="BF2604" t="s">
        <v>2800</v>
      </c>
      <c r="BG2604" s="1">
        <v>44353.938888888886</v>
      </c>
      <c r="BH2604" s="1">
        <v>44353.961006944446</v>
      </c>
      <c r="BI2604" s="1">
        <v>44353.961770833332</v>
      </c>
      <c r="BJ2604" t="s">
        <v>85</v>
      </c>
      <c r="BK2604" t="s">
        <v>86</v>
      </c>
      <c r="BL2604" t="s">
        <v>87</v>
      </c>
    </row>
    <row r="2605" spans="1:64" x14ac:dyDescent="0.3">
      <c r="A2605" t="str">
        <f>"201722C0200"</f>
        <v>201722C0200</v>
      </c>
      <c r="B2605" t="str">
        <f>"201722C02003"</f>
        <v>201722C02003</v>
      </c>
      <c r="C2605" t="str">
        <f t="shared" si="169"/>
        <v>20</v>
      </c>
      <c r="D2605" t="s">
        <v>81</v>
      </c>
      <c r="E2605" t="str">
        <f t="shared" si="171"/>
        <v>386</v>
      </c>
      <c r="F2605" t="s">
        <v>2746</v>
      </c>
      <c r="G2605" t="str">
        <f t="shared" si="173"/>
        <v>1722</v>
      </c>
      <c r="H2605" t="str">
        <f>"0002"</f>
        <v>0002</v>
      </c>
      <c r="I2605" t="s">
        <v>89</v>
      </c>
      <c r="J2605">
        <v>0</v>
      </c>
      <c r="K2605">
        <v>1</v>
      </c>
      <c r="L2605">
        <v>3</v>
      </c>
      <c r="M2605">
        <v>227</v>
      </c>
      <c r="N2605">
        <v>450</v>
      </c>
      <c r="O2605">
        <v>8</v>
      </c>
      <c r="P2605">
        <v>450</v>
      </c>
      <c r="Q2605">
        <v>7</v>
      </c>
      <c r="R2605">
        <v>32</v>
      </c>
      <c r="S2605">
        <v>9</v>
      </c>
      <c r="T2605">
        <v>1</v>
      </c>
      <c r="U2605">
        <v>13</v>
      </c>
      <c r="V2605">
        <v>1</v>
      </c>
      <c r="W2605">
        <v>16</v>
      </c>
      <c r="X2605">
        <v>157</v>
      </c>
      <c r="Y2605">
        <v>2</v>
      </c>
      <c r="Z2605">
        <v>8</v>
      </c>
      <c r="AA2605">
        <v>3</v>
      </c>
      <c r="AB2605">
        <v>180</v>
      </c>
      <c r="AJ2605">
        <v>0</v>
      </c>
      <c r="AK2605">
        <v>3</v>
      </c>
      <c r="AL2605">
        <v>0</v>
      </c>
      <c r="AM2605">
        <v>0</v>
      </c>
      <c r="AN2605">
        <v>0</v>
      </c>
      <c r="AO2605">
        <v>0</v>
      </c>
      <c r="AP2605">
        <v>0</v>
      </c>
      <c r="AQ2605">
        <v>0</v>
      </c>
      <c r="AR2605">
        <v>0</v>
      </c>
      <c r="AS2605">
        <v>0</v>
      </c>
      <c r="AT2605">
        <v>0</v>
      </c>
      <c r="AW2605">
        <v>0</v>
      </c>
      <c r="AX2605">
        <v>18</v>
      </c>
      <c r="AY2605">
        <v>450</v>
      </c>
      <c r="AZ2605">
        <v>450</v>
      </c>
      <c r="BA2605">
        <v>633</v>
      </c>
      <c r="BB2605">
        <v>44</v>
      </c>
      <c r="BD2605">
        <v>1</v>
      </c>
      <c r="BF2605" t="s">
        <v>2801</v>
      </c>
      <c r="BG2605" s="1">
        <v>44353.982638888891</v>
      </c>
      <c r="BH2605" s="1">
        <v>44354.001388888886</v>
      </c>
      <c r="BI2605" s="1">
        <v>44354.002523148149</v>
      </c>
      <c r="BJ2605" t="s">
        <v>85</v>
      </c>
      <c r="BK2605" t="s">
        <v>86</v>
      </c>
      <c r="BL2605" t="s">
        <v>87</v>
      </c>
    </row>
    <row r="2606" spans="1:64" x14ac:dyDescent="0.3">
      <c r="A2606" t="str">
        <f>"201722C0300"</f>
        <v>201722C0300</v>
      </c>
      <c r="B2606" t="str">
        <f>"201722C03003"</f>
        <v>201722C03003</v>
      </c>
      <c r="C2606" t="str">
        <f t="shared" si="169"/>
        <v>20</v>
      </c>
      <c r="D2606" t="s">
        <v>81</v>
      </c>
      <c r="E2606" t="str">
        <f t="shared" si="171"/>
        <v>386</v>
      </c>
      <c r="F2606" t="s">
        <v>2746</v>
      </c>
      <c r="G2606" t="str">
        <f t="shared" si="173"/>
        <v>1722</v>
      </c>
      <c r="H2606" t="str">
        <f>"0003"</f>
        <v>0003</v>
      </c>
      <c r="I2606" t="s">
        <v>89</v>
      </c>
      <c r="J2606">
        <v>0</v>
      </c>
      <c r="K2606">
        <v>1</v>
      </c>
      <c r="L2606">
        <v>3</v>
      </c>
      <c r="M2606">
        <v>230</v>
      </c>
      <c r="N2606">
        <v>448</v>
      </c>
      <c r="O2606">
        <v>438</v>
      </c>
      <c r="P2606">
        <v>447</v>
      </c>
      <c r="Q2606">
        <v>10</v>
      </c>
      <c r="R2606">
        <v>22</v>
      </c>
      <c r="S2606">
        <v>8</v>
      </c>
      <c r="T2606">
        <v>2</v>
      </c>
      <c r="U2606">
        <v>18</v>
      </c>
      <c r="V2606">
        <v>0</v>
      </c>
      <c r="W2606">
        <v>17</v>
      </c>
      <c r="X2606">
        <v>148</v>
      </c>
      <c r="Y2606">
        <v>3</v>
      </c>
      <c r="Z2606">
        <v>13</v>
      </c>
      <c r="AA2606">
        <v>1</v>
      </c>
      <c r="AB2606">
        <v>187</v>
      </c>
      <c r="AJ2606">
        <v>0</v>
      </c>
      <c r="AK2606">
        <v>1</v>
      </c>
      <c r="AL2606">
        <v>0</v>
      </c>
      <c r="AM2606">
        <v>0</v>
      </c>
      <c r="AN2606">
        <v>0</v>
      </c>
      <c r="AO2606">
        <v>1</v>
      </c>
      <c r="AP2606">
        <v>0</v>
      </c>
      <c r="AQ2606">
        <v>0</v>
      </c>
      <c r="AR2606">
        <v>0</v>
      </c>
      <c r="AS2606">
        <v>0</v>
      </c>
      <c r="AT2606">
        <v>0</v>
      </c>
      <c r="AW2606">
        <v>0</v>
      </c>
      <c r="AX2606">
        <v>16</v>
      </c>
      <c r="AY2606">
        <v>447</v>
      </c>
      <c r="AZ2606">
        <v>447</v>
      </c>
      <c r="BA2606">
        <v>633</v>
      </c>
      <c r="BB2606">
        <v>44</v>
      </c>
      <c r="BD2606">
        <v>1</v>
      </c>
      <c r="BF2606" t="s">
        <v>2802</v>
      </c>
      <c r="BG2606" s="1">
        <v>44353.933333333334</v>
      </c>
      <c r="BH2606" s="1">
        <v>44353.940347222226</v>
      </c>
      <c r="BI2606" s="1">
        <v>44353.941203703704</v>
      </c>
      <c r="BJ2606" t="s">
        <v>85</v>
      </c>
      <c r="BK2606" t="s">
        <v>86</v>
      </c>
      <c r="BL2606" t="s">
        <v>87</v>
      </c>
    </row>
    <row r="2607" spans="1:64" x14ac:dyDescent="0.3">
      <c r="A2607" t="str">
        <f>"201722E0100"</f>
        <v>201722E0100</v>
      </c>
      <c r="B2607" t="str">
        <f>"201722E01003"</f>
        <v>201722E01003</v>
      </c>
      <c r="C2607" t="str">
        <f t="shared" si="169"/>
        <v>20</v>
      </c>
      <c r="D2607" t="s">
        <v>81</v>
      </c>
      <c r="E2607" t="str">
        <f t="shared" si="171"/>
        <v>386</v>
      </c>
      <c r="F2607" t="s">
        <v>2746</v>
      </c>
      <c r="G2607" t="str">
        <f t="shared" si="173"/>
        <v>1722</v>
      </c>
      <c r="H2607" t="str">
        <f t="shared" ref="H2607:H2612" si="174">"0001"</f>
        <v>0001</v>
      </c>
      <c r="I2607" t="s">
        <v>122</v>
      </c>
      <c r="J2607">
        <v>0</v>
      </c>
      <c r="K2607">
        <v>1</v>
      </c>
      <c r="L2607">
        <v>3</v>
      </c>
      <c r="M2607" t="s">
        <v>131</v>
      </c>
      <c r="N2607">
        <v>412</v>
      </c>
      <c r="O2607">
        <v>7</v>
      </c>
      <c r="P2607">
        <v>412</v>
      </c>
      <c r="Q2607">
        <v>9</v>
      </c>
      <c r="R2607">
        <v>29</v>
      </c>
      <c r="S2607">
        <v>5</v>
      </c>
      <c r="T2607">
        <v>4</v>
      </c>
      <c r="U2607">
        <v>22</v>
      </c>
      <c r="V2607">
        <v>0</v>
      </c>
      <c r="W2607">
        <v>6</v>
      </c>
      <c r="X2607">
        <v>150</v>
      </c>
      <c r="Y2607">
        <v>1</v>
      </c>
      <c r="Z2607">
        <v>5</v>
      </c>
      <c r="AA2607">
        <v>4</v>
      </c>
      <c r="AB2607">
        <v>162</v>
      </c>
      <c r="AJ2607">
        <v>0</v>
      </c>
      <c r="AK2607">
        <v>1</v>
      </c>
      <c r="AL2607">
        <v>0</v>
      </c>
      <c r="AM2607">
        <v>0</v>
      </c>
      <c r="AN2607">
        <v>0</v>
      </c>
      <c r="AO2607">
        <v>0</v>
      </c>
      <c r="AP2607">
        <v>0</v>
      </c>
      <c r="AQ2607">
        <v>0</v>
      </c>
      <c r="AR2607">
        <v>0</v>
      </c>
      <c r="AS2607">
        <v>0</v>
      </c>
      <c r="AT2607">
        <v>0</v>
      </c>
      <c r="AW2607">
        <v>0</v>
      </c>
      <c r="AX2607">
        <v>14</v>
      </c>
      <c r="AY2607">
        <v>412</v>
      </c>
      <c r="AZ2607">
        <v>412</v>
      </c>
      <c r="BA2607">
        <v>648</v>
      </c>
      <c r="BB2607">
        <v>44</v>
      </c>
      <c r="BD2607">
        <v>1</v>
      </c>
      <c r="BF2607" t="s">
        <v>2803</v>
      </c>
      <c r="BG2607" s="1">
        <v>44354.013888888891</v>
      </c>
      <c r="BH2607" s="1">
        <v>44354.028981481482</v>
      </c>
      <c r="BI2607" s="1">
        <v>44354.029629629629</v>
      </c>
      <c r="BJ2607" t="s">
        <v>85</v>
      </c>
      <c r="BK2607" t="s">
        <v>86</v>
      </c>
      <c r="BL2607" t="s">
        <v>87</v>
      </c>
    </row>
    <row r="2608" spans="1:64" x14ac:dyDescent="0.3">
      <c r="A2608" t="str">
        <f>"201722E0101"</f>
        <v>201722E0101</v>
      </c>
      <c r="B2608" t="str">
        <f>"201722E01013"</f>
        <v>201722E01013</v>
      </c>
      <c r="C2608" t="str">
        <f t="shared" si="169"/>
        <v>20</v>
      </c>
      <c r="D2608" t="s">
        <v>81</v>
      </c>
      <c r="E2608" t="str">
        <f t="shared" si="171"/>
        <v>386</v>
      </c>
      <c r="F2608" t="s">
        <v>2746</v>
      </c>
      <c r="G2608" t="str">
        <f t="shared" si="173"/>
        <v>1722</v>
      </c>
      <c r="H2608" t="str">
        <f t="shared" si="174"/>
        <v>0001</v>
      </c>
      <c r="I2608" t="s">
        <v>122</v>
      </c>
      <c r="J2608">
        <v>1</v>
      </c>
      <c r="K2608">
        <v>1</v>
      </c>
      <c r="L2608">
        <v>3</v>
      </c>
      <c r="M2608">
        <v>337</v>
      </c>
      <c r="N2608">
        <v>355</v>
      </c>
      <c r="O2608">
        <v>10</v>
      </c>
      <c r="P2608">
        <v>355</v>
      </c>
      <c r="Q2608">
        <v>3</v>
      </c>
      <c r="R2608">
        <v>19</v>
      </c>
      <c r="S2608">
        <v>6</v>
      </c>
      <c r="T2608">
        <v>5</v>
      </c>
      <c r="U2608">
        <v>25</v>
      </c>
      <c r="V2608">
        <v>5</v>
      </c>
      <c r="W2608">
        <v>8</v>
      </c>
      <c r="X2608">
        <v>132</v>
      </c>
      <c r="Y2608">
        <v>1</v>
      </c>
      <c r="Z2608">
        <v>10</v>
      </c>
      <c r="AA2608">
        <v>1</v>
      </c>
      <c r="AB2608">
        <v>125</v>
      </c>
      <c r="AJ2608">
        <v>1</v>
      </c>
      <c r="AK2608">
        <v>0</v>
      </c>
      <c r="AL2608">
        <v>0</v>
      </c>
      <c r="AM2608">
        <v>0</v>
      </c>
      <c r="AN2608">
        <v>0</v>
      </c>
      <c r="AO2608">
        <v>0</v>
      </c>
      <c r="AP2608">
        <v>0</v>
      </c>
      <c r="AQ2608">
        <v>0</v>
      </c>
      <c r="AR2608">
        <v>0</v>
      </c>
      <c r="AS2608">
        <v>0</v>
      </c>
      <c r="AT2608">
        <v>0</v>
      </c>
      <c r="AW2608">
        <v>0</v>
      </c>
      <c r="AX2608">
        <v>14</v>
      </c>
      <c r="AY2608">
        <v>355</v>
      </c>
      <c r="AZ2608">
        <v>355</v>
      </c>
      <c r="BA2608">
        <v>648</v>
      </c>
      <c r="BB2608">
        <v>44</v>
      </c>
      <c r="BD2608">
        <v>1</v>
      </c>
      <c r="BF2608" t="s">
        <v>2804</v>
      </c>
      <c r="BG2608" s="1">
        <v>44354.013888888891</v>
      </c>
      <c r="BH2608" s="1">
        <v>44354.028564814813</v>
      </c>
      <c r="BI2608" s="1">
        <v>44354.029363425929</v>
      </c>
      <c r="BJ2608" t="s">
        <v>85</v>
      </c>
      <c r="BK2608" t="s">
        <v>86</v>
      </c>
      <c r="BL2608" t="s">
        <v>87</v>
      </c>
    </row>
    <row r="2609" spans="1:64" x14ac:dyDescent="0.3">
      <c r="A2609" t="str">
        <f>"201722E0102"</f>
        <v>201722E0102</v>
      </c>
      <c r="B2609" t="str">
        <f>"201722E01023"</f>
        <v>201722E01023</v>
      </c>
      <c r="C2609" t="str">
        <f t="shared" si="169"/>
        <v>20</v>
      </c>
      <c r="D2609" t="s">
        <v>81</v>
      </c>
      <c r="E2609" t="str">
        <f t="shared" si="171"/>
        <v>386</v>
      </c>
      <c r="F2609" t="s">
        <v>2746</v>
      </c>
      <c r="G2609" t="str">
        <f t="shared" si="173"/>
        <v>1722</v>
      </c>
      <c r="H2609" t="str">
        <f t="shared" si="174"/>
        <v>0001</v>
      </c>
      <c r="I2609" t="s">
        <v>122</v>
      </c>
      <c r="J2609">
        <v>2</v>
      </c>
      <c r="K2609">
        <v>1</v>
      </c>
      <c r="L2609">
        <v>3</v>
      </c>
      <c r="M2609">
        <v>345</v>
      </c>
      <c r="N2609">
        <v>349</v>
      </c>
      <c r="O2609">
        <v>4</v>
      </c>
      <c r="P2609">
        <v>349</v>
      </c>
      <c r="Q2609">
        <v>7</v>
      </c>
      <c r="R2609">
        <v>17</v>
      </c>
      <c r="S2609">
        <v>2</v>
      </c>
      <c r="T2609">
        <v>16</v>
      </c>
      <c r="U2609">
        <v>2</v>
      </c>
      <c r="V2609">
        <v>7</v>
      </c>
      <c r="W2609">
        <v>2</v>
      </c>
      <c r="X2609">
        <v>7</v>
      </c>
      <c r="Y2609">
        <v>122</v>
      </c>
      <c r="Z2609">
        <v>5</v>
      </c>
      <c r="AA2609">
        <v>5</v>
      </c>
      <c r="AB2609">
        <v>149</v>
      </c>
      <c r="AJ2609">
        <v>1</v>
      </c>
      <c r="AK2609">
        <v>0</v>
      </c>
      <c r="AL2609">
        <v>0</v>
      </c>
      <c r="AM2609">
        <v>0</v>
      </c>
      <c r="AN2609">
        <v>0</v>
      </c>
      <c r="AO2609">
        <v>0</v>
      </c>
      <c r="AP2609">
        <v>0</v>
      </c>
      <c r="AQ2609">
        <v>0</v>
      </c>
      <c r="AR2609">
        <v>0</v>
      </c>
      <c r="AS2609">
        <v>0</v>
      </c>
      <c r="AT2609">
        <v>0</v>
      </c>
      <c r="AW2609">
        <v>0</v>
      </c>
      <c r="AX2609">
        <v>10</v>
      </c>
      <c r="AY2609">
        <v>349</v>
      </c>
      <c r="AZ2609">
        <v>352</v>
      </c>
      <c r="BA2609">
        <v>648</v>
      </c>
      <c r="BB2609">
        <v>44</v>
      </c>
      <c r="BD2609">
        <v>1</v>
      </c>
      <c r="BF2609" t="s">
        <v>2805</v>
      </c>
      <c r="BG2609" s="1">
        <v>44354.01458333333</v>
      </c>
      <c r="BH2609" s="1">
        <v>44354.028935185182</v>
      </c>
      <c r="BI2609" s="1">
        <v>44354.02988425926</v>
      </c>
      <c r="BJ2609" t="s">
        <v>85</v>
      </c>
      <c r="BK2609" t="s">
        <v>86</v>
      </c>
      <c r="BL2609" t="s">
        <v>87</v>
      </c>
    </row>
    <row r="2610" spans="1:64" x14ac:dyDescent="0.3">
      <c r="A2610" t="str">
        <f>"201722E0103"</f>
        <v>201722E0103</v>
      </c>
      <c r="B2610" t="str">
        <f>"201722E01033"</f>
        <v>201722E01033</v>
      </c>
      <c r="C2610" t="str">
        <f t="shared" si="169"/>
        <v>20</v>
      </c>
      <c r="D2610" t="s">
        <v>81</v>
      </c>
      <c r="E2610" t="str">
        <f t="shared" si="171"/>
        <v>386</v>
      </c>
      <c r="F2610" t="s">
        <v>2746</v>
      </c>
      <c r="G2610" t="str">
        <f t="shared" si="173"/>
        <v>1722</v>
      </c>
      <c r="H2610" t="str">
        <f t="shared" si="174"/>
        <v>0001</v>
      </c>
      <c r="I2610" t="s">
        <v>122</v>
      </c>
      <c r="J2610">
        <v>3</v>
      </c>
      <c r="K2610">
        <v>1</v>
      </c>
      <c r="L2610">
        <v>3</v>
      </c>
      <c r="M2610">
        <v>292</v>
      </c>
      <c r="N2610">
        <v>400</v>
      </c>
      <c r="O2610">
        <v>5</v>
      </c>
      <c r="P2610">
        <v>400</v>
      </c>
      <c r="Q2610">
        <v>5</v>
      </c>
      <c r="R2610">
        <v>26</v>
      </c>
      <c r="S2610">
        <v>9</v>
      </c>
      <c r="T2610">
        <v>5</v>
      </c>
      <c r="U2610">
        <v>21</v>
      </c>
      <c r="V2610">
        <v>5</v>
      </c>
      <c r="W2610">
        <v>13</v>
      </c>
      <c r="X2610">
        <v>150</v>
      </c>
      <c r="Y2610">
        <v>1</v>
      </c>
      <c r="Z2610">
        <v>5</v>
      </c>
      <c r="AA2610">
        <v>2</v>
      </c>
      <c r="AB2610">
        <v>146</v>
      </c>
      <c r="AJ2610">
        <v>1</v>
      </c>
      <c r="AK2610">
        <v>0</v>
      </c>
      <c r="AL2610">
        <v>0</v>
      </c>
      <c r="AM2610">
        <v>0</v>
      </c>
      <c r="AN2610">
        <v>0</v>
      </c>
      <c r="AO2610">
        <v>0</v>
      </c>
      <c r="AP2610">
        <v>0</v>
      </c>
      <c r="AQ2610">
        <v>0</v>
      </c>
      <c r="AR2610">
        <v>0</v>
      </c>
      <c r="AS2610">
        <v>0</v>
      </c>
      <c r="AT2610">
        <v>0</v>
      </c>
      <c r="AW2610">
        <v>0</v>
      </c>
      <c r="AX2610">
        <v>11</v>
      </c>
      <c r="AY2610">
        <v>400</v>
      </c>
      <c r="AZ2610">
        <v>400</v>
      </c>
      <c r="BA2610">
        <v>648</v>
      </c>
      <c r="BB2610">
        <v>44</v>
      </c>
      <c r="BD2610">
        <v>1</v>
      </c>
      <c r="BF2610" t="s">
        <v>2806</v>
      </c>
      <c r="BG2610" s="1">
        <v>44354.01458333333</v>
      </c>
      <c r="BH2610" s="1">
        <v>44354.028553240743</v>
      </c>
      <c r="BI2610" s="1">
        <v>44354.029340277775</v>
      </c>
      <c r="BJ2610" t="s">
        <v>85</v>
      </c>
      <c r="BK2610" t="s">
        <v>86</v>
      </c>
      <c r="BL2610" t="s">
        <v>87</v>
      </c>
    </row>
    <row r="2611" spans="1:64" x14ac:dyDescent="0.3">
      <c r="A2611" t="str">
        <f>"201722E0104"</f>
        <v>201722E0104</v>
      </c>
      <c r="B2611" t="str">
        <f>"201722E01043"</f>
        <v>201722E01043</v>
      </c>
      <c r="C2611" t="str">
        <f t="shared" si="169"/>
        <v>20</v>
      </c>
      <c r="D2611" t="s">
        <v>81</v>
      </c>
      <c r="E2611" t="str">
        <f t="shared" si="171"/>
        <v>386</v>
      </c>
      <c r="F2611" t="s">
        <v>2746</v>
      </c>
      <c r="G2611" t="str">
        <f t="shared" si="173"/>
        <v>1722</v>
      </c>
      <c r="H2611" t="str">
        <f t="shared" si="174"/>
        <v>0001</v>
      </c>
      <c r="I2611" t="s">
        <v>122</v>
      </c>
      <c r="J2611">
        <v>4</v>
      </c>
      <c r="K2611">
        <v>1</v>
      </c>
      <c r="L2611">
        <v>3</v>
      </c>
      <c r="M2611">
        <v>273</v>
      </c>
      <c r="N2611">
        <v>418</v>
      </c>
      <c r="O2611">
        <v>9</v>
      </c>
      <c r="P2611">
        <v>418</v>
      </c>
      <c r="Q2611">
        <v>2</v>
      </c>
      <c r="R2611">
        <v>38</v>
      </c>
      <c r="S2611">
        <v>6</v>
      </c>
      <c r="T2611">
        <v>10</v>
      </c>
      <c r="U2611">
        <v>21</v>
      </c>
      <c r="V2611">
        <v>4</v>
      </c>
      <c r="W2611">
        <v>6</v>
      </c>
      <c r="X2611">
        <v>147</v>
      </c>
      <c r="Y2611">
        <v>4</v>
      </c>
      <c r="Z2611">
        <v>2</v>
      </c>
      <c r="AA2611">
        <v>2</v>
      </c>
      <c r="AB2611">
        <v>168</v>
      </c>
      <c r="AJ2611">
        <v>0</v>
      </c>
      <c r="AK2611">
        <v>0</v>
      </c>
      <c r="AL2611">
        <v>0</v>
      </c>
      <c r="AM2611">
        <v>0</v>
      </c>
      <c r="AN2611">
        <v>0</v>
      </c>
      <c r="AO2611">
        <v>0</v>
      </c>
      <c r="AP2611">
        <v>0</v>
      </c>
      <c r="AQ2611">
        <v>0</v>
      </c>
      <c r="AR2611">
        <v>0</v>
      </c>
      <c r="AS2611">
        <v>0</v>
      </c>
      <c r="AT2611">
        <v>0</v>
      </c>
      <c r="AW2611">
        <v>0</v>
      </c>
      <c r="AX2611">
        <v>8</v>
      </c>
      <c r="AY2611">
        <v>418</v>
      </c>
      <c r="AZ2611">
        <v>418</v>
      </c>
      <c r="BA2611">
        <v>648</v>
      </c>
      <c r="BB2611">
        <v>44</v>
      </c>
      <c r="BD2611">
        <v>1</v>
      </c>
      <c r="BF2611" t="s">
        <v>2807</v>
      </c>
      <c r="BG2611" s="1">
        <v>44354.01458333333</v>
      </c>
      <c r="BH2611" s="1">
        <v>44354.027129629627</v>
      </c>
      <c r="BI2611" s="1">
        <v>44354.027743055558</v>
      </c>
      <c r="BJ2611" t="s">
        <v>85</v>
      </c>
      <c r="BK2611" t="s">
        <v>86</v>
      </c>
      <c r="BL2611" t="s">
        <v>87</v>
      </c>
    </row>
    <row r="2612" spans="1:64" x14ac:dyDescent="0.3">
      <c r="A2612" t="str">
        <f>"201722E0105"</f>
        <v>201722E0105</v>
      </c>
      <c r="B2612" t="str">
        <f>"201722E01053"</f>
        <v>201722E01053</v>
      </c>
      <c r="C2612" t="str">
        <f t="shared" si="169"/>
        <v>20</v>
      </c>
      <c r="D2612" t="s">
        <v>81</v>
      </c>
      <c r="E2612" t="str">
        <f t="shared" si="171"/>
        <v>386</v>
      </c>
      <c r="F2612" t="s">
        <v>2746</v>
      </c>
      <c r="G2612" t="str">
        <f t="shared" si="173"/>
        <v>1722</v>
      </c>
      <c r="H2612" t="str">
        <f t="shared" si="174"/>
        <v>0001</v>
      </c>
      <c r="I2612" t="s">
        <v>122</v>
      </c>
      <c r="J2612">
        <v>5</v>
      </c>
      <c r="K2612">
        <v>1</v>
      </c>
      <c r="L2612">
        <v>3</v>
      </c>
      <c r="M2612">
        <v>311</v>
      </c>
      <c r="N2612">
        <v>381</v>
      </c>
      <c r="O2612">
        <v>3</v>
      </c>
      <c r="P2612">
        <v>381</v>
      </c>
      <c r="Q2612">
        <v>8</v>
      </c>
      <c r="R2612">
        <v>20</v>
      </c>
      <c r="S2612">
        <v>2</v>
      </c>
      <c r="T2612">
        <v>6</v>
      </c>
      <c r="U2612">
        <v>23</v>
      </c>
      <c r="V2612">
        <v>2</v>
      </c>
      <c r="W2612">
        <v>7</v>
      </c>
      <c r="X2612">
        <v>151</v>
      </c>
      <c r="Y2612">
        <v>3</v>
      </c>
      <c r="Z2612">
        <v>3</v>
      </c>
      <c r="AA2612">
        <v>0</v>
      </c>
      <c r="AB2612">
        <v>145</v>
      </c>
      <c r="AJ2612">
        <v>0</v>
      </c>
      <c r="AK2612">
        <v>0</v>
      </c>
      <c r="AL2612">
        <v>0</v>
      </c>
      <c r="AM2612">
        <v>0</v>
      </c>
      <c r="AN2612">
        <v>0</v>
      </c>
      <c r="AO2612">
        <v>0</v>
      </c>
      <c r="AP2612">
        <v>0</v>
      </c>
      <c r="AQ2612">
        <v>0</v>
      </c>
      <c r="AR2612">
        <v>0</v>
      </c>
      <c r="AS2612">
        <v>0</v>
      </c>
      <c r="AT2612">
        <v>0</v>
      </c>
      <c r="AW2612">
        <v>0</v>
      </c>
      <c r="AX2612">
        <v>11</v>
      </c>
      <c r="AY2612">
        <v>381</v>
      </c>
      <c r="AZ2612">
        <v>381</v>
      </c>
      <c r="BA2612">
        <v>648</v>
      </c>
      <c r="BB2612">
        <v>44</v>
      </c>
      <c r="BD2612">
        <v>1</v>
      </c>
      <c r="BF2612" t="s">
        <v>2808</v>
      </c>
      <c r="BG2612" s="1">
        <v>44354.01458333333</v>
      </c>
      <c r="BH2612" s="1">
        <v>44354.029189814813</v>
      </c>
      <c r="BI2612" s="1">
        <v>44354.030300925922</v>
      </c>
      <c r="BJ2612" t="s">
        <v>85</v>
      </c>
      <c r="BK2612" t="s">
        <v>86</v>
      </c>
      <c r="BL2612" t="s">
        <v>87</v>
      </c>
    </row>
    <row r="2613" spans="1:64" x14ac:dyDescent="0.3">
      <c r="A2613" t="str">
        <f>"201722E0200"</f>
        <v>201722E0200</v>
      </c>
      <c r="B2613" t="str">
        <f>"201722E02003"</f>
        <v>201722E02003</v>
      </c>
      <c r="C2613" t="str">
        <f t="shared" si="169"/>
        <v>20</v>
      </c>
      <c r="D2613" t="s">
        <v>81</v>
      </c>
      <c r="E2613" t="str">
        <f t="shared" si="171"/>
        <v>386</v>
      </c>
      <c r="F2613" t="s">
        <v>2746</v>
      </c>
      <c r="G2613" t="str">
        <f t="shared" si="173"/>
        <v>1722</v>
      </c>
      <c r="H2613" t="str">
        <f>"0002"</f>
        <v>0002</v>
      </c>
      <c r="I2613" t="s">
        <v>122</v>
      </c>
      <c r="J2613">
        <v>0</v>
      </c>
      <c r="K2613">
        <v>1</v>
      </c>
      <c r="L2613">
        <v>3</v>
      </c>
      <c r="M2613">
        <v>302</v>
      </c>
      <c r="N2613">
        <v>399</v>
      </c>
      <c r="O2613">
        <v>6</v>
      </c>
      <c r="P2613" t="s">
        <v>92</v>
      </c>
      <c r="Q2613">
        <v>8</v>
      </c>
      <c r="R2613">
        <v>28</v>
      </c>
      <c r="S2613">
        <v>2</v>
      </c>
      <c r="T2613">
        <v>8</v>
      </c>
      <c r="U2613">
        <v>21</v>
      </c>
      <c r="V2613">
        <v>4</v>
      </c>
      <c r="W2613">
        <v>8</v>
      </c>
      <c r="X2613">
        <v>143</v>
      </c>
      <c r="Y2613">
        <v>3</v>
      </c>
      <c r="Z2613">
        <v>7</v>
      </c>
      <c r="AA2613">
        <v>2</v>
      </c>
      <c r="AB2613">
        <v>152</v>
      </c>
      <c r="AJ2613">
        <v>1</v>
      </c>
      <c r="AK2613">
        <v>1</v>
      </c>
      <c r="AL2613">
        <v>0</v>
      </c>
      <c r="AM2613">
        <v>0</v>
      </c>
      <c r="AN2613">
        <v>0</v>
      </c>
      <c r="AO2613">
        <v>0</v>
      </c>
      <c r="AP2613">
        <v>0</v>
      </c>
      <c r="AQ2613">
        <v>1</v>
      </c>
      <c r="AR2613">
        <v>0</v>
      </c>
      <c r="AS2613">
        <v>0</v>
      </c>
      <c r="AT2613">
        <v>0</v>
      </c>
      <c r="AW2613">
        <v>0</v>
      </c>
      <c r="AX2613">
        <v>10</v>
      </c>
      <c r="AY2613">
        <v>399</v>
      </c>
      <c r="AZ2613">
        <v>399</v>
      </c>
      <c r="BA2613">
        <v>657</v>
      </c>
      <c r="BB2613">
        <v>44</v>
      </c>
      <c r="BD2613">
        <v>1</v>
      </c>
      <c r="BF2613" t="s">
        <v>2809</v>
      </c>
      <c r="BG2613" s="1">
        <v>44353.964583333334</v>
      </c>
      <c r="BH2613" s="1">
        <v>44353.987164351849</v>
      </c>
      <c r="BI2613" s="1">
        <v>44353.987870370373</v>
      </c>
      <c r="BJ2613" t="s">
        <v>85</v>
      </c>
      <c r="BK2613" t="s">
        <v>86</v>
      </c>
      <c r="BL2613" t="s">
        <v>87</v>
      </c>
    </row>
    <row r="2614" spans="1:64" x14ac:dyDescent="0.3">
      <c r="A2614" t="str">
        <f>"201722E0201"</f>
        <v>201722E0201</v>
      </c>
      <c r="B2614" t="str">
        <f>"201722E02013"</f>
        <v>201722E02013</v>
      </c>
      <c r="C2614" t="str">
        <f t="shared" si="169"/>
        <v>20</v>
      </c>
      <c r="D2614" t="s">
        <v>81</v>
      </c>
      <c r="E2614" t="str">
        <f t="shared" si="171"/>
        <v>386</v>
      </c>
      <c r="F2614" t="s">
        <v>2746</v>
      </c>
      <c r="G2614" t="str">
        <f t="shared" si="173"/>
        <v>1722</v>
      </c>
      <c r="H2614" t="str">
        <f>"0002"</f>
        <v>0002</v>
      </c>
      <c r="I2614" t="s">
        <v>122</v>
      </c>
      <c r="J2614">
        <v>1</v>
      </c>
      <c r="K2614">
        <v>1</v>
      </c>
      <c r="L2614">
        <v>3</v>
      </c>
      <c r="M2614">
        <v>306</v>
      </c>
      <c r="N2614">
        <v>395</v>
      </c>
      <c r="O2614">
        <v>6</v>
      </c>
      <c r="P2614">
        <v>394</v>
      </c>
      <c r="Q2614">
        <v>10</v>
      </c>
      <c r="R2614">
        <v>41</v>
      </c>
      <c r="S2614">
        <v>12</v>
      </c>
      <c r="T2614">
        <v>8</v>
      </c>
      <c r="U2614">
        <v>28</v>
      </c>
      <c r="V2614">
        <v>4</v>
      </c>
      <c r="W2614">
        <v>12</v>
      </c>
      <c r="X2614">
        <v>130</v>
      </c>
      <c r="Y2614">
        <v>4</v>
      </c>
      <c r="Z2614">
        <v>4</v>
      </c>
      <c r="AA2614">
        <v>6</v>
      </c>
      <c r="AB2614">
        <v>123</v>
      </c>
      <c r="AJ2614">
        <v>0</v>
      </c>
      <c r="AK2614">
        <v>0</v>
      </c>
      <c r="AL2614">
        <v>0</v>
      </c>
      <c r="AM2614">
        <v>0</v>
      </c>
      <c r="AN2614">
        <v>0</v>
      </c>
      <c r="AO2614">
        <v>0</v>
      </c>
      <c r="AP2614">
        <v>0</v>
      </c>
      <c r="AQ2614">
        <v>0</v>
      </c>
      <c r="AR2614">
        <v>0</v>
      </c>
      <c r="AS2614">
        <v>0</v>
      </c>
      <c r="AT2614">
        <v>0</v>
      </c>
      <c r="AW2614">
        <v>0</v>
      </c>
      <c r="AX2614">
        <v>12</v>
      </c>
      <c r="AY2614">
        <v>394</v>
      </c>
      <c r="AZ2614">
        <v>394</v>
      </c>
      <c r="BA2614">
        <v>657</v>
      </c>
      <c r="BB2614">
        <v>44</v>
      </c>
      <c r="BD2614">
        <v>1</v>
      </c>
      <c r="BF2614" t="s">
        <v>2810</v>
      </c>
      <c r="BG2614" s="1">
        <v>44353.964583333334</v>
      </c>
      <c r="BH2614" s="1">
        <v>44353.986886574072</v>
      </c>
      <c r="BI2614" s="1">
        <v>44353.988113425927</v>
      </c>
      <c r="BJ2614" t="s">
        <v>85</v>
      </c>
      <c r="BK2614" t="s">
        <v>86</v>
      </c>
      <c r="BL2614" t="s">
        <v>87</v>
      </c>
    </row>
    <row r="2615" spans="1:64" x14ac:dyDescent="0.3">
      <c r="A2615" t="str">
        <f>"201722E0202"</f>
        <v>201722E0202</v>
      </c>
      <c r="B2615" t="str">
        <f>"201722E02023"</f>
        <v>201722E02023</v>
      </c>
      <c r="C2615" t="str">
        <f t="shared" si="169"/>
        <v>20</v>
      </c>
      <c r="D2615" t="s">
        <v>81</v>
      </c>
      <c r="E2615" t="str">
        <f t="shared" ref="E2615:E2646" si="175">"386"</f>
        <v>386</v>
      </c>
      <c r="F2615" t="s">
        <v>2746</v>
      </c>
      <c r="G2615" t="str">
        <f t="shared" si="173"/>
        <v>1722</v>
      </c>
      <c r="H2615" t="str">
        <f>"0002"</f>
        <v>0002</v>
      </c>
      <c r="I2615" t="s">
        <v>122</v>
      </c>
      <c r="J2615">
        <v>2</v>
      </c>
      <c r="K2615">
        <v>1</v>
      </c>
      <c r="L2615">
        <v>3</v>
      </c>
      <c r="M2615">
        <v>311</v>
      </c>
      <c r="N2615">
        <v>399</v>
      </c>
      <c r="O2615">
        <v>9</v>
      </c>
      <c r="P2615">
        <v>390</v>
      </c>
      <c r="Q2615">
        <v>11</v>
      </c>
      <c r="R2615">
        <v>34</v>
      </c>
      <c r="S2615">
        <v>5</v>
      </c>
      <c r="T2615">
        <v>2</v>
      </c>
      <c r="U2615">
        <v>20</v>
      </c>
      <c r="V2615">
        <v>3</v>
      </c>
      <c r="W2615">
        <v>8</v>
      </c>
      <c r="X2615">
        <v>120</v>
      </c>
      <c r="Y2615">
        <v>2</v>
      </c>
      <c r="Z2615">
        <v>3</v>
      </c>
      <c r="AA2615">
        <v>3</v>
      </c>
      <c r="AB2615">
        <v>165</v>
      </c>
      <c r="AJ2615">
        <v>0</v>
      </c>
      <c r="AK2615">
        <v>0</v>
      </c>
      <c r="AL2615">
        <v>0</v>
      </c>
      <c r="AM2615">
        <v>0</v>
      </c>
      <c r="AN2615">
        <v>0</v>
      </c>
      <c r="AO2615">
        <v>0</v>
      </c>
      <c r="AP2615">
        <v>0</v>
      </c>
      <c r="AQ2615">
        <v>0</v>
      </c>
      <c r="AR2615">
        <v>0</v>
      </c>
      <c r="AS2615">
        <v>0</v>
      </c>
      <c r="AT2615">
        <v>0</v>
      </c>
      <c r="AW2615">
        <v>0</v>
      </c>
      <c r="AX2615">
        <v>14</v>
      </c>
      <c r="AY2615">
        <v>390</v>
      </c>
      <c r="AZ2615">
        <v>390</v>
      </c>
      <c r="BA2615">
        <v>657</v>
      </c>
      <c r="BB2615">
        <v>44</v>
      </c>
      <c r="BD2615">
        <v>1</v>
      </c>
      <c r="BF2615" t="s">
        <v>2811</v>
      </c>
      <c r="BG2615" s="1">
        <v>44353.964583333334</v>
      </c>
      <c r="BH2615" s="1">
        <v>44353.989328703705</v>
      </c>
      <c r="BI2615" s="1">
        <v>44353.991041666668</v>
      </c>
      <c r="BJ2615" t="s">
        <v>85</v>
      </c>
      <c r="BK2615" t="s">
        <v>86</v>
      </c>
      <c r="BL2615" t="s">
        <v>87</v>
      </c>
    </row>
    <row r="2616" spans="1:64" x14ac:dyDescent="0.3">
      <c r="A2616" t="str">
        <f>"201722E0203"</f>
        <v>201722E0203</v>
      </c>
      <c r="B2616" t="str">
        <f>"201722E02033"</f>
        <v>201722E02033</v>
      </c>
      <c r="C2616" t="str">
        <f t="shared" si="169"/>
        <v>20</v>
      </c>
      <c r="D2616" t="s">
        <v>81</v>
      </c>
      <c r="E2616" t="str">
        <f t="shared" si="175"/>
        <v>386</v>
      </c>
      <c r="F2616" t="s">
        <v>2746</v>
      </c>
      <c r="G2616" t="str">
        <f t="shared" si="173"/>
        <v>1722</v>
      </c>
      <c r="H2616" t="str">
        <f>"0002"</f>
        <v>0002</v>
      </c>
      <c r="I2616" t="s">
        <v>122</v>
      </c>
      <c r="J2616">
        <v>3</v>
      </c>
      <c r="K2616">
        <v>1</v>
      </c>
      <c r="L2616">
        <v>3</v>
      </c>
      <c r="M2616">
        <v>299</v>
      </c>
      <c r="N2616">
        <v>402</v>
      </c>
      <c r="O2616">
        <v>8</v>
      </c>
      <c r="P2616">
        <v>402</v>
      </c>
      <c r="Q2616">
        <v>6</v>
      </c>
      <c r="R2616">
        <v>33</v>
      </c>
      <c r="S2616">
        <v>6</v>
      </c>
      <c r="T2616">
        <v>13</v>
      </c>
      <c r="U2616">
        <v>18</v>
      </c>
      <c r="V2616">
        <v>5</v>
      </c>
      <c r="W2616">
        <v>7</v>
      </c>
      <c r="X2616">
        <v>135</v>
      </c>
      <c r="Y2616">
        <v>4</v>
      </c>
      <c r="Z2616">
        <v>5</v>
      </c>
      <c r="AA2616">
        <v>5</v>
      </c>
      <c r="AB2616">
        <v>154</v>
      </c>
      <c r="AJ2616">
        <v>0</v>
      </c>
      <c r="AK2616">
        <v>0</v>
      </c>
      <c r="AL2616">
        <v>0</v>
      </c>
      <c r="AM2616">
        <v>0</v>
      </c>
      <c r="AN2616">
        <v>0</v>
      </c>
      <c r="AO2616">
        <v>0</v>
      </c>
      <c r="AP2616">
        <v>0</v>
      </c>
      <c r="AQ2616">
        <v>0</v>
      </c>
      <c r="AR2616">
        <v>0</v>
      </c>
      <c r="AS2616">
        <v>0</v>
      </c>
      <c r="AT2616">
        <v>0</v>
      </c>
      <c r="AW2616">
        <v>0</v>
      </c>
      <c r="AX2616">
        <v>0</v>
      </c>
      <c r="AY2616">
        <v>0</v>
      </c>
      <c r="AZ2616">
        <v>391</v>
      </c>
      <c r="BA2616">
        <v>657</v>
      </c>
      <c r="BB2616">
        <v>44</v>
      </c>
      <c r="BD2616">
        <v>1</v>
      </c>
      <c r="BF2616" t="s">
        <v>2812</v>
      </c>
      <c r="BG2616" s="1">
        <v>44353.964583333334</v>
      </c>
      <c r="BH2616" s="1">
        <v>44353.987384259257</v>
      </c>
      <c r="BI2616" s="1">
        <v>44353.988136574073</v>
      </c>
      <c r="BJ2616" t="s">
        <v>85</v>
      </c>
      <c r="BK2616" t="s">
        <v>86</v>
      </c>
      <c r="BL2616" t="s">
        <v>87</v>
      </c>
    </row>
    <row r="2617" spans="1:64" x14ac:dyDescent="0.3">
      <c r="A2617" t="str">
        <f>"201722E0204"</f>
        <v>201722E0204</v>
      </c>
      <c r="B2617" t="str">
        <f>"201722E02043"</f>
        <v>201722E02043</v>
      </c>
      <c r="C2617" t="str">
        <f t="shared" si="169"/>
        <v>20</v>
      </c>
      <c r="D2617" t="s">
        <v>81</v>
      </c>
      <c r="E2617" t="str">
        <f t="shared" si="175"/>
        <v>386</v>
      </c>
      <c r="F2617" t="s">
        <v>2746</v>
      </c>
      <c r="G2617" t="str">
        <f t="shared" si="173"/>
        <v>1722</v>
      </c>
      <c r="H2617" t="str">
        <f>"0002"</f>
        <v>0002</v>
      </c>
      <c r="I2617" t="s">
        <v>122</v>
      </c>
      <c r="J2617">
        <v>4</v>
      </c>
      <c r="K2617">
        <v>1</v>
      </c>
      <c r="L2617">
        <v>3</v>
      </c>
      <c r="M2617" t="s">
        <v>92</v>
      </c>
      <c r="N2617" t="s">
        <v>92</v>
      </c>
      <c r="O2617" t="s">
        <v>92</v>
      </c>
      <c r="P2617">
        <v>413</v>
      </c>
      <c r="Q2617">
        <v>10</v>
      </c>
      <c r="R2617">
        <v>18</v>
      </c>
      <c r="S2617">
        <v>8</v>
      </c>
      <c r="T2617">
        <v>10</v>
      </c>
      <c r="U2617">
        <v>21</v>
      </c>
      <c r="V2617">
        <v>6</v>
      </c>
      <c r="W2617">
        <v>10</v>
      </c>
      <c r="X2617">
        <v>164</v>
      </c>
      <c r="Y2617">
        <v>5</v>
      </c>
      <c r="Z2617">
        <v>4</v>
      </c>
      <c r="AA2617">
        <v>2</v>
      </c>
      <c r="AB2617">
        <v>142</v>
      </c>
      <c r="AJ2617">
        <v>4</v>
      </c>
      <c r="AK2617">
        <v>0</v>
      </c>
      <c r="AL2617">
        <v>0</v>
      </c>
      <c r="AM2617">
        <v>0</v>
      </c>
      <c r="AN2617">
        <v>0</v>
      </c>
      <c r="AO2617">
        <v>0</v>
      </c>
      <c r="AP2617">
        <v>0</v>
      </c>
      <c r="AQ2617">
        <v>0</v>
      </c>
      <c r="AR2617">
        <v>0</v>
      </c>
      <c r="AS2617">
        <v>0</v>
      </c>
      <c r="AT2617">
        <v>0</v>
      </c>
      <c r="AW2617">
        <v>0</v>
      </c>
      <c r="AX2617">
        <v>9</v>
      </c>
      <c r="AY2617">
        <v>404</v>
      </c>
      <c r="AZ2617">
        <v>413</v>
      </c>
      <c r="BA2617">
        <v>656</v>
      </c>
      <c r="BB2617">
        <v>44</v>
      </c>
      <c r="BD2617">
        <v>1</v>
      </c>
      <c r="BF2617" t="s">
        <v>2813</v>
      </c>
      <c r="BG2617" s="1">
        <v>44353.964583333334</v>
      </c>
      <c r="BH2617" s="1">
        <v>44353.989305555559</v>
      </c>
      <c r="BI2617" s="1">
        <v>44353.990312499998</v>
      </c>
      <c r="BJ2617" t="s">
        <v>85</v>
      </c>
      <c r="BK2617" t="s">
        <v>86</v>
      </c>
      <c r="BL2617" t="s">
        <v>87</v>
      </c>
    </row>
    <row r="2618" spans="1:64" x14ac:dyDescent="0.3">
      <c r="A2618" t="str">
        <f>"201723B0000"</f>
        <v>201723B0000</v>
      </c>
      <c r="B2618" t="str">
        <f>"201723B00003"</f>
        <v>201723B00003</v>
      </c>
      <c r="C2618" t="str">
        <f t="shared" si="169"/>
        <v>20</v>
      </c>
      <c r="D2618" t="s">
        <v>81</v>
      </c>
      <c r="E2618" t="str">
        <f t="shared" si="175"/>
        <v>386</v>
      </c>
      <c r="F2618" t="s">
        <v>2746</v>
      </c>
      <c r="G2618" t="str">
        <f t="shared" ref="G2618:G2623" si="176">"1723"</f>
        <v>1723</v>
      </c>
      <c r="H2618" t="str">
        <f>"0000"</f>
        <v>0000</v>
      </c>
      <c r="I2618" t="s">
        <v>83</v>
      </c>
      <c r="J2618">
        <v>0</v>
      </c>
      <c r="K2618">
        <v>1</v>
      </c>
      <c r="L2618">
        <v>3</v>
      </c>
      <c r="M2618">
        <v>309</v>
      </c>
      <c r="N2618">
        <v>368</v>
      </c>
      <c r="O2618">
        <v>3</v>
      </c>
      <c r="P2618">
        <v>368</v>
      </c>
      <c r="Q2618">
        <v>11</v>
      </c>
      <c r="R2618">
        <v>34</v>
      </c>
      <c r="S2618">
        <v>12</v>
      </c>
      <c r="T2618">
        <v>9</v>
      </c>
      <c r="U2618">
        <v>27</v>
      </c>
      <c r="V2618">
        <v>2</v>
      </c>
      <c r="W2618">
        <v>3</v>
      </c>
      <c r="X2618">
        <v>142</v>
      </c>
      <c r="Y2618">
        <v>1</v>
      </c>
      <c r="Z2618">
        <v>2</v>
      </c>
      <c r="AA2618">
        <v>2</v>
      </c>
      <c r="AB2618">
        <v>111</v>
      </c>
      <c r="AJ2618">
        <v>2</v>
      </c>
      <c r="AK2618">
        <v>0</v>
      </c>
      <c r="AL2618">
        <v>0</v>
      </c>
      <c r="AM2618">
        <v>0</v>
      </c>
      <c r="AN2618">
        <v>0</v>
      </c>
      <c r="AO2618">
        <v>0</v>
      </c>
      <c r="AP2618">
        <v>1</v>
      </c>
      <c r="AQ2618">
        <v>0</v>
      </c>
      <c r="AR2618">
        <v>1</v>
      </c>
      <c r="AS2618">
        <v>0</v>
      </c>
      <c r="AT2618">
        <v>0</v>
      </c>
      <c r="AW2618">
        <v>0</v>
      </c>
      <c r="AX2618">
        <v>8</v>
      </c>
      <c r="AY2618">
        <v>368</v>
      </c>
      <c r="AZ2618">
        <v>368</v>
      </c>
      <c r="BA2618">
        <v>633</v>
      </c>
      <c r="BB2618">
        <v>44</v>
      </c>
      <c r="BD2618">
        <v>1</v>
      </c>
      <c r="BF2618" t="s">
        <v>2814</v>
      </c>
      <c r="BG2618" s="1">
        <v>44354.279166666667</v>
      </c>
      <c r="BH2618" s="1">
        <v>44354.309074074074</v>
      </c>
      <c r="BI2618" s="1">
        <v>44354.30972222222</v>
      </c>
      <c r="BJ2618" t="s">
        <v>85</v>
      </c>
      <c r="BK2618" t="s">
        <v>86</v>
      </c>
      <c r="BL2618" t="s">
        <v>87</v>
      </c>
    </row>
    <row r="2619" spans="1:64" x14ac:dyDescent="0.3">
      <c r="A2619" t="str">
        <f>"201723C0100"</f>
        <v>201723C0100</v>
      </c>
      <c r="B2619" t="str">
        <f>"201723C01003"</f>
        <v>201723C01003</v>
      </c>
      <c r="C2619" t="str">
        <f t="shared" si="169"/>
        <v>20</v>
      </c>
      <c r="D2619" t="s">
        <v>81</v>
      </c>
      <c r="E2619" t="str">
        <f t="shared" si="175"/>
        <v>386</v>
      </c>
      <c r="F2619" t="s">
        <v>2746</v>
      </c>
      <c r="G2619" t="str">
        <f t="shared" si="176"/>
        <v>1723</v>
      </c>
      <c r="H2619" t="str">
        <f>"0001"</f>
        <v>0001</v>
      </c>
      <c r="I2619" t="s">
        <v>89</v>
      </c>
      <c r="J2619">
        <v>0</v>
      </c>
      <c r="K2619">
        <v>1</v>
      </c>
      <c r="L2619">
        <v>3</v>
      </c>
      <c r="M2619">
        <v>315</v>
      </c>
      <c r="N2619">
        <v>362</v>
      </c>
      <c r="O2619">
        <v>3</v>
      </c>
      <c r="P2619">
        <v>362</v>
      </c>
      <c r="Q2619">
        <v>7</v>
      </c>
      <c r="R2619">
        <v>36</v>
      </c>
      <c r="S2619">
        <v>10</v>
      </c>
      <c r="T2619">
        <v>6</v>
      </c>
      <c r="U2619">
        <v>20</v>
      </c>
      <c r="V2619">
        <v>4</v>
      </c>
      <c r="W2619">
        <v>6</v>
      </c>
      <c r="X2619">
        <v>140</v>
      </c>
      <c r="Y2619">
        <v>1</v>
      </c>
      <c r="Z2619">
        <v>9</v>
      </c>
      <c r="AA2619">
        <v>1</v>
      </c>
      <c r="AB2619">
        <v>110</v>
      </c>
      <c r="AJ2619">
        <v>0</v>
      </c>
      <c r="AK2619">
        <v>2</v>
      </c>
      <c r="AL2619">
        <v>0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  <c r="AS2619">
        <v>0</v>
      </c>
      <c r="AT2619">
        <v>0</v>
      </c>
      <c r="AW2619">
        <v>0</v>
      </c>
      <c r="AX2619">
        <v>10</v>
      </c>
      <c r="AY2619">
        <v>362</v>
      </c>
      <c r="AZ2619">
        <v>362</v>
      </c>
      <c r="BA2619">
        <v>633</v>
      </c>
      <c r="BB2619">
        <v>44</v>
      </c>
      <c r="BD2619">
        <v>1</v>
      </c>
      <c r="BF2619" t="s">
        <v>2815</v>
      </c>
      <c r="BG2619" s="1">
        <v>44353.972916666666</v>
      </c>
      <c r="BH2619" s="1">
        <v>44353.991377314815</v>
      </c>
      <c r="BI2619" s="1">
        <v>44353.992650462962</v>
      </c>
      <c r="BJ2619" t="s">
        <v>85</v>
      </c>
      <c r="BK2619" t="s">
        <v>86</v>
      </c>
      <c r="BL2619" t="s">
        <v>87</v>
      </c>
    </row>
    <row r="2620" spans="1:64" x14ac:dyDescent="0.3">
      <c r="A2620" t="str">
        <f>"201723C0200"</f>
        <v>201723C0200</v>
      </c>
      <c r="B2620" t="str">
        <f>"201723C02003"</f>
        <v>201723C02003</v>
      </c>
      <c r="C2620" t="str">
        <f t="shared" si="169"/>
        <v>20</v>
      </c>
      <c r="D2620" t="s">
        <v>81</v>
      </c>
      <c r="E2620" t="str">
        <f t="shared" si="175"/>
        <v>386</v>
      </c>
      <c r="F2620" t="s">
        <v>2746</v>
      </c>
      <c r="G2620" t="str">
        <f t="shared" si="176"/>
        <v>1723</v>
      </c>
      <c r="H2620" t="str">
        <f>"0002"</f>
        <v>0002</v>
      </c>
      <c r="I2620" t="s">
        <v>89</v>
      </c>
      <c r="J2620">
        <v>0</v>
      </c>
      <c r="K2620">
        <v>1</v>
      </c>
      <c r="L2620">
        <v>3</v>
      </c>
      <c r="M2620">
        <v>332</v>
      </c>
      <c r="N2620">
        <v>345</v>
      </c>
      <c r="O2620">
        <v>0</v>
      </c>
      <c r="P2620">
        <v>345</v>
      </c>
      <c r="Q2620">
        <v>6</v>
      </c>
      <c r="R2620">
        <v>27</v>
      </c>
      <c r="S2620">
        <v>10</v>
      </c>
      <c r="T2620">
        <v>7</v>
      </c>
      <c r="U2620">
        <v>27</v>
      </c>
      <c r="V2620">
        <v>3</v>
      </c>
      <c r="W2620">
        <v>7</v>
      </c>
      <c r="X2620">
        <v>135</v>
      </c>
      <c r="Y2620">
        <v>0</v>
      </c>
      <c r="Z2620">
        <v>7</v>
      </c>
      <c r="AA2620">
        <v>3</v>
      </c>
      <c r="AB2620">
        <v>102</v>
      </c>
      <c r="AJ2620">
        <v>1</v>
      </c>
      <c r="AK2620">
        <v>1</v>
      </c>
      <c r="AL2620">
        <v>0</v>
      </c>
      <c r="AM2620">
        <v>0</v>
      </c>
      <c r="AN2620">
        <v>0</v>
      </c>
      <c r="AO2620">
        <v>0</v>
      </c>
      <c r="AP2620">
        <v>0</v>
      </c>
      <c r="AQ2620">
        <v>0</v>
      </c>
      <c r="AR2620">
        <v>0</v>
      </c>
      <c r="AS2620">
        <v>0</v>
      </c>
      <c r="AT2620">
        <v>0</v>
      </c>
      <c r="AW2620">
        <v>0</v>
      </c>
      <c r="AX2620">
        <v>9</v>
      </c>
      <c r="AY2620">
        <v>345</v>
      </c>
      <c r="AZ2620">
        <v>345</v>
      </c>
      <c r="BA2620">
        <v>633</v>
      </c>
      <c r="BB2620">
        <v>44</v>
      </c>
      <c r="BD2620">
        <v>1</v>
      </c>
      <c r="BF2620" t="s">
        <v>2816</v>
      </c>
      <c r="BG2620" s="1">
        <v>44353.972916666666</v>
      </c>
      <c r="BH2620" s="1">
        <v>44353.991377314815</v>
      </c>
      <c r="BI2620" s="1">
        <v>44353.992060185185</v>
      </c>
      <c r="BJ2620" t="s">
        <v>85</v>
      </c>
      <c r="BK2620" t="s">
        <v>86</v>
      </c>
      <c r="BL2620" t="s">
        <v>87</v>
      </c>
    </row>
    <row r="2621" spans="1:64" x14ac:dyDescent="0.3">
      <c r="A2621" t="str">
        <f>"201723C0300"</f>
        <v>201723C0300</v>
      </c>
      <c r="B2621" t="str">
        <f>"201723C03003"</f>
        <v>201723C03003</v>
      </c>
      <c r="C2621" t="str">
        <f t="shared" si="169"/>
        <v>20</v>
      </c>
      <c r="D2621" t="s">
        <v>81</v>
      </c>
      <c r="E2621" t="str">
        <f t="shared" si="175"/>
        <v>386</v>
      </c>
      <c r="F2621" t="s">
        <v>2746</v>
      </c>
      <c r="G2621" t="str">
        <f t="shared" si="176"/>
        <v>1723</v>
      </c>
      <c r="H2621" t="str">
        <f>"0003"</f>
        <v>0003</v>
      </c>
      <c r="I2621" t="s">
        <v>89</v>
      </c>
      <c r="J2621">
        <v>0</v>
      </c>
      <c r="K2621">
        <v>1</v>
      </c>
      <c r="L2621">
        <v>3</v>
      </c>
      <c r="M2621">
        <v>333</v>
      </c>
      <c r="N2621">
        <v>343</v>
      </c>
      <c r="O2621">
        <v>0</v>
      </c>
      <c r="P2621">
        <v>343</v>
      </c>
      <c r="Q2621">
        <v>7</v>
      </c>
      <c r="R2621">
        <v>35</v>
      </c>
      <c r="S2621">
        <v>18</v>
      </c>
      <c r="T2621">
        <v>5</v>
      </c>
      <c r="U2621">
        <v>24</v>
      </c>
      <c r="V2621">
        <v>5</v>
      </c>
      <c r="W2621">
        <v>4</v>
      </c>
      <c r="X2621">
        <v>136</v>
      </c>
      <c r="Y2621">
        <v>5</v>
      </c>
      <c r="Z2621">
        <v>1</v>
      </c>
      <c r="AA2621">
        <v>4</v>
      </c>
      <c r="AB2621">
        <v>88</v>
      </c>
      <c r="AJ2621">
        <v>1</v>
      </c>
      <c r="AK2621">
        <v>2</v>
      </c>
      <c r="AL2621">
        <v>1</v>
      </c>
      <c r="AM2621" t="s">
        <v>95</v>
      </c>
      <c r="AN2621" t="s">
        <v>95</v>
      </c>
      <c r="AO2621" t="s">
        <v>95</v>
      </c>
      <c r="AP2621" t="s">
        <v>95</v>
      </c>
      <c r="AQ2621" t="s">
        <v>95</v>
      </c>
      <c r="AR2621" t="s">
        <v>95</v>
      </c>
      <c r="AS2621" t="s">
        <v>95</v>
      </c>
      <c r="AT2621" t="s">
        <v>95</v>
      </c>
      <c r="AW2621" t="s">
        <v>95</v>
      </c>
      <c r="AX2621" t="s">
        <v>95</v>
      </c>
      <c r="AY2621" t="s">
        <v>95</v>
      </c>
      <c r="AZ2621">
        <v>336</v>
      </c>
      <c r="BA2621">
        <v>632</v>
      </c>
      <c r="BB2621">
        <v>44</v>
      </c>
      <c r="BC2621" t="s">
        <v>96</v>
      </c>
      <c r="BD2621">
        <v>1</v>
      </c>
      <c r="BF2621" t="s">
        <v>2817</v>
      </c>
      <c r="BG2621" s="1">
        <v>44353.972916666666</v>
      </c>
      <c r="BH2621" s="1">
        <v>44353.989085648151</v>
      </c>
      <c r="BI2621" s="1">
        <v>44353.989918981482</v>
      </c>
      <c r="BJ2621" t="s">
        <v>85</v>
      </c>
      <c r="BK2621" t="s">
        <v>86</v>
      </c>
      <c r="BL2621" t="s">
        <v>87</v>
      </c>
    </row>
    <row r="2622" spans="1:64" x14ac:dyDescent="0.3">
      <c r="A2622" t="str">
        <f>"201723C0400"</f>
        <v>201723C0400</v>
      </c>
      <c r="B2622" t="str">
        <f>"201723C04003"</f>
        <v>201723C04003</v>
      </c>
      <c r="C2622" t="str">
        <f t="shared" si="169"/>
        <v>20</v>
      </c>
      <c r="D2622" t="s">
        <v>81</v>
      </c>
      <c r="E2622" t="str">
        <f t="shared" si="175"/>
        <v>386</v>
      </c>
      <c r="F2622" t="s">
        <v>2746</v>
      </c>
      <c r="G2622" t="str">
        <f t="shared" si="176"/>
        <v>1723</v>
      </c>
      <c r="H2622" t="str">
        <f>"0004"</f>
        <v>0004</v>
      </c>
      <c r="I2622" t="s">
        <v>89</v>
      </c>
      <c r="J2622">
        <v>0</v>
      </c>
      <c r="K2622">
        <v>1</v>
      </c>
      <c r="L2622">
        <v>3</v>
      </c>
      <c r="M2622" t="s">
        <v>92</v>
      </c>
      <c r="N2622" t="s">
        <v>92</v>
      </c>
      <c r="O2622" t="s">
        <v>92</v>
      </c>
      <c r="P2622" t="s">
        <v>92</v>
      </c>
      <c r="Q2622">
        <v>6</v>
      </c>
      <c r="R2622">
        <v>46</v>
      </c>
      <c r="S2622">
        <v>11</v>
      </c>
      <c r="T2622">
        <v>8</v>
      </c>
      <c r="U2622">
        <v>37</v>
      </c>
      <c r="V2622">
        <v>1</v>
      </c>
      <c r="W2622">
        <v>117</v>
      </c>
      <c r="X2622">
        <v>117</v>
      </c>
      <c r="Y2622">
        <v>6</v>
      </c>
      <c r="Z2622">
        <v>6</v>
      </c>
      <c r="AA2622">
        <v>3</v>
      </c>
      <c r="AB2622">
        <v>101</v>
      </c>
      <c r="AJ2622">
        <v>0</v>
      </c>
      <c r="AK2622">
        <v>2</v>
      </c>
      <c r="AL2622">
        <v>0</v>
      </c>
      <c r="AM2622">
        <v>0</v>
      </c>
      <c r="AN2622">
        <v>0</v>
      </c>
      <c r="AO2622">
        <v>0</v>
      </c>
      <c r="AP2622">
        <v>0</v>
      </c>
      <c r="AQ2622">
        <v>0</v>
      </c>
      <c r="AR2622">
        <v>0</v>
      </c>
      <c r="AS2622">
        <v>0</v>
      </c>
      <c r="AT2622">
        <v>0</v>
      </c>
      <c r="AW2622">
        <v>0</v>
      </c>
      <c r="AX2622">
        <v>9</v>
      </c>
      <c r="AY2622">
        <v>255</v>
      </c>
      <c r="AZ2622">
        <v>470</v>
      </c>
      <c r="BA2622">
        <v>632</v>
      </c>
      <c r="BB2622">
        <v>44</v>
      </c>
      <c r="BD2622">
        <v>1</v>
      </c>
      <c r="BF2622" t="s">
        <v>2818</v>
      </c>
      <c r="BG2622" s="1">
        <v>44353.973611111112</v>
      </c>
      <c r="BH2622" s="1">
        <v>44354.001087962963</v>
      </c>
      <c r="BI2622" s="1">
        <v>44354.002939814818</v>
      </c>
      <c r="BJ2622" t="s">
        <v>85</v>
      </c>
      <c r="BK2622" t="s">
        <v>86</v>
      </c>
      <c r="BL2622" t="s">
        <v>87</v>
      </c>
    </row>
    <row r="2623" spans="1:64" x14ac:dyDescent="0.3">
      <c r="A2623" t="str">
        <f>"201723C0500"</f>
        <v>201723C0500</v>
      </c>
      <c r="B2623" t="str">
        <f>"201723C05003"</f>
        <v>201723C05003</v>
      </c>
      <c r="C2623" t="str">
        <f t="shared" si="169"/>
        <v>20</v>
      </c>
      <c r="D2623" t="s">
        <v>81</v>
      </c>
      <c r="E2623" t="str">
        <f t="shared" si="175"/>
        <v>386</v>
      </c>
      <c r="F2623" t="s">
        <v>2746</v>
      </c>
      <c r="G2623" t="str">
        <f t="shared" si="176"/>
        <v>1723</v>
      </c>
      <c r="H2623" t="str">
        <f>"0005"</f>
        <v>0005</v>
      </c>
      <c r="I2623" t="s">
        <v>89</v>
      </c>
      <c r="J2623">
        <v>0</v>
      </c>
      <c r="K2623">
        <v>1</v>
      </c>
      <c r="L2623">
        <v>3</v>
      </c>
      <c r="M2623">
        <v>330</v>
      </c>
      <c r="N2623">
        <v>346</v>
      </c>
      <c r="O2623">
        <v>8</v>
      </c>
      <c r="P2623">
        <v>346</v>
      </c>
      <c r="Q2623">
        <v>11</v>
      </c>
      <c r="R2623">
        <v>33</v>
      </c>
      <c r="S2623">
        <v>4</v>
      </c>
      <c r="T2623">
        <v>6</v>
      </c>
      <c r="U2623">
        <v>18</v>
      </c>
      <c r="V2623">
        <v>4</v>
      </c>
      <c r="W2623">
        <v>11</v>
      </c>
      <c r="X2623">
        <v>125</v>
      </c>
      <c r="Y2623">
        <v>1</v>
      </c>
      <c r="Z2623">
        <v>6</v>
      </c>
      <c r="AA2623">
        <v>3</v>
      </c>
      <c r="AB2623">
        <v>111</v>
      </c>
      <c r="AJ2623">
        <v>2</v>
      </c>
      <c r="AK2623">
        <v>2</v>
      </c>
      <c r="AL2623" t="s">
        <v>95</v>
      </c>
      <c r="AM2623" t="s">
        <v>95</v>
      </c>
      <c r="AN2623" t="s">
        <v>95</v>
      </c>
      <c r="AO2623">
        <v>1</v>
      </c>
      <c r="AP2623" t="s">
        <v>95</v>
      </c>
      <c r="AQ2623" t="s">
        <v>95</v>
      </c>
      <c r="AR2623" t="s">
        <v>95</v>
      </c>
      <c r="AS2623" t="s">
        <v>95</v>
      </c>
      <c r="AT2623" t="s">
        <v>95</v>
      </c>
      <c r="AW2623" t="s">
        <v>95</v>
      </c>
      <c r="AX2623">
        <v>8</v>
      </c>
      <c r="AY2623">
        <v>346</v>
      </c>
      <c r="AZ2623">
        <v>346</v>
      </c>
      <c r="BA2623">
        <v>632</v>
      </c>
      <c r="BB2623">
        <v>44</v>
      </c>
      <c r="BC2623" t="s">
        <v>96</v>
      </c>
      <c r="BD2623">
        <v>1</v>
      </c>
      <c r="BF2623" t="s">
        <v>2819</v>
      </c>
      <c r="BG2623" s="1">
        <v>44353.973611111112</v>
      </c>
      <c r="BH2623" s="1">
        <v>44353.99795138889</v>
      </c>
      <c r="BI2623" s="1">
        <v>44353.998553240737</v>
      </c>
      <c r="BJ2623" t="s">
        <v>85</v>
      </c>
      <c r="BK2623" t="s">
        <v>86</v>
      </c>
      <c r="BL2623" t="s">
        <v>87</v>
      </c>
    </row>
    <row r="2624" spans="1:64" x14ac:dyDescent="0.3">
      <c r="A2624" t="str">
        <f>"201724B0000"</f>
        <v>201724B0000</v>
      </c>
      <c r="B2624" t="str">
        <f>"201724B00003"</f>
        <v>201724B00003</v>
      </c>
      <c r="C2624" t="str">
        <f t="shared" si="169"/>
        <v>20</v>
      </c>
      <c r="D2624" t="s">
        <v>81</v>
      </c>
      <c r="E2624" t="str">
        <f t="shared" si="175"/>
        <v>386</v>
      </c>
      <c r="F2624" t="s">
        <v>2746</v>
      </c>
      <c r="G2624" t="str">
        <f>"1724"</f>
        <v>1724</v>
      </c>
      <c r="H2624" t="str">
        <f>"0000"</f>
        <v>0000</v>
      </c>
      <c r="I2624" t="s">
        <v>83</v>
      </c>
      <c r="J2624">
        <v>0</v>
      </c>
      <c r="K2624">
        <v>1</v>
      </c>
      <c r="L2624">
        <v>3</v>
      </c>
      <c r="M2624">
        <v>226</v>
      </c>
      <c r="N2624">
        <v>400</v>
      </c>
      <c r="O2624">
        <v>5</v>
      </c>
      <c r="P2624">
        <v>400</v>
      </c>
      <c r="Q2624">
        <v>11</v>
      </c>
      <c r="R2624">
        <v>40</v>
      </c>
      <c r="S2624">
        <v>8</v>
      </c>
      <c r="T2624">
        <v>8</v>
      </c>
      <c r="U2624">
        <v>49</v>
      </c>
      <c r="V2624">
        <v>3</v>
      </c>
      <c r="W2624">
        <v>15</v>
      </c>
      <c r="X2624">
        <v>121</v>
      </c>
      <c r="Y2624">
        <v>4</v>
      </c>
      <c r="Z2624">
        <v>16</v>
      </c>
      <c r="AA2624">
        <v>0</v>
      </c>
      <c r="AB2624">
        <v>115</v>
      </c>
      <c r="AJ2624">
        <v>0</v>
      </c>
      <c r="AK2624">
        <v>1</v>
      </c>
      <c r="AL2624">
        <v>0</v>
      </c>
      <c r="AM2624">
        <v>0</v>
      </c>
      <c r="AN2624">
        <v>0</v>
      </c>
      <c r="AO2624">
        <v>0</v>
      </c>
      <c r="AP2624">
        <v>0</v>
      </c>
      <c r="AQ2624">
        <v>0</v>
      </c>
      <c r="AR2624">
        <v>0</v>
      </c>
      <c r="AS2624">
        <v>0</v>
      </c>
      <c r="AT2624">
        <v>0</v>
      </c>
      <c r="AW2624">
        <v>0</v>
      </c>
      <c r="AX2624">
        <v>9</v>
      </c>
      <c r="AY2624">
        <v>400</v>
      </c>
      <c r="AZ2624">
        <v>400</v>
      </c>
      <c r="BA2624">
        <v>582</v>
      </c>
      <c r="BB2624">
        <v>44</v>
      </c>
      <c r="BD2624">
        <v>1</v>
      </c>
      <c r="BF2624" t="s">
        <v>2820</v>
      </c>
      <c r="BG2624" s="1">
        <v>44353.968055555553</v>
      </c>
      <c r="BH2624" s="1">
        <v>44353.981863425928</v>
      </c>
      <c r="BI2624" s="1">
        <v>44353.982604166667</v>
      </c>
      <c r="BJ2624" t="s">
        <v>85</v>
      </c>
      <c r="BK2624" t="s">
        <v>86</v>
      </c>
      <c r="BL2624" t="s">
        <v>87</v>
      </c>
    </row>
    <row r="2625" spans="1:64" x14ac:dyDescent="0.3">
      <c r="A2625" t="str">
        <f>"201724C0100"</f>
        <v>201724C0100</v>
      </c>
      <c r="B2625" t="str">
        <f>"201724C01003"</f>
        <v>201724C01003</v>
      </c>
      <c r="C2625" t="str">
        <f t="shared" si="169"/>
        <v>20</v>
      </c>
      <c r="D2625" t="s">
        <v>81</v>
      </c>
      <c r="E2625" t="str">
        <f t="shared" si="175"/>
        <v>386</v>
      </c>
      <c r="F2625" t="s">
        <v>2746</v>
      </c>
      <c r="G2625" t="str">
        <f>"1724"</f>
        <v>1724</v>
      </c>
      <c r="H2625" t="str">
        <f>"0001"</f>
        <v>0001</v>
      </c>
      <c r="I2625" t="s">
        <v>89</v>
      </c>
      <c r="J2625">
        <v>0</v>
      </c>
      <c r="K2625">
        <v>1</v>
      </c>
      <c r="L2625">
        <v>3</v>
      </c>
      <c r="M2625">
        <v>260</v>
      </c>
      <c r="N2625">
        <v>366</v>
      </c>
      <c r="O2625">
        <v>2</v>
      </c>
      <c r="P2625">
        <v>366</v>
      </c>
      <c r="Q2625">
        <v>7</v>
      </c>
      <c r="R2625">
        <v>37</v>
      </c>
      <c r="S2625">
        <v>8</v>
      </c>
      <c r="T2625">
        <v>3</v>
      </c>
      <c r="U2625">
        <v>30</v>
      </c>
      <c r="V2625">
        <v>1</v>
      </c>
      <c r="W2625">
        <v>13</v>
      </c>
      <c r="X2625">
        <v>124</v>
      </c>
      <c r="Y2625">
        <v>2</v>
      </c>
      <c r="Z2625">
        <v>5</v>
      </c>
      <c r="AA2625">
        <v>2</v>
      </c>
      <c r="AB2625">
        <v>121</v>
      </c>
      <c r="AJ2625">
        <v>1</v>
      </c>
      <c r="AK2625">
        <v>0</v>
      </c>
      <c r="AL2625">
        <v>0</v>
      </c>
      <c r="AM2625">
        <v>0</v>
      </c>
      <c r="AN2625">
        <v>0</v>
      </c>
      <c r="AO2625">
        <v>0</v>
      </c>
      <c r="AP2625">
        <v>0</v>
      </c>
      <c r="AQ2625">
        <v>0</v>
      </c>
      <c r="AR2625">
        <v>0</v>
      </c>
      <c r="AS2625">
        <v>0</v>
      </c>
      <c r="AT2625">
        <v>0</v>
      </c>
      <c r="AW2625">
        <v>0</v>
      </c>
      <c r="AX2625">
        <v>12</v>
      </c>
      <c r="AY2625">
        <v>366</v>
      </c>
      <c r="AZ2625">
        <v>366</v>
      </c>
      <c r="BA2625">
        <v>582</v>
      </c>
      <c r="BB2625">
        <v>44</v>
      </c>
      <c r="BD2625">
        <v>1</v>
      </c>
      <c r="BF2625" t="s">
        <v>2821</v>
      </c>
      <c r="BG2625" s="1">
        <v>44353.96875</v>
      </c>
      <c r="BH2625" s="1">
        <v>44353.982662037037</v>
      </c>
      <c r="BI2625" s="1">
        <v>44353.983993055554</v>
      </c>
      <c r="BJ2625" t="s">
        <v>85</v>
      </c>
      <c r="BK2625" t="s">
        <v>86</v>
      </c>
      <c r="BL2625" t="s">
        <v>87</v>
      </c>
    </row>
    <row r="2626" spans="1:64" x14ac:dyDescent="0.3">
      <c r="A2626" t="str">
        <f>"201724C0200"</f>
        <v>201724C0200</v>
      </c>
      <c r="B2626" t="str">
        <f>"201724C02003"</f>
        <v>201724C02003</v>
      </c>
      <c r="C2626" t="str">
        <f t="shared" si="169"/>
        <v>20</v>
      </c>
      <c r="D2626" t="s">
        <v>81</v>
      </c>
      <c r="E2626" t="str">
        <f t="shared" si="175"/>
        <v>386</v>
      </c>
      <c r="F2626" t="s">
        <v>2746</v>
      </c>
      <c r="G2626" t="str">
        <f>"1724"</f>
        <v>1724</v>
      </c>
      <c r="H2626" t="str">
        <f>"0002"</f>
        <v>0002</v>
      </c>
      <c r="I2626" t="s">
        <v>89</v>
      </c>
      <c r="J2626">
        <v>0</v>
      </c>
      <c r="K2626">
        <v>1</v>
      </c>
      <c r="L2626">
        <v>3</v>
      </c>
      <c r="M2626">
        <v>269</v>
      </c>
      <c r="N2626">
        <v>357</v>
      </c>
      <c r="O2626">
        <v>3</v>
      </c>
      <c r="P2626">
        <v>357</v>
      </c>
      <c r="Q2626">
        <v>24</v>
      </c>
      <c r="R2626">
        <v>27</v>
      </c>
      <c r="S2626">
        <v>8</v>
      </c>
      <c r="T2626">
        <v>5</v>
      </c>
      <c r="U2626">
        <v>31</v>
      </c>
      <c r="V2626">
        <v>3</v>
      </c>
      <c r="W2626">
        <v>9</v>
      </c>
      <c r="X2626">
        <v>128</v>
      </c>
      <c r="Y2626">
        <v>5</v>
      </c>
      <c r="Z2626">
        <v>8</v>
      </c>
      <c r="AA2626">
        <v>4</v>
      </c>
      <c r="AB2626">
        <v>109</v>
      </c>
      <c r="AJ2626">
        <v>0</v>
      </c>
      <c r="AK2626">
        <v>1</v>
      </c>
      <c r="AL2626">
        <v>0</v>
      </c>
      <c r="AM2626">
        <v>0</v>
      </c>
      <c r="AN2626">
        <v>0</v>
      </c>
      <c r="AO2626">
        <v>0</v>
      </c>
      <c r="AP2626">
        <v>0</v>
      </c>
      <c r="AQ2626">
        <v>0</v>
      </c>
      <c r="AR2626">
        <v>1</v>
      </c>
      <c r="AS2626">
        <v>0</v>
      </c>
      <c r="AT2626">
        <v>0</v>
      </c>
      <c r="AW2626">
        <v>14</v>
      </c>
      <c r="AX2626">
        <v>0</v>
      </c>
      <c r="AY2626">
        <v>357</v>
      </c>
      <c r="AZ2626">
        <v>377</v>
      </c>
      <c r="BA2626">
        <v>582</v>
      </c>
      <c r="BB2626">
        <v>44</v>
      </c>
      <c r="BD2626">
        <v>1</v>
      </c>
      <c r="BF2626" t="s">
        <v>2822</v>
      </c>
      <c r="BG2626" s="1">
        <v>44353.96875</v>
      </c>
      <c r="BH2626" s="1">
        <v>44353.983206018522</v>
      </c>
      <c r="BI2626" s="1">
        <v>44353.984884259262</v>
      </c>
      <c r="BJ2626" t="s">
        <v>85</v>
      </c>
      <c r="BK2626" t="s">
        <v>86</v>
      </c>
      <c r="BL2626" t="s">
        <v>87</v>
      </c>
    </row>
    <row r="2627" spans="1:64" x14ac:dyDescent="0.3">
      <c r="A2627" t="str">
        <f>"201724C0300"</f>
        <v>201724C0300</v>
      </c>
      <c r="B2627" t="str">
        <f>"201724C03003"</f>
        <v>201724C03003</v>
      </c>
      <c r="C2627" t="str">
        <f t="shared" si="169"/>
        <v>20</v>
      </c>
      <c r="D2627" t="s">
        <v>81</v>
      </c>
      <c r="E2627" t="str">
        <f t="shared" si="175"/>
        <v>386</v>
      </c>
      <c r="F2627" t="s">
        <v>2746</v>
      </c>
      <c r="G2627" t="str">
        <f>"1724"</f>
        <v>1724</v>
      </c>
      <c r="H2627" t="str">
        <f>"0003"</f>
        <v>0003</v>
      </c>
      <c r="I2627" t="s">
        <v>89</v>
      </c>
      <c r="J2627">
        <v>0</v>
      </c>
      <c r="K2627">
        <v>1</v>
      </c>
      <c r="L2627">
        <v>3</v>
      </c>
      <c r="M2627">
        <v>247</v>
      </c>
      <c r="N2627">
        <v>378</v>
      </c>
      <c r="O2627">
        <v>5</v>
      </c>
      <c r="P2627">
        <v>378</v>
      </c>
      <c r="Q2627">
        <v>11</v>
      </c>
      <c r="R2627">
        <v>34</v>
      </c>
      <c r="S2627">
        <v>9</v>
      </c>
      <c r="T2627">
        <v>7</v>
      </c>
      <c r="U2627">
        <v>37</v>
      </c>
      <c r="V2627">
        <v>2</v>
      </c>
      <c r="W2627">
        <v>9</v>
      </c>
      <c r="X2627">
        <v>132</v>
      </c>
      <c r="Y2627">
        <v>3</v>
      </c>
      <c r="Z2627">
        <v>5</v>
      </c>
      <c r="AA2627">
        <v>0</v>
      </c>
      <c r="AB2627">
        <v>124</v>
      </c>
      <c r="AJ2627">
        <v>0</v>
      </c>
      <c r="AK2627">
        <v>0</v>
      </c>
      <c r="AL2627">
        <v>0</v>
      </c>
      <c r="AM2627">
        <v>0</v>
      </c>
      <c r="AN2627">
        <v>0</v>
      </c>
      <c r="AO2627">
        <v>0</v>
      </c>
      <c r="AP2627">
        <v>0</v>
      </c>
      <c r="AQ2627">
        <v>0</v>
      </c>
      <c r="AR2627">
        <v>0</v>
      </c>
      <c r="AS2627">
        <v>0</v>
      </c>
      <c r="AT2627">
        <v>0</v>
      </c>
      <c r="AW2627">
        <v>0</v>
      </c>
      <c r="AX2627">
        <v>5</v>
      </c>
      <c r="AY2627">
        <v>378</v>
      </c>
      <c r="AZ2627">
        <v>378</v>
      </c>
      <c r="BA2627">
        <v>581</v>
      </c>
      <c r="BB2627">
        <v>44</v>
      </c>
      <c r="BD2627">
        <v>1</v>
      </c>
      <c r="BF2627" t="s">
        <v>2823</v>
      </c>
      <c r="BG2627" s="1">
        <v>44353.96875</v>
      </c>
      <c r="BH2627" s="1">
        <v>44353.986180555556</v>
      </c>
      <c r="BI2627" s="1">
        <v>44353.987314814818</v>
      </c>
      <c r="BJ2627" t="s">
        <v>85</v>
      </c>
      <c r="BK2627" t="s">
        <v>86</v>
      </c>
      <c r="BL2627" t="s">
        <v>87</v>
      </c>
    </row>
    <row r="2628" spans="1:64" x14ac:dyDescent="0.3">
      <c r="A2628" t="str">
        <f>"201725B0000"</f>
        <v>201725B0000</v>
      </c>
      <c r="B2628" t="str">
        <f>"201725B00003"</f>
        <v>201725B00003</v>
      </c>
      <c r="C2628" t="str">
        <f t="shared" si="169"/>
        <v>20</v>
      </c>
      <c r="D2628" t="s">
        <v>81</v>
      </c>
      <c r="E2628" t="str">
        <f t="shared" si="175"/>
        <v>386</v>
      </c>
      <c r="F2628" t="s">
        <v>2746</v>
      </c>
      <c r="G2628" t="str">
        <f>"1725"</f>
        <v>1725</v>
      </c>
      <c r="H2628" t="str">
        <f>"0000"</f>
        <v>0000</v>
      </c>
      <c r="I2628" t="s">
        <v>83</v>
      </c>
      <c r="J2628">
        <v>0</v>
      </c>
      <c r="K2628">
        <v>1</v>
      </c>
      <c r="L2628">
        <v>3</v>
      </c>
      <c r="M2628">
        <v>335</v>
      </c>
      <c r="N2628">
        <v>407</v>
      </c>
      <c r="O2628">
        <v>5</v>
      </c>
      <c r="P2628">
        <v>407</v>
      </c>
      <c r="Q2628">
        <v>10</v>
      </c>
      <c r="R2628">
        <v>35</v>
      </c>
      <c r="S2628">
        <v>8</v>
      </c>
      <c r="T2628">
        <v>30</v>
      </c>
      <c r="U2628">
        <v>30</v>
      </c>
      <c r="V2628">
        <v>6</v>
      </c>
      <c r="W2628">
        <v>13</v>
      </c>
      <c r="X2628">
        <v>166</v>
      </c>
      <c r="Y2628">
        <v>1</v>
      </c>
      <c r="Z2628">
        <v>14</v>
      </c>
      <c r="AA2628">
        <v>7</v>
      </c>
      <c r="AB2628">
        <v>100</v>
      </c>
      <c r="AJ2628">
        <v>0</v>
      </c>
      <c r="AK2628">
        <v>1</v>
      </c>
      <c r="AL2628">
        <v>0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0</v>
      </c>
      <c r="AS2628">
        <v>0</v>
      </c>
      <c r="AT2628">
        <v>0</v>
      </c>
      <c r="AW2628">
        <v>0</v>
      </c>
      <c r="AX2628">
        <v>8</v>
      </c>
      <c r="AY2628">
        <v>407</v>
      </c>
      <c r="AZ2628">
        <v>429</v>
      </c>
      <c r="BA2628">
        <v>698</v>
      </c>
      <c r="BB2628">
        <v>44</v>
      </c>
      <c r="BD2628">
        <v>1</v>
      </c>
      <c r="BF2628" t="s">
        <v>2824</v>
      </c>
      <c r="BG2628" s="1">
        <v>44354.030555555553</v>
      </c>
      <c r="BH2628" s="1">
        <v>44354.066851851851</v>
      </c>
      <c r="BI2628" s="1">
        <v>44354.067604166667</v>
      </c>
      <c r="BJ2628" t="s">
        <v>85</v>
      </c>
      <c r="BK2628" t="s">
        <v>86</v>
      </c>
      <c r="BL2628" t="s">
        <v>87</v>
      </c>
    </row>
    <row r="2629" spans="1:64" x14ac:dyDescent="0.3">
      <c r="A2629" t="str">
        <f>"201725C0100"</f>
        <v>201725C0100</v>
      </c>
      <c r="B2629" t="str">
        <f>"201725C01003"</f>
        <v>201725C01003</v>
      </c>
      <c r="C2629" t="str">
        <f t="shared" si="169"/>
        <v>20</v>
      </c>
      <c r="D2629" t="s">
        <v>81</v>
      </c>
      <c r="E2629" t="str">
        <f t="shared" si="175"/>
        <v>386</v>
      </c>
      <c r="F2629" t="s">
        <v>2746</v>
      </c>
      <c r="G2629" t="str">
        <f>"1725"</f>
        <v>1725</v>
      </c>
      <c r="H2629" t="str">
        <f>"0001"</f>
        <v>0001</v>
      </c>
      <c r="I2629" t="s">
        <v>89</v>
      </c>
      <c r="J2629">
        <v>0</v>
      </c>
      <c r="K2629">
        <v>1</v>
      </c>
      <c r="L2629">
        <v>3</v>
      </c>
      <c r="M2629">
        <v>323</v>
      </c>
      <c r="N2629">
        <v>419</v>
      </c>
      <c r="O2629">
        <v>1</v>
      </c>
      <c r="P2629">
        <v>419</v>
      </c>
      <c r="Q2629">
        <v>10</v>
      </c>
      <c r="R2629">
        <v>34</v>
      </c>
      <c r="S2629">
        <v>5</v>
      </c>
      <c r="T2629">
        <v>6</v>
      </c>
      <c r="U2629">
        <v>39</v>
      </c>
      <c r="V2629">
        <v>4</v>
      </c>
      <c r="W2629">
        <v>10</v>
      </c>
      <c r="X2629">
        <v>134</v>
      </c>
      <c r="Y2629">
        <v>1</v>
      </c>
      <c r="Z2629">
        <v>20</v>
      </c>
      <c r="AA2629">
        <v>5</v>
      </c>
      <c r="AB2629">
        <v>128</v>
      </c>
      <c r="AJ2629">
        <v>2</v>
      </c>
      <c r="AK2629">
        <v>1</v>
      </c>
      <c r="AL2629">
        <v>1</v>
      </c>
      <c r="AM2629">
        <v>0</v>
      </c>
      <c r="AN2629">
        <v>0</v>
      </c>
      <c r="AO2629">
        <v>0</v>
      </c>
      <c r="AP2629">
        <v>0</v>
      </c>
      <c r="AQ2629">
        <v>0</v>
      </c>
      <c r="AR2629">
        <v>0</v>
      </c>
      <c r="AS2629">
        <v>0</v>
      </c>
      <c r="AT2629">
        <v>0</v>
      </c>
      <c r="AW2629">
        <v>0</v>
      </c>
      <c r="AX2629">
        <v>19</v>
      </c>
      <c r="AY2629">
        <v>419</v>
      </c>
      <c r="AZ2629">
        <v>419</v>
      </c>
      <c r="BA2629">
        <v>698</v>
      </c>
      <c r="BB2629">
        <v>44</v>
      </c>
      <c r="BD2629">
        <v>1</v>
      </c>
      <c r="BF2629" t="s">
        <v>2825</v>
      </c>
      <c r="BG2629" s="1">
        <v>44354.03125</v>
      </c>
      <c r="BH2629" s="1">
        <v>44354.064363425925</v>
      </c>
      <c r="BI2629" s="1">
        <v>44354.06527777778</v>
      </c>
      <c r="BJ2629" t="s">
        <v>85</v>
      </c>
      <c r="BK2629" t="s">
        <v>86</v>
      </c>
      <c r="BL2629" t="s">
        <v>87</v>
      </c>
    </row>
    <row r="2630" spans="1:64" x14ac:dyDescent="0.3">
      <c r="A2630" t="str">
        <f>"201725C0200"</f>
        <v>201725C0200</v>
      </c>
      <c r="B2630" t="str">
        <f>"201725C02003"</f>
        <v>201725C02003</v>
      </c>
      <c r="C2630" t="str">
        <f t="shared" si="169"/>
        <v>20</v>
      </c>
      <c r="D2630" t="s">
        <v>81</v>
      </c>
      <c r="E2630" t="str">
        <f t="shared" si="175"/>
        <v>386</v>
      </c>
      <c r="F2630" t="s">
        <v>2746</v>
      </c>
      <c r="G2630" t="str">
        <f>"1725"</f>
        <v>1725</v>
      </c>
      <c r="H2630" t="str">
        <f>"0002"</f>
        <v>0002</v>
      </c>
      <c r="I2630" t="s">
        <v>89</v>
      </c>
      <c r="J2630">
        <v>0</v>
      </c>
      <c r="K2630">
        <v>1</v>
      </c>
      <c r="L2630">
        <v>3</v>
      </c>
      <c r="M2630">
        <v>290</v>
      </c>
      <c r="N2630">
        <v>452</v>
      </c>
      <c r="O2630">
        <v>8</v>
      </c>
      <c r="P2630">
        <v>452</v>
      </c>
      <c r="Q2630">
        <v>10</v>
      </c>
      <c r="R2630">
        <v>43</v>
      </c>
      <c r="S2630">
        <v>9</v>
      </c>
      <c r="T2630">
        <v>5</v>
      </c>
      <c r="U2630">
        <v>39</v>
      </c>
      <c r="V2630">
        <v>2</v>
      </c>
      <c r="W2630">
        <v>14</v>
      </c>
      <c r="X2630">
        <v>154</v>
      </c>
      <c r="Y2630">
        <v>3</v>
      </c>
      <c r="Z2630">
        <v>31</v>
      </c>
      <c r="AA2630">
        <v>3</v>
      </c>
      <c r="AB2630">
        <v>135</v>
      </c>
      <c r="AJ2630">
        <v>0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1</v>
      </c>
      <c r="AQ2630">
        <v>0</v>
      </c>
      <c r="AR2630">
        <v>0</v>
      </c>
      <c r="AS2630">
        <v>0</v>
      </c>
      <c r="AT2630">
        <v>0</v>
      </c>
      <c r="AW2630">
        <v>0</v>
      </c>
      <c r="AX2630">
        <v>3</v>
      </c>
      <c r="AY2630">
        <v>452</v>
      </c>
      <c r="AZ2630">
        <v>452</v>
      </c>
      <c r="BA2630">
        <v>698</v>
      </c>
      <c r="BB2630">
        <v>44</v>
      </c>
      <c r="BD2630">
        <v>1</v>
      </c>
      <c r="BF2630" t="s">
        <v>2826</v>
      </c>
      <c r="BG2630" s="1">
        <v>44354.030555555553</v>
      </c>
      <c r="BH2630" s="1">
        <v>44354.066967592589</v>
      </c>
      <c r="BI2630" s="1">
        <v>44354.06758101852</v>
      </c>
      <c r="BJ2630" t="s">
        <v>85</v>
      </c>
      <c r="BK2630" t="s">
        <v>86</v>
      </c>
      <c r="BL2630" t="s">
        <v>87</v>
      </c>
    </row>
    <row r="2631" spans="1:64" x14ac:dyDescent="0.3">
      <c r="A2631" t="str">
        <f>"201725C0300"</f>
        <v>201725C0300</v>
      </c>
      <c r="B2631" t="str">
        <f>"201725C03003"</f>
        <v>201725C03003</v>
      </c>
      <c r="C2631" t="str">
        <f t="shared" ref="C2631:C2694" si="177">"20"</f>
        <v>20</v>
      </c>
      <c r="D2631" t="s">
        <v>81</v>
      </c>
      <c r="E2631" t="str">
        <f t="shared" si="175"/>
        <v>386</v>
      </c>
      <c r="F2631" t="s">
        <v>2746</v>
      </c>
      <c r="G2631" t="str">
        <f>"1725"</f>
        <v>1725</v>
      </c>
      <c r="H2631" t="str">
        <f>"0003"</f>
        <v>0003</v>
      </c>
      <c r="I2631" t="s">
        <v>89</v>
      </c>
      <c r="J2631">
        <v>0</v>
      </c>
      <c r="K2631">
        <v>1</v>
      </c>
      <c r="L2631">
        <v>3</v>
      </c>
      <c r="M2631">
        <v>339</v>
      </c>
      <c r="N2631">
        <v>401</v>
      </c>
      <c r="O2631">
        <v>7</v>
      </c>
      <c r="P2631">
        <v>403</v>
      </c>
      <c r="Q2631">
        <v>14</v>
      </c>
      <c r="R2631">
        <v>45</v>
      </c>
      <c r="S2631">
        <v>4</v>
      </c>
      <c r="T2631">
        <v>8</v>
      </c>
      <c r="U2631">
        <v>44</v>
      </c>
      <c r="V2631">
        <v>4</v>
      </c>
      <c r="W2631">
        <v>10</v>
      </c>
      <c r="X2631">
        <v>128</v>
      </c>
      <c r="Y2631">
        <v>5</v>
      </c>
      <c r="Z2631">
        <v>19</v>
      </c>
      <c r="AA2631">
        <v>4</v>
      </c>
      <c r="AB2631">
        <v>107</v>
      </c>
      <c r="AJ2631">
        <v>1</v>
      </c>
      <c r="AK2631">
        <v>1</v>
      </c>
      <c r="AL2631">
        <v>0</v>
      </c>
      <c r="AM2631">
        <v>0</v>
      </c>
      <c r="AN2631">
        <v>0</v>
      </c>
      <c r="AO2631">
        <v>1</v>
      </c>
      <c r="AP2631">
        <v>0</v>
      </c>
      <c r="AQ2631">
        <v>0</v>
      </c>
      <c r="AR2631">
        <v>0</v>
      </c>
      <c r="AS2631">
        <v>0</v>
      </c>
      <c r="AT2631">
        <v>0</v>
      </c>
      <c r="AW2631">
        <v>0</v>
      </c>
      <c r="AX2631">
        <v>8</v>
      </c>
      <c r="AY2631">
        <v>403</v>
      </c>
      <c r="AZ2631">
        <v>403</v>
      </c>
      <c r="BA2631">
        <v>698</v>
      </c>
      <c r="BB2631">
        <v>44</v>
      </c>
      <c r="BD2631">
        <v>1</v>
      </c>
      <c r="BF2631" t="s">
        <v>2827</v>
      </c>
      <c r="BG2631" s="1">
        <v>44354.030555555553</v>
      </c>
      <c r="BH2631" s="1">
        <v>44354.06722222222</v>
      </c>
      <c r="BI2631" s="1">
        <v>44354.068472222221</v>
      </c>
      <c r="BJ2631" t="s">
        <v>85</v>
      </c>
      <c r="BK2631" t="s">
        <v>86</v>
      </c>
      <c r="BL2631" t="s">
        <v>87</v>
      </c>
    </row>
    <row r="2632" spans="1:64" x14ac:dyDescent="0.3">
      <c r="A2632" t="str">
        <f>"201725C0400"</f>
        <v>201725C0400</v>
      </c>
      <c r="B2632" t="str">
        <f>"201725C04003"</f>
        <v>201725C04003</v>
      </c>
      <c r="C2632" t="str">
        <f t="shared" si="177"/>
        <v>20</v>
      </c>
      <c r="D2632" t="s">
        <v>81</v>
      </c>
      <c r="E2632" t="str">
        <f t="shared" si="175"/>
        <v>386</v>
      </c>
      <c r="F2632" t="s">
        <v>2746</v>
      </c>
      <c r="G2632" t="str">
        <f>"1725"</f>
        <v>1725</v>
      </c>
      <c r="H2632" t="str">
        <f>"0004"</f>
        <v>0004</v>
      </c>
      <c r="I2632" t="s">
        <v>89</v>
      </c>
      <c r="J2632">
        <v>0</v>
      </c>
      <c r="K2632">
        <v>1</v>
      </c>
      <c r="L2632">
        <v>3</v>
      </c>
      <c r="M2632">
        <v>333</v>
      </c>
      <c r="N2632">
        <v>408</v>
      </c>
      <c r="O2632">
        <v>7</v>
      </c>
      <c r="P2632">
        <v>408</v>
      </c>
      <c r="Q2632">
        <v>10</v>
      </c>
      <c r="R2632">
        <v>32</v>
      </c>
      <c r="S2632">
        <v>3</v>
      </c>
      <c r="T2632">
        <v>9</v>
      </c>
      <c r="U2632">
        <v>29</v>
      </c>
      <c r="V2632">
        <v>5</v>
      </c>
      <c r="W2632">
        <v>15</v>
      </c>
      <c r="X2632">
        <v>161</v>
      </c>
      <c r="Y2632">
        <v>2</v>
      </c>
      <c r="Z2632">
        <v>11</v>
      </c>
      <c r="AA2632">
        <v>4</v>
      </c>
      <c r="AB2632">
        <v>115</v>
      </c>
      <c r="AJ2632">
        <v>1</v>
      </c>
      <c r="AK2632">
        <v>0</v>
      </c>
      <c r="AL2632">
        <v>0</v>
      </c>
      <c r="AM2632">
        <v>0</v>
      </c>
      <c r="AN2632">
        <v>0</v>
      </c>
      <c r="AO2632">
        <v>0</v>
      </c>
      <c r="AP2632">
        <v>0</v>
      </c>
      <c r="AQ2632">
        <v>0</v>
      </c>
      <c r="AR2632">
        <v>0</v>
      </c>
      <c r="AS2632">
        <v>0</v>
      </c>
      <c r="AT2632">
        <v>0</v>
      </c>
      <c r="AW2632">
        <v>0</v>
      </c>
      <c r="AX2632">
        <v>11</v>
      </c>
      <c r="AY2632">
        <v>408</v>
      </c>
      <c r="AZ2632">
        <v>408</v>
      </c>
      <c r="BA2632">
        <v>697</v>
      </c>
      <c r="BB2632">
        <v>44</v>
      </c>
      <c r="BD2632">
        <v>1</v>
      </c>
      <c r="BF2632" t="s">
        <v>2828</v>
      </c>
      <c r="BG2632" s="1">
        <v>44354.030555555553</v>
      </c>
      <c r="BH2632" s="1">
        <v>44354.066041666665</v>
      </c>
      <c r="BI2632" s="1">
        <v>44354.066874999997</v>
      </c>
      <c r="BJ2632" t="s">
        <v>85</v>
      </c>
      <c r="BK2632" t="s">
        <v>86</v>
      </c>
      <c r="BL2632" t="s">
        <v>87</v>
      </c>
    </row>
    <row r="2633" spans="1:64" x14ac:dyDescent="0.3">
      <c r="A2633" t="str">
        <f>"201726B0000"</f>
        <v>201726B0000</v>
      </c>
      <c r="B2633" t="str">
        <f>"201726B00003"</f>
        <v>201726B00003</v>
      </c>
      <c r="C2633" t="str">
        <f t="shared" si="177"/>
        <v>20</v>
      </c>
      <c r="D2633" t="s">
        <v>81</v>
      </c>
      <c r="E2633" t="str">
        <f t="shared" si="175"/>
        <v>386</v>
      </c>
      <c r="F2633" t="s">
        <v>2746</v>
      </c>
      <c r="G2633" t="str">
        <f t="shared" ref="G2633:G2639" si="178">"1726"</f>
        <v>1726</v>
      </c>
      <c r="H2633" t="str">
        <f>"0000"</f>
        <v>0000</v>
      </c>
      <c r="I2633" t="s">
        <v>83</v>
      </c>
      <c r="J2633">
        <v>0</v>
      </c>
      <c r="K2633">
        <v>1</v>
      </c>
      <c r="L2633">
        <v>3</v>
      </c>
      <c r="M2633">
        <v>333</v>
      </c>
      <c r="N2633">
        <v>439</v>
      </c>
      <c r="O2633">
        <v>4</v>
      </c>
      <c r="P2633">
        <v>446</v>
      </c>
      <c r="Q2633">
        <v>7</v>
      </c>
      <c r="R2633">
        <v>52</v>
      </c>
      <c r="S2633">
        <v>10</v>
      </c>
      <c r="T2633">
        <v>8</v>
      </c>
      <c r="U2633">
        <v>43</v>
      </c>
      <c r="V2633">
        <v>3</v>
      </c>
      <c r="W2633">
        <v>3</v>
      </c>
      <c r="X2633">
        <v>162</v>
      </c>
      <c r="Y2633">
        <v>7</v>
      </c>
      <c r="Z2633">
        <v>10</v>
      </c>
      <c r="AA2633">
        <v>4</v>
      </c>
      <c r="AB2633">
        <v>130</v>
      </c>
      <c r="AJ2633">
        <v>0</v>
      </c>
      <c r="AK2633">
        <v>2</v>
      </c>
      <c r="AL2633">
        <v>0</v>
      </c>
      <c r="AM2633">
        <v>0</v>
      </c>
      <c r="AN2633">
        <v>0</v>
      </c>
      <c r="AO2633">
        <v>0</v>
      </c>
      <c r="AP2633">
        <v>0</v>
      </c>
      <c r="AQ2633">
        <v>0</v>
      </c>
      <c r="AR2633">
        <v>0</v>
      </c>
      <c r="AS2633">
        <v>0</v>
      </c>
      <c r="AT2633">
        <v>0</v>
      </c>
      <c r="AW2633">
        <v>0</v>
      </c>
      <c r="AX2633">
        <v>5</v>
      </c>
      <c r="AY2633">
        <v>446</v>
      </c>
      <c r="AZ2633">
        <v>446</v>
      </c>
      <c r="BA2633">
        <v>728</v>
      </c>
      <c r="BB2633">
        <v>44</v>
      </c>
      <c r="BD2633">
        <v>1</v>
      </c>
      <c r="BF2633" t="s">
        <v>2829</v>
      </c>
      <c r="BG2633" s="1">
        <v>44354.056250000001</v>
      </c>
      <c r="BH2633" s="1">
        <v>44354.100370370368</v>
      </c>
      <c r="BI2633" s="1">
        <v>44354.101435185185</v>
      </c>
      <c r="BJ2633" t="s">
        <v>85</v>
      </c>
      <c r="BK2633" t="s">
        <v>86</v>
      </c>
      <c r="BL2633" t="s">
        <v>87</v>
      </c>
    </row>
    <row r="2634" spans="1:64" x14ac:dyDescent="0.3">
      <c r="A2634" t="str">
        <f>"201726C0100"</f>
        <v>201726C0100</v>
      </c>
      <c r="B2634" t="str">
        <f>"201726C01003"</f>
        <v>201726C01003</v>
      </c>
      <c r="C2634" t="str">
        <f t="shared" si="177"/>
        <v>20</v>
      </c>
      <c r="D2634" t="s">
        <v>81</v>
      </c>
      <c r="E2634" t="str">
        <f t="shared" si="175"/>
        <v>386</v>
      </c>
      <c r="F2634" t="s">
        <v>2746</v>
      </c>
      <c r="G2634" t="str">
        <f t="shared" si="178"/>
        <v>1726</v>
      </c>
      <c r="H2634" t="str">
        <f>"0001"</f>
        <v>0001</v>
      </c>
      <c r="I2634" t="s">
        <v>89</v>
      </c>
      <c r="J2634">
        <v>0</v>
      </c>
      <c r="K2634">
        <v>1</v>
      </c>
      <c r="L2634">
        <v>3</v>
      </c>
      <c r="M2634">
        <v>333</v>
      </c>
      <c r="N2634">
        <v>439</v>
      </c>
      <c r="O2634">
        <v>9</v>
      </c>
      <c r="P2634">
        <v>432</v>
      </c>
      <c r="Q2634">
        <v>15</v>
      </c>
      <c r="R2634">
        <v>43</v>
      </c>
      <c r="S2634">
        <v>9</v>
      </c>
      <c r="T2634">
        <v>3</v>
      </c>
      <c r="U2634">
        <v>38</v>
      </c>
      <c r="V2634">
        <v>5</v>
      </c>
      <c r="W2634">
        <v>9</v>
      </c>
      <c r="X2634">
        <v>128</v>
      </c>
      <c r="Y2634">
        <v>2</v>
      </c>
      <c r="Z2634">
        <v>14</v>
      </c>
      <c r="AA2634">
        <v>5</v>
      </c>
      <c r="AB2634">
        <v>141</v>
      </c>
      <c r="AJ2634">
        <v>3</v>
      </c>
      <c r="AK2634">
        <v>1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  <c r="AS2634">
        <v>0</v>
      </c>
      <c r="AT2634">
        <v>0</v>
      </c>
      <c r="AW2634">
        <v>0</v>
      </c>
      <c r="AX2634">
        <v>16</v>
      </c>
      <c r="AY2634">
        <v>432</v>
      </c>
      <c r="AZ2634">
        <v>432</v>
      </c>
      <c r="BA2634">
        <v>728</v>
      </c>
      <c r="BB2634">
        <v>44</v>
      </c>
      <c r="BD2634">
        <v>1</v>
      </c>
      <c r="BF2634" t="s">
        <v>2830</v>
      </c>
      <c r="BG2634" s="1">
        <v>44354.056250000001</v>
      </c>
      <c r="BH2634" s="1">
        <v>44354.098900462966</v>
      </c>
      <c r="BI2634" s="1">
        <v>44354.099386574075</v>
      </c>
      <c r="BJ2634" t="s">
        <v>85</v>
      </c>
      <c r="BK2634" t="s">
        <v>86</v>
      </c>
      <c r="BL2634" t="s">
        <v>87</v>
      </c>
    </row>
    <row r="2635" spans="1:64" x14ac:dyDescent="0.3">
      <c r="A2635" t="str">
        <f>"201726C0200"</f>
        <v>201726C0200</v>
      </c>
      <c r="B2635" t="str">
        <f>"201726C02003"</f>
        <v>201726C02003</v>
      </c>
      <c r="C2635" t="str">
        <f t="shared" si="177"/>
        <v>20</v>
      </c>
      <c r="D2635" t="s">
        <v>81</v>
      </c>
      <c r="E2635" t="str">
        <f t="shared" si="175"/>
        <v>386</v>
      </c>
      <c r="F2635" t="s">
        <v>2746</v>
      </c>
      <c r="G2635" t="str">
        <f t="shared" si="178"/>
        <v>1726</v>
      </c>
      <c r="H2635" t="str">
        <f>"0002"</f>
        <v>0002</v>
      </c>
      <c r="I2635" t="s">
        <v>89</v>
      </c>
      <c r="J2635">
        <v>0</v>
      </c>
      <c r="K2635">
        <v>1</v>
      </c>
      <c r="L2635">
        <v>3</v>
      </c>
      <c r="M2635">
        <v>346</v>
      </c>
      <c r="N2635">
        <v>426</v>
      </c>
      <c r="O2635">
        <v>3</v>
      </c>
      <c r="P2635">
        <v>429</v>
      </c>
      <c r="Q2635">
        <v>7</v>
      </c>
      <c r="R2635">
        <v>37</v>
      </c>
      <c r="S2635">
        <v>6</v>
      </c>
      <c r="T2635">
        <v>5</v>
      </c>
      <c r="U2635">
        <v>35</v>
      </c>
      <c r="V2635">
        <v>6</v>
      </c>
      <c r="W2635">
        <v>6</v>
      </c>
      <c r="X2635">
        <v>146</v>
      </c>
      <c r="Y2635">
        <v>5</v>
      </c>
      <c r="Z2635">
        <v>9</v>
      </c>
      <c r="AA2635">
        <v>0</v>
      </c>
      <c r="AB2635">
        <v>153</v>
      </c>
      <c r="AJ2635">
        <v>0</v>
      </c>
      <c r="AK2635">
        <v>0</v>
      </c>
      <c r="AL2635">
        <v>0</v>
      </c>
      <c r="AM2635">
        <v>0</v>
      </c>
      <c r="AN2635">
        <v>0</v>
      </c>
      <c r="AO2635">
        <v>0</v>
      </c>
      <c r="AP2635">
        <v>0</v>
      </c>
      <c r="AQ2635">
        <v>0</v>
      </c>
      <c r="AR2635">
        <v>0</v>
      </c>
      <c r="AS2635">
        <v>0</v>
      </c>
      <c r="AT2635">
        <v>0</v>
      </c>
      <c r="AW2635">
        <v>0</v>
      </c>
      <c r="AX2635">
        <v>14</v>
      </c>
      <c r="AY2635">
        <v>429</v>
      </c>
      <c r="AZ2635">
        <v>429</v>
      </c>
      <c r="BA2635">
        <v>728</v>
      </c>
      <c r="BB2635">
        <v>44</v>
      </c>
      <c r="BD2635">
        <v>1</v>
      </c>
      <c r="BF2635" t="s">
        <v>2831</v>
      </c>
      <c r="BG2635" s="1">
        <v>44354.055555555555</v>
      </c>
      <c r="BH2635" s="1">
        <v>44354.100370370368</v>
      </c>
      <c r="BI2635" s="1">
        <v>44354.101145833331</v>
      </c>
      <c r="BJ2635" t="s">
        <v>85</v>
      </c>
      <c r="BK2635" t="s">
        <v>86</v>
      </c>
      <c r="BL2635" t="s">
        <v>87</v>
      </c>
    </row>
    <row r="2636" spans="1:64" x14ac:dyDescent="0.3">
      <c r="A2636" t="str">
        <f>"201726C0300"</f>
        <v>201726C0300</v>
      </c>
      <c r="B2636" t="str">
        <f>"201726C03003"</f>
        <v>201726C03003</v>
      </c>
      <c r="C2636" t="str">
        <f t="shared" si="177"/>
        <v>20</v>
      </c>
      <c r="D2636" t="s">
        <v>81</v>
      </c>
      <c r="E2636" t="str">
        <f t="shared" si="175"/>
        <v>386</v>
      </c>
      <c r="F2636" t="s">
        <v>2746</v>
      </c>
      <c r="G2636" t="str">
        <f t="shared" si="178"/>
        <v>1726</v>
      </c>
      <c r="H2636" t="str">
        <f>"0003"</f>
        <v>0003</v>
      </c>
      <c r="I2636" t="s">
        <v>89</v>
      </c>
      <c r="J2636">
        <v>0</v>
      </c>
      <c r="K2636">
        <v>1</v>
      </c>
      <c r="L2636">
        <v>3</v>
      </c>
      <c r="M2636">
        <v>353</v>
      </c>
      <c r="N2636">
        <v>420</v>
      </c>
      <c r="O2636">
        <v>4</v>
      </c>
      <c r="P2636" t="s">
        <v>92</v>
      </c>
      <c r="Q2636">
        <v>5</v>
      </c>
      <c r="R2636">
        <v>53</v>
      </c>
      <c r="S2636">
        <v>9</v>
      </c>
      <c r="T2636">
        <v>6</v>
      </c>
      <c r="U2636">
        <v>22</v>
      </c>
      <c r="V2636">
        <v>2</v>
      </c>
      <c r="W2636">
        <v>9</v>
      </c>
      <c r="X2636">
        <v>153</v>
      </c>
      <c r="Y2636">
        <v>4</v>
      </c>
      <c r="Z2636">
        <v>7</v>
      </c>
      <c r="AA2636">
        <v>5</v>
      </c>
      <c r="AB2636">
        <v>130</v>
      </c>
      <c r="AJ2636">
        <v>0</v>
      </c>
      <c r="AK2636">
        <v>1</v>
      </c>
      <c r="AL2636">
        <v>0</v>
      </c>
      <c r="AM2636">
        <v>0</v>
      </c>
      <c r="AN2636">
        <v>0</v>
      </c>
      <c r="AO2636">
        <v>0</v>
      </c>
      <c r="AP2636">
        <v>0</v>
      </c>
      <c r="AQ2636">
        <v>0</v>
      </c>
      <c r="AR2636">
        <v>1</v>
      </c>
      <c r="AS2636">
        <v>1</v>
      </c>
      <c r="AT2636">
        <v>0</v>
      </c>
      <c r="AW2636">
        <v>0</v>
      </c>
      <c r="AX2636">
        <v>8</v>
      </c>
      <c r="AY2636">
        <v>416</v>
      </c>
      <c r="AZ2636">
        <v>416</v>
      </c>
      <c r="BA2636">
        <v>728</v>
      </c>
      <c r="BB2636">
        <v>44</v>
      </c>
      <c r="BD2636">
        <v>1</v>
      </c>
      <c r="BF2636" t="s">
        <v>2832</v>
      </c>
      <c r="BG2636" s="1">
        <v>44354.056250000001</v>
      </c>
      <c r="BH2636" s="1">
        <v>44354.098368055558</v>
      </c>
      <c r="BI2636" s="1">
        <v>44354.099143518521</v>
      </c>
      <c r="BJ2636" t="s">
        <v>85</v>
      </c>
      <c r="BK2636" t="s">
        <v>86</v>
      </c>
      <c r="BL2636" t="s">
        <v>87</v>
      </c>
    </row>
    <row r="2637" spans="1:64" x14ac:dyDescent="0.3">
      <c r="A2637" t="str">
        <f>"201726C0400"</f>
        <v>201726C0400</v>
      </c>
      <c r="B2637" t="str">
        <f>"201726C04003"</f>
        <v>201726C04003</v>
      </c>
      <c r="C2637" t="str">
        <f t="shared" si="177"/>
        <v>20</v>
      </c>
      <c r="D2637" t="s">
        <v>81</v>
      </c>
      <c r="E2637" t="str">
        <f t="shared" si="175"/>
        <v>386</v>
      </c>
      <c r="F2637" t="s">
        <v>2746</v>
      </c>
      <c r="G2637" t="str">
        <f t="shared" si="178"/>
        <v>1726</v>
      </c>
      <c r="H2637" t="str">
        <f>"0004"</f>
        <v>0004</v>
      </c>
      <c r="I2637" t="s">
        <v>89</v>
      </c>
      <c r="J2637">
        <v>0</v>
      </c>
      <c r="K2637">
        <v>1</v>
      </c>
      <c r="L2637">
        <v>3</v>
      </c>
      <c r="M2637">
        <v>333</v>
      </c>
      <c r="N2637">
        <v>439</v>
      </c>
      <c r="O2637">
        <v>5</v>
      </c>
      <c r="P2637">
        <v>439</v>
      </c>
      <c r="Q2637">
        <v>9</v>
      </c>
      <c r="R2637">
        <v>50</v>
      </c>
      <c r="S2637">
        <v>9</v>
      </c>
      <c r="T2637">
        <v>10</v>
      </c>
      <c r="U2637">
        <v>30</v>
      </c>
      <c r="V2637">
        <v>4</v>
      </c>
      <c r="W2637">
        <v>5</v>
      </c>
      <c r="X2637">
        <v>141</v>
      </c>
      <c r="Y2637">
        <v>7</v>
      </c>
      <c r="Z2637">
        <v>13</v>
      </c>
      <c r="AA2637">
        <v>1</v>
      </c>
      <c r="AB2637">
        <v>140</v>
      </c>
      <c r="AJ2637">
        <v>0</v>
      </c>
      <c r="AK2637">
        <v>1</v>
      </c>
      <c r="AL2637">
        <v>0</v>
      </c>
      <c r="AM2637">
        <v>0</v>
      </c>
      <c r="AN2637">
        <v>0</v>
      </c>
      <c r="AO2637">
        <v>0</v>
      </c>
      <c r="AP2637">
        <v>0</v>
      </c>
      <c r="AQ2637">
        <v>0</v>
      </c>
      <c r="AR2637">
        <v>0</v>
      </c>
      <c r="AS2637">
        <v>0</v>
      </c>
      <c r="AT2637">
        <v>0</v>
      </c>
      <c r="AW2637">
        <v>0</v>
      </c>
      <c r="AX2637">
        <v>19</v>
      </c>
      <c r="AY2637">
        <v>439</v>
      </c>
      <c r="AZ2637">
        <v>439</v>
      </c>
      <c r="BA2637">
        <v>728</v>
      </c>
      <c r="BB2637">
        <v>44</v>
      </c>
      <c r="BD2637">
        <v>1</v>
      </c>
      <c r="BF2637" t="s">
        <v>2833</v>
      </c>
      <c r="BG2637" s="1">
        <v>44354.055555555555</v>
      </c>
      <c r="BH2637" s="1">
        <v>44354.099247685182</v>
      </c>
      <c r="BI2637" s="1">
        <v>44354.100254629629</v>
      </c>
      <c r="BJ2637" t="s">
        <v>85</v>
      </c>
      <c r="BK2637" t="s">
        <v>86</v>
      </c>
      <c r="BL2637" t="s">
        <v>87</v>
      </c>
    </row>
    <row r="2638" spans="1:64" x14ac:dyDescent="0.3">
      <c r="A2638" t="str">
        <f>"201726C0500"</f>
        <v>201726C0500</v>
      </c>
      <c r="B2638" t="str">
        <f>"201726C05003"</f>
        <v>201726C05003</v>
      </c>
      <c r="C2638" t="str">
        <f t="shared" si="177"/>
        <v>20</v>
      </c>
      <c r="D2638" t="s">
        <v>81</v>
      </c>
      <c r="E2638" t="str">
        <f t="shared" si="175"/>
        <v>386</v>
      </c>
      <c r="F2638" t="s">
        <v>2746</v>
      </c>
      <c r="G2638" t="str">
        <f t="shared" si="178"/>
        <v>1726</v>
      </c>
      <c r="H2638" t="str">
        <f>"0005"</f>
        <v>0005</v>
      </c>
      <c r="I2638" t="s">
        <v>89</v>
      </c>
      <c r="J2638">
        <v>0</v>
      </c>
      <c r="K2638">
        <v>1</v>
      </c>
      <c r="L2638">
        <v>3</v>
      </c>
      <c r="M2638">
        <v>377</v>
      </c>
      <c r="N2638">
        <v>771</v>
      </c>
      <c r="O2638">
        <v>6</v>
      </c>
      <c r="P2638">
        <v>394</v>
      </c>
      <c r="Q2638">
        <v>5</v>
      </c>
      <c r="R2638">
        <v>45</v>
      </c>
      <c r="S2638">
        <v>9</v>
      </c>
      <c r="T2638">
        <v>5</v>
      </c>
      <c r="U2638">
        <v>39</v>
      </c>
      <c r="V2638">
        <v>5</v>
      </c>
      <c r="W2638">
        <v>8</v>
      </c>
      <c r="X2638">
        <v>123</v>
      </c>
      <c r="Y2638">
        <v>5</v>
      </c>
      <c r="Z2638">
        <v>6</v>
      </c>
      <c r="AA2638">
        <v>4</v>
      </c>
      <c r="AB2638">
        <v>128</v>
      </c>
      <c r="AJ2638">
        <v>0</v>
      </c>
      <c r="AK2638">
        <v>0</v>
      </c>
      <c r="AL2638">
        <v>0</v>
      </c>
      <c r="AM2638">
        <v>0</v>
      </c>
      <c r="AN2638">
        <v>3</v>
      </c>
      <c r="AO2638">
        <v>0</v>
      </c>
      <c r="AP2638">
        <v>0</v>
      </c>
      <c r="AQ2638">
        <v>0</v>
      </c>
      <c r="AR2638">
        <v>0</v>
      </c>
      <c r="AS2638">
        <v>0</v>
      </c>
      <c r="AT2638">
        <v>0</v>
      </c>
      <c r="AW2638">
        <v>1</v>
      </c>
      <c r="AX2638">
        <v>8</v>
      </c>
      <c r="AY2638">
        <v>394</v>
      </c>
      <c r="AZ2638">
        <v>394</v>
      </c>
      <c r="BA2638">
        <v>727</v>
      </c>
      <c r="BB2638">
        <v>44</v>
      </c>
      <c r="BD2638">
        <v>1</v>
      </c>
      <c r="BF2638" t="s">
        <v>2834</v>
      </c>
      <c r="BG2638" s="1">
        <v>44354.055555555555</v>
      </c>
      <c r="BH2638" s="1">
        <v>44354.099768518521</v>
      </c>
      <c r="BI2638" s="1">
        <v>44354.100405092591</v>
      </c>
      <c r="BJ2638" t="s">
        <v>85</v>
      </c>
      <c r="BK2638" t="s">
        <v>86</v>
      </c>
      <c r="BL2638" t="s">
        <v>87</v>
      </c>
    </row>
    <row r="2639" spans="1:64" x14ac:dyDescent="0.3">
      <c r="A2639" t="str">
        <f>"201726E0100"</f>
        <v>201726E0100</v>
      </c>
      <c r="B2639" t="str">
        <f>"201726E01003"</f>
        <v>201726E01003</v>
      </c>
      <c r="C2639" t="str">
        <f t="shared" si="177"/>
        <v>20</v>
      </c>
      <c r="D2639" t="s">
        <v>81</v>
      </c>
      <c r="E2639" t="str">
        <f t="shared" si="175"/>
        <v>386</v>
      </c>
      <c r="F2639" t="s">
        <v>2746</v>
      </c>
      <c r="G2639" t="str">
        <f t="shared" si="178"/>
        <v>1726</v>
      </c>
      <c r="H2639" t="str">
        <f>"0001"</f>
        <v>0001</v>
      </c>
      <c r="I2639" t="s">
        <v>122</v>
      </c>
      <c r="J2639">
        <v>0</v>
      </c>
      <c r="K2639">
        <v>1</v>
      </c>
      <c r="L2639">
        <v>3</v>
      </c>
      <c r="M2639">
        <v>311</v>
      </c>
      <c r="N2639">
        <v>327</v>
      </c>
      <c r="O2639">
        <v>9</v>
      </c>
      <c r="P2639">
        <v>327</v>
      </c>
      <c r="Q2639">
        <v>4</v>
      </c>
      <c r="R2639">
        <v>24</v>
      </c>
      <c r="S2639">
        <v>1</v>
      </c>
      <c r="T2639">
        <v>5</v>
      </c>
      <c r="U2639">
        <v>42</v>
      </c>
      <c r="V2639">
        <v>3</v>
      </c>
      <c r="W2639">
        <v>11</v>
      </c>
      <c r="X2639">
        <v>82</v>
      </c>
      <c r="Y2639">
        <v>2</v>
      </c>
      <c r="Z2639">
        <v>4</v>
      </c>
      <c r="AA2639">
        <v>3</v>
      </c>
      <c r="AB2639">
        <v>132</v>
      </c>
      <c r="AJ2639">
        <v>0</v>
      </c>
      <c r="AK2639">
        <v>1</v>
      </c>
      <c r="AL2639">
        <v>0</v>
      </c>
      <c r="AM2639">
        <v>0</v>
      </c>
      <c r="AN2639">
        <v>0</v>
      </c>
      <c r="AO2639">
        <v>0</v>
      </c>
      <c r="AP2639">
        <v>0</v>
      </c>
      <c r="AQ2639">
        <v>0</v>
      </c>
      <c r="AR2639">
        <v>0</v>
      </c>
      <c r="AS2639">
        <v>0</v>
      </c>
      <c r="AT2639">
        <v>0</v>
      </c>
      <c r="AW2639">
        <v>0</v>
      </c>
      <c r="AX2639">
        <v>13</v>
      </c>
      <c r="AY2639">
        <v>327</v>
      </c>
      <c r="AZ2639">
        <v>327</v>
      </c>
      <c r="BA2639">
        <v>594</v>
      </c>
      <c r="BB2639">
        <v>44</v>
      </c>
      <c r="BD2639">
        <v>1</v>
      </c>
      <c r="BF2639" t="s">
        <v>2835</v>
      </c>
      <c r="BG2639" s="1">
        <v>44354.027777777781</v>
      </c>
      <c r="BH2639" s="1">
        <v>44354.063460648147</v>
      </c>
      <c r="BI2639" s="1">
        <v>44354.064756944441</v>
      </c>
      <c r="BJ2639" t="s">
        <v>85</v>
      </c>
      <c r="BK2639" t="s">
        <v>86</v>
      </c>
      <c r="BL2639" t="s">
        <v>87</v>
      </c>
    </row>
    <row r="2640" spans="1:64" x14ac:dyDescent="0.3">
      <c r="A2640" t="str">
        <f>"201727B0000"</f>
        <v>201727B0000</v>
      </c>
      <c r="B2640" t="str">
        <f>"201727B00003"</f>
        <v>201727B00003</v>
      </c>
      <c r="C2640" t="str">
        <f t="shared" si="177"/>
        <v>20</v>
      </c>
      <c r="D2640" t="s">
        <v>81</v>
      </c>
      <c r="E2640" t="str">
        <f t="shared" si="175"/>
        <v>386</v>
      </c>
      <c r="F2640" t="s">
        <v>2746</v>
      </c>
      <c r="G2640" t="str">
        <f t="shared" ref="G2640:G2645" si="179">"1727"</f>
        <v>1727</v>
      </c>
      <c r="H2640" t="str">
        <f>"0000"</f>
        <v>0000</v>
      </c>
      <c r="I2640" t="s">
        <v>83</v>
      </c>
      <c r="J2640">
        <v>0</v>
      </c>
      <c r="K2640">
        <v>1</v>
      </c>
      <c r="L2640">
        <v>3</v>
      </c>
      <c r="M2640">
        <v>284</v>
      </c>
      <c r="N2640">
        <v>461</v>
      </c>
      <c r="O2640">
        <v>4</v>
      </c>
      <c r="P2640">
        <v>461</v>
      </c>
      <c r="Q2640">
        <v>2</v>
      </c>
      <c r="R2640">
        <v>38</v>
      </c>
      <c r="S2640">
        <v>11</v>
      </c>
      <c r="T2640">
        <v>12</v>
      </c>
      <c r="U2640">
        <v>9</v>
      </c>
      <c r="V2640">
        <v>8</v>
      </c>
      <c r="W2640">
        <v>10</v>
      </c>
      <c r="X2640">
        <v>143</v>
      </c>
      <c r="Y2640">
        <v>4</v>
      </c>
      <c r="Z2640">
        <v>1</v>
      </c>
      <c r="AA2640">
        <v>2</v>
      </c>
      <c r="AB2640">
        <v>202</v>
      </c>
      <c r="AJ2640">
        <v>1</v>
      </c>
      <c r="AK2640">
        <v>1</v>
      </c>
      <c r="AL2640">
        <v>0</v>
      </c>
      <c r="AM2640">
        <v>0</v>
      </c>
      <c r="AN2640">
        <v>0</v>
      </c>
      <c r="AO2640">
        <v>1</v>
      </c>
      <c r="AP2640">
        <v>0</v>
      </c>
      <c r="AQ2640">
        <v>0</v>
      </c>
      <c r="AR2640">
        <v>0</v>
      </c>
      <c r="AS2640">
        <v>0</v>
      </c>
      <c r="AT2640">
        <v>0</v>
      </c>
      <c r="AW2640">
        <v>0</v>
      </c>
      <c r="AX2640">
        <v>16</v>
      </c>
      <c r="AY2640">
        <v>461</v>
      </c>
      <c r="AZ2640">
        <v>461</v>
      </c>
      <c r="BA2640">
        <v>701</v>
      </c>
      <c r="BB2640">
        <v>44</v>
      </c>
      <c r="BD2640">
        <v>1</v>
      </c>
      <c r="BF2640" t="s">
        <v>2836</v>
      </c>
      <c r="BG2640" s="1">
        <v>44354.06527777778</v>
      </c>
      <c r="BH2640" s="1">
        <v>44354.084560185183</v>
      </c>
      <c r="BI2640" s="1">
        <v>44354.08556712963</v>
      </c>
      <c r="BJ2640" t="s">
        <v>85</v>
      </c>
      <c r="BK2640" t="s">
        <v>86</v>
      </c>
      <c r="BL2640" t="s">
        <v>87</v>
      </c>
    </row>
    <row r="2641" spans="1:64" x14ac:dyDescent="0.3">
      <c r="A2641" t="str">
        <f>"201727C0100"</f>
        <v>201727C0100</v>
      </c>
      <c r="B2641" t="str">
        <f>"201727C01003"</f>
        <v>201727C01003</v>
      </c>
      <c r="C2641" t="str">
        <f t="shared" si="177"/>
        <v>20</v>
      </c>
      <c r="D2641" t="s">
        <v>81</v>
      </c>
      <c r="E2641" t="str">
        <f t="shared" si="175"/>
        <v>386</v>
      </c>
      <c r="F2641" t="s">
        <v>2746</v>
      </c>
      <c r="G2641" t="str">
        <f t="shared" si="179"/>
        <v>1727</v>
      </c>
      <c r="H2641" t="str">
        <f>"0001"</f>
        <v>0001</v>
      </c>
      <c r="I2641" t="s">
        <v>89</v>
      </c>
      <c r="J2641">
        <v>0</v>
      </c>
      <c r="K2641">
        <v>1</v>
      </c>
      <c r="L2641">
        <v>3</v>
      </c>
      <c r="M2641">
        <v>305</v>
      </c>
      <c r="N2641">
        <v>440</v>
      </c>
      <c r="O2641">
        <v>7</v>
      </c>
      <c r="P2641">
        <v>441</v>
      </c>
      <c r="Q2641">
        <v>9</v>
      </c>
      <c r="R2641">
        <v>40</v>
      </c>
      <c r="S2641">
        <v>11</v>
      </c>
      <c r="T2641">
        <v>11</v>
      </c>
      <c r="U2641">
        <v>8</v>
      </c>
      <c r="V2641">
        <v>4</v>
      </c>
      <c r="W2641">
        <v>16</v>
      </c>
      <c r="X2641">
        <v>161</v>
      </c>
      <c r="Y2641">
        <v>1</v>
      </c>
      <c r="Z2641">
        <v>9</v>
      </c>
      <c r="AA2641">
        <v>3</v>
      </c>
      <c r="AB2641">
        <v>151</v>
      </c>
      <c r="AJ2641">
        <v>1</v>
      </c>
      <c r="AK2641">
        <v>3</v>
      </c>
      <c r="AL2641" t="s">
        <v>95</v>
      </c>
      <c r="AM2641" t="s">
        <v>95</v>
      </c>
      <c r="AN2641" t="s">
        <v>95</v>
      </c>
      <c r="AO2641" t="s">
        <v>95</v>
      </c>
      <c r="AP2641" t="s">
        <v>95</v>
      </c>
      <c r="AQ2641" t="s">
        <v>95</v>
      </c>
      <c r="AR2641" t="s">
        <v>95</v>
      </c>
      <c r="AS2641" t="s">
        <v>95</v>
      </c>
      <c r="AT2641" t="s">
        <v>95</v>
      </c>
      <c r="AW2641" t="s">
        <v>95</v>
      </c>
      <c r="AX2641">
        <v>13</v>
      </c>
      <c r="AY2641">
        <v>441</v>
      </c>
      <c r="AZ2641">
        <v>441</v>
      </c>
      <c r="BA2641">
        <v>701</v>
      </c>
      <c r="BB2641">
        <v>44</v>
      </c>
      <c r="BC2641" t="s">
        <v>96</v>
      </c>
      <c r="BD2641">
        <v>1</v>
      </c>
      <c r="BF2641" t="s">
        <v>2837</v>
      </c>
      <c r="BG2641" s="1">
        <v>44353.75</v>
      </c>
      <c r="BH2641" s="1">
        <v>44354.086296296293</v>
      </c>
      <c r="BI2641" s="1">
        <v>44354.086782407408</v>
      </c>
      <c r="BJ2641" t="s">
        <v>85</v>
      </c>
      <c r="BK2641" t="s">
        <v>86</v>
      </c>
      <c r="BL2641" t="s">
        <v>87</v>
      </c>
    </row>
    <row r="2642" spans="1:64" x14ac:dyDescent="0.3">
      <c r="A2642" t="str">
        <f>"201727C0200"</f>
        <v>201727C0200</v>
      </c>
      <c r="B2642" t="str">
        <f>"201727C02003"</f>
        <v>201727C02003</v>
      </c>
      <c r="C2642" t="str">
        <f t="shared" si="177"/>
        <v>20</v>
      </c>
      <c r="D2642" t="s">
        <v>81</v>
      </c>
      <c r="E2642" t="str">
        <f t="shared" si="175"/>
        <v>386</v>
      </c>
      <c r="F2642" t="s">
        <v>2746</v>
      </c>
      <c r="G2642" t="str">
        <f t="shared" si="179"/>
        <v>1727</v>
      </c>
      <c r="H2642" t="str">
        <f>"0002"</f>
        <v>0002</v>
      </c>
      <c r="I2642" t="s">
        <v>89</v>
      </c>
      <c r="J2642">
        <v>0</v>
      </c>
      <c r="K2642">
        <v>1</v>
      </c>
      <c r="L2642">
        <v>3</v>
      </c>
      <c r="M2642">
        <v>296</v>
      </c>
      <c r="N2642">
        <v>449</v>
      </c>
      <c r="O2642">
        <v>2</v>
      </c>
      <c r="P2642">
        <v>448</v>
      </c>
      <c r="Q2642">
        <v>6</v>
      </c>
      <c r="R2642">
        <v>38</v>
      </c>
      <c r="S2642">
        <v>4</v>
      </c>
      <c r="T2642">
        <v>5</v>
      </c>
      <c r="U2642">
        <v>8</v>
      </c>
      <c r="V2642">
        <v>4</v>
      </c>
      <c r="W2642">
        <v>10</v>
      </c>
      <c r="X2642">
        <v>140</v>
      </c>
      <c r="Y2642">
        <v>4</v>
      </c>
      <c r="Z2642">
        <v>11</v>
      </c>
      <c r="AA2642">
        <v>2</v>
      </c>
      <c r="AB2642">
        <v>201</v>
      </c>
      <c r="AJ2642" t="s">
        <v>95</v>
      </c>
      <c r="AK2642" t="s">
        <v>95</v>
      </c>
      <c r="AL2642" t="s">
        <v>95</v>
      </c>
      <c r="AM2642" t="s">
        <v>95</v>
      </c>
      <c r="AN2642" t="s">
        <v>95</v>
      </c>
      <c r="AO2642" t="s">
        <v>95</v>
      </c>
      <c r="AP2642" t="s">
        <v>95</v>
      </c>
      <c r="AQ2642" t="s">
        <v>95</v>
      </c>
      <c r="AR2642" t="s">
        <v>95</v>
      </c>
      <c r="AS2642" t="s">
        <v>95</v>
      </c>
      <c r="AT2642" t="s">
        <v>95</v>
      </c>
      <c r="AW2642" t="s">
        <v>95</v>
      </c>
      <c r="AX2642">
        <v>15</v>
      </c>
      <c r="AY2642">
        <v>448</v>
      </c>
      <c r="AZ2642">
        <v>448</v>
      </c>
      <c r="BA2642">
        <v>701</v>
      </c>
      <c r="BB2642">
        <v>44</v>
      </c>
      <c r="BC2642" t="s">
        <v>96</v>
      </c>
      <c r="BD2642">
        <v>1</v>
      </c>
      <c r="BF2642" t="s">
        <v>2838</v>
      </c>
      <c r="BG2642" s="1">
        <v>44354.064583333333</v>
      </c>
      <c r="BH2642" s="1">
        <v>44354.0859837963</v>
      </c>
      <c r="BI2642" s="1">
        <v>44354.086516203701</v>
      </c>
      <c r="BJ2642" t="s">
        <v>85</v>
      </c>
      <c r="BK2642" t="s">
        <v>86</v>
      </c>
      <c r="BL2642" t="s">
        <v>87</v>
      </c>
    </row>
    <row r="2643" spans="1:64" x14ac:dyDescent="0.3">
      <c r="A2643" t="str">
        <f>"201727C0300"</f>
        <v>201727C0300</v>
      </c>
      <c r="B2643" t="str">
        <f>"201727C03003"</f>
        <v>201727C03003</v>
      </c>
      <c r="C2643" t="str">
        <f t="shared" si="177"/>
        <v>20</v>
      </c>
      <c r="D2643" t="s">
        <v>81</v>
      </c>
      <c r="E2643" t="str">
        <f t="shared" si="175"/>
        <v>386</v>
      </c>
      <c r="F2643" t="s">
        <v>2746</v>
      </c>
      <c r="G2643" t="str">
        <f t="shared" si="179"/>
        <v>1727</v>
      </c>
      <c r="H2643" t="str">
        <f>"0003"</f>
        <v>0003</v>
      </c>
      <c r="I2643" t="s">
        <v>89</v>
      </c>
      <c r="J2643">
        <v>0</v>
      </c>
      <c r="K2643">
        <v>1</v>
      </c>
      <c r="L2643">
        <v>3</v>
      </c>
      <c r="M2643">
        <v>326</v>
      </c>
      <c r="N2643">
        <v>418</v>
      </c>
      <c r="O2643">
        <v>1</v>
      </c>
      <c r="P2643">
        <v>417</v>
      </c>
      <c r="Q2643">
        <v>9</v>
      </c>
      <c r="R2643">
        <v>47</v>
      </c>
      <c r="S2643">
        <v>9</v>
      </c>
      <c r="T2643">
        <v>7</v>
      </c>
      <c r="U2643">
        <v>8</v>
      </c>
      <c r="V2643">
        <v>2</v>
      </c>
      <c r="W2643">
        <v>9</v>
      </c>
      <c r="X2643">
        <v>118</v>
      </c>
      <c r="Y2643">
        <v>9</v>
      </c>
      <c r="Z2643">
        <v>11</v>
      </c>
      <c r="AA2643">
        <v>2</v>
      </c>
      <c r="AB2643">
        <v>178</v>
      </c>
      <c r="AJ2643">
        <v>0</v>
      </c>
      <c r="AK2643">
        <v>1</v>
      </c>
      <c r="AL2643">
        <v>0</v>
      </c>
      <c r="AM2643">
        <v>0</v>
      </c>
      <c r="AN2643">
        <v>0</v>
      </c>
      <c r="AO2643">
        <v>1</v>
      </c>
      <c r="AP2643">
        <v>1</v>
      </c>
      <c r="AQ2643">
        <v>0</v>
      </c>
      <c r="AR2643">
        <v>0</v>
      </c>
      <c r="AS2643">
        <v>0</v>
      </c>
      <c r="AT2643">
        <v>0</v>
      </c>
      <c r="AW2643">
        <v>0</v>
      </c>
      <c r="AX2643">
        <v>5</v>
      </c>
      <c r="AY2643">
        <v>417</v>
      </c>
      <c r="AZ2643">
        <v>417</v>
      </c>
      <c r="BA2643">
        <v>701</v>
      </c>
      <c r="BB2643">
        <v>44</v>
      </c>
      <c r="BD2643">
        <v>1</v>
      </c>
      <c r="BF2643" t="s">
        <v>2839</v>
      </c>
      <c r="BG2643" s="1">
        <v>44354.06527777778</v>
      </c>
      <c r="BH2643" s="1">
        <v>44354.08394675926</v>
      </c>
      <c r="BI2643" s="1">
        <v>44354.084432870368</v>
      </c>
      <c r="BJ2643" t="s">
        <v>85</v>
      </c>
      <c r="BK2643" t="s">
        <v>86</v>
      </c>
      <c r="BL2643" t="s">
        <v>87</v>
      </c>
    </row>
    <row r="2644" spans="1:64" x14ac:dyDescent="0.3">
      <c r="A2644" t="str">
        <f>"201727C0400"</f>
        <v>201727C0400</v>
      </c>
      <c r="B2644" t="str">
        <f>"201727C04003"</f>
        <v>201727C04003</v>
      </c>
      <c r="C2644" t="str">
        <f t="shared" si="177"/>
        <v>20</v>
      </c>
      <c r="D2644" t="s">
        <v>81</v>
      </c>
      <c r="E2644" t="str">
        <f t="shared" si="175"/>
        <v>386</v>
      </c>
      <c r="F2644" t="s">
        <v>2746</v>
      </c>
      <c r="G2644" t="str">
        <f t="shared" si="179"/>
        <v>1727</v>
      </c>
      <c r="H2644" t="str">
        <f>"0004"</f>
        <v>0004</v>
      </c>
      <c r="I2644" t="s">
        <v>89</v>
      </c>
      <c r="J2644">
        <v>0</v>
      </c>
      <c r="K2644">
        <v>1</v>
      </c>
      <c r="L2644">
        <v>3</v>
      </c>
      <c r="M2644">
        <v>311</v>
      </c>
      <c r="N2644">
        <v>435</v>
      </c>
      <c r="O2644">
        <v>2</v>
      </c>
      <c r="P2644">
        <v>435</v>
      </c>
      <c r="Q2644">
        <v>9</v>
      </c>
      <c r="R2644">
        <v>37</v>
      </c>
      <c r="S2644">
        <v>7</v>
      </c>
      <c r="T2644">
        <v>17</v>
      </c>
      <c r="U2644">
        <v>12</v>
      </c>
      <c r="V2644">
        <v>1</v>
      </c>
      <c r="W2644">
        <v>10</v>
      </c>
      <c r="X2644">
        <v>133</v>
      </c>
      <c r="Y2644">
        <v>4</v>
      </c>
      <c r="Z2644" t="s">
        <v>95</v>
      </c>
      <c r="AA2644">
        <v>2</v>
      </c>
      <c r="AB2644">
        <v>193</v>
      </c>
      <c r="AJ2644">
        <v>0</v>
      </c>
      <c r="AK2644">
        <v>0</v>
      </c>
      <c r="AL2644">
        <v>0</v>
      </c>
      <c r="AM2644">
        <v>0</v>
      </c>
      <c r="AN2644">
        <v>0</v>
      </c>
      <c r="AO2644">
        <v>0</v>
      </c>
      <c r="AP2644">
        <v>1</v>
      </c>
      <c r="AQ2644">
        <v>0</v>
      </c>
      <c r="AR2644">
        <v>0</v>
      </c>
      <c r="AS2644">
        <v>0</v>
      </c>
      <c r="AT2644">
        <v>0</v>
      </c>
      <c r="AW2644">
        <v>1</v>
      </c>
      <c r="AX2644">
        <v>8</v>
      </c>
      <c r="AY2644">
        <v>435</v>
      </c>
      <c r="AZ2644">
        <v>435</v>
      </c>
      <c r="BA2644">
        <v>701</v>
      </c>
      <c r="BB2644">
        <v>44</v>
      </c>
      <c r="BC2644" t="s">
        <v>96</v>
      </c>
      <c r="BD2644">
        <v>1</v>
      </c>
      <c r="BF2644" t="s">
        <v>2840</v>
      </c>
      <c r="BG2644" s="1">
        <v>44354.06527777778</v>
      </c>
      <c r="BH2644" s="1">
        <v>44354.082476851851</v>
      </c>
      <c r="BI2644" s="1">
        <v>44354.083437499998</v>
      </c>
      <c r="BJ2644" t="s">
        <v>85</v>
      </c>
      <c r="BK2644" t="s">
        <v>86</v>
      </c>
      <c r="BL2644" t="s">
        <v>87</v>
      </c>
    </row>
    <row r="2645" spans="1:64" x14ac:dyDescent="0.3">
      <c r="A2645" t="str">
        <f>"201727C0500"</f>
        <v>201727C0500</v>
      </c>
      <c r="B2645" t="str">
        <f>"201727C05003"</f>
        <v>201727C05003</v>
      </c>
      <c r="C2645" t="str">
        <f t="shared" si="177"/>
        <v>20</v>
      </c>
      <c r="D2645" t="s">
        <v>81</v>
      </c>
      <c r="E2645" t="str">
        <f t="shared" si="175"/>
        <v>386</v>
      </c>
      <c r="F2645" t="s">
        <v>2746</v>
      </c>
      <c r="G2645" t="str">
        <f t="shared" si="179"/>
        <v>1727</v>
      </c>
      <c r="H2645" t="str">
        <f>"0005"</f>
        <v>0005</v>
      </c>
      <c r="I2645" t="s">
        <v>89</v>
      </c>
      <c r="J2645">
        <v>0</v>
      </c>
      <c r="K2645">
        <v>1</v>
      </c>
      <c r="L2645">
        <v>3</v>
      </c>
      <c r="M2645">
        <v>305</v>
      </c>
      <c r="N2645">
        <v>440</v>
      </c>
      <c r="O2645">
        <v>2</v>
      </c>
      <c r="P2645">
        <v>439</v>
      </c>
      <c r="Q2645">
        <v>10</v>
      </c>
      <c r="R2645">
        <v>48</v>
      </c>
      <c r="S2645">
        <v>6</v>
      </c>
      <c r="T2645">
        <v>12</v>
      </c>
      <c r="U2645">
        <v>10</v>
      </c>
      <c r="V2645">
        <v>6</v>
      </c>
      <c r="W2645">
        <v>7</v>
      </c>
      <c r="X2645">
        <v>132</v>
      </c>
      <c r="Y2645">
        <v>4</v>
      </c>
      <c r="Z2645">
        <v>7</v>
      </c>
      <c r="AA2645">
        <v>3</v>
      </c>
      <c r="AB2645">
        <v>178</v>
      </c>
      <c r="AJ2645">
        <v>1</v>
      </c>
      <c r="AK2645">
        <v>0</v>
      </c>
      <c r="AL2645">
        <v>0</v>
      </c>
      <c r="AM2645">
        <v>0</v>
      </c>
      <c r="AN2645">
        <v>0</v>
      </c>
      <c r="AO2645">
        <v>0</v>
      </c>
      <c r="AP2645">
        <v>0</v>
      </c>
      <c r="AQ2645">
        <v>0</v>
      </c>
      <c r="AR2645">
        <v>0</v>
      </c>
      <c r="AS2645">
        <v>1</v>
      </c>
      <c r="AT2645">
        <v>0</v>
      </c>
      <c r="AW2645">
        <v>0</v>
      </c>
      <c r="AX2645">
        <v>14</v>
      </c>
      <c r="AY2645">
        <v>439</v>
      </c>
      <c r="AZ2645">
        <v>439</v>
      </c>
      <c r="BA2645">
        <v>701</v>
      </c>
      <c r="BB2645">
        <v>44</v>
      </c>
      <c r="BD2645">
        <v>1</v>
      </c>
      <c r="BF2645" t="s">
        <v>2841</v>
      </c>
      <c r="BG2645" s="1">
        <v>44354.06527777778</v>
      </c>
      <c r="BH2645" s="1">
        <v>44354.087037037039</v>
      </c>
      <c r="BI2645" s="1">
        <v>44354.088194444441</v>
      </c>
      <c r="BJ2645" t="s">
        <v>85</v>
      </c>
      <c r="BK2645" t="s">
        <v>86</v>
      </c>
      <c r="BL2645" t="s">
        <v>87</v>
      </c>
    </row>
    <row r="2646" spans="1:64" x14ac:dyDescent="0.3">
      <c r="A2646" t="str">
        <f>"201728B0000"</f>
        <v>201728B0000</v>
      </c>
      <c r="B2646" t="str">
        <f>"201728B00003"</f>
        <v>201728B00003</v>
      </c>
      <c r="C2646" t="str">
        <f t="shared" si="177"/>
        <v>20</v>
      </c>
      <c r="D2646" t="s">
        <v>81</v>
      </c>
      <c r="E2646" t="str">
        <f t="shared" si="175"/>
        <v>386</v>
      </c>
      <c r="F2646" t="s">
        <v>2746</v>
      </c>
      <c r="G2646" t="str">
        <f t="shared" ref="G2646:G2655" si="180">"1728"</f>
        <v>1728</v>
      </c>
      <c r="H2646" t="str">
        <f>"0000"</f>
        <v>0000</v>
      </c>
      <c r="I2646" t="s">
        <v>83</v>
      </c>
      <c r="J2646">
        <v>0</v>
      </c>
      <c r="K2646">
        <v>1</v>
      </c>
      <c r="L2646">
        <v>3</v>
      </c>
      <c r="M2646">
        <v>275</v>
      </c>
      <c r="N2646">
        <v>334</v>
      </c>
      <c r="O2646">
        <v>8</v>
      </c>
      <c r="P2646">
        <v>334</v>
      </c>
      <c r="Q2646">
        <v>15</v>
      </c>
      <c r="R2646">
        <v>31</v>
      </c>
      <c r="S2646">
        <v>8</v>
      </c>
      <c r="T2646">
        <v>3</v>
      </c>
      <c r="U2646">
        <v>30</v>
      </c>
      <c r="V2646">
        <v>7</v>
      </c>
      <c r="W2646">
        <v>6</v>
      </c>
      <c r="X2646">
        <v>98</v>
      </c>
      <c r="Y2646">
        <v>2</v>
      </c>
      <c r="Z2646">
        <v>9</v>
      </c>
      <c r="AA2646">
        <v>1</v>
      </c>
      <c r="AB2646">
        <v>112</v>
      </c>
      <c r="AJ2646">
        <v>1</v>
      </c>
      <c r="AK2646">
        <v>1</v>
      </c>
      <c r="AL2646">
        <v>0</v>
      </c>
      <c r="AM2646">
        <v>0</v>
      </c>
      <c r="AN2646">
        <v>0</v>
      </c>
      <c r="AO2646">
        <v>0</v>
      </c>
      <c r="AP2646">
        <v>1</v>
      </c>
      <c r="AQ2646">
        <v>0</v>
      </c>
      <c r="AR2646">
        <v>0</v>
      </c>
      <c r="AS2646">
        <v>0</v>
      </c>
      <c r="AT2646">
        <v>0</v>
      </c>
      <c r="AW2646">
        <v>0</v>
      </c>
      <c r="AX2646">
        <v>9</v>
      </c>
      <c r="AY2646">
        <v>334</v>
      </c>
      <c r="AZ2646">
        <v>334</v>
      </c>
      <c r="BA2646">
        <v>565</v>
      </c>
      <c r="BB2646">
        <v>44</v>
      </c>
      <c r="BD2646">
        <v>1</v>
      </c>
      <c r="BF2646" t="s">
        <v>2842</v>
      </c>
      <c r="BG2646" s="1">
        <v>44353.956944444442</v>
      </c>
      <c r="BH2646" s="1">
        <v>44353.976875</v>
      </c>
      <c r="BI2646" s="1">
        <v>44353.97761574074</v>
      </c>
      <c r="BJ2646" t="s">
        <v>85</v>
      </c>
      <c r="BK2646" t="s">
        <v>86</v>
      </c>
      <c r="BL2646" t="s">
        <v>87</v>
      </c>
    </row>
    <row r="2647" spans="1:64" x14ac:dyDescent="0.3">
      <c r="A2647" t="str">
        <f>"201728C0100"</f>
        <v>201728C0100</v>
      </c>
      <c r="B2647" t="str">
        <f>"201728C01003"</f>
        <v>201728C01003</v>
      </c>
      <c r="C2647" t="str">
        <f t="shared" si="177"/>
        <v>20</v>
      </c>
      <c r="D2647" t="s">
        <v>81</v>
      </c>
      <c r="E2647" t="str">
        <f t="shared" ref="E2647:E2659" si="181">"386"</f>
        <v>386</v>
      </c>
      <c r="F2647" t="s">
        <v>2746</v>
      </c>
      <c r="G2647" t="str">
        <f t="shared" si="180"/>
        <v>1728</v>
      </c>
      <c r="H2647" t="str">
        <f>"0001"</f>
        <v>0001</v>
      </c>
      <c r="I2647" t="s">
        <v>89</v>
      </c>
      <c r="J2647">
        <v>0</v>
      </c>
      <c r="K2647">
        <v>1</v>
      </c>
      <c r="L2647">
        <v>3</v>
      </c>
      <c r="M2647">
        <v>269</v>
      </c>
      <c r="N2647">
        <v>340</v>
      </c>
      <c r="O2647">
        <v>9</v>
      </c>
      <c r="P2647">
        <v>340</v>
      </c>
      <c r="Q2647">
        <v>9</v>
      </c>
      <c r="R2647">
        <v>28</v>
      </c>
      <c r="S2647">
        <v>6</v>
      </c>
      <c r="T2647">
        <v>7</v>
      </c>
      <c r="U2647">
        <v>46</v>
      </c>
      <c r="V2647">
        <v>6</v>
      </c>
      <c r="W2647">
        <v>8</v>
      </c>
      <c r="X2647">
        <v>104</v>
      </c>
      <c r="Y2647">
        <v>3</v>
      </c>
      <c r="Z2647">
        <v>8</v>
      </c>
      <c r="AA2647">
        <v>4</v>
      </c>
      <c r="AB2647">
        <v>98</v>
      </c>
      <c r="AJ2647">
        <v>0</v>
      </c>
      <c r="AK2647">
        <v>0</v>
      </c>
      <c r="AL2647">
        <v>0</v>
      </c>
      <c r="AM2647">
        <v>0</v>
      </c>
      <c r="AN2647">
        <v>0</v>
      </c>
      <c r="AO2647">
        <v>0</v>
      </c>
      <c r="AP2647">
        <v>0</v>
      </c>
      <c r="AQ2647">
        <v>0</v>
      </c>
      <c r="AR2647">
        <v>0</v>
      </c>
      <c r="AS2647">
        <v>0</v>
      </c>
      <c r="AT2647">
        <v>0</v>
      </c>
      <c r="AW2647">
        <v>0</v>
      </c>
      <c r="AX2647">
        <v>13</v>
      </c>
      <c r="AY2647">
        <v>340</v>
      </c>
      <c r="AZ2647">
        <v>340</v>
      </c>
      <c r="BA2647">
        <v>565</v>
      </c>
      <c r="BB2647">
        <v>44</v>
      </c>
      <c r="BD2647">
        <v>1</v>
      </c>
      <c r="BF2647" t="s">
        <v>2843</v>
      </c>
      <c r="BG2647" s="1">
        <v>44353.956944444442</v>
      </c>
      <c r="BH2647" s="1">
        <v>44353.974560185183</v>
      </c>
      <c r="BI2647" s="1">
        <v>44353.975254629629</v>
      </c>
      <c r="BJ2647" t="s">
        <v>85</v>
      </c>
      <c r="BK2647" t="s">
        <v>86</v>
      </c>
      <c r="BL2647" t="s">
        <v>87</v>
      </c>
    </row>
    <row r="2648" spans="1:64" x14ac:dyDescent="0.3">
      <c r="A2648" t="str">
        <f>"201728C0200"</f>
        <v>201728C0200</v>
      </c>
      <c r="B2648" t="str">
        <f>"201728C02003"</f>
        <v>201728C02003</v>
      </c>
      <c r="C2648" t="str">
        <f t="shared" si="177"/>
        <v>20</v>
      </c>
      <c r="D2648" t="s">
        <v>81</v>
      </c>
      <c r="E2648" t="str">
        <f t="shared" si="181"/>
        <v>386</v>
      </c>
      <c r="F2648" t="s">
        <v>2746</v>
      </c>
      <c r="G2648" t="str">
        <f t="shared" si="180"/>
        <v>1728</v>
      </c>
      <c r="H2648" t="str">
        <f>"0002"</f>
        <v>0002</v>
      </c>
      <c r="I2648" t="s">
        <v>89</v>
      </c>
      <c r="J2648">
        <v>0</v>
      </c>
      <c r="K2648">
        <v>1</v>
      </c>
      <c r="L2648">
        <v>3</v>
      </c>
      <c r="M2648">
        <v>280</v>
      </c>
      <c r="N2648">
        <v>328</v>
      </c>
      <c r="O2648">
        <v>6</v>
      </c>
      <c r="P2648">
        <v>328</v>
      </c>
      <c r="Q2648">
        <v>9</v>
      </c>
      <c r="R2648">
        <v>24</v>
      </c>
      <c r="S2648">
        <v>4</v>
      </c>
      <c r="T2648">
        <v>8</v>
      </c>
      <c r="U2648">
        <v>24</v>
      </c>
      <c r="V2648">
        <v>3</v>
      </c>
      <c r="W2648">
        <v>6</v>
      </c>
      <c r="X2648">
        <v>103</v>
      </c>
      <c r="Y2648">
        <v>3</v>
      </c>
      <c r="Z2648">
        <v>9</v>
      </c>
      <c r="AA2648">
        <v>5</v>
      </c>
      <c r="AB2648">
        <v>121</v>
      </c>
      <c r="AJ2648">
        <v>0</v>
      </c>
      <c r="AK2648">
        <v>1</v>
      </c>
      <c r="AL2648">
        <v>0</v>
      </c>
      <c r="AM2648">
        <v>0</v>
      </c>
      <c r="AN2648">
        <v>0</v>
      </c>
      <c r="AO2648">
        <v>2</v>
      </c>
      <c r="AP2648">
        <v>0</v>
      </c>
      <c r="AQ2648">
        <v>0</v>
      </c>
      <c r="AR2648">
        <v>0</v>
      </c>
      <c r="AS2648">
        <v>0</v>
      </c>
      <c r="AT2648">
        <v>0</v>
      </c>
      <c r="AW2648">
        <v>0</v>
      </c>
      <c r="AX2648">
        <v>6</v>
      </c>
      <c r="AY2648">
        <v>328</v>
      </c>
      <c r="AZ2648">
        <v>328</v>
      </c>
      <c r="BA2648">
        <v>564</v>
      </c>
      <c r="BB2648">
        <v>44</v>
      </c>
      <c r="BD2648">
        <v>1</v>
      </c>
      <c r="BF2648" t="s">
        <v>2844</v>
      </c>
      <c r="BG2648" s="1">
        <v>44353.957638888889</v>
      </c>
      <c r="BH2648" s="1">
        <v>44353.97556712963</v>
      </c>
      <c r="BI2648" s="1">
        <v>44353.9762962963</v>
      </c>
      <c r="BJ2648" t="s">
        <v>85</v>
      </c>
      <c r="BK2648" t="s">
        <v>86</v>
      </c>
      <c r="BL2648" t="s">
        <v>87</v>
      </c>
    </row>
    <row r="2649" spans="1:64" x14ac:dyDescent="0.3">
      <c r="A2649" t="str">
        <f>"201728C0300"</f>
        <v>201728C0300</v>
      </c>
      <c r="B2649" t="str">
        <f>"201728C03003"</f>
        <v>201728C03003</v>
      </c>
      <c r="C2649" t="str">
        <f t="shared" si="177"/>
        <v>20</v>
      </c>
      <c r="D2649" t="s">
        <v>81</v>
      </c>
      <c r="E2649" t="str">
        <f t="shared" si="181"/>
        <v>386</v>
      </c>
      <c r="F2649" t="s">
        <v>2746</v>
      </c>
      <c r="G2649" t="str">
        <f t="shared" si="180"/>
        <v>1728</v>
      </c>
      <c r="H2649" t="str">
        <f>"0003"</f>
        <v>0003</v>
      </c>
      <c r="I2649" t="s">
        <v>89</v>
      </c>
      <c r="J2649">
        <v>0</v>
      </c>
      <c r="K2649">
        <v>1</v>
      </c>
      <c r="L2649">
        <v>3</v>
      </c>
      <c r="M2649">
        <v>281</v>
      </c>
      <c r="N2649">
        <v>327</v>
      </c>
      <c r="O2649">
        <v>11</v>
      </c>
      <c r="P2649">
        <v>327</v>
      </c>
      <c r="Q2649">
        <v>11</v>
      </c>
      <c r="R2649">
        <v>25</v>
      </c>
      <c r="S2649">
        <v>4</v>
      </c>
      <c r="T2649">
        <v>8</v>
      </c>
      <c r="U2649">
        <v>30</v>
      </c>
      <c r="V2649">
        <v>4</v>
      </c>
      <c r="W2649">
        <v>4</v>
      </c>
      <c r="X2649">
        <v>104</v>
      </c>
      <c r="Y2649">
        <v>2</v>
      </c>
      <c r="Z2649">
        <v>11</v>
      </c>
      <c r="AA2649">
        <v>3</v>
      </c>
      <c r="AB2649">
        <v>113</v>
      </c>
      <c r="AJ2649">
        <v>0</v>
      </c>
      <c r="AK2649">
        <v>2</v>
      </c>
      <c r="AL2649">
        <v>0</v>
      </c>
      <c r="AM2649">
        <v>0</v>
      </c>
      <c r="AN2649">
        <v>0</v>
      </c>
      <c r="AO2649">
        <v>0</v>
      </c>
      <c r="AP2649">
        <v>0</v>
      </c>
      <c r="AQ2649">
        <v>0</v>
      </c>
      <c r="AR2649">
        <v>0</v>
      </c>
      <c r="AS2649">
        <v>0</v>
      </c>
      <c r="AT2649">
        <v>0</v>
      </c>
      <c r="AW2649">
        <v>0</v>
      </c>
      <c r="AX2649">
        <v>6</v>
      </c>
      <c r="AY2649">
        <v>327</v>
      </c>
      <c r="AZ2649">
        <v>327</v>
      </c>
      <c r="BA2649">
        <v>564</v>
      </c>
      <c r="BB2649">
        <v>44</v>
      </c>
      <c r="BD2649">
        <v>1</v>
      </c>
      <c r="BF2649" t="s">
        <v>2845</v>
      </c>
      <c r="BG2649" s="1">
        <v>44353.957638888889</v>
      </c>
      <c r="BH2649" s="1">
        <v>44353.97855324074</v>
      </c>
      <c r="BI2649" s="1">
        <v>44353.979155092595</v>
      </c>
      <c r="BJ2649" t="s">
        <v>85</v>
      </c>
      <c r="BK2649" t="s">
        <v>86</v>
      </c>
      <c r="BL2649" t="s">
        <v>87</v>
      </c>
    </row>
    <row r="2650" spans="1:64" x14ac:dyDescent="0.3">
      <c r="A2650" t="str">
        <f>"201728E0100"</f>
        <v>201728E0100</v>
      </c>
      <c r="B2650" t="str">
        <f>"201728E01003"</f>
        <v>201728E01003</v>
      </c>
      <c r="C2650" t="str">
        <f t="shared" si="177"/>
        <v>20</v>
      </c>
      <c r="D2650" t="s">
        <v>81</v>
      </c>
      <c r="E2650" t="str">
        <f t="shared" si="181"/>
        <v>386</v>
      </c>
      <c r="F2650" t="s">
        <v>2746</v>
      </c>
      <c r="G2650" t="str">
        <f t="shared" si="180"/>
        <v>1728</v>
      </c>
      <c r="H2650" t="str">
        <f t="shared" ref="H2650:H2655" si="182">"0001"</f>
        <v>0001</v>
      </c>
      <c r="I2650" t="s">
        <v>122</v>
      </c>
      <c r="J2650">
        <v>0</v>
      </c>
      <c r="K2650">
        <v>1</v>
      </c>
      <c r="L2650">
        <v>3</v>
      </c>
      <c r="M2650">
        <v>370</v>
      </c>
      <c r="N2650">
        <v>348</v>
      </c>
      <c r="O2650">
        <v>1</v>
      </c>
      <c r="P2650">
        <v>0</v>
      </c>
      <c r="Q2650">
        <v>7</v>
      </c>
      <c r="R2650">
        <v>31</v>
      </c>
      <c r="S2650">
        <v>7</v>
      </c>
      <c r="T2650">
        <v>5</v>
      </c>
      <c r="U2650">
        <v>18</v>
      </c>
      <c r="V2650">
        <v>9</v>
      </c>
      <c r="W2650">
        <v>16</v>
      </c>
      <c r="X2650">
        <v>102</v>
      </c>
      <c r="Y2650">
        <v>7</v>
      </c>
      <c r="Z2650">
        <v>12</v>
      </c>
      <c r="AA2650">
        <v>2</v>
      </c>
      <c r="AB2650">
        <v>119</v>
      </c>
      <c r="AJ2650">
        <v>3</v>
      </c>
      <c r="AK2650">
        <v>2</v>
      </c>
      <c r="AL2650" t="s">
        <v>95</v>
      </c>
      <c r="AM2650">
        <v>0</v>
      </c>
      <c r="AN2650">
        <v>0</v>
      </c>
      <c r="AO2650">
        <v>0</v>
      </c>
      <c r="AP2650">
        <v>0</v>
      </c>
      <c r="AQ2650">
        <v>0</v>
      </c>
      <c r="AR2650">
        <v>0</v>
      </c>
      <c r="AS2650">
        <v>0</v>
      </c>
      <c r="AT2650">
        <v>0</v>
      </c>
      <c r="AW2650">
        <v>0</v>
      </c>
      <c r="AX2650">
        <v>8</v>
      </c>
      <c r="AY2650">
        <v>348</v>
      </c>
      <c r="AZ2650">
        <v>348</v>
      </c>
      <c r="BA2650">
        <v>674</v>
      </c>
      <c r="BB2650">
        <v>44</v>
      </c>
      <c r="BC2650" t="s">
        <v>96</v>
      </c>
      <c r="BD2650">
        <v>1</v>
      </c>
      <c r="BF2650" t="s">
        <v>2846</v>
      </c>
      <c r="BG2650" s="1">
        <v>44354.032638888886</v>
      </c>
      <c r="BH2650" s="1">
        <v>44354.061145833337</v>
      </c>
      <c r="BI2650" s="1">
        <v>44354.061932870369</v>
      </c>
      <c r="BJ2650" t="s">
        <v>85</v>
      </c>
      <c r="BK2650" t="s">
        <v>86</v>
      </c>
      <c r="BL2650" t="s">
        <v>87</v>
      </c>
    </row>
    <row r="2651" spans="1:64" x14ac:dyDescent="0.3">
      <c r="A2651" t="str">
        <f>"201728E0101"</f>
        <v>201728E0101</v>
      </c>
      <c r="B2651" t="str">
        <f>"201728E01013"</f>
        <v>201728E01013</v>
      </c>
      <c r="C2651" t="str">
        <f t="shared" si="177"/>
        <v>20</v>
      </c>
      <c r="D2651" t="s">
        <v>81</v>
      </c>
      <c r="E2651" t="str">
        <f t="shared" si="181"/>
        <v>386</v>
      </c>
      <c r="F2651" t="s">
        <v>2746</v>
      </c>
      <c r="G2651" t="str">
        <f t="shared" si="180"/>
        <v>1728</v>
      </c>
      <c r="H2651" t="str">
        <f t="shared" si="182"/>
        <v>0001</v>
      </c>
      <c r="I2651" t="s">
        <v>122</v>
      </c>
      <c r="J2651">
        <v>1</v>
      </c>
      <c r="K2651">
        <v>1</v>
      </c>
      <c r="L2651">
        <v>3</v>
      </c>
      <c r="M2651">
        <v>378</v>
      </c>
      <c r="N2651">
        <v>340</v>
      </c>
      <c r="O2651" t="s">
        <v>92</v>
      </c>
      <c r="P2651">
        <v>340</v>
      </c>
      <c r="Q2651">
        <v>6</v>
      </c>
      <c r="R2651">
        <v>27</v>
      </c>
      <c r="S2651">
        <v>8</v>
      </c>
      <c r="T2651">
        <v>3</v>
      </c>
      <c r="U2651">
        <v>11</v>
      </c>
      <c r="V2651">
        <v>5</v>
      </c>
      <c r="W2651">
        <v>12</v>
      </c>
      <c r="X2651">
        <v>132</v>
      </c>
      <c r="Y2651">
        <v>5</v>
      </c>
      <c r="Z2651">
        <v>11</v>
      </c>
      <c r="AA2651">
        <v>5</v>
      </c>
      <c r="AB2651">
        <v>108</v>
      </c>
      <c r="AJ2651">
        <v>0</v>
      </c>
      <c r="AK2651">
        <v>1</v>
      </c>
      <c r="AL2651">
        <v>0</v>
      </c>
      <c r="AM2651">
        <v>0</v>
      </c>
      <c r="AN2651">
        <v>1</v>
      </c>
      <c r="AO2651">
        <v>0</v>
      </c>
      <c r="AP2651">
        <v>0</v>
      </c>
      <c r="AQ2651">
        <v>0</v>
      </c>
      <c r="AR2651">
        <v>1</v>
      </c>
      <c r="AS2651">
        <v>0</v>
      </c>
      <c r="AT2651">
        <v>0</v>
      </c>
      <c r="AW2651">
        <v>0</v>
      </c>
      <c r="AX2651">
        <v>4</v>
      </c>
      <c r="AY2651">
        <v>340</v>
      </c>
      <c r="AZ2651">
        <v>340</v>
      </c>
      <c r="BA2651">
        <v>674</v>
      </c>
      <c r="BB2651">
        <v>44</v>
      </c>
      <c r="BD2651">
        <v>1</v>
      </c>
      <c r="BF2651" t="s">
        <v>2847</v>
      </c>
      <c r="BG2651" s="1">
        <v>44354.012499999997</v>
      </c>
      <c r="BH2651" s="1">
        <v>44354.052106481482</v>
      </c>
      <c r="BI2651" s="1">
        <v>44354.052719907406</v>
      </c>
      <c r="BJ2651" t="s">
        <v>85</v>
      </c>
      <c r="BK2651" t="s">
        <v>86</v>
      </c>
      <c r="BL2651" t="s">
        <v>87</v>
      </c>
    </row>
    <row r="2652" spans="1:64" x14ac:dyDescent="0.3">
      <c r="A2652" t="str">
        <f>"201728E0102"</f>
        <v>201728E0102</v>
      </c>
      <c r="B2652" t="str">
        <f>"201728E01023"</f>
        <v>201728E01023</v>
      </c>
      <c r="C2652" t="str">
        <f t="shared" si="177"/>
        <v>20</v>
      </c>
      <c r="D2652" t="s">
        <v>81</v>
      </c>
      <c r="E2652" t="str">
        <f t="shared" si="181"/>
        <v>386</v>
      </c>
      <c r="F2652" t="s">
        <v>2746</v>
      </c>
      <c r="G2652" t="str">
        <f t="shared" si="180"/>
        <v>1728</v>
      </c>
      <c r="H2652" t="str">
        <f t="shared" si="182"/>
        <v>0001</v>
      </c>
      <c r="I2652" t="s">
        <v>122</v>
      </c>
      <c r="J2652">
        <v>2</v>
      </c>
      <c r="K2652">
        <v>1</v>
      </c>
      <c r="L2652">
        <v>3</v>
      </c>
      <c r="BA2652">
        <v>673</v>
      </c>
      <c r="BB2652">
        <v>44</v>
      </c>
      <c r="BC2652" t="s">
        <v>381</v>
      </c>
      <c r="BD2652">
        <v>0</v>
      </c>
      <c r="BF2652" t="s">
        <v>2848</v>
      </c>
      <c r="BG2652" s="1">
        <v>44354.518750000003</v>
      </c>
      <c r="BH2652" s="1">
        <v>44354.531284722223</v>
      </c>
      <c r="BI2652" s="1">
        <v>44354.531284722223</v>
      </c>
      <c r="BJ2652" t="s">
        <v>85</v>
      </c>
      <c r="BK2652" t="s">
        <v>86</v>
      </c>
      <c r="BL2652" t="s">
        <v>87</v>
      </c>
    </row>
    <row r="2653" spans="1:64" x14ac:dyDescent="0.3">
      <c r="A2653" t="str">
        <f>"201728E0103"</f>
        <v>201728E0103</v>
      </c>
      <c r="B2653" t="str">
        <f>"201728E01033"</f>
        <v>201728E01033</v>
      </c>
      <c r="C2653" t="str">
        <f t="shared" si="177"/>
        <v>20</v>
      </c>
      <c r="D2653" t="s">
        <v>81</v>
      </c>
      <c r="E2653" t="str">
        <f t="shared" si="181"/>
        <v>386</v>
      </c>
      <c r="F2653" t="s">
        <v>2746</v>
      </c>
      <c r="G2653" t="str">
        <f t="shared" si="180"/>
        <v>1728</v>
      </c>
      <c r="H2653" t="str">
        <f t="shared" si="182"/>
        <v>0001</v>
      </c>
      <c r="I2653" t="s">
        <v>122</v>
      </c>
      <c r="J2653">
        <v>3</v>
      </c>
      <c r="K2653">
        <v>1</v>
      </c>
      <c r="L2653">
        <v>3</v>
      </c>
      <c r="BA2653">
        <v>673</v>
      </c>
      <c r="BB2653">
        <v>44</v>
      </c>
      <c r="BC2653" t="s">
        <v>381</v>
      </c>
      <c r="BD2653">
        <v>0</v>
      </c>
      <c r="BF2653" t="s">
        <v>2849</v>
      </c>
      <c r="BG2653" s="1">
        <v>44354.518750000003</v>
      </c>
      <c r="BH2653" s="1">
        <v>44354.531527777777</v>
      </c>
      <c r="BI2653" s="1">
        <v>44354.531527777777</v>
      </c>
      <c r="BJ2653" t="s">
        <v>85</v>
      </c>
      <c r="BK2653" t="s">
        <v>86</v>
      </c>
      <c r="BL2653" t="s">
        <v>87</v>
      </c>
    </row>
    <row r="2654" spans="1:64" x14ac:dyDescent="0.3">
      <c r="A2654" t="str">
        <f>"201728E0104"</f>
        <v>201728E0104</v>
      </c>
      <c r="B2654" t="str">
        <f>"201728E01043"</f>
        <v>201728E01043</v>
      </c>
      <c r="C2654" t="str">
        <f t="shared" si="177"/>
        <v>20</v>
      </c>
      <c r="D2654" t="s">
        <v>81</v>
      </c>
      <c r="E2654" t="str">
        <f t="shared" si="181"/>
        <v>386</v>
      </c>
      <c r="F2654" t="s">
        <v>2746</v>
      </c>
      <c r="G2654" t="str">
        <f t="shared" si="180"/>
        <v>1728</v>
      </c>
      <c r="H2654" t="str">
        <f t="shared" si="182"/>
        <v>0001</v>
      </c>
      <c r="I2654" t="s">
        <v>122</v>
      </c>
      <c r="J2654">
        <v>4</v>
      </c>
      <c r="K2654">
        <v>1</v>
      </c>
      <c r="L2654">
        <v>3</v>
      </c>
      <c r="M2654">
        <v>376</v>
      </c>
      <c r="N2654">
        <v>345</v>
      </c>
      <c r="O2654">
        <v>5</v>
      </c>
      <c r="P2654">
        <v>345</v>
      </c>
      <c r="Q2654">
        <v>6</v>
      </c>
      <c r="R2654">
        <v>28</v>
      </c>
      <c r="S2654">
        <v>6</v>
      </c>
      <c r="T2654">
        <v>2</v>
      </c>
      <c r="U2654">
        <v>20</v>
      </c>
      <c r="V2654">
        <v>0</v>
      </c>
      <c r="W2654">
        <v>4</v>
      </c>
      <c r="X2654">
        <v>132</v>
      </c>
      <c r="Y2654">
        <v>5</v>
      </c>
      <c r="Z2654">
        <v>9</v>
      </c>
      <c r="AA2654">
        <v>3</v>
      </c>
      <c r="AB2654">
        <v>117</v>
      </c>
      <c r="AJ2654">
        <v>2</v>
      </c>
      <c r="AK2654">
        <v>1</v>
      </c>
      <c r="AL2654">
        <v>1</v>
      </c>
      <c r="AM2654">
        <v>0</v>
      </c>
      <c r="AN2654">
        <v>0</v>
      </c>
      <c r="AO2654">
        <v>0</v>
      </c>
      <c r="AP2654">
        <v>0</v>
      </c>
      <c r="AQ2654">
        <v>0</v>
      </c>
      <c r="AR2654">
        <v>0</v>
      </c>
      <c r="AS2654">
        <v>0</v>
      </c>
      <c r="AT2654">
        <v>0</v>
      </c>
      <c r="AW2654">
        <v>3</v>
      </c>
      <c r="AX2654">
        <v>6</v>
      </c>
      <c r="AY2654">
        <v>345</v>
      </c>
      <c r="AZ2654">
        <v>345</v>
      </c>
      <c r="BA2654">
        <v>673</v>
      </c>
      <c r="BB2654">
        <v>44</v>
      </c>
      <c r="BD2654">
        <v>1</v>
      </c>
      <c r="BF2654" t="s">
        <v>2850</v>
      </c>
      <c r="BG2654" s="1">
        <v>44354.036111111112</v>
      </c>
      <c r="BH2654" s="1">
        <v>44354.059675925928</v>
      </c>
      <c r="BI2654" s="1">
        <v>44354.060416666667</v>
      </c>
      <c r="BJ2654" t="s">
        <v>85</v>
      </c>
      <c r="BK2654" t="s">
        <v>86</v>
      </c>
      <c r="BL2654" t="s">
        <v>87</v>
      </c>
    </row>
    <row r="2655" spans="1:64" x14ac:dyDescent="0.3">
      <c r="A2655" t="str">
        <f>"201728E0105"</f>
        <v>201728E0105</v>
      </c>
      <c r="B2655" t="str">
        <f>"201728E01053"</f>
        <v>201728E01053</v>
      </c>
      <c r="C2655" t="str">
        <f t="shared" si="177"/>
        <v>20</v>
      </c>
      <c r="D2655" t="s">
        <v>81</v>
      </c>
      <c r="E2655" t="str">
        <f t="shared" si="181"/>
        <v>386</v>
      </c>
      <c r="F2655" t="s">
        <v>2746</v>
      </c>
      <c r="G2655" t="str">
        <f t="shared" si="180"/>
        <v>1728</v>
      </c>
      <c r="H2655" t="str">
        <f t="shared" si="182"/>
        <v>0001</v>
      </c>
      <c r="I2655" t="s">
        <v>122</v>
      </c>
      <c r="J2655">
        <v>5</v>
      </c>
      <c r="K2655">
        <v>1</v>
      </c>
      <c r="L2655">
        <v>3</v>
      </c>
      <c r="M2655" t="s">
        <v>92</v>
      </c>
      <c r="N2655" t="s">
        <v>92</v>
      </c>
      <c r="O2655" t="s">
        <v>92</v>
      </c>
      <c r="P2655" t="s">
        <v>92</v>
      </c>
      <c r="Q2655">
        <v>5</v>
      </c>
      <c r="R2655">
        <v>33</v>
      </c>
      <c r="S2655">
        <v>6</v>
      </c>
      <c r="T2655">
        <v>4</v>
      </c>
      <c r="U2655">
        <v>19</v>
      </c>
      <c r="V2655">
        <v>3</v>
      </c>
      <c r="W2655">
        <v>10</v>
      </c>
      <c r="X2655">
        <v>100</v>
      </c>
      <c r="Y2655">
        <v>3</v>
      </c>
      <c r="Z2655">
        <v>9</v>
      </c>
      <c r="AA2655">
        <v>2</v>
      </c>
      <c r="AB2655">
        <v>124</v>
      </c>
      <c r="AJ2655" t="s">
        <v>95</v>
      </c>
      <c r="AK2655">
        <v>2</v>
      </c>
      <c r="AL2655">
        <v>1</v>
      </c>
      <c r="AM2655" t="s">
        <v>95</v>
      </c>
      <c r="AN2655" t="s">
        <v>95</v>
      </c>
      <c r="AO2655" t="s">
        <v>95</v>
      </c>
      <c r="AP2655">
        <v>1</v>
      </c>
      <c r="AQ2655" t="s">
        <v>95</v>
      </c>
      <c r="AR2655" t="s">
        <v>95</v>
      </c>
      <c r="AS2655" t="s">
        <v>95</v>
      </c>
      <c r="AT2655" t="s">
        <v>95</v>
      </c>
      <c r="AW2655" t="s">
        <v>95</v>
      </c>
      <c r="AX2655">
        <v>10</v>
      </c>
      <c r="AY2655" t="s">
        <v>95</v>
      </c>
      <c r="AZ2655">
        <v>332</v>
      </c>
      <c r="BA2655">
        <v>673</v>
      </c>
      <c r="BB2655">
        <v>44</v>
      </c>
      <c r="BC2655" t="s">
        <v>96</v>
      </c>
      <c r="BD2655">
        <v>1</v>
      </c>
      <c r="BF2655" t="s">
        <v>2851</v>
      </c>
      <c r="BG2655" s="1">
        <v>44354.035416666666</v>
      </c>
      <c r="BH2655" s="1">
        <v>44354.061354166668</v>
      </c>
      <c r="BI2655" s="1">
        <v>44354.062013888892</v>
      </c>
      <c r="BJ2655" t="s">
        <v>85</v>
      </c>
      <c r="BK2655" t="s">
        <v>86</v>
      </c>
      <c r="BL2655" t="s">
        <v>87</v>
      </c>
    </row>
    <row r="2656" spans="1:64" x14ac:dyDescent="0.3">
      <c r="A2656" t="str">
        <f>"201729B0000"</f>
        <v>201729B0000</v>
      </c>
      <c r="B2656" t="str">
        <f>"201729B00003"</f>
        <v>201729B00003</v>
      </c>
      <c r="C2656" t="str">
        <f t="shared" si="177"/>
        <v>20</v>
      </c>
      <c r="D2656" t="s">
        <v>81</v>
      </c>
      <c r="E2656" t="str">
        <f t="shared" si="181"/>
        <v>386</v>
      </c>
      <c r="F2656" t="s">
        <v>2746</v>
      </c>
      <c r="G2656" t="str">
        <f>"1729"</f>
        <v>1729</v>
      </c>
      <c r="H2656" t="str">
        <f>"0000"</f>
        <v>0000</v>
      </c>
      <c r="I2656" t="s">
        <v>83</v>
      </c>
      <c r="J2656">
        <v>0</v>
      </c>
      <c r="K2656">
        <v>1</v>
      </c>
      <c r="L2656">
        <v>3</v>
      </c>
      <c r="M2656">
        <v>233</v>
      </c>
      <c r="N2656">
        <v>397</v>
      </c>
      <c r="O2656">
        <v>3</v>
      </c>
      <c r="P2656">
        <v>396</v>
      </c>
      <c r="Q2656">
        <v>10</v>
      </c>
      <c r="R2656">
        <v>49</v>
      </c>
      <c r="S2656">
        <v>9</v>
      </c>
      <c r="T2656">
        <v>2</v>
      </c>
      <c r="U2656">
        <v>39</v>
      </c>
      <c r="V2656">
        <v>0</v>
      </c>
      <c r="W2656">
        <v>18</v>
      </c>
      <c r="X2656">
        <v>116</v>
      </c>
      <c r="Y2656">
        <v>2</v>
      </c>
      <c r="Z2656">
        <v>13</v>
      </c>
      <c r="AA2656">
        <v>2</v>
      </c>
      <c r="AB2656">
        <v>126</v>
      </c>
      <c r="AJ2656">
        <v>0</v>
      </c>
      <c r="AK2656">
        <v>0</v>
      </c>
      <c r="AL2656">
        <v>0</v>
      </c>
      <c r="AM2656">
        <v>0</v>
      </c>
      <c r="AN2656">
        <v>0</v>
      </c>
      <c r="AO2656">
        <v>0</v>
      </c>
      <c r="AP2656">
        <v>0</v>
      </c>
      <c r="AQ2656">
        <v>0</v>
      </c>
      <c r="AR2656">
        <v>0</v>
      </c>
      <c r="AS2656">
        <v>0</v>
      </c>
      <c r="AT2656">
        <v>0</v>
      </c>
      <c r="AW2656">
        <v>0</v>
      </c>
      <c r="AX2656">
        <v>10</v>
      </c>
      <c r="AY2656">
        <v>396</v>
      </c>
      <c r="AZ2656">
        <v>396</v>
      </c>
      <c r="BA2656">
        <v>585</v>
      </c>
      <c r="BB2656">
        <v>44</v>
      </c>
      <c r="BD2656">
        <v>1</v>
      </c>
      <c r="BF2656" t="s">
        <v>2852</v>
      </c>
      <c r="BG2656" s="1">
        <v>44353.974305555559</v>
      </c>
      <c r="BH2656" s="1">
        <v>44354.011365740742</v>
      </c>
      <c r="BI2656" s="1">
        <v>44354.011990740742</v>
      </c>
      <c r="BJ2656" t="s">
        <v>85</v>
      </c>
      <c r="BK2656" t="s">
        <v>86</v>
      </c>
      <c r="BL2656" t="s">
        <v>87</v>
      </c>
    </row>
    <row r="2657" spans="1:64" x14ac:dyDescent="0.3">
      <c r="A2657" t="str">
        <f>"201729C0100"</f>
        <v>201729C0100</v>
      </c>
      <c r="B2657" t="str">
        <f>"201729C01003"</f>
        <v>201729C01003</v>
      </c>
      <c r="C2657" t="str">
        <f t="shared" si="177"/>
        <v>20</v>
      </c>
      <c r="D2657" t="s">
        <v>81</v>
      </c>
      <c r="E2657" t="str">
        <f t="shared" si="181"/>
        <v>386</v>
      </c>
      <c r="F2657" t="s">
        <v>2746</v>
      </c>
      <c r="G2657" t="str">
        <f>"1729"</f>
        <v>1729</v>
      </c>
      <c r="H2657" t="str">
        <f>"0001"</f>
        <v>0001</v>
      </c>
      <c r="I2657" t="s">
        <v>89</v>
      </c>
      <c r="J2657">
        <v>0</v>
      </c>
      <c r="K2657">
        <v>1</v>
      </c>
      <c r="L2657">
        <v>3</v>
      </c>
      <c r="M2657">
        <v>286</v>
      </c>
      <c r="N2657">
        <v>342</v>
      </c>
      <c r="O2657">
        <v>1</v>
      </c>
      <c r="P2657">
        <v>342</v>
      </c>
      <c r="Q2657">
        <v>5</v>
      </c>
      <c r="R2657">
        <v>34</v>
      </c>
      <c r="S2657">
        <v>3</v>
      </c>
      <c r="T2657">
        <v>3</v>
      </c>
      <c r="U2657">
        <v>21</v>
      </c>
      <c r="V2657">
        <v>2</v>
      </c>
      <c r="W2657">
        <v>25</v>
      </c>
      <c r="X2657">
        <v>37</v>
      </c>
      <c r="Y2657">
        <v>1</v>
      </c>
      <c r="Z2657">
        <v>6</v>
      </c>
      <c r="AA2657">
        <v>6</v>
      </c>
      <c r="AB2657">
        <v>88</v>
      </c>
      <c r="AJ2657">
        <v>0</v>
      </c>
      <c r="AK2657">
        <v>0</v>
      </c>
      <c r="AL2657">
        <v>0</v>
      </c>
      <c r="AM2657">
        <v>0</v>
      </c>
      <c r="AN2657">
        <v>0</v>
      </c>
      <c r="AO2657">
        <v>0</v>
      </c>
      <c r="AP2657">
        <v>0</v>
      </c>
      <c r="AQ2657">
        <v>0</v>
      </c>
      <c r="AR2657">
        <v>0</v>
      </c>
      <c r="AS2657">
        <v>0</v>
      </c>
      <c r="AT2657">
        <v>0</v>
      </c>
      <c r="AW2657">
        <v>0</v>
      </c>
      <c r="AX2657">
        <v>10</v>
      </c>
      <c r="AY2657">
        <v>341</v>
      </c>
      <c r="AZ2657">
        <v>241</v>
      </c>
      <c r="BA2657">
        <v>584</v>
      </c>
      <c r="BB2657">
        <v>44</v>
      </c>
      <c r="BD2657">
        <v>1</v>
      </c>
      <c r="BF2657" t="s">
        <v>2853</v>
      </c>
      <c r="BG2657" s="1">
        <v>44353.974305555559</v>
      </c>
      <c r="BH2657" s="1">
        <v>44354.011099537034</v>
      </c>
      <c r="BI2657" s="1">
        <v>44354.012013888889</v>
      </c>
      <c r="BJ2657" t="s">
        <v>85</v>
      </c>
      <c r="BK2657" t="s">
        <v>86</v>
      </c>
      <c r="BL2657" t="s">
        <v>87</v>
      </c>
    </row>
    <row r="2658" spans="1:64" x14ac:dyDescent="0.3">
      <c r="A2658" t="str">
        <f>"201729C0200"</f>
        <v>201729C0200</v>
      </c>
      <c r="B2658" t="str">
        <f>"201729C02003"</f>
        <v>201729C02003</v>
      </c>
      <c r="C2658" t="str">
        <f t="shared" si="177"/>
        <v>20</v>
      </c>
      <c r="D2658" t="s">
        <v>81</v>
      </c>
      <c r="E2658" t="str">
        <f t="shared" si="181"/>
        <v>386</v>
      </c>
      <c r="F2658" t="s">
        <v>2746</v>
      </c>
      <c r="G2658" t="str">
        <f>"1729"</f>
        <v>1729</v>
      </c>
      <c r="H2658" t="str">
        <f>"0002"</f>
        <v>0002</v>
      </c>
      <c r="I2658" t="s">
        <v>89</v>
      </c>
      <c r="J2658">
        <v>0</v>
      </c>
      <c r="K2658">
        <v>1</v>
      </c>
      <c r="L2658">
        <v>3</v>
      </c>
      <c r="M2658">
        <v>278</v>
      </c>
      <c r="N2658">
        <v>350</v>
      </c>
      <c r="O2658">
        <v>4</v>
      </c>
      <c r="P2658">
        <v>350</v>
      </c>
      <c r="Q2658">
        <v>7</v>
      </c>
      <c r="R2658">
        <v>46</v>
      </c>
      <c r="S2658">
        <v>4</v>
      </c>
      <c r="T2658">
        <v>3</v>
      </c>
      <c r="U2658">
        <v>33</v>
      </c>
      <c r="V2658">
        <v>4</v>
      </c>
      <c r="W2658">
        <v>14</v>
      </c>
      <c r="X2658">
        <v>96</v>
      </c>
      <c r="Y2658">
        <v>2</v>
      </c>
      <c r="Z2658">
        <v>7</v>
      </c>
      <c r="AA2658">
        <v>5</v>
      </c>
      <c r="AB2658">
        <v>119</v>
      </c>
      <c r="AJ2658" t="s">
        <v>95</v>
      </c>
      <c r="AK2658">
        <v>1</v>
      </c>
      <c r="AL2658" t="s">
        <v>95</v>
      </c>
      <c r="AM2658" t="s">
        <v>95</v>
      </c>
      <c r="AN2658" t="s">
        <v>95</v>
      </c>
      <c r="AO2658" t="s">
        <v>95</v>
      </c>
      <c r="AP2658" t="s">
        <v>95</v>
      </c>
      <c r="AQ2658" t="s">
        <v>95</v>
      </c>
      <c r="AR2658" t="s">
        <v>95</v>
      </c>
      <c r="AS2658" t="s">
        <v>95</v>
      </c>
      <c r="AT2658" t="s">
        <v>95</v>
      </c>
      <c r="AW2658" t="s">
        <v>95</v>
      </c>
      <c r="AX2658">
        <v>9</v>
      </c>
      <c r="AY2658">
        <v>350</v>
      </c>
      <c r="AZ2658">
        <v>350</v>
      </c>
      <c r="BA2658">
        <v>584</v>
      </c>
      <c r="BB2658">
        <v>44</v>
      </c>
      <c r="BC2658" t="s">
        <v>96</v>
      </c>
      <c r="BD2658">
        <v>1</v>
      </c>
      <c r="BF2658" t="s">
        <v>2854</v>
      </c>
      <c r="BG2658" s="1">
        <v>44353.974999999999</v>
      </c>
      <c r="BH2658" s="1">
        <v>44354.010879629626</v>
      </c>
      <c r="BI2658" s="1">
        <v>44354.011307870373</v>
      </c>
      <c r="BJ2658" t="s">
        <v>85</v>
      </c>
      <c r="BK2658" t="s">
        <v>86</v>
      </c>
      <c r="BL2658" t="s">
        <v>87</v>
      </c>
    </row>
    <row r="2659" spans="1:64" x14ac:dyDescent="0.3">
      <c r="A2659" t="str">
        <f>"201729C0300"</f>
        <v>201729C0300</v>
      </c>
      <c r="B2659" t="str">
        <f>"201729C03003"</f>
        <v>201729C03003</v>
      </c>
      <c r="C2659" t="str">
        <f t="shared" si="177"/>
        <v>20</v>
      </c>
      <c r="D2659" t="s">
        <v>81</v>
      </c>
      <c r="E2659" t="str">
        <f t="shared" si="181"/>
        <v>386</v>
      </c>
      <c r="F2659" t="s">
        <v>2746</v>
      </c>
      <c r="G2659" t="str">
        <f>"1729"</f>
        <v>1729</v>
      </c>
      <c r="H2659" t="str">
        <f>"0003"</f>
        <v>0003</v>
      </c>
      <c r="I2659" t="s">
        <v>89</v>
      </c>
      <c r="J2659">
        <v>0</v>
      </c>
      <c r="K2659">
        <v>1</v>
      </c>
      <c r="L2659">
        <v>3</v>
      </c>
      <c r="M2659">
        <v>273</v>
      </c>
      <c r="N2659">
        <v>355</v>
      </c>
      <c r="O2659">
        <v>2</v>
      </c>
      <c r="P2659">
        <v>355</v>
      </c>
      <c r="Q2659">
        <v>8</v>
      </c>
      <c r="R2659">
        <v>70</v>
      </c>
      <c r="S2659">
        <v>1</v>
      </c>
      <c r="T2659">
        <v>8</v>
      </c>
      <c r="U2659">
        <v>11</v>
      </c>
      <c r="V2659">
        <v>5</v>
      </c>
      <c r="W2659">
        <v>13</v>
      </c>
      <c r="X2659">
        <v>102</v>
      </c>
      <c r="Y2659">
        <v>2</v>
      </c>
      <c r="Z2659">
        <v>8</v>
      </c>
      <c r="AA2659">
        <v>2</v>
      </c>
      <c r="AB2659">
        <v>108</v>
      </c>
      <c r="AJ2659">
        <v>0</v>
      </c>
      <c r="AK2659">
        <v>2</v>
      </c>
      <c r="AL2659">
        <v>0</v>
      </c>
      <c r="AM2659">
        <v>0</v>
      </c>
      <c r="AN2659">
        <v>0</v>
      </c>
      <c r="AO2659">
        <v>0</v>
      </c>
      <c r="AP2659">
        <v>0</v>
      </c>
      <c r="AQ2659">
        <v>0</v>
      </c>
      <c r="AR2659">
        <v>1</v>
      </c>
      <c r="AS2659">
        <v>0</v>
      </c>
      <c r="AT2659">
        <v>0</v>
      </c>
      <c r="AW2659">
        <v>0</v>
      </c>
      <c r="AX2659">
        <v>14</v>
      </c>
      <c r="AY2659">
        <v>355</v>
      </c>
      <c r="AZ2659">
        <v>355</v>
      </c>
      <c r="BA2659">
        <v>584</v>
      </c>
      <c r="BB2659">
        <v>44</v>
      </c>
      <c r="BD2659">
        <v>1</v>
      </c>
      <c r="BF2659" t="s">
        <v>2855</v>
      </c>
      <c r="BG2659" s="1">
        <v>44353.974999999999</v>
      </c>
      <c r="BH2659" s="1">
        <v>44354.01017361111</v>
      </c>
      <c r="BI2659" s="1">
        <v>44354.011504629627</v>
      </c>
      <c r="BJ2659" t="s">
        <v>85</v>
      </c>
      <c r="BK2659" t="s">
        <v>86</v>
      </c>
      <c r="BL2659" t="s">
        <v>87</v>
      </c>
    </row>
    <row r="2660" spans="1:64" x14ac:dyDescent="0.3">
      <c r="A2660" t="str">
        <f>"201738B0000"</f>
        <v>201738B0000</v>
      </c>
      <c r="B2660" t="str">
        <f>"201738B00003"</f>
        <v>201738B00003</v>
      </c>
      <c r="C2660" t="str">
        <f t="shared" si="177"/>
        <v>20</v>
      </c>
      <c r="D2660" t="s">
        <v>81</v>
      </c>
      <c r="E2660" t="str">
        <f>"388"</f>
        <v>388</v>
      </c>
      <c r="F2660" t="s">
        <v>2856</v>
      </c>
      <c r="G2660" t="str">
        <f>"1738"</f>
        <v>1738</v>
      </c>
      <c r="H2660" t="str">
        <f>"0000"</f>
        <v>0000</v>
      </c>
      <c r="I2660" t="s">
        <v>83</v>
      </c>
      <c r="J2660">
        <v>0</v>
      </c>
      <c r="K2660">
        <v>1</v>
      </c>
      <c r="L2660">
        <v>3</v>
      </c>
      <c r="M2660">
        <v>192</v>
      </c>
      <c r="N2660">
        <v>416</v>
      </c>
      <c r="O2660">
        <v>5</v>
      </c>
      <c r="P2660">
        <v>416</v>
      </c>
      <c r="Q2660">
        <v>1</v>
      </c>
      <c r="R2660">
        <v>121</v>
      </c>
      <c r="S2660">
        <v>0</v>
      </c>
      <c r="T2660">
        <v>1</v>
      </c>
      <c r="U2660">
        <v>101</v>
      </c>
      <c r="X2660">
        <v>165</v>
      </c>
      <c r="Z2660">
        <v>3</v>
      </c>
      <c r="AA2660">
        <v>6</v>
      </c>
      <c r="AF2660">
        <v>5</v>
      </c>
      <c r="AG2660">
        <v>1</v>
      </c>
      <c r="AH2660">
        <v>0</v>
      </c>
      <c r="AI2660">
        <v>2</v>
      </c>
      <c r="AW2660">
        <v>0</v>
      </c>
      <c r="AX2660">
        <v>10</v>
      </c>
      <c r="AY2660">
        <v>416</v>
      </c>
      <c r="AZ2660">
        <v>416</v>
      </c>
      <c r="BA2660">
        <v>564</v>
      </c>
      <c r="BB2660">
        <v>44</v>
      </c>
      <c r="BD2660">
        <v>1</v>
      </c>
      <c r="BF2660" t="s">
        <v>2857</v>
      </c>
      <c r="BG2660" s="1">
        <v>44353.873402777775</v>
      </c>
      <c r="BH2660" s="1">
        <v>44353.875509259262</v>
      </c>
      <c r="BI2660" s="1">
        <v>44353.876307870371</v>
      </c>
      <c r="BJ2660" t="s">
        <v>197</v>
      </c>
      <c r="BK2660" t="s">
        <v>198</v>
      </c>
      <c r="BL2660" t="s">
        <v>87</v>
      </c>
    </row>
    <row r="2661" spans="1:64" x14ac:dyDescent="0.3">
      <c r="A2661" t="str">
        <f>"201738C0100"</f>
        <v>201738C0100</v>
      </c>
      <c r="B2661" t="str">
        <f>"201738C01003"</f>
        <v>201738C01003</v>
      </c>
      <c r="C2661" t="str">
        <f t="shared" si="177"/>
        <v>20</v>
      </c>
      <c r="D2661" t="s">
        <v>81</v>
      </c>
      <c r="E2661" t="str">
        <f>"388"</f>
        <v>388</v>
      </c>
      <c r="F2661" t="s">
        <v>2856</v>
      </c>
      <c r="G2661" t="str">
        <f>"1738"</f>
        <v>1738</v>
      </c>
      <c r="H2661" t="str">
        <f>"0001"</f>
        <v>0001</v>
      </c>
      <c r="I2661" t="s">
        <v>89</v>
      </c>
      <c r="J2661">
        <v>0</v>
      </c>
      <c r="K2661">
        <v>1</v>
      </c>
      <c r="L2661">
        <v>3</v>
      </c>
      <c r="M2661">
        <v>171</v>
      </c>
      <c r="N2661">
        <v>437</v>
      </c>
      <c r="O2661">
        <v>10</v>
      </c>
      <c r="P2661" t="s">
        <v>92</v>
      </c>
      <c r="Q2661">
        <v>2</v>
      </c>
      <c r="R2661">
        <v>122</v>
      </c>
      <c r="S2661">
        <v>3</v>
      </c>
      <c r="T2661">
        <v>1</v>
      </c>
      <c r="U2661">
        <v>95</v>
      </c>
      <c r="X2661">
        <v>197</v>
      </c>
      <c r="Z2661">
        <v>0</v>
      </c>
      <c r="AA2661">
        <v>4</v>
      </c>
      <c r="AF2661">
        <v>2</v>
      </c>
      <c r="AG2661">
        <v>0</v>
      </c>
      <c r="AH2661">
        <v>0</v>
      </c>
      <c r="AI2661">
        <v>2</v>
      </c>
      <c r="AW2661">
        <v>0</v>
      </c>
      <c r="AX2661">
        <v>9</v>
      </c>
      <c r="AY2661">
        <v>437</v>
      </c>
      <c r="AZ2661">
        <v>437</v>
      </c>
      <c r="BA2661">
        <v>564</v>
      </c>
      <c r="BB2661">
        <v>44</v>
      </c>
      <c r="BD2661">
        <v>1</v>
      </c>
      <c r="BF2661" t="s">
        <v>2858</v>
      </c>
      <c r="BG2661" s="1">
        <v>44353.868645833332</v>
      </c>
      <c r="BH2661" s="1">
        <v>44353.872488425928</v>
      </c>
      <c r="BI2661" s="1">
        <v>44353.873263888891</v>
      </c>
      <c r="BJ2661" t="s">
        <v>197</v>
      </c>
      <c r="BK2661" t="s">
        <v>198</v>
      </c>
      <c r="BL2661" t="s">
        <v>87</v>
      </c>
    </row>
    <row r="2662" spans="1:64" x14ac:dyDescent="0.3">
      <c r="A2662" t="str">
        <f>"201739B0000"</f>
        <v>201739B0000</v>
      </c>
      <c r="B2662" t="str">
        <f>"201739B00003"</f>
        <v>201739B00003</v>
      </c>
      <c r="C2662" t="str">
        <f t="shared" si="177"/>
        <v>20</v>
      </c>
      <c r="D2662" t="s">
        <v>81</v>
      </c>
      <c r="E2662" t="str">
        <f>"388"</f>
        <v>388</v>
      </c>
      <c r="F2662" t="s">
        <v>2856</v>
      </c>
      <c r="G2662" t="str">
        <f>"1739"</f>
        <v>1739</v>
      </c>
      <c r="H2662" t="str">
        <f>"0000"</f>
        <v>0000</v>
      </c>
      <c r="I2662" t="s">
        <v>83</v>
      </c>
      <c r="J2662">
        <v>0</v>
      </c>
      <c r="K2662">
        <v>1</v>
      </c>
      <c r="L2662">
        <v>3</v>
      </c>
      <c r="M2662">
        <v>210</v>
      </c>
      <c r="N2662">
        <v>358</v>
      </c>
      <c r="O2662">
        <v>5</v>
      </c>
      <c r="P2662">
        <v>0</v>
      </c>
      <c r="Q2662">
        <v>1</v>
      </c>
      <c r="R2662">
        <v>110</v>
      </c>
      <c r="S2662">
        <v>2</v>
      </c>
      <c r="T2662">
        <v>2</v>
      </c>
      <c r="U2662">
        <v>64</v>
      </c>
      <c r="X2662">
        <v>154</v>
      </c>
      <c r="Z2662">
        <v>2</v>
      </c>
      <c r="AA2662">
        <v>9</v>
      </c>
      <c r="AF2662">
        <v>2</v>
      </c>
      <c r="AG2662">
        <v>0</v>
      </c>
      <c r="AH2662">
        <v>0</v>
      </c>
      <c r="AI2662">
        <v>0</v>
      </c>
      <c r="AW2662">
        <v>1</v>
      </c>
      <c r="AX2662">
        <v>11</v>
      </c>
      <c r="AY2662">
        <v>358</v>
      </c>
      <c r="AZ2662">
        <v>358</v>
      </c>
      <c r="BA2662">
        <v>524</v>
      </c>
      <c r="BB2662">
        <v>44</v>
      </c>
      <c r="BD2662">
        <v>1</v>
      </c>
      <c r="BF2662" t="s">
        <v>2859</v>
      </c>
      <c r="BG2662" s="1">
        <v>44353.975486111114</v>
      </c>
      <c r="BH2662" s="1">
        <v>44353.977222222224</v>
      </c>
      <c r="BI2662" s="1">
        <v>44353.97792824074</v>
      </c>
      <c r="BJ2662" t="s">
        <v>197</v>
      </c>
      <c r="BK2662" t="s">
        <v>198</v>
      </c>
      <c r="BL2662" t="s">
        <v>87</v>
      </c>
    </row>
    <row r="2663" spans="1:64" x14ac:dyDescent="0.3">
      <c r="A2663" t="str">
        <f>"201739C0100"</f>
        <v>201739C0100</v>
      </c>
      <c r="B2663" t="str">
        <f>"201739C01003"</f>
        <v>201739C01003</v>
      </c>
      <c r="C2663" t="str">
        <f t="shared" si="177"/>
        <v>20</v>
      </c>
      <c r="D2663" t="s">
        <v>81</v>
      </c>
      <c r="E2663" t="str">
        <f>"388"</f>
        <v>388</v>
      </c>
      <c r="F2663" t="s">
        <v>2856</v>
      </c>
      <c r="G2663" t="str">
        <f>"1739"</f>
        <v>1739</v>
      </c>
      <c r="H2663" t="str">
        <f>"0001"</f>
        <v>0001</v>
      </c>
      <c r="I2663" t="s">
        <v>89</v>
      </c>
      <c r="J2663">
        <v>0</v>
      </c>
      <c r="K2663">
        <v>1</v>
      </c>
      <c r="L2663">
        <v>3</v>
      </c>
      <c r="M2663">
        <v>187</v>
      </c>
      <c r="N2663">
        <v>380</v>
      </c>
      <c r="O2663">
        <v>4</v>
      </c>
      <c r="P2663">
        <v>380</v>
      </c>
      <c r="Q2663">
        <v>5</v>
      </c>
      <c r="R2663">
        <v>112</v>
      </c>
      <c r="S2663">
        <v>3</v>
      </c>
      <c r="T2663">
        <v>7</v>
      </c>
      <c r="U2663">
        <v>50</v>
      </c>
      <c r="X2663">
        <v>185</v>
      </c>
      <c r="Z2663">
        <v>1</v>
      </c>
      <c r="AA2663">
        <v>7</v>
      </c>
      <c r="AF2663">
        <v>0</v>
      </c>
      <c r="AG2663">
        <v>24</v>
      </c>
      <c r="AH2663">
        <v>0</v>
      </c>
      <c r="AI2663">
        <v>0</v>
      </c>
      <c r="AW2663">
        <v>0</v>
      </c>
      <c r="AX2663">
        <v>6</v>
      </c>
      <c r="AY2663">
        <v>380</v>
      </c>
      <c r="AZ2663">
        <v>400</v>
      </c>
      <c r="BA2663">
        <v>523</v>
      </c>
      <c r="BB2663">
        <v>44</v>
      </c>
      <c r="BD2663">
        <v>1</v>
      </c>
      <c r="BF2663" t="s">
        <v>2860</v>
      </c>
      <c r="BG2663" s="1">
        <v>44353.988518518519</v>
      </c>
      <c r="BH2663" s="1">
        <v>44353.992280092592</v>
      </c>
      <c r="BI2663" s="1">
        <v>44353.992731481485</v>
      </c>
      <c r="BJ2663" t="s">
        <v>197</v>
      </c>
      <c r="BK2663" t="s">
        <v>198</v>
      </c>
      <c r="BL2663" t="s">
        <v>87</v>
      </c>
    </row>
    <row r="2664" spans="1:64" x14ac:dyDescent="0.3">
      <c r="A2664" t="str">
        <f>"201740B0000"</f>
        <v>201740B0000</v>
      </c>
      <c r="B2664" t="str">
        <f>"201740B00003"</f>
        <v>201740B00003</v>
      </c>
      <c r="C2664" t="str">
        <f t="shared" si="177"/>
        <v>20</v>
      </c>
      <c r="D2664" t="s">
        <v>81</v>
      </c>
      <c r="E2664" t="str">
        <f>"388"</f>
        <v>388</v>
      </c>
      <c r="F2664" t="s">
        <v>2856</v>
      </c>
      <c r="G2664" t="str">
        <f>"1740"</f>
        <v>1740</v>
      </c>
      <c r="H2664" t="str">
        <f>"0000"</f>
        <v>0000</v>
      </c>
      <c r="I2664" t="s">
        <v>83</v>
      </c>
      <c r="J2664">
        <v>0</v>
      </c>
      <c r="K2664">
        <v>1</v>
      </c>
      <c r="L2664">
        <v>3</v>
      </c>
      <c r="M2664">
        <v>121</v>
      </c>
      <c r="N2664">
        <v>232</v>
      </c>
      <c r="O2664">
        <v>3</v>
      </c>
      <c r="P2664">
        <v>232</v>
      </c>
      <c r="Q2664">
        <v>3</v>
      </c>
      <c r="R2664">
        <v>96</v>
      </c>
      <c r="S2664">
        <v>1</v>
      </c>
      <c r="T2664">
        <v>1</v>
      </c>
      <c r="U2664">
        <v>42</v>
      </c>
      <c r="X2664">
        <v>81</v>
      </c>
      <c r="Z2664">
        <v>0</v>
      </c>
      <c r="AA2664">
        <v>2</v>
      </c>
      <c r="AF2664">
        <v>2</v>
      </c>
      <c r="AG2664">
        <v>0</v>
      </c>
      <c r="AH2664">
        <v>0</v>
      </c>
      <c r="AI2664">
        <v>0</v>
      </c>
      <c r="AW2664">
        <v>0</v>
      </c>
      <c r="AX2664">
        <v>4</v>
      </c>
      <c r="AY2664">
        <v>232</v>
      </c>
      <c r="AZ2664">
        <v>232</v>
      </c>
      <c r="BA2664">
        <v>309</v>
      </c>
      <c r="BB2664">
        <v>44</v>
      </c>
      <c r="BD2664">
        <v>1</v>
      </c>
      <c r="BF2664" t="s">
        <v>2861</v>
      </c>
      <c r="BG2664" s="1">
        <v>44353.867118055554</v>
      </c>
      <c r="BH2664" s="1">
        <v>44353.869421296295</v>
      </c>
      <c r="BI2664" s="1">
        <v>44353.87054398148</v>
      </c>
      <c r="BJ2664" t="s">
        <v>197</v>
      </c>
      <c r="BK2664" t="s">
        <v>198</v>
      </c>
      <c r="BL2664" t="s">
        <v>87</v>
      </c>
    </row>
    <row r="2665" spans="1:64" x14ac:dyDescent="0.3">
      <c r="A2665" t="str">
        <f>"201746B0000"</f>
        <v>201746B0000</v>
      </c>
      <c r="B2665" t="str">
        <f>"201746B00003"</f>
        <v>201746B00003</v>
      </c>
      <c r="C2665" t="str">
        <f t="shared" si="177"/>
        <v>20</v>
      </c>
      <c r="D2665" t="s">
        <v>81</v>
      </c>
      <c r="E2665" t="str">
        <f t="shared" ref="E2665:E2696" si="183">"392"</f>
        <v>392</v>
      </c>
      <c r="F2665" t="s">
        <v>2862</v>
      </c>
      <c r="G2665" t="str">
        <f>"1746"</f>
        <v>1746</v>
      </c>
      <c r="H2665" t="str">
        <f>"0000"</f>
        <v>0000</v>
      </c>
      <c r="I2665" t="s">
        <v>83</v>
      </c>
      <c r="J2665">
        <v>0</v>
      </c>
      <c r="K2665">
        <v>1</v>
      </c>
      <c r="L2665">
        <v>3</v>
      </c>
      <c r="M2665">
        <v>284</v>
      </c>
      <c r="N2665">
        <v>352</v>
      </c>
      <c r="O2665">
        <v>1</v>
      </c>
      <c r="P2665">
        <v>351</v>
      </c>
      <c r="Q2665">
        <v>17</v>
      </c>
      <c r="R2665">
        <v>42</v>
      </c>
      <c r="S2665">
        <v>6</v>
      </c>
      <c r="T2665">
        <v>1</v>
      </c>
      <c r="U2665">
        <v>51</v>
      </c>
      <c r="V2665">
        <v>34</v>
      </c>
      <c r="W2665">
        <v>3</v>
      </c>
      <c r="X2665">
        <v>119</v>
      </c>
      <c r="Y2665">
        <v>5</v>
      </c>
      <c r="Z2665">
        <v>9</v>
      </c>
      <c r="AA2665">
        <v>2</v>
      </c>
      <c r="AB2665">
        <v>55</v>
      </c>
      <c r="AR2665">
        <v>0</v>
      </c>
      <c r="AU2665">
        <v>0</v>
      </c>
      <c r="AW2665">
        <v>0</v>
      </c>
      <c r="AX2665">
        <v>7</v>
      </c>
      <c r="AY2665">
        <v>351</v>
      </c>
      <c r="AZ2665">
        <v>351</v>
      </c>
      <c r="BA2665">
        <v>592</v>
      </c>
      <c r="BB2665">
        <v>44</v>
      </c>
      <c r="BD2665">
        <v>1</v>
      </c>
      <c r="BF2665" t="s">
        <v>2863</v>
      </c>
      <c r="BG2665" s="1">
        <v>44354.152083333334</v>
      </c>
      <c r="BH2665" s="1">
        <v>44354.164733796293</v>
      </c>
      <c r="BI2665" s="1">
        <v>44354.165312500001</v>
      </c>
      <c r="BJ2665" t="s">
        <v>85</v>
      </c>
      <c r="BK2665" t="s">
        <v>86</v>
      </c>
      <c r="BL2665" t="s">
        <v>87</v>
      </c>
    </row>
    <row r="2666" spans="1:64" x14ac:dyDescent="0.3">
      <c r="A2666" t="str">
        <f>"201746C0100"</f>
        <v>201746C0100</v>
      </c>
      <c r="B2666" t="str">
        <f>"201746C01003"</f>
        <v>201746C01003</v>
      </c>
      <c r="C2666" t="str">
        <f t="shared" si="177"/>
        <v>20</v>
      </c>
      <c r="D2666" t="s">
        <v>81</v>
      </c>
      <c r="E2666" t="str">
        <f t="shared" si="183"/>
        <v>392</v>
      </c>
      <c r="F2666" t="s">
        <v>2862</v>
      </c>
      <c r="G2666" t="str">
        <f>"1746"</f>
        <v>1746</v>
      </c>
      <c r="H2666" t="str">
        <f>"0001"</f>
        <v>0001</v>
      </c>
      <c r="I2666" t="s">
        <v>89</v>
      </c>
      <c r="J2666">
        <v>0</v>
      </c>
      <c r="K2666">
        <v>1</v>
      </c>
      <c r="L2666">
        <v>3</v>
      </c>
      <c r="M2666">
        <v>300</v>
      </c>
      <c r="N2666">
        <v>347</v>
      </c>
      <c r="O2666">
        <v>11</v>
      </c>
      <c r="P2666">
        <v>336</v>
      </c>
      <c r="Q2666">
        <v>15</v>
      </c>
      <c r="R2666">
        <v>30</v>
      </c>
      <c r="S2666">
        <v>1</v>
      </c>
      <c r="T2666">
        <v>4</v>
      </c>
      <c r="U2666">
        <v>64</v>
      </c>
      <c r="V2666">
        <v>16</v>
      </c>
      <c r="W2666">
        <v>9</v>
      </c>
      <c r="X2666">
        <v>126</v>
      </c>
      <c r="Y2666">
        <v>3</v>
      </c>
      <c r="Z2666">
        <v>16</v>
      </c>
      <c r="AA2666">
        <v>1</v>
      </c>
      <c r="AB2666">
        <v>40</v>
      </c>
      <c r="AR2666">
        <v>0</v>
      </c>
      <c r="AU2666">
        <v>0</v>
      </c>
      <c r="AW2666">
        <v>0</v>
      </c>
      <c r="AX2666">
        <v>11</v>
      </c>
      <c r="AY2666">
        <v>336</v>
      </c>
      <c r="AZ2666">
        <v>336</v>
      </c>
      <c r="BA2666">
        <v>591</v>
      </c>
      <c r="BB2666">
        <v>44</v>
      </c>
      <c r="BD2666">
        <v>1</v>
      </c>
      <c r="BF2666" t="s">
        <v>2864</v>
      </c>
      <c r="BG2666" s="1">
        <v>44354.152083333334</v>
      </c>
      <c r="BH2666" s="1">
        <v>44354.165324074071</v>
      </c>
      <c r="BI2666" s="1">
        <v>44354.165995370371</v>
      </c>
      <c r="BJ2666" t="s">
        <v>85</v>
      </c>
      <c r="BK2666" t="s">
        <v>86</v>
      </c>
      <c r="BL2666" t="s">
        <v>87</v>
      </c>
    </row>
    <row r="2667" spans="1:64" x14ac:dyDescent="0.3">
      <c r="A2667" t="str">
        <f>"201747B0000"</f>
        <v>201747B0000</v>
      </c>
      <c r="B2667" t="str">
        <f>"201747B00003"</f>
        <v>201747B00003</v>
      </c>
      <c r="C2667" t="str">
        <f t="shared" si="177"/>
        <v>20</v>
      </c>
      <c r="D2667" t="s">
        <v>81</v>
      </c>
      <c r="E2667" t="str">
        <f t="shared" si="183"/>
        <v>392</v>
      </c>
      <c r="F2667" t="s">
        <v>2862</v>
      </c>
      <c r="G2667" t="str">
        <f>"1747"</f>
        <v>1747</v>
      </c>
      <c r="H2667" t="str">
        <f>"0000"</f>
        <v>0000</v>
      </c>
      <c r="I2667" t="s">
        <v>83</v>
      </c>
      <c r="J2667">
        <v>0</v>
      </c>
      <c r="K2667">
        <v>1</v>
      </c>
      <c r="L2667">
        <v>3</v>
      </c>
      <c r="M2667">
        <v>316</v>
      </c>
      <c r="N2667">
        <v>179</v>
      </c>
      <c r="O2667">
        <v>5</v>
      </c>
      <c r="P2667">
        <v>179</v>
      </c>
      <c r="Q2667">
        <v>14</v>
      </c>
      <c r="R2667">
        <v>38</v>
      </c>
      <c r="S2667">
        <v>3</v>
      </c>
      <c r="T2667">
        <v>1</v>
      </c>
      <c r="U2667">
        <v>25</v>
      </c>
      <c r="V2667">
        <v>17</v>
      </c>
      <c r="W2667">
        <v>1</v>
      </c>
      <c r="X2667">
        <v>62</v>
      </c>
      <c r="Y2667">
        <v>3</v>
      </c>
      <c r="Z2667">
        <v>2</v>
      </c>
      <c r="AA2667">
        <v>0</v>
      </c>
      <c r="AB2667">
        <v>5</v>
      </c>
      <c r="AR2667">
        <v>0</v>
      </c>
      <c r="AU2667">
        <v>0</v>
      </c>
      <c r="AW2667">
        <v>0</v>
      </c>
      <c r="AX2667">
        <v>8</v>
      </c>
      <c r="AY2667">
        <v>179</v>
      </c>
      <c r="AZ2667">
        <v>179</v>
      </c>
      <c r="BA2667">
        <v>451</v>
      </c>
      <c r="BB2667">
        <v>44</v>
      </c>
      <c r="BD2667">
        <v>1</v>
      </c>
      <c r="BF2667" t="s">
        <v>2865</v>
      </c>
      <c r="BG2667" s="1">
        <v>44354.152777777781</v>
      </c>
      <c r="BH2667" s="1">
        <v>44354.165659722225</v>
      </c>
      <c r="BI2667" s="1">
        <v>44354.167708333334</v>
      </c>
      <c r="BJ2667" t="s">
        <v>85</v>
      </c>
      <c r="BK2667" t="s">
        <v>86</v>
      </c>
      <c r="BL2667" t="s">
        <v>87</v>
      </c>
    </row>
    <row r="2668" spans="1:64" x14ac:dyDescent="0.3">
      <c r="A2668" t="str">
        <f>"201748B0000"</f>
        <v>201748B0000</v>
      </c>
      <c r="B2668" t="str">
        <f>"201748B00003"</f>
        <v>201748B00003</v>
      </c>
      <c r="C2668" t="str">
        <f t="shared" si="177"/>
        <v>20</v>
      </c>
      <c r="D2668" t="s">
        <v>81</v>
      </c>
      <c r="E2668" t="str">
        <f t="shared" si="183"/>
        <v>392</v>
      </c>
      <c r="F2668" t="s">
        <v>2862</v>
      </c>
      <c r="G2668" t="str">
        <f>"1748"</f>
        <v>1748</v>
      </c>
      <c r="H2668" t="str">
        <f>"0000"</f>
        <v>0000</v>
      </c>
      <c r="I2668" t="s">
        <v>83</v>
      </c>
      <c r="J2668">
        <v>0</v>
      </c>
      <c r="K2668">
        <v>1</v>
      </c>
      <c r="L2668">
        <v>3</v>
      </c>
      <c r="M2668">
        <v>352</v>
      </c>
      <c r="N2668">
        <v>267</v>
      </c>
      <c r="O2668">
        <v>3</v>
      </c>
      <c r="P2668">
        <v>267</v>
      </c>
      <c r="Q2668">
        <v>12</v>
      </c>
      <c r="R2668">
        <v>41</v>
      </c>
      <c r="S2668">
        <v>2</v>
      </c>
      <c r="T2668">
        <v>1</v>
      </c>
      <c r="U2668">
        <v>51</v>
      </c>
      <c r="V2668">
        <v>29</v>
      </c>
      <c r="W2668">
        <v>9</v>
      </c>
      <c r="X2668">
        <v>79</v>
      </c>
      <c r="Y2668">
        <v>3</v>
      </c>
      <c r="Z2668">
        <v>4</v>
      </c>
      <c r="AA2668">
        <v>2</v>
      </c>
      <c r="AB2668">
        <v>23</v>
      </c>
      <c r="AR2668">
        <v>0</v>
      </c>
      <c r="AU2668">
        <v>0</v>
      </c>
      <c r="AW2668">
        <v>0</v>
      </c>
      <c r="AX2668">
        <v>11</v>
      </c>
      <c r="AY2668">
        <v>267</v>
      </c>
      <c r="AZ2668">
        <v>267</v>
      </c>
      <c r="BA2668">
        <v>575</v>
      </c>
      <c r="BB2668">
        <v>44</v>
      </c>
      <c r="BD2668">
        <v>1</v>
      </c>
      <c r="BF2668" t="s">
        <v>2866</v>
      </c>
      <c r="BG2668" s="1">
        <v>44354.152777777781</v>
      </c>
      <c r="BH2668" s="1">
        <v>44354.16542824074</v>
      </c>
      <c r="BI2668" s="1">
        <v>44354.165717592594</v>
      </c>
      <c r="BJ2668" t="s">
        <v>85</v>
      </c>
      <c r="BK2668" t="s">
        <v>86</v>
      </c>
      <c r="BL2668" t="s">
        <v>87</v>
      </c>
    </row>
    <row r="2669" spans="1:64" x14ac:dyDescent="0.3">
      <c r="A2669" t="str">
        <f>"201748C0100"</f>
        <v>201748C0100</v>
      </c>
      <c r="B2669" t="str">
        <f>"201748C01003"</f>
        <v>201748C01003</v>
      </c>
      <c r="C2669" t="str">
        <f t="shared" si="177"/>
        <v>20</v>
      </c>
      <c r="D2669" t="s">
        <v>81</v>
      </c>
      <c r="E2669" t="str">
        <f t="shared" si="183"/>
        <v>392</v>
      </c>
      <c r="F2669" t="s">
        <v>2862</v>
      </c>
      <c r="G2669" t="str">
        <f>"1748"</f>
        <v>1748</v>
      </c>
      <c r="H2669" t="str">
        <f>"0001"</f>
        <v>0001</v>
      </c>
      <c r="I2669" t="s">
        <v>89</v>
      </c>
      <c r="J2669">
        <v>0</v>
      </c>
      <c r="K2669">
        <v>1</v>
      </c>
      <c r="L2669">
        <v>3</v>
      </c>
      <c r="M2669">
        <v>307</v>
      </c>
      <c r="N2669">
        <v>311</v>
      </c>
      <c r="O2669">
        <v>4</v>
      </c>
      <c r="P2669">
        <v>312</v>
      </c>
      <c r="Q2669">
        <v>11</v>
      </c>
      <c r="R2669">
        <v>40</v>
      </c>
      <c r="S2669">
        <v>3</v>
      </c>
      <c r="T2669">
        <v>1</v>
      </c>
      <c r="U2669">
        <v>59</v>
      </c>
      <c r="V2669">
        <v>47</v>
      </c>
      <c r="W2669">
        <v>7</v>
      </c>
      <c r="X2669">
        <v>86</v>
      </c>
      <c r="Y2669">
        <v>7</v>
      </c>
      <c r="Z2669">
        <v>5</v>
      </c>
      <c r="AA2669">
        <v>2</v>
      </c>
      <c r="AB2669">
        <v>30</v>
      </c>
      <c r="AR2669">
        <v>0</v>
      </c>
      <c r="AU2669">
        <v>0</v>
      </c>
      <c r="AW2669">
        <v>0</v>
      </c>
      <c r="AX2669">
        <v>14</v>
      </c>
      <c r="AY2669">
        <v>312</v>
      </c>
      <c r="AZ2669">
        <v>312</v>
      </c>
      <c r="BA2669">
        <v>575</v>
      </c>
      <c r="BB2669">
        <v>44</v>
      </c>
      <c r="BD2669">
        <v>1</v>
      </c>
      <c r="BF2669" t="s">
        <v>2867</v>
      </c>
      <c r="BG2669" s="1">
        <v>44354.152777777781</v>
      </c>
      <c r="BH2669" s="1">
        <v>44354.165949074071</v>
      </c>
      <c r="BI2669" s="1">
        <v>44354.166412037041</v>
      </c>
      <c r="BJ2669" t="s">
        <v>85</v>
      </c>
      <c r="BK2669" t="s">
        <v>86</v>
      </c>
      <c r="BL2669" t="s">
        <v>87</v>
      </c>
    </row>
    <row r="2670" spans="1:64" x14ac:dyDescent="0.3">
      <c r="A2670" t="str">
        <f>"201749B0000"</f>
        <v>201749B0000</v>
      </c>
      <c r="B2670" t="str">
        <f>"201749B00003"</f>
        <v>201749B00003</v>
      </c>
      <c r="C2670" t="str">
        <f t="shared" si="177"/>
        <v>20</v>
      </c>
      <c r="D2670" t="s">
        <v>81</v>
      </c>
      <c r="E2670" t="str">
        <f t="shared" si="183"/>
        <v>392</v>
      </c>
      <c r="F2670" t="s">
        <v>2862</v>
      </c>
      <c r="G2670" t="str">
        <f>"1749"</f>
        <v>1749</v>
      </c>
      <c r="H2670" t="str">
        <f>"0000"</f>
        <v>0000</v>
      </c>
      <c r="I2670" t="s">
        <v>83</v>
      </c>
      <c r="J2670">
        <v>0</v>
      </c>
      <c r="K2670">
        <v>1</v>
      </c>
      <c r="L2670">
        <v>3</v>
      </c>
      <c r="M2670">
        <v>269</v>
      </c>
      <c r="N2670">
        <v>395</v>
      </c>
      <c r="O2670">
        <v>5</v>
      </c>
      <c r="P2670">
        <v>395</v>
      </c>
      <c r="Q2670">
        <v>30</v>
      </c>
      <c r="R2670">
        <v>71</v>
      </c>
      <c r="S2670">
        <v>4</v>
      </c>
      <c r="T2670">
        <v>3</v>
      </c>
      <c r="U2670">
        <v>55</v>
      </c>
      <c r="V2670">
        <v>45</v>
      </c>
      <c r="W2670">
        <v>2</v>
      </c>
      <c r="X2670">
        <v>126</v>
      </c>
      <c r="Y2670">
        <v>4</v>
      </c>
      <c r="Z2670">
        <v>8</v>
      </c>
      <c r="AA2670">
        <v>2</v>
      </c>
      <c r="AB2670">
        <v>30</v>
      </c>
      <c r="AR2670">
        <v>2</v>
      </c>
      <c r="AU2670">
        <v>0</v>
      </c>
      <c r="AW2670">
        <v>1</v>
      </c>
      <c r="AX2670">
        <v>12</v>
      </c>
      <c r="AY2670">
        <v>395</v>
      </c>
      <c r="AZ2670">
        <v>395</v>
      </c>
      <c r="BA2670">
        <v>620</v>
      </c>
      <c r="BB2670">
        <v>44</v>
      </c>
      <c r="BD2670">
        <v>1</v>
      </c>
      <c r="BF2670" t="s">
        <v>2868</v>
      </c>
      <c r="BG2670" s="1">
        <v>44354.15347222222</v>
      </c>
      <c r="BH2670" s="1">
        <v>44354.166215277779</v>
      </c>
      <c r="BI2670" s="1">
        <v>44354.16673611111</v>
      </c>
      <c r="BJ2670" t="s">
        <v>85</v>
      </c>
      <c r="BK2670" t="s">
        <v>86</v>
      </c>
      <c r="BL2670" t="s">
        <v>87</v>
      </c>
    </row>
    <row r="2671" spans="1:64" x14ac:dyDescent="0.3">
      <c r="A2671" t="str">
        <f>"201750B0000"</f>
        <v>201750B0000</v>
      </c>
      <c r="B2671" t="str">
        <f>"201750B00003"</f>
        <v>201750B00003</v>
      </c>
      <c r="C2671" t="str">
        <f t="shared" si="177"/>
        <v>20</v>
      </c>
      <c r="D2671" t="s">
        <v>81</v>
      </c>
      <c r="E2671" t="str">
        <f t="shared" si="183"/>
        <v>392</v>
      </c>
      <c r="F2671" t="s">
        <v>2862</v>
      </c>
      <c r="G2671" t="str">
        <f>"1750"</f>
        <v>1750</v>
      </c>
      <c r="H2671" t="str">
        <f>"0000"</f>
        <v>0000</v>
      </c>
      <c r="I2671" t="s">
        <v>83</v>
      </c>
      <c r="J2671">
        <v>0</v>
      </c>
      <c r="K2671">
        <v>1</v>
      </c>
      <c r="L2671">
        <v>3</v>
      </c>
      <c r="M2671">
        <v>270</v>
      </c>
      <c r="N2671">
        <v>334</v>
      </c>
      <c r="O2671">
        <v>10</v>
      </c>
      <c r="P2671">
        <v>334</v>
      </c>
      <c r="Q2671">
        <v>35</v>
      </c>
      <c r="R2671">
        <v>57</v>
      </c>
      <c r="S2671">
        <v>2</v>
      </c>
      <c r="T2671">
        <v>1</v>
      </c>
      <c r="U2671">
        <v>39</v>
      </c>
      <c r="V2671">
        <v>63</v>
      </c>
      <c r="W2671">
        <v>3</v>
      </c>
      <c r="X2671">
        <v>80</v>
      </c>
      <c r="Y2671">
        <v>9</v>
      </c>
      <c r="Z2671">
        <v>4</v>
      </c>
      <c r="AA2671">
        <v>3</v>
      </c>
      <c r="AB2671">
        <v>31</v>
      </c>
      <c r="AR2671">
        <v>1</v>
      </c>
      <c r="AU2671">
        <v>0</v>
      </c>
      <c r="AW2671">
        <v>0</v>
      </c>
      <c r="AX2671">
        <v>6</v>
      </c>
      <c r="AY2671">
        <v>334</v>
      </c>
      <c r="AZ2671">
        <v>334</v>
      </c>
      <c r="BA2671">
        <v>560</v>
      </c>
      <c r="BB2671">
        <v>44</v>
      </c>
      <c r="BD2671">
        <v>1</v>
      </c>
      <c r="BF2671" t="s">
        <v>2869</v>
      </c>
      <c r="BG2671" s="1">
        <v>44354.15347222222</v>
      </c>
      <c r="BH2671" s="1">
        <v>44354.167291666665</v>
      </c>
      <c r="BI2671" s="1">
        <v>44354.167881944442</v>
      </c>
      <c r="BJ2671" t="s">
        <v>85</v>
      </c>
      <c r="BK2671" t="s">
        <v>86</v>
      </c>
      <c r="BL2671" t="s">
        <v>87</v>
      </c>
    </row>
    <row r="2672" spans="1:64" x14ac:dyDescent="0.3">
      <c r="A2672" t="str">
        <f>"201750C0100"</f>
        <v>201750C0100</v>
      </c>
      <c r="B2672" t="str">
        <f>"201750C01003"</f>
        <v>201750C01003</v>
      </c>
      <c r="C2672" t="str">
        <f t="shared" si="177"/>
        <v>20</v>
      </c>
      <c r="D2672" t="s">
        <v>81</v>
      </c>
      <c r="E2672" t="str">
        <f t="shared" si="183"/>
        <v>392</v>
      </c>
      <c r="F2672" t="s">
        <v>2862</v>
      </c>
      <c r="G2672" t="str">
        <f>"1750"</f>
        <v>1750</v>
      </c>
      <c r="H2672" t="str">
        <f>"0001"</f>
        <v>0001</v>
      </c>
      <c r="I2672" t="s">
        <v>89</v>
      </c>
      <c r="J2672">
        <v>0</v>
      </c>
      <c r="K2672">
        <v>1</v>
      </c>
      <c r="L2672">
        <v>3</v>
      </c>
      <c r="M2672">
        <v>258</v>
      </c>
      <c r="N2672">
        <v>346</v>
      </c>
      <c r="O2672">
        <v>12</v>
      </c>
      <c r="P2672" t="s">
        <v>92</v>
      </c>
      <c r="Q2672">
        <v>30</v>
      </c>
      <c r="R2672">
        <v>54</v>
      </c>
      <c r="S2672">
        <v>6</v>
      </c>
      <c r="T2672">
        <v>4</v>
      </c>
      <c r="U2672">
        <v>52</v>
      </c>
      <c r="V2672">
        <v>52</v>
      </c>
      <c r="W2672">
        <v>2</v>
      </c>
      <c r="X2672">
        <v>80</v>
      </c>
      <c r="Y2672">
        <v>5</v>
      </c>
      <c r="Z2672">
        <v>7</v>
      </c>
      <c r="AA2672">
        <v>1</v>
      </c>
      <c r="AB2672">
        <v>41</v>
      </c>
      <c r="AR2672">
        <v>0</v>
      </c>
      <c r="AU2672">
        <v>0</v>
      </c>
      <c r="AW2672">
        <v>2</v>
      </c>
      <c r="AX2672">
        <v>10</v>
      </c>
      <c r="AY2672">
        <v>346</v>
      </c>
      <c r="AZ2672">
        <v>346</v>
      </c>
      <c r="BA2672">
        <v>560</v>
      </c>
      <c r="BB2672">
        <v>44</v>
      </c>
      <c r="BD2672">
        <v>1</v>
      </c>
      <c r="BF2672" t="s">
        <v>2870</v>
      </c>
      <c r="BG2672" s="1">
        <v>44354.15347222222</v>
      </c>
      <c r="BH2672" s="1">
        <v>44354.167534722219</v>
      </c>
      <c r="BI2672" s="1">
        <v>44354.167928240742</v>
      </c>
      <c r="BJ2672" t="s">
        <v>85</v>
      </c>
      <c r="BK2672" t="s">
        <v>86</v>
      </c>
      <c r="BL2672" t="s">
        <v>87</v>
      </c>
    </row>
    <row r="2673" spans="1:64" x14ac:dyDescent="0.3">
      <c r="A2673" t="str">
        <f>"201750S0100"</f>
        <v>201750S0100</v>
      </c>
      <c r="B2673" t="str">
        <f>"201750S01003E"</f>
        <v>201750S01003E</v>
      </c>
      <c r="C2673" t="str">
        <f t="shared" si="177"/>
        <v>20</v>
      </c>
      <c r="D2673" t="s">
        <v>81</v>
      </c>
      <c r="E2673" t="str">
        <f t="shared" si="183"/>
        <v>392</v>
      </c>
      <c r="F2673" t="s">
        <v>2862</v>
      </c>
      <c r="G2673" t="str">
        <f>"1750"</f>
        <v>1750</v>
      </c>
      <c r="H2673" t="str">
        <f>"0001"</f>
        <v>0001</v>
      </c>
      <c r="I2673" t="s">
        <v>99</v>
      </c>
      <c r="J2673">
        <v>0</v>
      </c>
      <c r="K2673">
        <v>1</v>
      </c>
      <c r="L2673" t="s">
        <v>100</v>
      </c>
      <c r="M2673">
        <v>968</v>
      </c>
      <c r="N2673">
        <v>32</v>
      </c>
      <c r="O2673">
        <v>0</v>
      </c>
      <c r="P2673">
        <v>32</v>
      </c>
      <c r="Q2673">
        <v>1</v>
      </c>
      <c r="R2673">
        <v>7</v>
      </c>
      <c r="S2673">
        <v>1</v>
      </c>
      <c r="T2673">
        <v>0</v>
      </c>
      <c r="U2673">
        <v>4</v>
      </c>
      <c r="V2673">
        <v>6</v>
      </c>
      <c r="W2673">
        <v>2</v>
      </c>
      <c r="X2673">
        <v>7</v>
      </c>
      <c r="Y2673">
        <v>1</v>
      </c>
      <c r="Z2673">
        <v>0</v>
      </c>
      <c r="AA2673">
        <v>0</v>
      </c>
      <c r="AB2673">
        <v>1</v>
      </c>
      <c r="AR2673">
        <v>0</v>
      </c>
      <c r="AU2673">
        <v>0</v>
      </c>
      <c r="AW2673">
        <v>0</v>
      </c>
      <c r="AX2673">
        <v>2</v>
      </c>
      <c r="AY2673">
        <v>32</v>
      </c>
      <c r="AZ2673">
        <v>32</v>
      </c>
      <c r="BA2673">
        <v>0</v>
      </c>
      <c r="BB2673">
        <v>44</v>
      </c>
      <c r="BD2673">
        <v>1</v>
      </c>
      <c r="BF2673" t="s">
        <v>2871</v>
      </c>
      <c r="BG2673" s="1">
        <v>44354.15347222222</v>
      </c>
      <c r="BH2673" s="1">
        <v>44354.167581018519</v>
      </c>
      <c r="BI2673" s="1">
        <v>44354.167939814812</v>
      </c>
      <c r="BJ2673" t="s">
        <v>85</v>
      </c>
      <c r="BK2673" t="s">
        <v>86</v>
      </c>
      <c r="BL2673" t="s">
        <v>87</v>
      </c>
    </row>
    <row r="2674" spans="1:64" x14ac:dyDescent="0.3">
      <c r="A2674" t="str">
        <f>"201751B0000"</f>
        <v>201751B0000</v>
      </c>
      <c r="B2674" t="str">
        <f>"201751B00003"</f>
        <v>201751B00003</v>
      </c>
      <c r="C2674" t="str">
        <f t="shared" si="177"/>
        <v>20</v>
      </c>
      <c r="D2674" t="s">
        <v>81</v>
      </c>
      <c r="E2674" t="str">
        <f t="shared" si="183"/>
        <v>392</v>
      </c>
      <c r="F2674" t="s">
        <v>2862</v>
      </c>
      <c r="G2674" t="str">
        <f>"1751"</f>
        <v>1751</v>
      </c>
      <c r="H2674" t="str">
        <f>"0000"</f>
        <v>0000</v>
      </c>
      <c r="I2674" t="s">
        <v>83</v>
      </c>
      <c r="J2674">
        <v>0</v>
      </c>
      <c r="K2674">
        <v>1</v>
      </c>
      <c r="L2674">
        <v>3</v>
      </c>
      <c r="M2674">
        <v>300</v>
      </c>
      <c r="N2674">
        <v>415</v>
      </c>
      <c r="O2674">
        <v>6</v>
      </c>
      <c r="P2674">
        <v>415</v>
      </c>
      <c r="Q2674">
        <v>32</v>
      </c>
      <c r="R2674">
        <v>84</v>
      </c>
      <c r="S2674">
        <v>1</v>
      </c>
      <c r="T2674">
        <v>3</v>
      </c>
      <c r="U2674">
        <v>45</v>
      </c>
      <c r="V2674">
        <v>103</v>
      </c>
      <c r="W2674">
        <v>27</v>
      </c>
      <c r="X2674">
        <v>70</v>
      </c>
      <c r="Y2674">
        <v>7</v>
      </c>
      <c r="Z2674">
        <v>2</v>
      </c>
      <c r="AA2674">
        <v>1</v>
      </c>
      <c r="AB2674">
        <v>25</v>
      </c>
      <c r="AR2674">
        <v>0</v>
      </c>
      <c r="AU2674">
        <v>0</v>
      </c>
      <c r="AW2674">
        <v>0</v>
      </c>
      <c r="AX2674">
        <v>15</v>
      </c>
      <c r="AY2674">
        <v>415</v>
      </c>
      <c r="AZ2674">
        <v>415</v>
      </c>
      <c r="BA2674">
        <v>671</v>
      </c>
      <c r="BB2674">
        <v>44</v>
      </c>
      <c r="BD2674">
        <v>1</v>
      </c>
      <c r="BF2674" t="s">
        <v>2872</v>
      </c>
      <c r="BG2674" s="1">
        <v>44354.026539351849</v>
      </c>
      <c r="BH2674" s="1">
        <v>44354.032523148147</v>
      </c>
      <c r="BI2674" s="1">
        <v>44354.03297453704</v>
      </c>
      <c r="BJ2674" t="s">
        <v>197</v>
      </c>
      <c r="BK2674" t="s">
        <v>198</v>
      </c>
      <c r="BL2674" t="s">
        <v>87</v>
      </c>
    </row>
    <row r="2675" spans="1:64" x14ac:dyDescent="0.3">
      <c r="A2675" t="str">
        <f>"201751C0100"</f>
        <v>201751C0100</v>
      </c>
      <c r="B2675" t="str">
        <f>"201751C01003"</f>
        <v>201751C01003</v>
      </c>
      <c r="C2675" t="str">
        <f t="shared" si="177"/>
        <v>20</v>
      </c>
      <c r="D2675" t="s">
        <v>81</v>
      </c>
      <c r="E2675" t="str">
        <f t="shared" si="183"/>
        <v>392</v>
      </c>
      <c r="F2675" t="s">
        <v>2862</v>
      </c>
      <c r="G2675" t="str">
        <f>"1751"</f>
        <v>1751</v>
      </c>
      <c r="H2675" t="str">
        <f>"0001"</f>
        <v>0001</v>
      </c>
      <c r="I2675" t="s">
        <v>89</v>
      </c>
      <c r="J2675">
        <v>0</v>
      </c>
      <c r="K2675">
        <v>1</v>
      </c>
      <c r="L2675">
        <v>3</v>
      </c>
      <c r="M2675">
        <v>309</v>
      </c>
      <c r="N2675">
        <v>405</v>
      </c>
      <c r="O2675">
        <v>6</v>
      </c>
      <c r="P2675">
        <v>405</v>
      </c>
      <c r="Q2675">
        <v>23</v>
      </c>
      <c r="R2675">
        <v>51</v>
      </c>
      <c r="S2675">
        <v>1</v>
      </c>
      <c r="T2675">
        <v>3</v>
      </c>
      <c r="U2675">
        <v>61</v>
      </c>
      <c r="V2675">
        <v>143</v>
      </c>
      <c r="W2675">
        <v>14</v>
      </c>
      <c r="X2675">
        <v>84</v>
      </c>
      <c r="Y2675">
        <v>4</v>
      </c>
      <c r="Z2675">
        <v>2</v>
      </c>
      <c r="AA2675">
        <v>0</v>
      </c>
      <c r="AB2675">
        <v>11</v>
      </c>
      <c r="AR2675">
        <v>0</v>
      </c>
      <c r="AU2675">
        <v>0</v>
      </c>
      <c r="AW2675">
        <v>0</v>
      </c>
      <c r="AX2675">
        <v>8</v>
      </c>
      <c r="AY2675">
        <v>405</v>
      </c>
      <c r="AZ2675">
        <v>405</v>
      </c>
      <c r="BA2675">
        <v>670</v>
      </c>
      <c r="BB2675">
        <v>44</v>
      </c>
      <c r="BD2675">
        <v>1</v>
      </c>
      <c r="BF2675" t="s">
        <v>2873</v>
      </c>
      <c r="BG2675" s="1">
        <v>44353.996365740742</v>
      </c>
      <c r="BH2675" s="1">
        <v>44354.001655092594</v>
      </c>
      <c r="BI2675" s="1">
        <v>44354.002210648148</v>
      </c>
      <c r="BJ2675" t="s">
        <v>197</v>
      </c>
      <c r="BK2675" t="s">
        <v>198</v>
      </c>
      <c r="BL2675" t="s">
        <v>87</v>
      </c>
    </row>
    <row r="2676" spans="1:64" x14ac:dyDescent="0.3">
      <c r="A2676" t="str">
        <f>"201751C0200"</f>
        <v>201751C0200</v>
      </c>
      <c r="B2676" t="str">
        <f>"201751C02003"</f>
        <v>201751C02003</v>
      </c>
      <c r="C2676" t="str">
        <f t="shared" si="177"/>
        <v>20</v>
      </c>
      <c r="D2676" t="s">
        <v>81</v>
      </c>
      <c r="E2676" t="str">
        <f t="shared" si="183"/>
        <v>392</v>
      </c>
      <c r="F2676" t="s">
        <v>2862</v>
      </c>
      <c r="G2676" t="str">
        <f>"1751"</f>
        <v>1751</v>
      </c>
      <c r="H2676" t="str">
        <f>"0002"</f>
        <v>0002</v>
      </c>
      <c r="I2676" t="s">
        <v>89</v>
      </c>
      <c r="J2676">
        <v>0</v>
      </c>
      <c r="K2676">
        <v>1</v>
      </c>
      <c r="L2676">
        <v>3</v>
      </c>
      <c r="M2676">
        <v>318</v>
      </c>
      <c r="N2676">
        <v>396</v>
      </c>
      <c r="O2676">
        <v>12</v>
      </c>
      <c r="P2676">
        <v>396</v>
      </c>
      <c r="Q2676">
        <v>21</v>
      </c>
      <c r="R2676">
        <v>67</v>
      </c>
      <c r="S2676">
        <v>3</v>
      </c>
      <c r="T2676">
        <v>2</v>
      </c>
      <c r="U2676">
        <v>54</v>
      </c>
      <c r="V2676">
        <v>127</v>
      </c>
      <c r="W2676">
        <v>20</v>
      </c>
      <c r="X2676">
        <v>66</v>
      </c>
      <c r="Y2676">
        <v>7</v>
      </c>
      <c r="Z2676">
        <v>3</v>
      </c>
      <c r="AA2676">
        <v>1</v>
      </c>
      <c r="AB2676">
        <v>17</v>
      </c>
      <c r="AR2676">
        <v>1</v>
      </c>
      <c r="AU2676">
        <v>0</v>
      </c>
      <c r="AW2676">
        <v>0</v>
      </c>
      <c r="AX2676">
        <v>7</v>
      </c>
      <c r="AY2676">
        <v>396</v>
      </c>
      <c r="AZ2676">
        <v>396</v>
      </c>
      <c r="BA2676">
        <v>670</v>
      </c>
      <c r="BB2676">
        <v>44</v>
      </c>
      <c r="BD2676">
        <v>1</v>
      </c>
      <c r="BF2676" t="s">
        <v>2874</v>
      </c>
      <c r="BG2676" s="1">
        <v>44353.972592592596</v>
      </c>
      <c r="BH2676" s="1">
        <v>44353.973773148151</v>
      </c>
      <c r="BI2676" s="1">
        <v>44353.975613425922</v>
      </c>
      <c r="BJ2676" t="s">
        <v>197</v>
      </c>
      <c r="BK2676" t="s">
        <v>198</v>
      </c>
      <c r="BL2676" t="s">
        <v>87</v>
      </c>
    </row>
    <row r="2677" spans="1:64" x14ac:dyDescent="0.3">
      <c r="A2677" t="str">
        <f>"201751E0100"</f>
        <v>201751E0100</v>
      </c>
      <c r="B2677" t="str">
        <f>"201751E01003"</f>
        <v>201751E01003</v>
      </c>
      <c r="C2677" t="str">
        <f t="shared" si="177"/>
        <v>20</v>
      </c>
      <c r="D2677" t="s">
        <v>81</v>
      </c>
      <c r="E2677" t="str">
        <f t="shared" si="183"/>
        <v>392</v>
      </c>
      <c r="F2677" t="s">
        <v>2862</v>
      </c>
      <c r="G2677" t="str">
        <f>"1751"</f>
        <v>1751</v>
      </c>
      <c r="H2677" t="str">
        <f>"0001"</f>
        <v>0001</v>
      </c>
      <c r="I2677" t="s">
        <v>122</v>
      </c>
      <c r="J2677">
        <v>0</v>
      </c>
      <c r="K2677">
        <v>1</v>
      </c>
      <c r="L2677">
        <v>3</v>
      </c>
      <c r="M2677">
        <v>335</v>
      </c>
      <c r="N2677">
        <v>286</v>
      </c>
      <c r="O2677">
        <v>14</v>
      </c>
      <c r="P2677" t="s">
        <v>92</v>
      </c>
      <c r="Q2677">
        <v>16</v>
      </c>
      <c r="R2677">
        <v>37</v>
      </c>
      <c r="S2677">
        <v>2</v>
      </c>
      <c r="T2677">
        <v>0</v>
      </c>
      <c r="U2677">
        <v>47</v>
      </c>
      <c r="V2677">
        <v>67</v>
      </c>
      <c r="W2677">
        <v>12</v>
      </c>
      <c r="X2677">
        <v>68</v>
      </c>
      <c r="Y2677">
        <v>4</v>
      </c>
      <c r="Z2677">
        <v>5</v>
      </c>
      <c r="AA2677">
        <v>2</v>
      </c>
      <c r="AB2677">
        <v>22</v>
      </c>
      <c r="AR2677">
        <v>0</v>
      </c>
      <c r="AU2677">
        <v>0</v>
      </c>
      <c r="AW2677">
        <v>0</v>
      </c>
      <c r="AX2677">
        <v>4</v>
      </c>
      <c r="AY2677">
        <v>286</v>
      </c>
      <c r="AZ2677">
        <v>286</v>
      </c>
      <c r="BA2677">
        <v>577</v>
      </c>
      <c r="BB2677">
        <v>44</v>
      </c>
      <c r="BD2677">
        <v>1</v>
      </c>
      <c r="BF2677" t="s">
        <v>2875</v>
      </c>
      <c r="BG2677" s="1">
        <v>44353.900567129633</v>
      </c>
      <c r="BH2677" s="1">
        <v>44353.903344907405</v>
      </c>
      <c r="BI2677" s="1">
        <v>44353.904456018521</v>
      </c>
      <c r="BJ2677" t="s">
        <v>197</v>
      </c>
      <c r="BK2677" t="s">
        <v>198</v>
      </c>
      <c r="BL2677" t="s">
        <v>87</v>
      </c>
    </row>
    <row r="2678" spans="1:64" x14ac:dyDescent="0.3">
      <c r="A2678" t="str">
        <f>"201751E0101"</f>
        <v>201751E0101</v>
      </c>
      <c r="B2678" t="str">
        <f>"201751E01013"</f>
        <v>201751E01013</v>
      </c>
      <c r="C2678" t="str">
        <f t="shared" si="177"/>
        <v>20</v>
      </c>
      <c r="D2678" t="s">
        <v>81</v>
      </c>
      <c r="E2678" t="str">
        <f t="shared" si="183"/>
        <v>392</v>
      </c>
      <c r="F2678" t="s">
        <v>2862</v>
      </c>
      <c r="G2678" t="str">
        <f>"1751"</f>
        <v>1751</v>
      </c>
      <c r="H2678" t="str">
        <f>"0001"</f>
        <v>0001</v>
      </c>
      <c r="I2678" t="s">
        <v>122</v>
      </c>
      <c r="J2678">
        <v>1</v>
      </c>
      <c r="K2678">
        <v>1</v>
      </c>
      <c r="L2678">
        <v>3</v>
      </c>
      <c r="M2678">
        <v>303</v>
      </c>
      <c r="N2678">
        <v>317</v>
      </c>
      <c r="O2678">
        <v>8</v>
      </c>
      <c r="P2678">
        <v>317</v>
      </c>
      <c r="Q2678">
        <v>20</v>
      </c>
      <c r="R2678">
        <v>41</v>
      </c>
      <c r="S2678">
        <v>2</v>
      </c>
      <c r="T2678">
        <v>2</v>
      </c>
      <c r="U2678">
        <v>58</v>
      </c>
      <c r="V2678">
        <v>74</v>
      </c>
      <c r="W2678">
        <v>9</v>
      </c>
      <c r="X2678">
        <v>78</v>
      </c>
      <c r="Y2678">
        <v>7</v>
      </c>
      <c r="Z2678">
        <v>5</v>
      </c>
      <c r="AA2678">
        <v>0</v>
      </c>
      <c r="AB2678">
        <v>12</v>
      </c>
      <c r="AR2678">
        <v>0</v>
      </c>
      <c r="AU2678">
        <v>0</v>
      </c>
      <c r="AW2678">
        <v>1</v>
      </c>
      <c r="AX2678">
        <v>8</v>
      </c>
      <c r="AY2678">
        <v>317</v>
      </c>
      <c r="AZ2678">
        <v>317</v>
      </c>
      <c r="BA2678">
        <v>576</v>
      </c>
      <c r="BB2678">
        <v>44</v>
      </c>
      <c r="BD2678">
        <v>1</v>
      </c>
      <c r="BF2678" t="s">
        <v>2876</v>
      </c>
      <c r="BG2678" s="1">
        <v>44353.89230324074</v>
      </c>
      <c r="BH2678" s="1">
        <v>44353.895127314812</v>
      </c>
      <c r="BI2678" s="1">
        <v>44353.896122685182</v>
      </c>
      <c r="BJ2678" t="s">
        <v>197</v>
      </c>
      <c r="BK2678" t="s">
        <v>198</v>
      </c>
      <c r="BL2678" t="s">
        <v>87</v>
      </c>
    </row>
    <row r="2679" spans="1:64" x14ac:dyDescent="0.3">
      <c r="A2679" t="str">
        <f>"201752B0000"</f>
        <v>201752B0000</v>
      </c>
      <c r="B2679" t="str">
        <f>"201752B00003"</f>
        <v>201752B00003</v>
      </c>
      <c r="C2679" t="str">
        <f t="shared" si="177"/>
        <v>20</v>
      </c>
      <c r="D2679" t="s">
        <v>81</v>
      </c>
      <c r="E2679" t="str">
        <f t="shared" si="183"/>
        <v>392</v>
      </c>
      <c r="F2679" t="s">
        <v>2862</v>
      </c>
      <c r="G2679" t="str">
        <f>"1752"</f>
        <v>1752</v>
      </c>
      <c r="H2679" t="str">
        <f>"0000"</f>
        <v>0000</v>
      </c>
      <c r="I2679" t="s">
        <v>83</v>
      </c>
      <c r="J2679">
        <v>0</v>
      </c>
      <c r="K2679">
        <v>1</v>
      </c>
      <c r="L2679">
        <v>3</v>
      </c>
      <c r="M2679">
        <v>304</v>
      </c>
      <c r="N2679">
        <v>458</v>
      </c>
      <c r="O2679">
        <v>11</v>
      </c>
      <c r="P2679">
        <v>458</v>
      </c>
      <c r="Q2679">
        <v>20</v>
      </c>
      <c r="R2679">
        <v>82</v>
      </c>
      <c r="S2679">
        <v>2</v>
      </c>
      <c r="T2679">
        <v>0</v>
      </c>
      <c r="U2679">
        <v>86</v>
      </c>
      <c r="V2679">
        <v>108</v>
      </c>
      <c r="W2679">
        <v>15</v>
      </c>
      <c r="X2679">
        <v>108</v>
      </c>
      <c r="Y2679">
        <v>8</v>
      </c>
      <c r="Z2679">
        <v>7</v>
      </c>
      <c r="AA2679">
        <v>3</v>
      </c>
      <c r="AB2679">
        <v>14</v>
      </c>
      <c r="AR2679">
        <v>0</v>
      </c>
      <c r="AU2679">
        <v>0</v>
      </c>
      <c r="AW2679">
        <v>0</v>
      </c>
      <c r="AX2679">
        <v>5</v>
      </c>
      <c r="AY2679">
        <v>458</v>
      </c>
      <c r="AZ2679">
        <v>458</v>
      </c>
      <c r="BA2679">
        <v>718</v>
      </c>
      <c r="BB2679">
        <v>44</v>
      </c>
      <c r="BD2679">
        <v>1</v>
      </c>
      <c r="BF2679" t="s">
        <v>2877</v>
      </c>
      <c r="BG2679" s="1">
        <v>44353.934386574074</v>
      </c>
      <c r="BH2679" s="1">
        <v>44353.935833333337</v>
      </c>
      <c r="BI2679" s="1">
        <v>44353.937326388892</v>
      </c>
      <c r="BJ2679" t="s">
        <v>197</v>
      </c>
      <c r="BK2679" t="s">
        <v>198</v>
      </c>
      <c r="BL2679" t="s">
        <v>87</v>
      </c>
    </row>
    <row r="2680" spans="1:64" x14ac:dyDescent="0.3">
      <c r="A2680" t="str">
        <f>"201752C0100"</f>
        <v>201752C0100</v>
      </c>
      <c r="B2680" t="str">
        <f>"201752C01003"</f>
        <v>201752C01003</v>
      </c>
      <c r="C2680" t="str">
        <f t="shared" si="177"/>
        <v>20</v>
      </c>
      <c r="D2680" t="s">
        <v>81</v>
      </c>
      <c r="E2680" t="str">
        <f t="shared" si="183"/>
        <v>392</v>
      </c>
      <c r="F2680" t="s">
        <v>2862</v>
      </c>
      <c r="G2680" t="str">
        <f>"1752"</f>
        <v>1752</v>
      </c>
      <c r="H2680" t="str">
        <f>"0001"</f>
        <v>0001</v>
      </c>
      <c r="I2680" t="s">
        <v>89</v>
      </c>
      <c r="J2680">
        <v>0</v>
      </c>
      <c r="K2680">
        <v>1</v>
      </c>
      <c r="L2680">
        <v>3</v>
      </c>
      <c r="M2680">
        <v>317</v>
      </c>
      <c r="N2680">
        <v>444</v>
      </c>
      <c r="O2680">
        <v>11</v>
      </c>
      <c r="P2680">
        <v>444</v>
      </c>
      <c r="Q2680">
        <v>15</v>
      </c>
      <c r="R2680">
        <v>98</v>
      </c>
      <c r="S2680">
        <v>3</v>
      </c>
      <c r="T2680">
        <v>3</v>
      </c>
      <c r="U2680">
        <v>58</v>
      </c>
      <c r="V2680">
        <v>107</v>
      </c>
      <c r="W2680">
        <v>11</v>
      </c>
      <c r="X2680">
        <v>110</v>
      </c>
      <c r="Y2680">
        <v>11</v>
      </c>
      <c r="Z2680">
        <v>5</v>
      </c>
      <c r="AA2680">
        <v>3</v>
      </c>
      <c r="AB2680">
        <v>10</v>
      </c>
      <c r="AR2680">
        <v>1</v>
      </c>
      <c r="AU2680">
        <v>0</v>
      </c>
      <c r="AW2680">
        <v>0</v>
      </c>
      <c r="AX2680">
        <v>10</v>
      </c>
      <c r="AY2680">
        <v>444</v>
      </c>
      <c r="AZ2680">
        <v>445</v>
      </c>
      <c r="BA2680">
        <v>717</v>
      </c>
      <c r="BB2680">
        <v>44</v>
      </c>
      <c r="BD2680">
        <v>1</v>
      </c>
      <c r="BF2680" t="s">
        <v>2878</v>
      </c>
      <c r="BG2680" s="1">
        <v>44353.929803240739</v>
      </c>
      <c r="BH2680" s="1">
        <v>44353.931631944448</v>
      </c>
      <c r="BI2680" s="1">
        <v>44353.932129629633</v>
      </c>
      <c r="BJ2680" t="s">
        <v>197</v>
      </c>
      <c r="BK2680" t="s">
        <v>198</v>
      </c>
      <c r="BL2680" t="s">
        <v>87</v>
      </c>
    </row>
    <row r="2681" spans="1:64" x14ac:dyDescent="0.3">
      <c r="A2681" t="str">
        <f>"201753B0000"</f>
        <v>201753B0000</v>
      </c>
      <c r="B2681" t="str">
        <f>"201753B00003"</f>
        <v>201753B00003</v>
      </c>
      <c r="C2681" t="str">
        <f t="shared" si="177"/>
        <v>20</v>
      </c>
      <c r="D2681" t="s">
        <v>81</v>
      </c>
      <c r="E2681" t="str">
        <f t="shared" si="183"/>
        <v>392</v>
      </c>
      <c r="F2681" t="s">
        <v>2862</v>
      </c>
      <c r="G2681" t="str">
        <f>"1753"</f>
        <v>1753</v>
      </c>
      <c r="H2681" t="str">
        <f>"0000"</f>
        <v>0000</v>
      </c>
      <c r="I2681" t="s">
        <v>83</v>
      </c>
      <c r="J2681">
        <v>0</v>
      </c>
      <c r="K2681">
        <v>1</v>
      </c>
      <c r="L2681">
        <v>3</v>
      </c>
      <c r="M2681">
        <v>291</v>
      </c>
      <c r="N2681">
        <v>404</v>
      </c>
      <c r="O2681">
        <v>0</v>
      </c>
      <c r="P2681">
        <v>404</v>
      </c>
      <c r="Q2681">
        <v>14</v>
      </c>
      <c r="R2681">
        <v>47</v>
      </c>
      <c r="S2681">
        <v>1</v>
      </c>
      <c r="T2681">
        <v>2</v>
      </c>
      <c r="U2681">
        <v>95</v>
      </c>
      <c r="V2681">
        <v>132</v>
      </c>
      <c r="W2681">
        <v>6</v>
      </c>
      <c r="X2681">
        <v>74</v>
      </c>
      <c r="Y2681">
        <v>2</v>
      </c>
      <c r="Z2681">
        <v>1</v>
      </c>
      <c r="AA2681">
        <v>3</v>
      </c>
      <c r="AB2681">
        <v>17</v>
      </c>
      <c r="AR2681">
        <v>0</v>
      </c>
      <c r="AU2681">
        <v>0</v>
      </c>
      <c r="AW2681">
        <v>0</v>
      </c>
      <c r="AX2681">
        <v>10</v>
      </c>
      <c r="AY2681">
        <v>404</v>
      </c>
      <c r="AZ2681">
        <v>404</v>
      </c>
      <c r="BA2681">
        <v>651</v>
      </c>
      <c r="BB2681">
        <v>44</v>
      </c>
      <c r="BD2681">
        <v>1</v>
      </c>
      <c r="BF2681" t="s">
        <v>2879</v>
      </c>
      <c r="BG2681" s="1">
        <v>44354.033379629633</v>
      </c>
      <c r="BH2681" s="1">
        <v>44354.040729166663</v>
      </c>
      <c r="BI2681" s="1">
        <v>44354.041631944441</v>
      </c>
      <c r="BJ2681" t="s">
        <v>197</v>
      </c>
      <c r="BK2681" t="s">
        <v>198</v>
      </c>
      <c r="BL2681" t="s">
        <v>87</v>
      </c>
    </row>
    <row r="2682" spans="1:64" x14ac:dyDescent="0.3">
      <c r="A2682" t="str">
        <f>"201753C0100"</f>
        <v>201753C0100</v>
      </c>
      <c r="B2682" t="str">
        <f>"201753C01003"</f>
        <v>201753C01003</v>
      </c>
      <c r="C2682" t="str">
        <f t="shared" si="177"/>
        <v>20</v>
      </c>
      <c r="D2682" t="s">
        <v>81</v>
      </c>
      <c r="E2682" t="str">
        <f t="shared" si="183"/>
        <v>392</v>
      </c>
      <c r="F2682" t="s">
        <v>2862</v>
      </c>
      <c r="G2682" t="str">
        <f>"1753"</f>
        <v>1753</v>
      </c>
      <c r="H2682" t="str">
        <f>"0001"</f>
        <v>0001</v>
      </c>
      <c r="I2682" t="s">
        <v>89</v>
      </c>
      <c r="J2682">
        <v>0</v>
      </c>
      <c r="K2682">
        <v>1</v>
      </c>
      <c r="L2682">
        <v>3</v>
      </c>
      <c r="M2682">
        <v>313</v>
      </c>
      <c r="N2682">
        <v>382</v>
      </c>
      <c r="O2682">
        <v>9</v>
      </c>
      <c r="P2682">
        <v>382</v>
      </c>
      <c r="Q2682">
        <v>20</v>
      </c>
      <c r="R2682">
        <v>45</v>
      </c>
      <c r="S2682">
        <v>0</v>
      </c>
      <c r="T2682">
        <v>0</v>
      </c>
      <c r="U2682">
        <v>80</v>
      </c>
      <c r="V2682">
        <v>119</v>
      </c>
      <c r="W2682">
        <v>2</v>
      </c>
      <c r="X2682">
        <v>85</v>
      </c>
      <c r="Y2682">
        <v>1</v>
      </c>
      <c r="Z2682">
        <v>1</v>
      </c>
      <c r="AA2682">
        <v>1</v>
      </c>
      <c r="AB2682">
        <v>18</v>
      </c>
      <c r="AR2682">
        <v>0</v>
      </c>
      <c r="AU2682">
        <v>1</v>
      </c>
      <c r="AW2682">
        <v>0</v>
      </c>
      <c r="AX2682">
        <v>9</v>
      </c>
      <c r="AY2682">
        <v>382</v>
      </c>
      <c r="AZ2682">
        <v>382</v>
      </c>
      <c r="BA2682">
        <v>651</v>
      </c>
      <c r="BB2682">
        <v>44</v>
      </c>
      <c r="BD2682">
        <v>1</v>
      </c>
      <c r="BF2682" t="s">
        <v>2880</v>
      </c>
      <c r="BG2682" s="1">
        <v>44353.982083333336</v>
      </c>
      <c r="BH2682" s="1">
        <v>44353.985439814816</v>
      </c>
      <c r="BI2682" s="1">
        <v>44353.986006944448</v>
      </c>
      <c r="BJ2682" t="s">
        <v>197</v>
      </c>
      <c r="BK2682" t="s">
        <v>198</v>
      </c>
      <c r="BL2682" t="s">
        <v>87</v>
      </c>
    </row>
    <row r="2683" spans="1:64" x14ac:dyDescent="0.3">
      <c r="A2683" t="str">
        <f>"201754B0000"</f>
        <v>201754B0000</v>
      </c>
      <c r="B2683" t="str">
        <f>"201754B00003"</f>
        <v>201754B00003</v>
      </c>
      <c r="C2683" t="str">
        <f t="shared" si="177"/>
        <v>20</v>
      </c>
      <c r="D2683" t="s">
        <v>81</v>
      </c>
      <c r="E2683" t="str">
        <f t="shared" si="183"/>
        <v>392</v>
      </c>
      <c r="F2683" t="s">
        <v>2862</v>
      </c>
      <c r="G2683" t="str">
        <f>"1754"</f>
        <v>1754</v>
      </c>
      <c r="H2683" t="str">
        <f>"0000"</f>
        <v>0000</v>
      </c>
      <c r="I2683" t="s">
        <v>83</v>
      </c>
      <c r="J2683">
        <v>0</v>
      </c>
      <c r="K2683">
        <v>1</v>
      </c>
      <c r="L2683">
        <v>3</v>
      </c>
      <c r="M2683">
        <v>340</v>
      </c>
      <c r="N2683">
        <v>416</v>
      </c>
      <c r="O2683">
        <v>4</v>
      </c>
      <c r="P2683">
        <v>416</v>
      </c>
      <c r="Q2683">
        <v>36</v>
      </c>
      <c r="R2683">
        <v>45</v>
      </c>
      <c r="S2683">
        <v>1</v>
      </c>
      <c r="T2683">
        <v>2</v>
      </c>
      <c r="U2683">
        <v>109</v>
      </c>
      <c r="V2683">
        <v>93</v>
      </c>
      <c r="W2683">
        <v>3</v>
      </c>
      <c r="X2683">
        <v>73</v>
      </c>
      <c r="Y2683">
        <v>7</v>
      </c>
      <c r="Z2683">
        <v>9</v>
      </c>
      <c r="AA2683">
        <v>1</v>
      </c>
      <c r="AB2683">
        <v>27</v>
      </c>
      <c r="AR2683">
        <v>1</v>
      </c>
      <c r="AU2683">
        <v>0</v>
      </c>
      <c r="AW2683">
        <v>0</v>
      </c>
      <c r="AX2683">
        <v>9</v>
      </c>
      <c r="AY2683">
        <v>416</v>
      </c>
      <c r="AZ2683">
        <v>416</v>
      </c>
      <c r="BA2683">
        <v>712</v>
      </c>
      <c r="BB2683">
        <v>44</v>
      </c>
      <c r="BD2683">
        <v>1</v>
      </c>
      <c r="BF2683" t="s">
        <v>2881</v>
      </c>
      <c r="BG2683" s="1">
        <v>44353.973136574074</v>
      </c>
      <c r="BH2683" s="1">
        <v>44353.975034722222</v>
      </c>
      <c r="BI2683" s="1">
        <v>44353.976423611108</v>
      </c>
      <c r="BJ2683" t="s">
        <v>197</v>
      </c>
      <c r="BK2683" t="s">
        <v>198</v>
      </c>
      <c r="BL2683" t="s">
        <v>87</v>
      </c>
    </row>
    <row r="2684" spans="1:64" x14ac:dyDescent="0.3">
      <c r="A2684" t="str">
        <f>"201754C0100"</f>
        <v>201754C0100</v>
      </c>
      <c r="B2684" t="str">
        <f>"201754C01003"</f>
        <v>201754C01003</v>
      </c>
      <c r="C2684" t="str">
        <f t="shared" si="177"/>
        <v>20</v>
      </c>
      <c r="D2684" t="s">
        <v>81</v>
      </c>
      <c r="E2684" t="str">
        <f t="shared" si="183"/>
        <v>392</v>
      </c>
      <c r="F2684" t="s">
        <v>2862</v>
      </c>
      <c r="G2684" t="str">
        <f>"1754"</f>
        <v>1754</v>
      </c>
      <c r="H2684" t="str">
        <f>"0001"</f>
        <v>0001</v>
      </c>
      <c r="I2684" t="s">
        <v>89</v>
      </c>
      <c r="J2684">
        <v>0</v>
      </c>
      <c r="K2684">
        <v>1</v>
      </c>
      <c r="L2684">
        <v>3</v>
      </c>
      <c r="M2684">
        <v>322</v>
      </c>
      <c r="N2684">
        <v>433</v>
      </c>
      <c r="O2684">
        <v>10</v>
      </c>
      <c r="P2684">
        <v>433</v>
      </c>
      <c r="Q2684">
        <v>18</v>
      </c>
      <c r="R2684">
        <v>55</v>
      </c>
      <c r="S2684">
        <v>3</v>
      </c>
      <c r="T2684">
        <v>2</v>
      </c>
      <c r="U2684">
        <v>157</v>
      </c>
      <c r="V2684">
        <v>79</v>
      </c>
      <c r="W2684">
        <v>2</v>
      </c>
      <c r="X2684">
        <v>71</v>
      </c>
      <c r="Y2684">
        <v>11</v>
      </c>
      <c r="Z2684">
        <v>5</v>
      </c>
      <c r="AA2684">
        <v>3</v>
      </c>
      <c r="AB2684">
        <v>21</v>
      </c>
      <c r="AR2684">
        <v>0</v>
      </c>
      <c r="AU2684">
        <v>0</v>
      </c>
      <c r="AW2684">
        <v>0</v>
      </c>
      <c r="AX2684">
        <v>6</v>
      </c>
      <c r="AY2684">
        <v>433</v>
      </c>
      <c r="AZ2684">
        <v>433</v>
      </c>
      <c r="BA2684">
        <v>711</v>
      </c>
      <c r="BB2684">
        <v>44</v>
      </c>
      <c r="BD2684">
        <v>1</v>
      </c>
      <c r="BF2684" t="s">
        <v>2882</v>
      </c>
      <c r="BG2684" s="1">
        <v>44353.971608796295</v>
      </c>
      <c r="BH2684" s="1">
        <v>44353.973437499997</v>
      </c>
      <c r="BI2684" s="1">
        <v>44353.974004629628</v>
      </c>
      <c r="BJ2684" t="s">
        <v>197</v>
      </c>
      <c r="BK2684" t="s">
        <v>198</v>
      </c>
      <c r="BL2684" t="s">
        <v>87</v>
      </c>
    </row>
    <row r="2685" spans="1:64" x14ac:dyDescent="0.3">
      <c r="A2685" t="str">
        <f>"201755B0000"</f>
        <v>201755B0000</v>
      </c>
      <c r="B2685" t="str">
        <f>"201755B00003"</f>
        <v>201755B00003</v>
      </c>
      <c r="C2685" t="str">
        <f t="shared" si="177"/>
        <v>20</v>
      </c>
      <c r="D2685" t="s">
        <v>81</v>
      </c>
      <c r="E2685" t="str">
        <f t="shared" si="183"/>
        <v>392</v>
      </c>
      <c r="F2685" t="s">
        <v>2862</v>
      </c>
      <c r="G2685" t="str">
        <f>"1755"</f>
        <v>1755</v>
      </c>
      <c r="H2685" t="str">
        <f>"0000"</f>
        <v>0000</v>
      </c>
      <c r="I2685" t="s">
        <v>83</v>
      </c>
      <c r="J2685">
        <v>0</v>
      </c>
      <c r="K2685">
        <v>1</v>
      </c>
      <c r="L2685">
        <v>3</v>
      </c>
      <c r="M2685">
        <v>247</v>
      </c>
      <c r="N2685">
        <v>354</v>
      </c>
      <c r="O2685">
        <v>6</v>
      </c>
      <c r="P2685">
        <v>354</v>
      </c>
      <c r="Q2685">
        <v>20</v>
      </c>
      <c r="R2685">
        <v>93</v>
      </c>
      <c r="S2685">
        <v>2</v>
      </c>
      <c r="T2685">
        <v>2</v>
      </c>
      <c r="U2685">
        <v>75</v>
      </c>
      <c r="V2685">
        <v>51</v>
      </c>
      <c r="W2685">
        <v>1</v>
      </c>
      <c r="X2685">
        <v>68</v>
      </c>
      <c r="Y2685">
        <v>11</v>
      </c>
      <c r="Z2685">
        <v>4</v>
      </c>
      <c r="AA2685">
        <v>1</v>
      </c>
      <c r="AB2685">
        <v>18</v>
      </c>
      <c r="AR2685">
        <v>0</v>
      </c>
      <c r="AU2685">
        <v>0</v>
      </c>
      <c r="AW2685">
        <v>0</v>
      </c>
      <c r="AX2685">
        <v>8</v>
      </c>
      <c r="AY2685">
        <v>354</v>
      </c>
      <c r="AZ2685">
        <v>354</v>
      </c>
      <c r="BA2685">
        <v>557</v>
      </c>
      <c r="BB2685">
        <v>44</v>
      </c>
      <c r="BD2685">
        <v>1</v>
      </c>
      <c r="BF2685" t="s">
        <v>2883</v>
      </c>
      <c r="BG2685" s="1">
        <v>44354.15625</v>
      </c>
      <c r="BH2685" s="1">
        <v>44354.173715277779</v>
      </c>
      <c r="BI2685" s="1">
        <v>44354.174201388887</v>
      </c>
      <c r="BJ2685" t="s">
        <v>85</v>
      </c>
      <c r="BK2685" t="s">
        <v>86</v>
      </c>
      <c r="BL2685" t="s">
        <v>87</v>
      </c>
    </row>
    <row r="2686" spans="1:64" x14ac:dyDescent="0.3">
      <c r="A2686" t="str">
        <f>"201755C0100"</f>
        <v>201755C0100</v>
      </c>
      <c r="B2686" t="str">
        <f>"201755C01003"</f>
        <v>201755C01003</v>
      </c>
      <c r="C2686" t="str">
        <f t="shared" si="177"/>
        <v>20</v>
      </c>
      <c r="D2686" t="s">
        <v>81</v>
      </c>
      <c r="E2686" t="str">
        <f t="shared" si="183"/>
        <v>392</v>
      </c>
      <c r="F2686" t="s">
        <v>2862</v>
      </c>
      <c r="G2686" t="str">
        <f>"1755"</f>
        <v>1755</v>
      </c>
      <c r="H2686" t="str">
        <f>"0001"</f>
        <v>0001</v>
      </c>
      <c r="I2686" t="s">
        <v>89</v>
      </c>
      <c r="J2686">
        <v>0</v>
      </c>
      <c r="K2686">
        <v>1</v>
      </c>
      <c r="L2686">
        <v>3</v>
      </c>
      <c r="M2686">
        <v>280</v>
      </c>
      <c r="N2686">
        <v>320</v>
      </c>
      <c r="O2686">
        <v>4</v>
      </c>
      <c r="P2686">
        <v>320</v>
      </c>
      <c r="Q2686">
        <v>19</v>
      </c>
      <c r="R2686">
        <v>62</v>
      </c>
      <c r="S2686">
        <v>3</v>
      </c>
      <c r="T2686">
        <v>2</v>
      </c>
      <c r="U2686">
        <v>59</v>
      </c>
      <c r="V2686">
        <v>72</v>
      </c>
      <c r="W2686">
        <v>2</v>
      </c>
      <c r="X2686">
        <v>67</v>
      </c>
      <c r="Y2686">
        <v>5</v>
      </c>
      <c r="Z2686">
        <v>0</v>
      </c>
      <c r="AA2686">
        <v>2</v>
      </c>
      <c r="AB2686">
        <v>22</v>
      </c>
      <c r="AR2686">
        <v>0</v>
      </c>
      <c r="AU2686">
        <v>0</v>
      </c>
      <c r="AW2686">
        <v>0</v>
      </c>
      <c r="AX2686">
        <v>5</v>
      </c>
      <c r="AY2686">
        <v>320</v>
      </c>
      <c r="AZ2686">
        <v>320</v>
      </c>
      <c r="BA2686">
        <v>556</v>
      </c>
      <c r="BB2686">
        <v>44</v>
      </c>
      <c r="BD2686">
        <v>1</v>
      </c>
      <c r="BF2686" t="s">
        <v>2884</v>
      </c>
      <c r="BG2686" s="1">
        <v>44354.15625</v>
      </c>
      <c r="BH2686" s="1">
        <v>44354.174432870372</v>
      </c>
      <c r="BI2686" s="1">
        <v>44354.175173611111</v>
      </c>
      <c r="BJ2686" t="s">
        <v>85</v>
      </c>
      <c r="BK2686" t="s">
        <v>86</v>
      </c>
      <c r="BL2686" t="s">
        <v>87</v>
      </c>
    </row>
    <row r="2687" spans="1:64" x14ac:dyDescent="0.3">
      <c r="A2687" t="str">
        <f>"201755C0200"</f>
        <v>201755C0200</v>
      </c>
      <c r="B2687" t="str">
        <f>"201755C02003"</f>
        <v>201755C02003</v>
      </c>
      <c r="C2687" t="str">
        <f t="shared" si="177"/>
        <v>20</v>
      </c>
      <c r="D2687" t="s">
        <v>81</v>
      </c>
      <c r="E2687" t="str">
        <f t="shared" si="183"/>
        <v>392</v>
      </c>
      <c r="F2687" t="s">
        <v>2862</v>
      </c>
      <c r="G2687" t="str">
        <f>"1755"</f>
        <v>1755</v>
      </c>
      <c r="H2687" t="str">
        <f>"0002"</f>
        <v>0002</v>
      </c>
      <c r="I2687" t="s">
        <v>89</v>
      </c>
      <c r="J2687">
        <v>0</v>
      </c>
      <c r="K2687">
        <v>1</v>
      </c>
      <c r="L2687">
        <v>3</v>
      </c>
      <c r="M2687">
        <v>265</v>
      </c>
      <c r="N2687">
        <v>336</v>
      </c>
      <c r="O2687">
        <v>3</v>
      </c>
      <c r="P2687">
        <v>335</v>
      </c>
      <c r="Q2687">
        <v>17</v>
      </c>
      <c r="R2687">
        <v>82</v>
      </c>
      <c r="S2687">
        <v>2</v>
      </c>
      <c r="T2687">
        <v>1</v>
      </c>
      <c r="U2687">
        <v>55</v>
      </c>
      <c r="V2687">
        <v>69</v>
      </c>
      <c r="W2687">
        <v>1</v>
      </c>
      <c r="X2687">
        <v>68</v>
      </c>
      <c r="Y2687">
        <v>6</v>
      </c>
      <c r="Z2687">
        <v>2</v>
      </c>
      <c r="AA2687">
        <v>1</v>
      </c>
      <c r="AB2687">
        <v>25</v>
      </c>
      <c r="AR2687">
        <v>0</v>
      </c>
      <c r="AU2687">
        <v>0</v>
      </c>
      <c r="AW2687">
        <v>0</v>
      </c>
      <c r="AX2687">
        <v>6</v>
      </c>
      <c r="AY2687">
        <v>335</v>
      </c>
      <c r="AZ2687">
        <v>335</v>
      </c>
      <c r="BA2687">
        <v>556</v>
      </c>
      <c r="BB2687">
        <v>44</v>
      </c>
      <c r="BD2687">
        <v>1</v>
      </c>
      <c r="BF2687" t="s">
        <v>2885</v>
      </c>
      <c r="BG2687" s="1">
        <v>44354.156944444447</v>
      </c>
      <c r="BH2687" s="1">
        <v>44354.175798611112</v>
      </c>
      <c r="BI2687" s="1">
        <v>44354.176828703705</v>
      </c>
      <c r="BJ2687" t="s">
        <v>85</v>
      </c>
      <c r="BK2687" t="s">
        <v>86</v>
      </c>
      <c r="BL2687" t="s">
        <v>87</v>
      </c>
    </row>
    <row r="2688" spans="1:64" x14ac:dyDescent="0.3">
      <c r="A2688" t="str">
        <f>"201756B0000"</f>
        <v>201756B0000</v>
      </c>
      <c r="B2688" t="str">
        <f>"201756B00003"</f>
        <v>201756B00003</v>
      </c>
      <c r="C2688" t="str">
        <f t="shared" si="177"/>
        <v>20</v>
      </c>
      <c r="D2688" t="s">
        <v>81</v>
      </c>
      <c r="E2688" t="str">
        <f t="shared" si="183"/>
        <v>392</v>
      </c>
      <c r="F2688" t="s">
        <v>2862</v>
      </c>
      <c r="G2688" t="str">
        <f>"1756"</f>
        <v>1756</v>
      </c>
      <c r="H2688" t="str">
        <f>"0000"</f>
        <v>0000</v>
      </c>
      <c r="I2688" t="s">
        <v>83</v>
      </c>
      <c r="J2688">
        <v>0</v>
      </c>
      <c r="K2688">
        <v>1</v>
      </c>
      <c r="L2688">
        <v>3</v>
      </c>
      <c r="M2688">
        <v>285</v>
      </c>
      <c r="N2688">
        <v>366</v>
      </c>
      <c r="O2688">
        <v>2</v>
      </c>
      <c r="P2688">
        <v>366</v>
      </c>
      <c r="Q2688">
        <v>21</v>
      </c>
      <c r="R2688">
        <v>53</v>
      </c>
      <c r="S2688">
        <v>1</v>
      </c>
      <c r="T2688">
        <v>1</v>
      </c>
      <c r="U2688">
        <v>81</v>
      </c>
      <c r="V2688">
        <v>51</v>
      </c>
      <c r="W2688">
        <v>1</v>
      </c>
      <c r="X2688">
        <v>94</v>
      </c>
      <c r="Y2688">
        <v>8</v>
      </c>
      <c r="Z2688">
        <v>15</v>
      </c>
      <c r="AA2688">
        <v>2</v>
      </c>
      <c r="AB2688">
        <v>30</v>
      </c>
      <c r="AR2688">
        <v>1</v>
      </c>
      <c r="AU2688">
        <v>0</v>
      </c>
      <c r="AW2688">
        <v>0</v>
      </c>
      <c r="AX2688">
        <v>7</v>
      </c>
      <c r="AY2688">
        <v>366</v>
      </c>
      <c r="AZ2688">
        <v>366</v>
      </c>
      <c r="BA2688">
        <v>607</v>
      </c>
      <c r="BB2688">
        <v>44</v>
      </c>
      <c r="BD2688">
        <v>1</v>
      </c>
      <c r="BF2688" t="s">
        <v>2886</v>
      </c>
      <c r="BG2688" s="1">
        <v>44354.156944444447</v>
      </c>
      <c r="BH2688" s="1">
        <v>44354.175000000003</v>
      </c>
      <c r="BI2688" s="1">
        <v>44354.175486111111</v>
      </c>
      <c r="BJ2688" t="s">
        <v>85</v>
      </c>
      <c r="BK2688" t="s">
        <v>86</v>
      </c>
      <c r="BL2688" t="s">
        <v>87</v>
      </c>
    </row>
    <row r="2689" spans="1:64" x14ac:dyDescent="0.3">
      <c r="A2689" t="str">
        <f>"201756C0100"</f>
        <v>201756C0100</v>
      </c>
      <c r="B2689" t="str">
        <f>"201756C01003"</f>
        <v>201756C01003</v>
      </c>
      <c r="C2689" t="str">
        <f t="shared" si="177"/>
        <v>20</v>
      </c>
      <c r="D2689" t="s">
        <v>81</v>
      </c>
      <c r="E2689" t="str">
        <f t="shared" si="183"/>
        <v>392</v>
      </c>
      <c r="F2689" t="s">
        <v>2862</v>
      </c>
      <c r="G2689" t="str">
        <f>"1756"</f>
        <v>1756</v>
      </c>
      <c r="H2689" t="str">
        <f>"0001"</f>
        <v>0001</v>
      </c>
      <c r="I2689" t="s">
        <v>89</v>
      </c>
      <c r="J2689">
        <v>0</v>
      </c>
      <c r="K2689">
        <v>1</v>
      </c>
      <c r="L2689">
        <v>3</v>
      </c>
      <c r="M2689">
        <v>291</v>
      </c>
      <c r="N2689">
        <v>360</v>
      </c>
      <c r="O2689">
        <v>4</v>
      </c>
      <c r="P2689">
        <v>359</v>
      </c>
      <c r="Q2689">
        <v>21</v>
      </c>
      <c r="R2689">
        <v>63</v>
      </c>
      <c r="S2689">
        <v>0</v>
      </c>
      <c r="T2689">
        <v>0</v>
      </c>
      <c r="U2689">
        <v>92</v>
      </c>
      <c r="V2689">
        <v>45</v>
      </c>
      <c r="W2689">
        <v>4</v>
      </c>
      <c r="X2689">
        <v>81</v>
      </c>
      <c r="Y2689">
        <v>2</v>
      </c>
      <c r="Z2689">
        <v>10</v>
      </c>
      <c r="AA2689">
        <v>2</v>
      </c>
      <c r="AB2689">
        <v>33</v>
      </c>
      <c r="AR2689" t="s">
        <v>95</v>
      </c>
      <c r="AU2689">
        <v>1</v>
      </c>
      <c r="AW2689" t="s">
        <v>95</v>
      </c>
      <c r="AX2689">
        <v>5</v>
      </c>
      <c r="AY2689">
        <v>359</v>
      </c>
      <c r="AZ2689">
        <v>359</v>
      </c>
      <c r="BA2689">
        <v>606</v>
      </c>
      <c r="BB2689">
        <v>44</v>
      </c>
      <c r="BC2689" t="s">
        <v>96</v>
      </c>
      <c r="BD2689">
        <v>1</v>
      </c>
      <c r="BF2689" t="s">
        <v>2887</v>
      </c>
      <c r="BG2689" s="1">
        <v>44353.75</v>
      </c>
      <c r="BH2689" s="1">
        <v>44354.176932870374</v>
      </c>
      <c r="BI2689" s="1">
        <v>44354.177465277775</v>
      </c>
      <c r="BJ2689" t="s">
        <v>85</v>
      </c>
      <c r="BK2689" t="s">
        <v>86</v>
      </c>
      <c r="BL2689" t="s">
        <v>87</v>
      </c>
    </row>
    <row r="2690" spans="1:64" x14ac:dyDescent="0.3">
      <c r="A2690" t="str">
        <f>"201757B0000"</f>
        <v>201757B0000</v>
      </c>
      <c r="B2690" t="str">
        <f>"201757B00003"</f>
        <v>201757B00003</v>
      </c>
      <c r="C2690" t="str">
        <f t="shared" si="177"/>
        <v>20</v>
      </c>
      <c r="D2690" t="s">
        <v>81</v>
      </c>
      <c r="E2690" t="str">
        <f t="shared" si="183"/>
        <v>392</v>
      </c>
      <c r="F2690" t="s">
        <v>2862</v>
      </c>
      <c r="G2690" t="str">
        <f>"1757"</f>
        <v>1757</v>
      </c>
      <c r="H2690" t="str">
        <f>"0000"</f>
        <v>0000</v>
      </c>
      <c r="I2690" t="s">
        <v>83</v>
      </c>
      <c r="J2690">
        <v>0</v>
      </c>
      <c r="K2690">
        <v>1</v>
      </c>
      <c r="L2690">
        <v>3</v>
      </c>
      <c r="M2690">
        <v>247</v>
      </c>
      <c r="N2690">
        <v>309</v>
      </c>
      <c r="O2690">
        <v>3</v>
      </c>
      <c r="P2690">
        <v>309</v>
      </c>
      <c r="Q2690">
        <v>9</v>
      </c>
      <c r="R2690">
        <v>37</v>
      </c>
      <c r="S2690">
        <v>2</v>
      </c>
      <c r="T2690">
        <v>3</v>
      </c>
      <c r="U2690">
        <v>38</v>
      </c>
      <c r="V2690">
        <v>50</v>
      </c>
      <c r="W2690">
        <v>2</v>
      </c>
      <c r="X2690">
        <v>112</v>
      </c>
      <c r="Y2690">
        <v>7</v>
      </c>
      <c r="Z2690">
        <v>11</v>
      </c>
      <c r="AA2690">
        <v>1</v>
      </c>
      <c r="AB2690">
        <v>25</v>
      </c>
      <c r="AR2690">
        <v>0</v>
      </c>
      <c r="AU2690">
        <v>0</v>
      </c>
      <c r="AW2690">
        <v>0</v>
      </c>
      <c r="AX2690">
        <v>12</v>
      </c>
      <c r="AY2690">
        <v>309</v>
      </c>
      <c r="AZ2690">
        <v>309</v>
      </c>
      <c r="BA2690">
        <v>512</v>
      </c>
      <c r="BB2690">
        <v>44</v>
      </c>
      <c r="BD2690">
        <v>1</v>
      </c>
      <c r="BF2690" t="s">
        <v>2888</v>
      </c>
      <c r="BG2690" s="1">
        <v>44354.157638888886</v>
      </c>
      <c r="BH2690" s="1">
        <v>44354.175879629627</v>
      </c>
      <c r="BI2690" s="1">
        <v>44354.176319444443</v>
      </c>
      <c r="BJ2690" t="s">
        <v>85</v>
      </c>
      <c r="BK2690" t="s">
        <v>86</v>
      </c>
      <c r="BL2690" t="s">
        <v>87</v>
      </c>
    </row>
    <row r="2691" spans="1:64" x14ac:dyDescent="0.3">
      <c r="A2691" t="str">
        <f>"201757C0100"</f>
        <v>201757C0100</v>
      </c>
      <c r="B2691" t="str">
        <f>"201757C01003"</f>
        <v>201757C01003</v>
      </c>
      <c r="C2691" t="str">
        <f t="shared" si="177"/>
        <v>20</v>
      </c>
      <c r="D2691" t="s">
        <v>81</v>
      </c>
      <c r="E2691" t="str">
        <f t="shared" si="183"/>
        <v>392</v>
      </c>
      <c r="F2691" t="s">
        <v>2862</v>
      </c>
      <c r="G2691" t="str">
        <f>"1757"</f>
        <v>1757</v>
      </c>
      <c r="H2691" t="str">
        <f>"0001"</f>
        <v>0001</v>
      </c>
      <c r="I2691" t="s">
        <v>89</v>
      </c>
      <c r="J2691">
        <v>0</v>
      </c>
      <c r="K2691">
        <v>1</v>
      </c>
      <c r="L2691">
        <v>3</v>
      </c>
      <c r="M2691">
        <v>256</v>
      </c>
      <c r="N2691">
        <v>300</v>
      </c>
      <c r="O2691">
        <v>4</v>
      </c>
      <c r="P2691">
        <v>300</v>
      </c>
      <c r="Q2691">
        <v>12</v>
      </c>
      <c r="R2691">
        <v>46</v>
      </c>
      <c r="S2691">
        <v>4</v>
      </c>
      <c r="T2691">
        <v>1</v>
      </c>
      <c r="U2691">
        <v>31</v>
      </c>
      <c r="V2691">
        <v>40</v>
      </c>
      <c r="W2691">
        <v>5</v>
      </c>
      <c r="X2691">
        <v>111</v>
      </c>
      <c r="Y2691">
        <v>11</v>
      </c>
      <c r="Z2691">
        <v>2</v>
      </c>
      <c r="AA2691">
        <v>4</v>
      </c>
      <c r="AB2691">
        <v>24</v>
      </c>
      <c r="AR2691">
        <v>0</v>
      </c>
      <c r="AU2691">
        <v>0</v>
      </c>
      <c r="AW2691">
        <v>0</v>
      </c>
      <c r="AX2691">
        <v>9</v>
      </c>
      <c r="AY2691">
        <v>300</v>
      </c>
      <c r="AZ2691">
        <v>300</v>
      </c>
      <c r="BA2691">
        <v>512</v>
      </c>
      <c r="BB2691">
        <v>44</v>
      </c>
      <c r="BD2691">
        <v>1</v>
      </c>
      <c r="BF2691" t="s">
        <v>2889</v>
      </c>
      <c r="BG2691" s="1">
        <v>44354.157638888886</v>
      </c>
      <c r="BH2691" s="1">
        <v>44354.177002314813</v>
      </c>
      <c r="BI2691" s="1">
        <v>44354.177604166667</v>
      </c>
      <c r="BJ2691" t="s">
        <v>85</v>
      </c>
      <c r="BK2691" t="s">
        <v>86</v>
      </c>
      <c r="BL2691" t="s">
        <v>87</v>
      </c>
    </row>
    <row r="2692" spans="1:64" x14ac:dyDescent="0.3">
      <c r="A2692" t="str">
        <f>"201757C0200"</f>
        <v>201757C0200</v>
      </c>
      <c r="B2692" t="str">
        <f>"201757C02003"</f>
        <v>201757C02003</v>
      </c>
      <c r="C2692" t="str">
        <f t="shared" si="177"/>
        <v>20</v>
      </c>
      <c r="D2692" t="s">
        <v>81</v>
      </c>
      <c r="E2692" t="str">
        <f t="shared" si="183"/>
        <v>392</v>
      </c>
      <c r="F2692" t="s">
        <v>2862</v>
      </c>
      <c r="G2692" t="str">
        <f>"1757"</f>
        <v>1757</v>
      </c>
      <c r="H2692" t="str">
        <f>"0002"</f>
        <v>0002</v>
      </c>
      <c r="I2692" t="s">
        <v>89</v>
      </c>
      <c r="J2692">
        <v>0</v>
      </c>
      <c r="K2692">
        <v>1</v>
      </c>
      <c r="L2692">
        <v>3</v>
      </c>
      <c r="M2692">
        <v>233</v>
      </c>
      <c r="N2692">
        <v>322</v>
      </c>
      <c r="O2692">
        <v>13</v>
      </c>
      <c r="P2692">
        <v>322</v>
      </c>
      <c r="Q2692">
        <v>14</v>
      </c>
      <c r="R2692">
        <v>54</v>
      </c>
      <c r="S2692">
        <v>1</v>
      </c>
      <c r="T2692">
        <v>1</v>
      </c>
      <c r="U2692">
        <v>50</v>
      </c>
      <c r="V2692">
        <v>33</v>
      </c>
      <c r="W2692">
        <v>7</v>
      </c>
      <c r="X2692">
        <v>108</v>
      </c>
      <c r="Y2692">
        <v>6</v>
      </c>
      <c r="Z2692">
        <v>8</v>
      </c>
      <c r="AA2692">
        <v>7</v>
      </c>
      <c r="AB2692">
        <v>20</v>
      </c>
      <c r="AR2692" t="s">
        <v>95</v>
      </c>
      <c r="AU2692" t="s">
        <v>95</v>
      </c>
      <c r="AW2692" t="s">
        <v>95</v>
      </c>
      <c r="AX2692">
        <v>13</v>
      </c>
      <c r="AY2692">
        <v>322</v>
      </c>
      <c r="AZ2692">
        <v>322</v>
      </c>
      <c r="BA2692">
        <v>511</v>
      </c>
      <c r="BB2692">
        <v>44</v>
      </c>
      <c r="BC2692" t="s">
        <v>96</v>
      </c>
      <c r="BD2692">
        <v>1</v>
      </c>
      <c r="BF2692" t="s">
        <v>2890</v>
      </c>
      <c r="BG2692" s="1">
        <v>44354.157638888886</v>
      </c>
      <c r="BH2692" s="1">
        <v>44354.177557870367</v>
      </c>
      <c r="BI2692" s="1">
        <v>44354.178043981483</v>
      </c>
      <c r="BJ2692" t="s">
        <v>85</v>
      </c>
      <c r="BK2692" t="s">
        <v>86</v>
      </c>
      <c r="BL2692" t="s">
        <v>87</v>
      </c>
    </row>
    <row r="2693" spans="1:64" x14ac:dyDescent="0.3">
      <c r="A2693" t="str">
        <f>"201758B0000"</f>
        <v>201758B0000</v>
      </c>
      <c r="B2693" t="str">
        <f>"201758B00003"</f>
        <v>201758B00003</v>
      </c>
      <c r="C2693" t="str">
        <f t="shared" si="177"/>
        <v>20</v>
      </c>
      <c r="D2693" t="s">
        <v>81</v>
      </c>
      <c r="E2693" t="str">
        <f t="shared" si="183"/>
        <v>392</v>
      </c>
      <c r="F2693" t="s">
        <v>2862</v>
      </c>
      <c r="G2693" t="str">
        <f>"1758"</f>
        <v>1758</v>
      </c>
      <c r="H2693" t="str">
        <f>"0000"</f>
        <v>0000</v>
      </c>
      <c r="I2693" t="s">
        <v>83</v>
      </c>
      <c r="J2693">
        <v>0</v>
      </c>
      <c r="K2693">
        <v>1</v>
      </c>
      <c r="L2693">
        <v>3</v>
      </c>
      <c r="M2693">
        <v>303</v>
      </c>
      <c r="N2693">
        <v>280</v>
      </c>
      <c r="O2693">
        <v>0</v>
      </c>
      <c r="P2693">
        <v>280</v>
      </c>
      <c r="Q2693">
        <v>19</v>
      </c>
      <c r="R2693">
        <v>40</v>
      </c>
      <c r="S2693">
        <v>0</v>
      </c>
      <c r="T2693">
        <v>3</v>
      </c>
      <c r="U2693">
        <v>62</v>
      </c>
      <c r="V2693">
        <v>30</v>
      </c>
      <c r="W2693">
        <v>4</v>
      </c>
      <c r="X2693">
        <v>90</v>
      </c>
      <c r="Y2693">
        <v>3</v>
      </c>
      <c r="Z2693">
        <v>8</v>
      </c>
      <c r="AA2693">
        <v>0</v>
      </c>
      <c r="AB2693">
        <v>13</v>
      </c>
      <c r="AR2693">
        <v>0</v>
      </c>
      <c r="AU2693">
        <v>2</v>
      </c>
      <c r="AW2693">
        <v>0</v>
      </c>
      <c r="AX2693">
        <v>6</v>
      </c>
      <c r="AY2693">
        <v>280</v>
      </c>
      <c r="AZ2693">
        <v>280</v>
      </c>
      <c r="BA2693">
        <v>539</v>
      </c>
      <c r="BB2693">
        <v>44</v>
      </c>
      <c r="BD2693">
        <v>1</v>
      </c>
      <c r="BF2693" t="s">
        <v>2891</v>
      </c>
      <c r="BG2693" s="1">
        <v>44353.903460648151</v>
      </c>
      <c r="BH2693" s="1">
        <v>44353.904895833337</v>
      </c>
      <c r="BI2693" s="1">
        <v>44353.905462962961</v>
      </c>
      <c r="BJ2693" t="s">
        <v>197</v>
      </c>
      <c r="BK2693" t="s">
        <v>198</v>
      </c>
      <c r="BL2693" t="s">
        <v>87</v>
      </c>
    </row>
    <row r="2694" spans="1:64" x14ac:dyDescent="0.3">
      <c r="A2694" t="str">
        <f>"201758C0100"</f>
        <v>201758C0100</v>
      </c>
      <c r="B2694" t="str">
        <f>"201758C01003"</f>
        <v>201758C01003</v>
      </c>
      <c r="C2694" t="str">
        <f t="shared" si="177"/>
        <v>20</v>
      </c>
      <c r="D2694" t="s">
        <v>81</v>
      </c>
      <c r="E2694" t="str">
        <f t="shared" si="183"/>
        <v>392</v>
      </c>
      <c r="F2694" t="s">
        <v>2862</v>
      </c>
      <c r="G2694" t="str">
        <f>"1758"</f>
        <v>1758</v>
      </c>
      <c r="H2694" t="str">
        <f>"0001"</f>
        <v>0001</v>
      </c>
      <c r="I2694" t="s">
        <v>89</v>
      </c>
      <c r="J2694">
        <v>0</v>
      </c>
      <c r="K2694">
        <v>1</v>
      </c>
      <c r="L2694">
        <v>3</v>
      </c>
      <c r="M2694">
        <v>287</v>
      </c>
      <c r="N2694">
        <v>296</v>
      </c>
      <c r="O2694">
        <v>2</v>
      </c>
      <c r="P2694">
        <v>296</v>
      </c>
      <c r="Q2694">
        <v>11</v>
      </c>
      <c r="R2694">
        <v>35</v>
      </c>
      <c r="S2694">
        <v>1</v>
      </c>
      <c r="T2694">
        <v>0</v>
      </c>
      <c r="U2694">
        <v>76</v>
      </c>
      <c r="V2694">
        <v>37</v>
      </c>
      <c r="W2694">
        <v>7</v>
      </c>
      <c r="X2694">
        <v>87</v>
      </c>
      <c r="Y2694">
        <v>8</v>
      </c>
      <c r="Z2694">
        <v>8</v>
      </c>
      <c r="AA2694">
        <v>0</v>
      </c>
      <c r="AB2694">
        <v>18</v>
      </c>
      <c r="AR2694" t="s">
        <v>95</v>
      </c>
      <c r="AU2694" t="s">
        <v>95</v>
      </c>
      <c r="AW2694" t="s">
        <v>95</v>
      </c>
      <c r="AX2694">
        <v>13</v>
      </c>
      <c r="AY2694">
        <v>296</v>
      </c>
      <c r="AZ2694">
        <v>301</v>
      </c>
      <c r="BA2694">
        <v>539</v>
      </c>
      <c r="BB2694">
        <v>44</v>
      </c>
      <c r="BC2694" t="s">
        <v>96</v>
      </c>
      <c r="BD2694">
        <v>1</v>
      </c>
      <c r="BF2694" t="s">
        <v>2892</v>
      </c>
      <c r="BG2694" s="1">
        <v>44353.905787037038</v>
      </c>
      <c r="BH2694" s="1">
        <v>44353.907083333332</v>
      </c>
      <c r="BI2694" s="1">
        <v>44353.907870370371</v>
      </c>
      <c r="BJ2694" t="s">
        <v>197</v>
      </c>
      <c r="BK2694" t="s">
        <v>198</v>
      </c>
      <c r="BL2694" t="s">
        <v>87</v>
      </c>
    </row>
    <row r="2695" spans="1:64" x14ac:dyDescent="0.3">
      <c r="A2695" t="str">
        <f>"201758C0200"</f>
        <v>201758C0200</v>
      </c>
      <c r="B2695" t="str">
        <f>"201758C02003"</f>
        <v>201758C02003</v>
      </c>
      <c r="C2695" t="str">
        <f t="shared" ref="C2695:C2758" si="184">"20"</f>
        <v>20</v>
      </c>
      <c r="D2695" t="s">
        <v>81</v>
      </c>
      <c r="E2695" t="str">
        <f t="shared" si="183"/>
        <v>392</v>
      </c>
      <c r="F2695" t="s">
        <v>2862</v>
      </c>
      <c r="G2695" t="str">
        <f>"1758"</f>
        <v>1758</v>
      </c>
      <c r="H2695" t="str">
        <f>"0002"</f>
        <v>0002</v>
      </c>
      <c r="I2695" t="s">
        <v>89</v>
      </c>
      <c r="J2695">
        <v>0</v>
      </c>
      <c r="K2695">
        <v>1</v>
      </c>
      <c r="L2695">
        <v>3</v>
      </c>
      <c r="M2695">
        <v>287</v>
      </c>
      <c r="N2695">
        <v>296</v>
      </c>
      <c r="O2695">
        <v>0</v>
      </c>
      <c r="P2695">
        <v>296</v>
      </c>
      <c r="Q2695">
        <v>11</v>
      </c>
      <c r="R2695">
        <v>64</v>
      </c>
      <c r="S2695">
        <v>2</v>
      </c>
      <c r="T2695">
        <v>1</v>
      </c>
      <c r="U2695">
        <v>63</v>
      </c>
      <c r="V2695">
        <v>20</v>
      </c>
      <c r="W2695">
        <v>3</v>
      </c>
      <c r="X2695">
        <v>95</v>
      </c>
      <c r="Y2695">
        <v>5</v>
      </c>
      <c r="Z2695">
        <v>9</v>
      </c>
      <c r="AA2695">
        <v>2</v>
      </c>
      <c r="AB2695">
        <v>11</v>
      </c>
      <c r="AR2695">
        <v>0</v>
      </c>
      <c r="AU2695">
        <v>0</v>
      </c>
      <c r="AW2695">
        <v>0</v>
      </c>
      <c r="AX2695">
        <v>10</v>
      </c>
      <c r="AY2695">
        <v>296</v>
      </c>
      <c r="AZ2695">
        <v>296</v>
      </c>
      <c r="BA2695">
        <v>539</v>
      </c>
      <c r="BB2695">
        <v>44</v>
      </c>
      <c r="BD2695">
        <v>1</v>
      </c>
      <c r="BF2695" t="s">
        <v>2893</v>
      </c>
      <c r="BG2695" s="1">
        <v>44353.911064814813</v>
      </c>
      <c r="BH2695" s="1">
        <v>44353.912893518522</v>
      </c>
      <c r="BI2695" s="1">
        <v>44353.913564814815</v>
      </c>
      <c r="BJ2695" t="s">
        <v>197</v>
      </c>
      <c r="BK2695" t="s">
        <v>198</v>
      </c>
      <c r="BL2695" t="s">
        <v>87</v>
      </c>
    </row>
    <row r="2696" spans="1:64" x14ac:dyDescent="0.3">
      <c r="A2696" t="str">
        <f>"201759B0000"</f>
        <v>201759B0000</v>
      </c>
      <c r="B2696" t="str">
        <f>"201759B00003"</f>
        <v>201759B00003</v>
      </c>
      <c r="C2696" t="str">
        <f t="shared" si="184"/>
        <v>20</v>
      </c>
      <c r="D2696" t="s">
        <v>81</v>
      </c>
      <c r="E2696" t="str">
        <f t="shared" si="183"/>
        <v>392</v>
      </c>
      <c r="F2696" t="s">
        <v>2862</v>
      </c>
      <c r="G2696" t="str">
        <f>"1759"</f>
        <v>1759</v>
      </c>
      <c r="H2696" t="str">
        <f>"0000"</f>
        <v>0000</v>
      </c>
      <c r="I2696" t="s">
        <v>83</v>
      </c>
      <c r="J2696">
        <v>0</v>
      </c>
      <c r="K2696">
        <v>1</v>
      </c>
      <c r="L2696">
        <v>3</v>
      </c>
      <c r="M2696">
        <v>282</v>
      </c>
      <c r="N2696">
        <v>362</v>
      </c>
      <c r="O2696">
        <v>11</v>
      </c>
      <c r="P2696">
        <v>362</v>
      </c>
      <c r="Q2696">
        <v>12</v>
      </c>
      <c r="R2696">
        <v>58</v>
      </c>
      <c r="S2696">
        <v>1</v>
      </c>
      <c r="T2696">
        <v>0</v>
      </c>
      <c r="U2696">
        <v>46</v>
      </c>
      <c r="V2696">
        <v>64</v>
      </c>
      <c r="W2696">
        <v>7</v>
      </c>
      <c r="X2696">
        <v>123</v>
      </c>
      <c r="Y2696">
        <v>5</v>
      </c>
      <c r="Z2696">
        <v>7</v>
      </c>
      <c r="AA2696">
        <v>0</v>
      </c>
      <c r="AB2696">
        <v>30</v>
      </c>
      <c r="AR2696">
        <v>1</v>
      </c>
      <c r="AU2696">
        <v>0</v>
      </c>
      <c r="AW2696">
        <v>0</v>
      </c>
      <c r="AX2696">
        <v>8</v>
      </c>
      <c r="AY2696">
        <v>362</v>
      </c>
      <c r="AZ2696">
        <v>362</v>
      </c>
      <c r="BA2696">
        <v>600</v>
      </c>
      <c r="BB2696">
        <v>44</v>
      </c>
      <c r="BD2696">
        <v>1</v>
      </c>
      <c r="BF2696" t="s">
        <v>2894</v>
      </c>
      <c r="BG2696" s="1">
        <v>44353.910069444442</v>
      </c>
      <c r="BH2696" s="1">
        <v>44353.911423611113</v>
      </c>
      <c r="BI2696" s="1">
        <v>44353.912280092591</v>
      </c>
      <c r="BJ2696" t="s">
        <v>197</v>
      </c>
      <c r="BK2696" t="s">
        <v>198</v>
      </c>
      <c r="BL2696" t="s">
        <v>87</v>
      </c>
    </row>
    <row r="2697" spans="1:64" x14ac:dyDescent="0.3">
      <c r="A2697" t="str">
        <f>"201759C0100"</f>
        <v>201759C0100</v>
      </c>
      <c r="B2697" t="str">
        <f>"201759C01003"</f>
        <v>201759C01003</v>
      </c>
      <c r="C2697" t="str">
        <f t="shared" si="184"/>
        <v>20</v>
      </c>
      <c r="D2697" t="s">
        <v>81</v>
      </c>
      <c r="E2697" t="str">
        <f t="shared" ref="E2697:E2730" si="185">"392"</f>
        <v>392</v>
      </c>
      <c r="F2697" t="s">
        <v>2862</v>
      </c>
      <c r="G2697" t="str">
        <f>"1759"</f>
        <v>1759</v>
      </c>
      <c r="H2697" t="str">
        <f>"0001"</f>
        <v>0001</v>
      </c>
      <c r="I2697" t="s">
        <v>89</v>
      </c>
      <c r="J2697">
        <v>0</v>
      </c>
      <c r="K2697">
        <v>1</v>
      </c>
      <c r="L2697">
        <v>3</v>
      </c>
      <c r="M2697">
        <v>285</v>
      </c>
      <c r="N2697">
        <v>359</v>
      </c>
      <c r="O2697">
        <v>13</v>
      </c>
      <c r="P2697">
        <v>359</v>
      </c>
      <c r="Q2697">
        <v>6</v>
      </c>
      <c r="R2697">
        <v>62</v>
      </c>
      <c r="S2697">
        <v>1</v>
      </c>
      <c r="T2697">
        <v>1</v>
      </c>
      <c r="U2697">
        <v>51</v>
      </c>
      <c r="V2697">
        <v>68</v>
      </c>
      <c r="W2697">
        <v>5</v>
      </c>
      <c r="X2697">
        <v>97</v>
      </c>
      <c r="Y2697">
        <v>5</v>
      </c>
      <c r="Z2697">
        <v>5</v>
      </c>
      <c r="AA2697">
        <v>1</v>
      </c>
      <c r="AB2697">
        <v>47</v>
      </c>
      <c r="AR2697">
        <v>0</v>
      </c>
      <c r="AU2697">
        <v>0</v>
      </c>
      <c r="AW2697">
        <v>0</v>
      </c>
      <c r="AX2697">
        <v>10</v>
      </c>
      <c r="AY2697">
        <v>359</v>
      </c>
      <c r="AZ2697">
        <v>359</v>
      </c>
      <c r="BA2697">
        <v>600</v>
      </c>
      <c r="BB2697">
        <v>44</v>
      </c>
      <c r="BD2697">
        <v>1</v>
      </c>
      <c r="BF2697" t="s">
        <v>2895</v>
      </c>
      <c r="BG2697" s="1">
        <v>44353.904699074075</v>
      </c>
      <c r="BH2697" s="1">
        <v>44353.9065162037</v>
      </c>
      <c r="BI2697" s="1">
        <v>44353.907534722224</v>
      </c>
      <c r="BJ2697" t="s">
        <v>197</v>
      </c>
      <c r="BK2697" t="s">
        <v>198</v>
      </c>
      <c r="BL2697" t="s">
        <v>87</v>
      </c>
    </row>
    <row r="2698" spans="1:64" x14ac:dyDescent="0.3">
      <c r="A2698" t="str">
        <f>"201759C0200"</f>
        <v>201759C0200</v>
      </c>
      <c r="B2698" t="str">
        <f>"201759C02003"</f>
        <v>201759C02003</v>
      </c>
      <c r="C2698" t="str">
        <f t="shared" si="184"/>
        <v>20</v>
      </c>
      <c r="D2698" t="s">
        <v>81</v>
      </c>
      <c r="E2698" t="str">
        <f t="shared" si="185"/>
        <v>392</v>
      </c>
      <c r="F2698" t="s">
        <v>2862</v>
      </c>
      <c r="G2698" t="str">
        <f>"1759"</f>
        <v>1759</v>
      </c>
      <c r="H2698" t="str">
        <f>"0002"</f>
        <v>0002</v>
      </c>
      <c r="I2698" t="s">
        <v>89</v>
      </c>
      <c r="J2698">
        <v>0</v>
      </c>
      <c r="K2698">
        <v>1</v>
      </c>
      <c r="L2698">
        <v>3</v>
      </c>
      <c r="M2698">
        <v>267</v>
      </c>
      <c r="N2698">
        <v>375</v>
      </c>
      <c r="O2698">
        <v>11</v>
      </c>
      <c r="P2698">
        <v>376</v>
      </c>
      <c r="Q2698">
        <v>11</v>
      </c>
      <c r="R2698">
        <v>53</v>
      </c>
      <c r="S2698">
        <v>1</v>
      </c>
      <c r="T2698">
        <v>0</v>
      </c>
      <c r="U2698">
        <v>53</v>
      </c>
      <c r="V2698">
        <v>82</v>
      </c>
      <c r="W2698">
        <v>3</v>
      </c>
      <c r="X2698">
        <v>126</v>
      </c>
      <c r="Y2698">
        <v>5</v>
      </c>
      <c r="Z2698">
        <v>5</v>
      </c>
      <c r="AA2698">
        <v>0</v>
      </c>
      <c r="AB2698">
        <v>31</v>
      </c>
      <c r="AR2698">
        <v>1</v>
      </c>
      <c r="AU2698">
        <v>0</v>
      </c>
      <c r="AW2698">
        <v>0</v>
      </c>
      <c r="AX2698">
        <v>5</v>
      </c>
      <c r="AY2698">
        <v>376</v>
      </c>
      <c r="AZ2698">
        <v>376</v>
      </c>
      <c r="BA2698">
        <v>599</v>
      </c>
      <c r="BB2698">
        <v>44</v>
      </c>
      <c r="BD2698">
        <v>1</v>
      </c>
      <c r="BF2698" t="s">
        <v>2896</v>
      </c>
      <c r="BG2698" s="1">
        <v>44353.914560185185</v>
      </c>
      <c r="BH2698" s="1">
        <v>44353.91578703704</v>
      </c>
      <c r="BI2698" s="1">
        <v>44353.916400462964</v>
      </c>
      <c r="BJ2698" t="s">
        <v>197</v>
      </c>
      <c r="BK2698" t="s">
        <v>198</v>
      </c>
      <c r="BL2698" t="s">
        <v>87</v>
      </c>
    </row>
    <row r="2699" spans="1:64" x14ac:dyDescent="0.3">
      <c r="A2699" t="str">
        <f>"201760B0000"</f>
        <v>201760B0000</v>
      </c>
      <c r="B2699" t="str">
        <f>"201760B00003"</f>
        <v>201760B00003</v>
      </c>
      <c r="C2699" t="str">
        <f t="shared" si="184"/>
        <v>20</v>
      </c>
      <c r="D2699" t="s">
        <v>81</v>
      </c>
      <c r="E2699" t="str">
        <f t="shared" si="185"/>
        <v>392</v>
      </c>
      <c r="F2699" t="s">
        <v>2862</v>
      </c>
      <c r="G2699" t="str">
        <f>"1760"</f>
        <v>1760</v>
      </c>
      <c r="H2699" t="str">
        <f>"0000"</f>
        <v>0000</v>
      </c>
      <c r="I2699" t="s">
        <v>83</v>
      </c>
      <c r="J2699">
        <v>0</v>
      </c>
      <c r="K2699">
        <v>1</v>
      </c>
      <c r="L2699">
        <v>3</v>
      </c>
      <c r="M2699">
        <v>335</v>
      </c>
      <c r="N2699">
        <v>368</v>
      </c>
      <c r="O2699" t="s">
        <v>92</v>
      </c>
      <c r="P2699">
        <v>368</v>
      </c>
      <c r="Q2699">
        <v>17</v>
      </c>
      <c r="R2699">
        <v>46</v>
      </c>
      <c r="S2699">
        <v>2</v>
      </c>
      <c r="T2699">
        <v>1</v>
      </c>
      <c r="U2699">
        <v>58</v>
      </c>
      <c r="V2699">
        <v>57</v>
      </c>
      <c r="W2699">
        <v>6</v>
      </c>
      <c r="X2699">
        <v>115</v>
      </c>
      <c r="Y2699">
        <v>13</v>
      </c>
      <c r="Z2699">
        <v>2</v>
      </c>
      <c r="AA2699">
        <v>2</v>
      </c>
      <c r="AB2699">
        <v>31</v>
      </c>
      <c r="AR2699">
        <v>0</v>
      </c>
      <c r="AU2699">
        <v>0</v>
      </c>
      <c r="AW2699">
        <v>0</v>
      </c>
      <c r="AX2699">
        <v>18</v>
      </c>
      <c r="AY2699">
        <v>368</v>
      </c>
      <c r="AZ2699">
        <v>368</v>
      </c>
      <c r="BA2699">
        <v>660</v>
      </c>
      <c r="BB2699">
        <v>44</v>
      </c>
      <c r="BD2699">
        <v>1</v>
      </c>
      <c r="BF2699" t="s">
        <v>2897</v>
      </c>
      <c r="BG2699" s="1">
        <v>44353.903391203705</v>
      </c>
      <c r="BH2699" s="1">
        <v>44353.905300925922</v>
      </c>
      <c r="BI2699" s="1">
        <v>44353.905902777777</v>
      </c>
      <c r="BJ2699" t="s">
        <v>197</v>
      </c>
      <c r="BK2699" t="s">
        <v>198</v>
      </c>
      <c r="BL2699" t="s">
        <v>87</v>
      </c>
    </row>
    <row r="2700" spans="1:64" x14ac:dyDescent="0.3">
      <c r="A2700" t="str">
        <f>"201760C0100"</f>
        <v>201760C0100</v>
      </c>
      <c r="B2700" t="str">
        <f>"201760C01003"</f>
        <v>201760C01003</v>
      </c>
      <c r="C2700" t="str">
        <f t="shared" si="184"/>
        <v>20</v>
      </c>
      <c r="D2700" t="s">
        <v>81</v>
      </c>
      <c r="E2700" t="str">
        <f t="shared" si="185"/>
        <v>392</v>
      </c>
      <c r="F2700" t="s">
        <v>2862</v>
      </c>
      <c r="G2700" t="str">
        <f>"1760"</f>
        <v>1760</v>
      </c>
      <c r="H2700" t="str">
        <f>"0001"</f>
        <v>0001</v>
      </c>
      <c r="I2700" t="s">
        <v>89</v>
      </c>
      <c r="J2700">
        <v>0</v>
      </c>
      <c r="K2700">
        <v>1</v>
      </c>
      <c r="L2700">
        <v>3</v>
      </c>
      <c r="M2700">
        <v>324</v>
      </c>
      <c r="N2700">
        <v>380</v>
      </c>
      <c r="O2700">
        <v>0</v>
      </c>
      <c r="P2700">
        <v>380</v>
      </c>
      <c r="Q2700">
        <v>24</v>
      </c>
      <c r="R2700">
        <v>20</v>
      </c>
      <c r="S2700">
        <v>2</v>
      </c>
      <c r="T2700">
        <v>0</v>
      </c>
      <c r="U2700">
        <v>70</v>
      </c>
      <c r="V2700">
        <v>57</v>
      </c>
      <c r="W2700">
        <v>9</v>
      </c>
      <c r="X2700">
        <v>126</v>
      </c>
      <c r="Y2700">
        <v>26</v>
      </c>
      <c r="Z2700">
        <v>10</v>
      </c>
      <c r="AA2700">
        <v>0</v>
      </c>
      <c r="AB2700">
        <v>41</v>
      </c>
      <c r="AR2700">
        <v>0</v>
      </c>
      <c r="AU2700">
        <v>0</v>
      </c>
      <c r="AW2700">
        <v>0</v>
      </c>
      <c r="AX2700">
        <v>11</v>
      </c>
      <c r="AY2700">
        <v>380</v>
      </c>
      <c r="AZ2700">
        <v>396</v>
      </c>
      <c r="BA2700">
        <v>660</v>
      </c>
      <c r="BB2700">
        <v>44</v>
      </c>
      <c r="BD2700">
        <v>1</v>
      </c>
      <c r="BF2700" t="s">
        <v>2898</v>
      </c>
      <c r="BG2700" s="1">
        <v>44353.914317129631</v>
      </c>
      <c r="BH2700" s="1">
        <v>44353.916851851849</v>
      </c>
      <c r="BI2700" s="1">
        <v>44353.917326388888</v>
      </c>
      <c r="BJ2700" t="s">
        <v>197</v>
      </c>
      <c r="BK2700" t="s">
        <v>198</v>
      </c>
      <c r="BL2700" t="s">
        <v>87</v>
      </c>
    </row>
    <row r="2701" spans="1:64" x14ac:dyDescent="0.3">
      <c r="A2701" t="str">
        <f>"201760C0200"</f>
        <v>201760C0200</v>
      </c>
      <c r="B2701" t="str">
        <f>"201760C02003"</f>
        <v>201760C02003</v>
      </c>
      <c r="C2701" t="str">
        <f t="shared" si="184"/>
        <v>20</v>
      </c>
      <c r="D2701" t="s">
        <v>81</v>
      </c>
      <c r="E2701" t="str">
        <f t="shared" si="185"/>
        <v>392</v>
      </c>
      <c r="F2701" t="s">
        <v>2862</v>
      </c>
      <c r="G2701" t="str">
        <f>"1760"</f>
        <v>1760</v>
      </c>
      <c r="H2701" t="str">
        <f>"0002"</f>
        <v>0002</v>
      </c>
      <c r="I2701" t="s">
        <v>89</v>
      </c>
      <c r="J2701">
        <v>0</v>
      </c>
      <c r="K2701">
        <v>1</v>
      </c>
      <c r="L2701">
        <v>3</v>
      </c>
      <c r="M2701">
        <v>339</v>
      </c>
      <c r="N2701">
        <v>366</v>
      </c>
      <c r="O2701">
        <v>0</v>
      </c>
      <c r="P2701">
        <v>362</v>
      </c>
      <c r="Q2701">
        <v>32</v>
      </c>
      <c r="R2701">
        <v>29</v>
      </c>
      <c r="S2701">
        <v>2</v>
      </c>
      <c r="T2701">
        <v>0</v>
      </c>
      <c r="U2701">
        <v>55</v>
      </c>
      <c r="V2701">
        <v>67</v>
      </c>
      <c r="W2701">
        <v>3</v>
      </c>
      <c r="X2701">
        <v>115</v>
      </c>
      <c r="Y2701">
        <v>14</v>
      </c>
      <c r="Z2701">
        <v>2</v>
      </c>
      <c r="AA2701">
        <v>0</v>
      </c>
      <c r="AB2701">
        <v>27</v>
      </c>
      <c r="AR2701">
        <v>0</v>
      </c>
      <c r="AU2701">
        <v>0</v>
      </c>
      <c r="AW2701">
        <v>0</v>
      </c>
      <c r="AX2701">
        <v>16</v>
      </c>
      <c r="AY2701">
        <v>362</v>
      </c>
      <c r="AZ2701">
        <v>362</v>
      </c>
      <c r="BA2701">
        <v>660</v>
      </c>
      <c r="BB2701">
        <v>44</v>
      </c>
      <c r="BD2701">
        <v>1</v>
      </c>
      <c r="BF2701" t="s">
        <v>2899</v>
      </c>
      <c r="BG2701" s="1">
        <v>44353.91646990741</v>
      </c>
      <c r="BH2701" s="1">
        <v>44353.919351851851</v>
      </c>
      <c r="BI2701" s="1">
        <v>44353.920810185184</v>
      </c>
      <c r="BJ2701" t="s">
        <v>197</v>
      </c>
      <c r="BK2701" t="s">
        <v>198</v>
      </c>
      <c r="BL2701" t="s">
        <v>87</v>
      </c>
    </row>
    <row r="2702" spans="1:64" x14ac:dyDescent="0.3">
      <c r="A2702" t="str">
        <f>"201760C0300"</f>
        <v>201760C0300</v>
      </c>
      <c r="B2702" t="str">
        <f>"201760C03003"</f>
        <v>201760C03003</v>
      </c>
      <c r="C2702" t="str">
        <f t="shared" si="184"/>
        <v>20</v>
      </c>
      <c r="D2702" t="s">
        <v>81</v>
      </c>
      <c r="E2702" t="str">
        <f t="shared" si="185"/>
        <v>392</v>
      </c>
      <c r="F2702" t="s">
        <v>2862</v>
      </c>
      <c r="G2702" t="str">
        <f>"1760"</f>
        <v>1760</v>
      </c>
      <c r="H2702" t="str">
        <f>"0003"</f>
        <v>0003</v>
      </c>
      <c r="I2702" t="s">
        <v>89</v>
      </c>
      <c r="J2702">
        <v>0</v>
      </c>
      <c r="K2702">
        <v>1</v>
      </c>
      <c r="L2702">
        <v>3</v>
      </c>
      <c r="M2702">
        <v>347</v>
      </c>
      <c r="N2702">
        <v>356</v>
      </c>
      <c r="O2702">
        <v>4</v>
      </c>
      <c r="P2702">
        <v>354</v>
      </c>
      <c r="Q2702">
        <v>19</v>
      </c>
      <c r="R2702">
        <v>41</v>
      </c>
      <c r="S2702">
        <v>1</v>
      </c>
      <c r="T2702">
        <v>1</v>
      </c>
      <c r="U2702">
        <v>57</v>
      </c>
      <c r="V2702">
        <v>44</v>
      </c>
      <c r="W2702">
        <v>5</v>
      </c>
      <c r="X2702">
        <v>121</v>
      </c>
      <c r="Y2702">
        <v>5</v>
      </c>
      <c r="Z2702">
        <v>5</v>
      </c>
      <c r="AA2702">
        <v>3</v>
      </c>
      <c r="AB2702">
        <v>46</v>
      </c>
      <c r="AR2702">
        <v>0</v>
      </c>
      <c r="AU2702">
        <v>0</v>
      </c>
      <c r="AW2702">
        <v>1</v>
      </c>
      <c r="AX2702">
        <v>8</v>
      </c>
      <c r="AY2702">
        <v>354</v>
      </c>
      <c r="AZ2702">
        <v>357</v>
      </c>
      <c r="BA2702">
        <v>659</v>
      </c>
      <c r="BB2702">
        <v>44</v>
      </c>
      <c r="BD2702">
        <v>1</v>
      </c>
      <c r="BF2702" t="s">
        <v>2900</v>
      </c>
      <c r="BG2702" s="1">
        <v>44353.920601851853</v>
      </c>
      <c r="BH2702" s="1">
        <v>44353.9221412037</v>
      </c>
      <c r="BI2702" s="1">
        <v>44353.922766203701</v>
      </c>
      <c r="BJ2702" t="s">
        <v>197</v>
      </c>
      <c r="BK2702" t="s">
        <v>198</v>
      </c>
      <c r="BL2702" t="s">
        <v>87</v>
      </c>
    </row>
    <row r="2703" spans="1:64" x14ac:dyDescent="0.3">
      <c r="A2703" t="str">
        <f>"201761B0000"</f>
        <v>201761B0000</v>
      </c>
      <c r="B2703" t="str">
        <f>"201761B00003"</f>
        <v>201761B00003</v>
      </c>
      <c r="C2703" t="str">
        <f t="shared" si="184"/>
        <v>20</v>
      </c>
      <c r="D2703" t="s">
        <v>81</v>
      </c>
      <c r="E2703" t="str">
        <f t="shared" si="185"/>
        <v>392</v>
      </c>
      <c r="F2703" t="s">
        <v>2862</v>
      </c>
      <c r="G2703" t="str">
        <f>"1761"</f>
        <v>1761</v>
      </c>
      <c r="H2703" t="str">
        <f>"0000"</f>
        <v>0000</v>
      </c>
      <c r="I2703" t="s">
        <v>83</v>
      </c>
      <c r="J2703">
        <v>0</v>
      </c>
      <c r="K2703">
        <v>1</v>
      </c>
      <c r="L2703">
        <v>3</v>
      </c>
      <c r="M2703">
        <v>319</v>
      </c>
      <c r="N2703">
        <v>335</v>
      </c>
      <c r="O2703">
        <v>2</v>
      </c>
      <c r="P2703">
        <v>336</v>
      </c>
      <c r="Q2703">
        <v>25</v>
      </c>
      <c r="R2703">
        <v>44</v>
      </c>
      <c r="S2703">
        <v>2</v>
      </c>
      <c r="T2703">
        <v>1</v>
      </c>
      <c r="U2703">
        <v>36</v>
      </c>
      <c r="V2703">
        <v>76</v>
      </c>
      <c r="W2703">
        <v>18</v>
      </c>
      <c r="X2703">
        <v>77</v>
      </c>
      <c r="Y2703">
        <v>12</v>
      </c>
      <c r="Z2703">
        <v>2</v>
      </c>
      <c r="AA2703">
        <v>1</v>
      </c>
      <c r="AB2703">
        <v>27</v>
      </c>
      <c r="AR2703">
        <v>0</v>
      </c>
      <c r="AU2703">
        <v>0</v>
      </c>
      <c r="AW2703">
        <v>0</v>
      </c>
      <c r="AX2703">
        <v>15</v>
      </c>
      <c r="AY2703">
        <v>336</v>
      </c>
      <c r="AZ2703">
        <v>336</v>
      </c>
      <c r="BA2703">
        <v>610</v>
      </c>
      <c r="BB2703">
        <v>44</v>
      </c>
      <c r="BD2703">
        <v>1</v>
      </c>
      <c r="BF2703" t="s">
        <v>2901</v>
      </c>
      <c r="BG2703" s="1">
        <v>44353.955104166664</v>
      </c>
      <c r="BH2703" s="1">
        <v>44353.957430555558</v>
      </c>
      <c r="BI2703" s="1">
        <v>44353.95789351852</v>
      </c>
      <c r="BJ2703" t="s">
        <v>197</v>
      </c>
      <c r="BK2703" t="s">
        <v>198</v>
      </c>
      <c r="BL2703" t="s">
        <v>87</v>
      </c>
    </row>
    <row r="2704" spans="1:64" x14ac:dyDescent="0.3">
      <c r="A2704" t="str">
        <f>"201761C0100"</f>
        <v>201761C0100</v>
      </c>
      <c r="B2704" t="str">
        <f>"201761C01003"</f>
        <v>201761C01003</v>
      </c>
      <c r="C2704" t="str">
        <f t="shared" si="184"/>
        <v>20</v>
      </c>
      <c r="D2704" t="s">
        <v>81</v>
      </c>
      <c r="E2704" t="str">
        <f t="shared" si="185"/>
        <v>392</v>
      </c>
      <c r="F2704" t="s">
        <v>2862</v>
      </c>
      <c r="G2704" t="str">
        <f>"1761"</f>
        <v>1761</v>
      </c>
      <c r="H2704" t="str">
        <f>"0001"</f>
        <v>0001</v>
      </c>
      <c r="I2704" t="s">
        <v>89</v>
      </c>
      <c r="J2704">
        <v>0</v>
      </c>
      <c r="K2704">
        <v>1</v>
      </c>
      <c r="L2704">
        <v>3</v>
      </c>
      <c r="M2704">
        <v>300</v>
      </c>
      <c r="N2704">
        <v>354</v>
      </c>
      <c r="O2704">
        <v>6</v>
      </c>
      <c r="P2704">
        <v>354</v>
      </c>
      <c r="Q2704">
        <v>27</v>
      </c>
      <c r="R2704">
        <v>66</v>
      </c>
      <c r="S2704">
        <v>6</v>
      </c>
      <c r="T2704">
        <v>0</v>
      </c>
      <c r="U2704">
        <v>47</v>
      </c>
      <c r="V2704">
        <v>71</v>
      </c>
      <c r="W2704">
        <v>16</v>
      </c>
      <c r="X2704">
        <v>71</v>
      </c>
      <c r="Y2704">
        <v>9</v>
      </c>
      <c r="Z2704">
        <v>4</v>
      </c>
      <c r="AA2704">
        <v>1</v>
      </c>
      <c r="AB2704">
        <v>29</v>
      </c>
      <c r="AR2704">
        <v>0</v>
      </c>
      <c r="AU2704">
        <v>0</v>
      </c>
      <c r="AW2704">
        <v>0</v>
      </c>
      <c r="AX2704">
        <v>7</v>
      </c>
      <c r="AY2704">
        <v>354</v>
      </c>
      <c r="AZ2704">
        <v>354</v>
      </c>
      <c r="BA2704">
        <v>610</v>
      </c>
      <c r="BB2704">
        <v>44</v>
      </c>
      <c r="BD2704">
        <v>1</v>
      </c>
      <c r="BF2704" t="s">
        <v>2902</v>
      </c>
      <c r="BG2704" s="1">
        <v>44353.907777777778</v>
      </c>
      <c r="BH2704" s="1">
        <v>44353.909212962964</v>
      </c>
      <c r="BI2704" s="1">
        <v>44353.909884259258</v>
      </c>
      <c r="BJ2704" t="s">
        <v>197</v>
      </c>
      <c r="BK2704" t="s">
        <v>198</v>
      </c>
      <c r="BL2704" t="s">
        <v>87</v>
      </c>
    </row>
    <row r="2705" spans="1:64" x14ac:dyDescent="0.3">
      <c r="A2705" t="str">
        <f>"201761C0200"</f>
        <v>201761C0200</v>
      </c>
      <c r="B2705" t="str">
        <f>"201761C02003"</f>
        <v>201761C02003</v>
      </c>
      <c r="C2705" t="str">
        <f t="shared" si="184"/>
        <v>20</v>
      </c>
      <c r="D2705" t="s">
        <v>81</v>
      </c>
      <c r="E2705" t="str">
        <f t="shared" si="185"/>
        <v>392</v>
      </c>
      <c r="F2705" t="s">
        <v>2862</v>
      </c>
      <c r="G2705" t="str">
        <f>"1761"</f>
        <v>1761</v>
      </c>
      <c r="H2705" t="str">
        <f>"0002"</f>
        <v>0002</v>
      </c>
      <c r="I2705" t="s">
        <v>89</v>
      </c>
      <c r="J2705">
        <v>0</v>
      </c>
      <c r="K2705">
        <v>1</v>
      </c>
      <c r="L2705">
        <v>3</v>
      </c>
      <c r="M2705">
        <v>295</v>
      </c>
      <c r="N2705">
        <v>359</v>
      </c>
      <c r="O2705">
        <v>5</v>
      </c>
      <c r="P2705">
        <v>359</v>
      </c>
      <c r="Q2705">
        <v>22</v>
      </c>
      <c r="R2705">
        <v>53</v>
      </c>
      <c r="S2705">
        <v>2</v>
      </c>
      <c r="T2705">
        <v>1</v>
      </c>
      <c r="U2705">
        <v>43</v>
      </c>
      <c r="V2705">
        <v>107</v>
      </c>
      <c r="W2705">
        <v>18</v>
      </c>
      <c r="X2705">
        <v>80</v>
      </c>
      <c r="Y2705">
        <v>8</v>
      </c>
      <c r="Z2705">
        <v>2</v>
      </c>
      <c r="AA2705">
        <v>0</v>
      </c>
      <c r="AB2705">
        <v>18</v>
      </c>
      <c r="AR2705">
        <v>0</v>
      </c>
      <c r="AU2705">
        <v>0</v>
      </c>
      <c r="AW2705">
        <v>0</v>
      </c>
      <c r="AX2705">
        <v>5</v>
      </c>
      <c r="AY2705">
        <v>359</v>
      </c>
      <c r="AZ2705">
        <v>359</v>
      </c>
      <c r="BA2705">
        <v>610</v>
      </c>
      <c r="BB2705">
        <v>44</v>
      </c>
      <c r="BD2705">
        <v>1</v>
      </c>
      <c r="BF2705" t="s">
        <v>2903</v>
      </c>
      <c r="BG2705" s="1">
        <v>44353.844675925924</v>
      </c>
      <c r="BH2705" s="1">
        <v>44353.846539351849</v>
      </c>
      <c r="BI2705" s="1">
        <v>44353.847268518519</v>
      </c>
      <c r="BJ2705" t="s">
        <v>197</v>
      </c>
      <c r="BK2705" t="s">
        <v>198</v>
      </c>
      <c r="BL2705" t="s">
        <v>87</v>
      </c>
    </row>
    <row r="2706" spans="1:64" x14ac:dyDescent="0.3">
      <c r="A2706" t="str">
        <f>"201761C0300"</f>
        <v>201761C0300</v>
      </c>
      <c r="B2706" t="str">
        <f>"201761C03003"</f>
        <v>201761C03003</v>
      </c>
      <c r="C2706" t="str">
        <f t="shared" si="184"/>
        <v>20</v>
      </c>
      <c r="D2706" t="s">
        <v>81</v>
      </c>
      <c r="E2706" t="str">
        <f t="shared" si="185"/>
        <v>392</v>
      </c>
      <c r="F2706" t="s">
        <v>2862</v>
      </c>
      <c r="G2706" t="str">
        <f>"1761"</f>
        <v>1761</v>
      </c>
      <c r="H2706" t="str">
        <f>"0003"</f>
        <v>0003</v>
      </c>
      <c r="I2706" t="s">
        <v>89</v>
      </c>
      <c r="J2706">
        <v>0</v>
      </c>
      <c r="K2706">
        <v>1</v>
      </c>
      <c r="L2706">
        <v>3</v>
      </c>
      <c r="M2706">
        <v>314</v>
      </c>
      <c r="N2706">
        <v>340</v>
      </c>
      <c r="O2706">
        <v>6</v>
      </c>
      <c r="P2706">
        <v>340</v>
      </c>
      <c r="Q2706">
        <v>30</v>
      </c>
      <c r="R2706">
        <v>45</v>
      </c>
      <c r="S2706">
        <v>0</v>
      </c>
      <c r="T2706">
        <v>1</v>
      </c>
      <c r="U2706">
        <v>45</v>
      </c>
      <c r="V2706">
        <v>73</v>
      </c>
      <c r="W2706">
        <v>28</v>
      </c>
      <c r="X2706">
        <v>81</v>
      </c>
      <c r="Y2706">
        <v>7</v>
      </c>
      <c r="Z2706">
        <v>3</v>
      </c>
      <c r="AA2706">
        <v>3</v>
      </c>
      <c r="AB2706">
        <v>15</v>
      </c>
      <c r="AR2706">
        <v>0</v>
      </c>
      <c r="AU2706">
        <v>0</v>
      </c>
      <c r="AW2706">
        <v>0</v>
      </c>
      <c r="AX2706">
        <v>9</v>
      </c>
      <c r="AY2706">
        <v>340</v>
      </c>
      <c r="AZ2706">
        <v>340</v>
      </c>
      <c r="BA2706">
        <v>610</v>
      </c>
      <c r="BB2706">
        <v>44</v>
      </c>
      <c r="BD2706">
        <v>1</v>
      </c>
      <c r="BF2706" t="s">
        <v>2904</v>
      </c>
      <c r="BG2706" s="1">
        <v>44353.917754629627</v>
      </c>
      <c r="BH2706" s="1">
        <v>44353.920729166668</v>
      </c>
      <c r="BI2706" s="1">
        <v>44353.921342592592</v>
      </c>
      <c r="BJ2706" t="s">
        <v>197</v>
      </c>
      <c r="BK2706" t="s">
        <v>198</v>
      </c>
      <c r="BL2706" t="s">
        <v>87</v>
      </c>
    </row>
    <row r="2707" spans="1:64" x14ac:dyDescent="0.3">
      <c r="A2707" t="str">
        <f>"201761C0400"</f>
        <v>201761C0400</v>
      </c>
      <c r="B2707" t="str">
        <f>"201761C04003"</f>
        <v>201761C04003</v>
      </c>
      <c r="C2707" t="str">
        <f t="shared" si="184"/>
        <v>20</v>
      </c>
      <c r="D2707" t="s">
        <v>81</v>
      </c>
      <c r="E2707" t="str">
        <f t="shared" si="185"/>
        <v>392</v>
      </c>
      <c r="F2707" t="s">
        <v>2862</v>
      </c>
      <c r="G2707" t="str">
        <f>"1761"</f>
        <v>1761</v>
      </c>
      <c r="H2707" t="str">
        <f>"0004"</f>
        <v>0004</v>
      </c>
      <c r="I2707" t="s">
        <v>89</v>
      </c>
      <c r="J2707">
        <v>0</v>
      </c>
      <c r="K2707">
        <v>1</v>
      </c>
      <c r="L2707">
        <v>3</v>
      </c>
      <c r="M2707">
        <v>300</v>
      </c>
      <c r="N2707">
        <v>355</v>
      </c>
      <c r="O2707">
        <v>7</v>
      </c>
      <c r="P2707">
        <v>353</v>
      </c>
      <c r="Q2707">
        <v>26</v>
      </c>
      <c r="R2707">
        <v>51</v>
      </c>
      <c r="S2707">
        <v>3</v>
      </c>
      <c r="T2707">
        <v>0</v>
      </c>
      <c r="U2707">
        <v>44</v>
      </c>
      <c r="V2707">
        <v>96</v>
      </c>
      <c r="W2707">
        <v>16</v>
      </c>
      <c r="X2707">
        <v>81</v>
      </c>
      <c r="Y2707">
        <v>8</v>
      </c>
      <c r="Z2707">
        <v>5</v>
      </c>
      <c r="AA2707">
        <v>1</v>
      </c>
      <c r="AB2707">
        <v>14</v>
      </c>
      <c r="AR2707">
        <v>0</v>
      </c>
      <c r="AU2707">
        <v>0</v>
      </c>
      <c r="AW2707">
        <v>1</v>
      </c>
      <c r="AX2707">
        <v>7</v>
      </c>
      <c r="AY2707">
        <v>353</v>
      </c>
      <c r="AZ2707">
        <v>353</v>
      </c>
      <c r="BA2707">
        <v>610</v>
      </c>
      <c r="BB2707">
        <v>44</v>
      </c>
      <c r="BD2707">
        <v>1</v>
      </c>
      <c r="BF2707" t="s">
        <v>2905</v>
      </c>
      <c r="BG2707" s="1">
        <v>44353.90115740741</v>
      </c>
      <c r="BH2707" s="1">
        <v>44353.902962962966</v>
      </c>
      <c r="BI2707" s="1">
        <v>44353.903495370374</v>
      </c>
      <c r="BJ2707" t="s">
        <v>197</v>
      </c>
      <c r="BK2707" t="s">
        <v>198</v>
      </c>
      <c r="BL2707" t="s">
        <v>87</v>
      </c>
    </row>
    <row r="2708" spans="1:64" x14ac:dyDescent="0.3">
      <c r="A2708" t="str">
        <f>"201762B0000"</f>
        <v>201762B0000</v>
      </c>
      <c r="B2708" t="str">
        <f>"201762B00003"</f>
        <v>201762B00003</v>
      </c>
      <c r="C2708" t="str">
        <f t="shared" si="184"/>
        <v>20</v>
      </c>
      <c r="D2708" t="s">
        <v>81</v>
      </c>
      <c r="E2708" t="str">
        <f t="shared" si="185"/>
        <v>392</v>
      </c>
      <c r="F2708" t="s">
        <v>2862</v>
      </c>
      <c r="G2708" t="str">
        <f t="shared" ref="G2708:G2716" si="186">"1762"</f>
        <v>1762</v>
      </c>
      <c r="H2708" t="str">
        <f>"0000"</f>
        <v>0000</v>
      </c>
      <c r="I2708" t="s">
        <v>83</v>
      </c>
      <c r="J2708">
        <v>0</v>
      </c>
      <c r="K2708">
        <v>1</v>
      </c>
      <c r="L2708">
        <v>3</v>
      </c>
      <c r="BA2708">
        <v>704</v>
      </c>
      <c r="BB2708">
        <v>44</v>
      </c>
      <c r="BC2708" t="s">
        <v>381</v>
      </c>
      <c r="BD2708">
        <v>0</v>
      </c>
      <c r="BF2708" t="s">
        <v>2906</v>
      </c>
      <c r="BG2708" s="1">
        <v>44354.275000000001</v>
      </c>
      <c r="BH2708" s="1">
        <v>44354.279548611114</v>
      </c>
      <c r="BI2708" s="1">
        <v>44354.279548611114</v>
      </c>
      <c r="BJ2708" t="s">
        <v>85</v>
      </c>
      <c r="BK2708" t="s">
        <v>86</v>
      </c>
      <c r="BL2708" t="s">
        <v>87</v>
      </c>
    </row>
    <row r="2709" spans="1:64" x14ac:dyDescent="0.3">
      <c r="A2709" t="str">
        <f>"201762C0100"</f>
        <v>201762C0100</v>
      </c>
      <c r="B2709" t="str">
        <f>"201762C01003"</f>
        <v>201762C01003</v>
      </c>
      <c r="C2709" t="str">
        <f t="shared" si="184"/>
        <v>20</v>
      </c>
      <c r="D2709" t="s">
        <v>81</v>
      </c>
      <c r="E2709" t="str">
        <f t="shared" si="185"/>
        <v>392</v>
      </c>
      <c r="F2709" t="s">
        <v>2862</v>
      </c>
      <c r="G2709" t="str">
        <f t="shared" si="186"/>
        <v>1762</v>
      </c>
      <c r="H2709" t="str">
        <f>"0001"</f>
        <v>0001</v>
      </c>
      <c r="I2709" t="s">
        <v>89</v>
      </c>
      <c r="J2709">
        <v>0</v>
      </c>
      <c r="K2709">
        <v>1</v>
      </c>
      <c r="L2709">
        <v>3</v>
      </c>
      <c r="M2709">
        <v>331</v>
      </c>
      <c r="N2709">
        <v>418</v>
      </c>
      <c r="O2709" t="s">
        <v>131</v>
      </c>
      <c r="P2709">
        <v>421</v>
      </c>
      <c r="Q2709">
        <v>38</v>
      </c>
      <c r="R2709">
        <v>68</v>
      </c>
      <c r="S2709">
        <v>2</v>
      </c>
      <c r="T2709">
        <v>0</v>
      </c>
      <c r="U2709">
        <v>76</v>
      </c>
      <c r="V2709">
        <v>75</v>
      </c>
      <c r="W2709">
        <v>11</v>
      </c>
      <c r="X2709">
        <v>97</v>
      </c>
      <c r="Y2709">
        <v>3</v>
      </c>
      <c r="Z2709">
        <v>3</v>
      </c>
      <c r="AA2709">
        <v>3</v>
      </c>
      <c r="AB2709">
        <v>29</v>
      </c>
      <c r="AR2709">
        <v>0</v>
      </c>
      <c r="AU2709">
        <v>0</v>
      </c>
      <c r="AW2709">
        <v>0</v>
      </c>
      <c r="AX2709">
        <v>16</v>
      </c>
      <c r="AY2709">
        <v>421</v>
      </c>
      <c r="AZ2709">
        <v>421</v>
      </c>
      <c r="BA2709">
        <v>704</v>
      </c>
      <c r="BB2709">
        <v>44</v>
      </c>
      <c r="BD2709">
        <v>1</v>
      </c>
      <c r="BF2709" t="s">
        <v>2907</v>
      </c>
      <c r="BG2709" s="1">
        <v>44353.966666666667</v>
      </c>
      <c r="BH2709" s="1">
        <v>44354.179756944446</v>
      </c>
      <c r="BI2709" s="1">
        <v>44354.180150462962</v>
      </c>
      <c r="BJ2709" t="s">
        <v>85</v>
      </c>
      <c r="BK2709" t="s">
        <v>86</v>
      </c>
      <c r="BL2709" t="s">
        <v>87</v>
      </c>
    </row>
    <row r="2710" spans="1:64" x14ac:dyDescent="0.3">
      <c r="A2710" t="str">
        <f>"201762C0200"</f>
        <v>201762C0200</v>
      </c>
      <c r="B2710" t="str">
        <f>"201762C02003"</f>
        <v>201762C02003</v>
      </c>
      <c r="C2710" t="str">
        <f t="shared" si="184"/>
        <v>20</v>
      </c>
      <c r="D2710" t="s">
        <v>81</v>
      </c>
      <c r="E2710" t="str">
        <f t="shared" si="185"/>
        <v>392</v>
      </c>
      <c r="F2710" t="s">
        <v>2862</v>
      </c>
      <c r="G2710" t="str">
        <f t="shared" si="186"/>
        <v>1762</v>
      </c>
      <c r="H2710" t="str">
        <f>"0002"</f>
        <v>0002</v>
      </c>
      <c r="I2710" t="s">
        <v>89</v>
      </c>
      <c r="J2710">
        <v>0</v>
      </c>
      <c r="K2710">
        <v>1</v>
      </c>
      <c r="L2710">
        <v>3</v>
      </c>
      <c r="M2710">
        <v>335</v>
      </c>
      <c r="N2710">
        <v>412</v>
      </c>
      <c r="O2710">
        <v>11</v>
      </c>
      <c r="P2710">
        <v>412</v>
      </c>
      <c r="Q2710">
        <v>37</v>
      </c>
      <c r="R2710">
        <v>74</v>
      </c>
      <c r="S2710">
        <v>1</v>
      </c>
      <c r="T2710">
        <v>2</v>
      </c>
      <c r="U2710">
        <v>83</v>
      </c>
      <c r="V2710">
        <v>59</v>
      </c>
      <c r="W2710">
        <v>3</v>
      </c>
      <c r="X2710">
        <v>93</v>
      </c>
      <c r="Y2710">
        <v>7</v>
      </c>
      <c r="Z2710">
        <v>5</v>
      </c>
      <c r="AA2710">
        <v>0</v>
      </c>
      <c r="AB2710">
        <v>32</v>
      </c>
      <c r="AR2710">
        <v>0</v>
      </c>
      <c r="AU2710">
        <v>1</v>
      </c>
      <c r="AW2710">
        <v>0</v>
      </c>
      <c r="AX2710">
        <v>15</v>
      </c>
      <c r="AY2710">
        <v>412</v>
      </c>
      <c r="AZ2710">
        <v>412</v>
      </c>
      <c r="BA2710">
        <v>704</v>
      </c>
      <c r="BB2710">
        <v>44</v>
      </c>
      <c r="BD2710">
        <v>1</v>
      </c>
      <c r="BF2710" t="s">
        <v>2908</v>
      </c>
      <c r="BG2710" s="1">
        <v>44353.936111111114</v>
      </c>
      <c r="BH2710" s="1">
        <v>44354.180219907408</v>
      </c>
      <c r="BI2710" s="1">
        <v>44354.181030092594</v>
      </c>
      <c r="BJ2710" t="s">
        <v>85</v>
      </c>
      <c r="BK2710" t="s">
        <v>86</v>
      </c>
      <c r="BL2710" t="s">
        <v>87</v>
      </c>
    </row>
    <row r="2711" spans="1:64" x14ac:dyDescent="0.3">
      <c r="A2711" t="str">
        <f>"201762E0100"</f>
        <v>201762E0100</v>
      </c>
      <c r="B2711" t="str">
        <f>"201762E01003"</f>
        <v>201762E01003</v>
      </c>
      <c r="C2711" t="str">
        <f t="shared" si="184"/>
        <v>20</v>
      </c>
      <c r="D2711" t="s">
        <v>81</v>
      </c>
      <c r="E2711" t="str">
        <f t="shared" si="185"/>
        <v>392</v>
      </c>
      <c r="F2711" t="s">
        <v>2862</v>
      </c>
      <c r="G2711" t="str">
        <f t="shared" si="186"/>
        <v>1762</v>
      </c>
      <c r="H2711" t="str">
        <f>"0001"</f>
        <v>0001</v>
      </c>
      <c r="I2711" t="s">
        <v>122</v>
      </c>
      <c r="J2711">
        <v>0</v>
      </c>
      <c r="K2711">
        <v>1</v>
      </c>
      <c r="L2711">
        <v>3</v>
      </c>
      <c r="M2711">
        <v>297</v>
      </c>
      <c r="N2711">
        <v>307</v>
      </c>
      <c r="O2711">
        <v>13</v>
      </c>
      <c r="P2711">
        <v>307</v>
      </c>
      <c r="Q2711">
        <v>27</v>
      </c>
      <c r="R2711">
        <v>51</v>
      </c>
      <c r="S2711">
        <v>5</v>
      </c>
      <c r="T2711">
        <v>1</v>
      </c>
      <c r="U2711">
        <v>43</v>
      </c>
      <c r="V2711">
        <v>43</v>
      </c>
      <c r="W2711">
        <v>12</v>
      </c>
      <c r="X2711">
        <v>82</v>
      </c>
      <c r="Y2711">
        <v>12</v>
      </c>
      <c r="Z2711">
        <v>3</v>
      </c>
      <c r="AA2711">
        <v>0</v>
      </c>
      <c r="AB2711">
        <v>19</v>
      </c>
      <c r="AR2711">
        <v>1</v>
      </c>
      <c r="AU2711">
        <v>0</v>
      </c>
      <c r="AW2711">
        <v>0</v>
      </c>
      <c r="AX2711">
        <v>8</v>
      </c>
      <c r="AY2711">
        <v>307</v>
      </c>
      <c r="AZ2711">
        <v>307</v>
      </c>
      <c r="BA2711">
        <v>560</v>
      </c>
      <c r="BB2711">
        <v>44</v>
      </c>
      <c r="BD2711">
        <v>1</v>
      </c>
      <c r="BF2711" t="s">
        <v>2909</v>
      </c>
      <c r="BG2711" s="1">
        <v>44354.163194444445</v>
      </c>
      <c r="BH2711" s="1">
        <v>44354.180011574077</v>
      </c>
      <c r="BI2711" s="1">
        <v>44354.180891203701</v>
      </c>
      <c r="BJ2711" t="s">
        <v>85</v>
      </c>
      <c r="BK2711" t="s">
        <v>86</v>
      </c>
      <c r="BL2711" t="s">
        <v>87</v>
      </c>
    </row>
    <row r="2712" spans="1:64" x14ac:dyDescent="0.3">
      <c r="A2712" t="str">
        <f>"201762E0101"</f>
        <v>201762E0101</v>
      </c>
      <c r="B2712" t="str">
        <f>"201762E01013"</f>
        <v>201762E01013</v>
      </c>
      <c r="C2712" t="str">
        <f t="shared" si="184"/>
        <v>20</v>
      </c>
      <c r="D2712" t="s">
        <v>81</v>
      </c>
      <c r="E2712" t="str">
        <f t="shared" si="185"/>
        <v>392</v>
      </c>
      <c r="F2712" t="s">
        <v>2862</v>
      </c>
      <c r="G2712" t="str">
        <f t="shared" si="186"/>
        <v>1762</v>
      </c>
      <c r="H2712" t="str">
        <f>"0001"</f>
        <v>0001</v>
      </c>
      <c r="I2712" t="s">
        <v>122</v>
      </c>
      <c r="J2712">
        <v>1</v>
      </c>
      <c r="K2712">
        <v>1</v>
      </c>
      <c r="L2712">
        <v>3</v>
      </c>
      <c r="M2712">
        <v>323</v>
      </c>
      <c r="N2712">
        <v>281</v>
      </c>
      <c r="O2712">
        <v>14</v>
      </c>
      <c r="P2712">
        <v>280</v>
      </c>
      <c r="Q2712">
        <v>27</v>
      </c>
      <c r="R2712">
        <v>62</v>
      </c>
      <c r="S2712">
        <v>1</v>
      </c>
      <c r="T2712">
        <v>2</v>
      </c>
      <c r="U2712">
        <v>29</v>
      </c>
      <c r="V2712">
        <v>32</v>
      </c>
      <c r="W2712">
        <v>10</v>
      </c>
      <c r="X2712">
        <v>67</v>
      </c>
      <c r="Y2712">
        <v>17</v>
      </c>
      <c r="Z2712">
        <v>1</v>
      </c>
      <c r="AA2712">
        <v>2</v>
      </c>
      <c r="AB2712">
        <v>18</v>
      </c>
      <c r="AR2712" t="s">
        <v>95</v>
      </c>
      <c r="AU2712" t="s">
        <v>95</v>
      </c>
      <c r="AW2712" t="s">
        <v>95</v>
      </c>
      <c r="AX2712">
        <v>12</v>
      </c>
      <c r="AY2712">
        <v>280</v>
      </c>
      <c r="AZ2712">
        <v>280</v>
      </c>
      <c r="BA2712">
        <v>559</v>
      </c>
      <c r="BB2712">
        <v>44</v>
      </c>
      <c r="BC2712" t="s">
        <v>96</v>
      </c>
      <c r="BD2712">
        <v>1</v>
      </c>
      <c r="BF2712" t="s">
        <v>2910</v>
      </c>
      <c r="BG2712" s="1">
        <v>44354.163194444445</v>
      </c>
      <c r="BH2712" s="1">
        <v>44354.180486111109</v>
      </c>
      <c r="BI2712" s="1">
        <v>44354.180972222224</v>
      </c>
      <c r="BJ2712" t="s">
        <v>85</v>
      </c>
      <c r="BK2712" t="s">
        <v>86</v>
      </c>
      <c r="BL2712" t="s">
        <v>87</v>
      </c>
    </row>
    <row r="2713" spans="1:64" x14ac:dyDescent="0.3">
      <c r="A2713" t="str">
        <f>"201762E0200"</f>
        <v>201762E0200</v>
      </c>
      <c r="B2713" t="str">
        <f>"201762E02003"</f>
        <v>201762E02003</v>
      </c>
      <c r="C2713" t="str">
        <f t="shared" si="184"/>
        <v>20</v>
      </c>
      <c r="D2713" t="s">
        <v>81</v>
      </c>
      <c r="E2713" t="str">
        <f t="shared" si="185"/>
        <v>392</v>
      </c>
      <c r="F2713" t="s">
        <v>2862</v>
      </c>
      <c r="G2713" t="str">
        <f t="shared" si="186"/>
        <v>1762</v>
      </c>
      <c r="H2713" t="str">
        <f>"0002"</f>
        <v>0002</v>
      </c>
      <c r="I2713" t="s">
        <v>122</v>
      </c>
      <c r="J2713">
        <v>0</v>
      </c>
      <c r="K2713">
        <v>1</v>
      </c>
      <c r="L2713">
        <v>3</v>
      </c>
      <c r="M2713">
        <v>367</v>
      </c>
      <c r="N2713">
        <v>400</v>
      </c>
      <c r="O2713">
        <v>15</v>
      </c>
      <c r="P2713">
        <v>400</v>
      </c>
      <c r="Q2713">
        <v>26</v>
      </c>
      <c r="R2713">
        <v>74</v>
      </c>
      <c r="S2713">
        <v>3</v>
      </c>
      <c r="T2713">
        <v>2</v>
      </c>
      <c r="U2713">
        <v>72</v>
      </c>
      <c r="V2713">
        <v>56</v>
      </c>
      <c r="W2713">
        <v>3</v>
      </c>
      <c r="X2713">
        <v>128</v>
      </c>
      <c r="Y2713">
        <v>3</v>
      </c>
      <c r="Z2713">
        <v>3</v>
      </c>
      <c r="AA2713">
        <v>0</v>
      </c>
      <c r="AB2713">
        <v>17</v>
      </c>
      <c r="AR2713">
        <v>2</v>
      </c>
      <c r="AU2713">
        <v>0</v>
      </c>
      <c r="AW2713">
        <v>0</v>
      </c>
      <c r="AX2713">
        <v>11</v>
      </c>
      <c r="AY2713">
        <v>400</v>
      </c>
      <c r="AZ2713">
        <v>400</v>
      </c>
      <c r="BA2713">
        <v>723</v>
      </c>
      <c r="BB2713">
        <v>44</v>
      </c>
      <c r="BD2713">
        <v>1</v>
      </c>
      <c r="BF2713" t="s">
        <v>2911</v>
      </c>
      <c r="BG2713" s="1">
        <v>44353.920081018521</v>
      </c>
      <c r="BH2713" s="1">
        <v>44353.923391203702</v>
      </c>
      <c r="BI2713" s="1">
        <v>44353.92386574074</v>
      </c>
      <c r="BJ2713" t="s">
        <v>197</v>
      </c>
      <c r="BK2713" t="s">
        <v>198</v>
      </c>
      <c r="BL2713" t="s">
        <v>87</v>
      </c>
    </row>
    <row r="2714" spans="1:64" x14ac:dyDescent="0.3">
      <c r="A2714" t="str">
        <f>"201762E0201"</f>
        <v>201762E0201</v>
      </c>
      <c r="B2714" t="str">
        <f>"201762E02013"</f>
        <v>201762E02013</v>
      </c>
      <c r="C2714" t="str">
        <f t="shared" si="184"/>
        <v>20</v>
      </c>
      <c r="D2714" t="s">
        <v>81</v>
      </c>
      <c r="E2714" t="str">
        <f t="shared" si="185"/>
        <v>392</v>
      </c>
      <c r="F2714" t="s">
        <v>2862</v>
      </c>
      <c r="G2714" t="str">
        <f t="shared" si="186"/>
        <v>1762</v>
      </c>
      <c r="H2714" t="str">
        <f>"0002"</f>
        <v>0002</v>
      </c>
      <c r="I2714" t="s">
        <v>122</v>
      </c>
      <c r="J2714">
        <v>1</v>
      </c>
      <c r="K2714">
        <v>1</v>
      </c>
      <c r="L2714">
        <v>3</v>
      </c>
      <c r="M2714">
        <v>388</v>
      </c>
      <c r="N2714">
        <v>378</v>
      </c>
      <c r="O2714">
        <v>9</v>
      </c>
      <c r="P2714">
        <v>378</v>
      </c>
      <c r="Q2714">
        <v>20</v>
      </c>
      <c r="R2714">
        <v>59</v>
      </c>
      <c r="S2714">
        <v>6</v>
      </c>
      <c r="T2714">
        <v>1</v>
      </c>
      <c r="U2714">
        <v>85</v>
      </c>
      <c r="V2714">
        <v>52</v>
      </c>
      <c r="W2714">
        <v>4</v>
      </c>
      <c r="X2714">
        <v>118</v>
      </c>
      <c r="Y2714">
        <v>6</v>
      </c>
      <c r="Z2714">
        <v>5</v>
      </c>
      <c r="AA2714">
        <v>0</v>
      </c>
      <c r="AB2714">
        <v>10</v>
      </c>
      <c r="AR2714">
        <v>0</v>
      </c>
      <c r="AU2714">
        <v>0</v>
      </c>
      <c r="AW2714">
        <v>0</v>
      </c>
      <c r="AX2714">
        <v>12</v>
      </c>
      <c r="AY2714">
        <v>378</v>
      </c>
      <c r="AZ2714">
        <v>378</v>
      </c>
      <c r="BA2714">
        <v>722</v>
      </c>
      <c r="BB2714">
        <v>44</v>
      </c>
      <c r="BD2714">
        <v>1</v>
      </c>
      <c r="BF2714" t="s">
        <v>2912</v>
      </c>
      <c r="BG2714" s="1">
        <v>44354.163888888892</v>
      </c>
      <c r="BH2714" s="1">
        <v>44354.182662037034</v>
      </c>
      <c r="BI2714" s="1">
        <v>44354.18309027778</v>
      </c>
      <c r="BJ2714" t="s">
        <v>85</v>
      </c>
      <c r="BK2714" t="s">
        <v>86</v>
      </c>
      <c r="BL2714" t="s">
        <v>87</v>
      </c>
    </row>
    <row r="2715" spans="1:64" x14ac:dyDescent="0.3">
      <c r="A2715" t="str">
        <f>"201762E0300"</f>
        <v>201762E0300</v>
      </c>
      <c r="B2715" t="str">
        <f>"201762E03003"</f>
        <v>201762E03003</v>
      </c>
      <c r="C2715" t="str">
        <f t="shared" si="184"/>
        <v>20</v>
      </c>
      <c r="D2715" t="s">
        <v>81</v>
      </c>
      <c r="E2715" t="str">
        <f t="shared" si="185"/>
        <v>392</v>
      </c>
      <c r="F2715" t="s">
        <v>2862</v>
      </c>
      <c r="G2715" t="str">
        <f t="shared" si="186"/>
        <v>1762</v>
      </c>
      <c r="H2715" t="str">
        <f>"0003"</f>
        <v>0003</v>
      </c>
      <c r="I2715" t="s">
        <v>122</v>
      </c>
      <c r="J2715">
        <v>0</v>
      </c>
      <c r="K2715">
        <v>1</v>
      </c>
      <c r="L2715">
        <v>3</v>
      </c>
      <c r="M2715">
        <v>341</v>
      </c>
      <c r="N2715">
        <v>406</v>
      </c>
      <c r="O2715">
        <v>16</v>
      </c>
      <c r="P2715">
        <v>406</v>
      </c>
      <c r="Q2715">
        <v>42</v>
      </c>
      <c r="R2715">
        <v>61</v>
      </c>
      <c r="S2715">
        <v>3</v>
      </c>
      <c r="T2715">
        <v>0</v>
      </c>
      <c r="U2715">
        <v>65</v>
      </c>
      <c r="V2715">
        <v>38</v>
      </c>
      <c r="W2715">
        <v>8</v>
      </c>
      <c r="X2715">
        <v>115</v>
      </c>
      <c r="Y2715">
        <v>5</v>
      </c>
      <c r="Z2715">
        <v>0</v>
      </c>
      <c r="AA2715">
        <v>3</v>
      </c>
      <c r="AB2715">
        <v>51</v>
      </c>
      <c r="AR2715">
        <v>0</v>
      </c>
      <c r="AU2715">
        <v>0</v>
      </c>
      <c r="AW2715">
        <v>0</v>
      </c>
      <c r="AX2715">
        <v>15</v>
      </c>
      <c r="AY2715">
        <v>406</v>
      </c>
      <c r="AZ2715">
        <v>406</v>
      </c>
      <c r="BA2715">
        <v>703</v>
      </c>
      <c r="BB2715">
        <v>44</v>
      </c>
      <c r="BD2715">
        <v>1</v>
      </c>
      <c r="BF2715" t="s">
        <v>2913</v>
      </c>
      <c r="BG2715" s="1">
        <v>44354.164583333331</v>
      </c>
      <c r="BH2715" s="1">
        <v>44354.182708333334</v>
      </c>
      <c r="BI2715" s="1">
        <v>44354.184374999997</v>
      </c>
      <c r="BJ2715" t="s">
        <v>85</v>
      </c>
      <c r="BK2715" t="s">
        <v>86</v>
      </c>
      <c r="BL2715" t="s">
        <v>87</v>
      </c>
    </row>
    <row r="2716" spans="1:64" x14ac:dyDescent="0.3">
      <c r="A2716" t="str">
        <f>"201762E0301"</f>
        <v>201762E0301</v>
      </c>
      <c r="B2716" t="str">
        <f>"201762E03013"</f>
        <v>201762E03013</v>
      </c>
      <c r="C2716" t="str">
        <f t="shared" si="184"/>
        <v>20</v>
      </c>
      <c r="D2716" t="s">
        <v>81</v>
      </c>
      <c r="E2716" t="str">
        <f t="shared" si="185"/>
        <v>392</v>
      </c>
      <c r="F2716" t="s">
        <v>2862</v>
      </c>
      <c r="G2716" t="str">
        <f t="shared" si="186"/>
        <v>1762</v>
      </c>
      <c r="H2716" t="str">
        <f>"0003"</f>
        <v>0003</v>
      </c>
      <c r="I2716" t="s">
        <v>122</v>
      </c>
      <c r="J2716">
        <v>1</v>
      </c>
      <c r="K2716">
        <v>1</v>
      </c>
      <c r="L2716">
        <v>3</v>
      </c>
      <c r="M2716">
        <v>368</v>
      </c>
      <c r="N2716">
        <v>379</v>
      </c>
      <c r="O2716">
        <v>4</v>
      </c>
      <c r="P2716">
        <v>379</v>
      </c>
      <c r="Q2716">
        <v>35</v>
      </c>
      <c r="R2716">
        <v>55</v>
      </c>
      <c r="S2716">
        <v>3</v>
      </c>
      <c r="T2716">
        <v>0</v>
      </c>
      <c r="U2716">
        <v>66</v>
      </c>
      <c r="V2716">
        <v>47</v>
      </c>
      <c r="W2716">
        <v>8</v>
      </c>
      <c r="X2716">
        <v>85</v>
      </c>
      <c r="Y2716">
        <v>5</v>
      </c>
      <c r="Z2716">
        <v>3</v>
      </c>
      <c r="AA2716">
        <v>1</v>
      </c>
      <c r="AB2716">
        <v>61</v>
      </c>
      <c r="AR2716">
        <v>0</v>
      </c>
      <c r="AU2716">
        <v>0</v>
      </c>
      <c r="AW2716">
        <v>0</v>
      </c>
      <c r="AX2716">
        <v>10</v>
      </c>
      <c r="AY2716">
        <v>379</v>
      </c>
      <c r="AZ2716">
        <v>379</v>
      </c>
      <c r="BA2716">
        <v>703</v>
      </c>
      <c r="BB2716">
        <v>44</v>
      </c>
      <c r="BD2716">
        <v>1</v>
      </c>
      <c r="BF2716" t="s">
        <v>2914</v>
      </c>
      <c r="BG2716" s="1">
        <v>44354.164583333331</v>
      </c>
      <c r="BH2716" s="1">
        <v>44354.182974537034</v>
      </c>
      <c r="BI2716" s="1">
        <v>44354.183807870373</v>
      </c>
      <c r="BJ2716" t="s">
        <v>85</v>
      </c>
      <c r="BK2716" t="s">
        <v>86</v>
      </c>
      <c r="BL2716" t="s">
        <v>87</v>
      </c>
    </row>
    <row r="2717" spans="1:64" x14ac:dyDescent="0.3">
      <c r="A2717" t="str">
        <f>"201763B0000"</f>
        <v>201763B0000</v>
      </c>
      <c r="B2717" t="str">
        <f>"201763B00003"</f>
        <v>201763B00003</v>
      </c>
      <c r="C2717" t="str">
        <f t="shared" si="184"/>
        <v>20</v>
      </c>
      <c r="D2717" t="s">
        <v>81</v>
      </c>
      <c r="E2717" t="str">
        <f t="shared" si="185"/>
        <v>392</v>
      </c>
      <c r="F2717" t="s">
        <v>2862</v>
      </c>
      <c r="G2717" t="str">
        <f>"1763"</f>
        <v>1763</v>
      </c>
      <c r="H2717" t="str">
        <f>"0000"</f>
        <v>0000</v>
      </c>
      <c r="I2717" t="s">
        <v>83</v>
      </c>
      <c r="J2717">
        <v>0</v>
      </c>
      <c r="K2717">
        <v>1</v>
      </c>
      <c r="L2717">
        <v>3</v>
      </c>
      <c r="BA2717">
        <v>619</v>
      </c>
      <c r="BB2717">
        <v>44</v>
      </c>
      <c r="BC2717" t="s">
        <v>381</v>
      </c>
      <c r="BD2717">
        <v>0</v>
      </c>
      <c r="BF2717" t="s">
        <v>2915</v>
      </c>
      <c r="BG2717" s="1">
        <v>44354.275000000001</v>
      </c>
      <c r="BH2717" s="1">
        <v>44354.27920138889</v>
      </c>
      <c r="BI2717" s="1">
        <v>44354.27920138889</v>
      </c>
      <c r="BJ2717" t="s">
        <v>85</v>
      </c>
      <c r="BK2717" t="s">
        <v>86</v>
      </c>
      <c r="BL2717" t="s">
        <v>87</v>
      </c>
    </row>
    <row r="2718" spans="1:64" x14ac:dyDescent="0.3">
      <c r="A2718" t="str">
        <f>"201763C0100"</f>
        <v>201763C0100</v>
      </c>
      <c r="B2718" t="str">
        <f>"201763C01003"</f>
        <v>201763C01003</v>
      </c>
      <c r="C2718" t="str">
        <f t="shared" si="184"/>
        <v>20</v>
      </c>
      <c r="D2718" t="s">
        <v>81</v>
      </c>
      <c r="E2718" t="str">
        <f t="shared" si="185"/>
        <v>392</v>
      </c>
      <c r="F2718" t="s">
        <v>2862</v>
      </c>
      <c r="G2718" t="str">
        <f>"1763"</f>
        <v>1763</v>
      </c>
      <c r="H2718" t="str">
        <f>"0001"</f>
        <v>0001</v>
      </c>
      <c r="I2718" t="s">
        <v>89</v>
      </c>
      <c r="J2718">
        <v>0</v>
      </c>
      <c r="K2718">
        <v>1</v>
      </c>
      <c r="L2718">
        <v>3</v>
      </c>
      <c r="M2718">
        <v>227</v>
      </c>
      <c r="N2718">
        <v>331</v>
      </c>
      <c r="O2718">
        <v>7</v>
      </c>
      <c r="P2718">
        <v>331</v>
      </c>
      <c r="Q2718">
        <v>13</v>
      </c>
      <c r="R2718">
        <v>58</v>
      </c>
      <c r="S2718">
        <v>3</v>
      </c>
      <c r="T2718">
        <v>1</v>
      </c>
      <c r="U2718">
        <v>42</v>
      </c>
      <c r="V2718">
        <v>31</v>
      </c>
      <c r="W2718">
        <v>8</v>
      </c>
      <c r="X2718">
        <v>22</v>
      </c>
      <c r="Y2718">
        <v>4</v>
      </c>
      <c r="Z2718">
        <v>8</v>
      </c>
      <c r="AA2718">
        <v>0</v>
      </c>
      <c r="AB2718">
        <v>30</v>
      </c>
      <c r="AR2718">
        <v>0</v>
      </c>
      <c r="AU2718">
        <v>0</v>
      </c>
      <c r="AW2718">
        <v>0</v>
      </c>
      <c r="AX2718">
        <v>11</v>
      </c>
      <c r="AY2718">
        <v>331</v>
      </c>
      <c r="AZ2718">
        <v>231</v>
      </c>
      <c r="BA2718">
        <v>618</v>
      </c>
      <c r="BB2718">
        <v>44</v>
      </c>
      <c r="BD2718">
        <v>1</v>
      </c>
      <c r="BF2718" t="s">
        <v>2916</v>
      </c>
      <c r="BG2718" s="1">
        <v>44354.164583333331</v>
      </c>
      <c r="BH2718" s="1">
        <v>44354.185578703706</v>
      </c>
      <c r="BI2718" s="1">
        <v>44354.186400462961</v>
      </c>
      <c r="BJ2718" t="s">
        <v>85</v>
      </c>
      <c r="BK2718" t="s">
        <v>86</v>
      </c>
      <c r="BL2718" t="s">
        <v>87</v>
      </c>
    </row>
    <row r="2719" spans="1:64" x14ac:dyDescent="0.3">
      <c r="A2719" t="str">
        <f>"201764B0000"</f>
        <v>201764B0000</v>
      </c>
      <c r="B2719" t="str">
        <f>"201764B00003"</f>
        <v>201764B00003</v>
      </c>
      <c r="C2719" t="str">
        <f t="shared" si="184"/>
        <v>20</v>
      </c>
      <c r="D2719" t="s">
        <v>81</v>
      </c>
      <c r="E2719" t="str">
        <f t="shared" si="185"/>
        <v>392</v>
      </c>
      <c r="F2719" t="s">
        <v>2862</v>
      </c>
      <c r="G2719" t="str">
        <f>"1764"</f>
        <v>1764</v>
      </c>
      <c r="H2719" t="str">
        <f>"0000"</f>
        <v>0000</v>
      </c>
      <c r="I2719" t="s">
        <v>83</v>
      </c>
      <c r="J2719">
        <v>0</v>
      </c>
      <c r="K2719">
        <v>1</v>
      </c>
      <c r="L2719">
        <v>3</v>
      </c>
      <c r="M2719">
        <v>267</v>
      </c>
      <c r="N2719">
        <v>327</v>
      </c>
      <c r="O2719">
        <v>7</v>
      </c>
      <c r="P2719">
        <v>328</v>
      </c>
      <c r="Q2719">
        <v>11</v>
      </c>
      <c r="R2719">
        <v>58</v>
      </c>
      <c r="S2719">
        <v>0</v>
      </c>
      <c r="T2719">
        <v>1</v>
      </c>
      <c r="U2719">
        <v>52</v>
      </c>
      <c r="V2719">
        <v>33</v>
      </c>
      <c r="W2719">
        <v>8</v>
      </c>
      <c r="X2719">
        <v>109</v>
      </c>
      <c r="Y2719">
        <v>6</v>
      </c>
      <c r="Z2719">
        <v>3</v>
      </c>
      <c r="AA2719">
        <v>1</v>
      </c>
      <c r="AB2719">
        <v>30</v>
      </c>
      <c r="AR2719">
        <v>0</v>
      </c>
      <c r="AU2719">
        <v>0</v>
      </c>
      <c r="AW2719">
        <v>0</v>
      </c>
      <c r="AX2719">
        <v>16</v>
      </c>
      <c r="AY2719">
        <v>328</v>
      </c>
      <c r="AZ2719">
        <v>328</v>
      </c>
      <c r="BA2719">
        <v>551</v>
      </c>
      <c r="BB2719">
        <v>44</v>
      </c>
      <c r="BD2719">
        <v>1</v>
      </c>
      <c r="BF2719" t="s">
        <v>2917</v>
      </c>
      <c r="BG2719" s="1">
        <v>44353.878275462965</v>
      </c>
      <c r="BH2719" s="1">
        <v>44353.879444444443</v>
      </c>
      <c r="BI2719" s="1">
        <v>44353.879791666666</v>
      </c>
      <c r="BJ2719" t="s">
        <v>197</v>
      </c>
      <c r="BK2719" t="s">
        <v>198</v>
      </c>
      <c r="BL2719" t="s">
        <v>87</v>
      </c>
    </row>
    <row r="2720" spans="1:64" x14ac:dyDescent="0.3">
      <c r="A2720" t="str">
        <f>"201764C0100"</f>
        <v>201764C0100</v>
      </c>
      <c r="B2720" t="str">
        <f>"201764C01003"</f>
        <v>201764C01003</v>
      </c>
      <c r="C2720" t="str">
        <f t="shared" si="184"/>
        <v>20</v>
      </c>
      <c r="D2720" t="s">
        <v>81</v>
      </c>
      <c r="E2720" t="str">
        <f t="shared" si="185"/>
        <v>392</v>
      </c>
      <c r="F2720" t="s">
        <v>2862</v>
      </c>
      <c r="G2720" t="str">
        <f>"1764"</f>
        <v>1764</v>
      </c>
      <c r="H2720" t="str">
        <f>"0001"</f>
        <v>0001</v>
      </c>
      <c r="I2720" t="s">
        <v>89</v>
      </c>
      <c r="J2720">
        <v>0</v>
      </c>
      <c r="K2720">
        <v>1</v>
      </c>
      <c r="L2720">
        <v>3</v>
      </c>
      <c r="M2720">
        <v>287</v>
      </c>
      <c r="N2720">
        <v>307</v>
      </c>
      <c r="O2720">
        <v>6</v>
      </c>
      <c r="P2720">
        <v>308</v>
      </c>
      <c r="Q2720">
        <v>16</v>
      </c>
      <c r="R2720">
        <v>38</v>
      </c>
      <c r="S2720">
        <v>3</v>
      </c>
      <c r="T2720">
        <v>0</v>
      </c>
      <c r="U2720">
        <v>58</v>
      </c>
      <c r="V2720">
        <v>51</v>
      </c>
      <c r="W2720">
        <v>2</v>
      </c>
      <c r="X2720">
        <v>97</v>
      </c>
      <c r="Y2720">
        <v>3</v>
      </c>
      <c r="Z2720">
        <v>3</v>
      </c>
      <c r="AA2720">
        <v>1</v>
      </c>
      <c r="AB2720">
        <v>28</v>
      </c>
      <c r="AR2720">
        <v>0</v>
      </c>
      <c r="AU2720">
        <v>0</v>
      </c>
      <c r="AW2720">
        <v>0</v>
      </c>
      <c r="AX2720">
        <v>8</v>
      </c>
      <c r="AY2720">
        <v>308</v>
      </c>
      <c r="AZ2720">
        <v>308</v>
      </c>
      <c r="BA2720">
        <v>551</v>
      </c>
      <c r="BB2720">
        <v>44</v>
      </c>
      <c r="BD2720">
        <v>1</v>
      </c>
      <c r="BF2720" t="s">
        <v>2918</v>
      </c>
      <c r="BG2720" s="1">
        <v>44353.885451388887</v>
      </c>
      <c r="BH2720" s="1">
        <v>44353.887314814812</v>
      </c>
      <c r="BI2720" s="1">
        <v>44353.88795138889</v>
      </c>
      <c r="BJ2720" t="s">
        <v>197</v>
      </c>
      <c r="BK2720" t="s">
        <v>198</v>
      </c>
      <c r="BL2720" t="s">
        <v>87</v>
      </c>
    </row>
    <row r="2721" spans="1:64" x14ac:dyDescent="0.3">
      <c r="A2721" t="str">
        <f>"201765B0000"</f>
        <v>201765B0000</v>
      </c>
      <c r="B2721" t="str">
        <f>"201765B00003"</f>
        <v>201765B00003</v>
      </c>
      <c r="C2721" t="str">
        <f t="shared" si="184"/>
        <v>20</v>
      </c>
      <c r="D2721" t="s">
        <v>81</v>
      </c>
      <c r="E2721" t="str">
        <f t="shared" si="185"/>
        <v>392</v>
      </c>
      <c r="F2721" t="s">
        <v>2862</v>
      </c>
      <c r="G2721" t="str">
        <f>"1765"</f>
        <v>1765</v>
      </c>
      <c r="H2721" t="str">
        <f>"0000"</f>
        <v>0000</v>
      </c>
      <c r="I2721" t="s">
        <v>83</v>
      </c>
      <c r="J2721">
        <v>0</v>
      </c>
      <c r="K2721">
        <v>1</v>
      </c>
      <c r="L2721">
        <v>3</v>
      </c>
      <c r="M2721">
        <v>326</v>
      </c>
      <c r="N2721">
        <v>457</v>
      </c>
      <c r="O2721">
        <v>9</v>
      </c>
      <c r="P2721">
        <v>457</v>
      </c>
      <c r="Q2721">
        <v>27</v>
      </c>
      <c r="R2721">
        <v>73</v>
      </c>
      <c r="S2721">
        <v>1</v>
      </c>
      <c r="T2721">
        <v>1</v>
      </c>
      <c r="U2721">
        <v>84</v>
      </c>
      <c r="V2721">
        <v>48</v>
      </c>
      <c r="W2721">
        <v>2</v>
      </c>
      <c r="X2721">
        <v>161</v>
      </c>
      <c r="Y2721">
        <v>7</v>
      </c>
      <c r="Z2721">
        <v>4</v>
      </c>
      <c r="AA2721">
        <v>1</v>
      </c>
      <c r="AB2721">
        <v>28</v>
      </c>
      <c r="AR2721">
        <v>1</v>
      </c>
      <c r="AU2721">
        <v>1</v>
      </c>
      <c r="AW2721">
        <v>0</v>
      </c>
      <c r="AX2721">
        <v>18</v>
      </c>
      <c r="AY2721">
        <v>457</v>
      </c>
      <c r="AZ2721">
        <v>457</v>
      </c>
      <c r="BA2721">
        <v>739</v>
      </c>
      <c r="BB2721">
        <v>44</v>
      </c>
      <c r="BD2721">
        <v>1</v>
      </c>
      <c r="BF2721" t="s">
        <v>2919</v>
      </c>
      <c r="BG2721" s="1">
        <v>44354.165277777778</v>
      </c>
      <c r="BH2721" s="1">
        <v>44354.18546296296</v>
      </c>
      <c r="BI2721" s="1">
        <v>44354.185960648145</v>
      </c>
      <c r="BJ2721" t="s">
        <v>85</v>
      </c>
      <c r="BK2721" t="s">
        <v>86</v>
      </c>
      <c r="BL2721" t="s">
        <v>87</v>
      </c>
    </row>
    <row r="2722" spans="1:64" x14ac:dyDescent="0.3">
      <c r="A2722" t="str">
        <f>"201765C0100"</f>
        <v>201765C0100</v>
      </c>
      <c r="B2722" t="str">
        <f>"201765C01003"</f>
        <v>201765C01003</v>
      </c>
      <c r="C2722" t="str">
        <f t="shared" si="184"/>
        <v>20</v>
      </c>
      <c r="D2722" t="s">
        <v>81</v>
      </c>
      <c r="E2722" t="str">
        <f t="shared" si="185"/>
        <v>392</v>
      </c>
      <c r="F2722" t="s">
        <v>2862</v>
      </c>
      <c r="G2722" t="str">
        <f>"1765"</f>
        <v>1765</v>
      </c>
      <c r="H2722" t="str">
        <f>"0001"</f>
        <v>0001</v>
      </c>
      <c r="I2722" t="s">
        <v>89</v>
      </c>
      <c r="J2722">
        <v>0</v>
      </c>
      <c r="K2722">
        <v>1</v>
      </c>
      <c r="L2722">
        <v>3</v>
      </c>
      <c r="M2722">
        <v>376</v>
      </c>
      <c r="N2722">
        <v>406</v>
      </c>
      <c r="O2722">
        <v>7</v>
      </c>
      <c r="P2722">
        <v>406</v>
      </c>
      <c r="Q2722">
        <v>24</v>
      </c>
      <c r="R2722">
        <v>67</v>
      </c>
      <c r="S2722">
        <v>2</v>
      </c>
      <c r="T2722">
        <v>3</v>
      </c>
      <c r="U2722">
        <v>68</v>
      </c>
      <c r="V2722">
        <v>50</v>
      </c>
      <c r="W2722">
        <v>6</v>
      </c>
      <c r="X2722">
        <v>144</v>
      </c>
      <c r="Y2722">
        <v>9</v>
      </c>
      <c r="Z2722">
        <v>5</v>
      </c>
      <c r="AA2722">
        <v>3</v>
      </c>
      <c r="AB2722">
        <v>15</v>
      </c>
      <c r="AR2722">
        <v>1</v>
      </c>
      <c r="AU2722">
        <v>0</v>
      </c>
      <c r="AW2722">
        <v>0</v>
      </c>
      <c r="AX2722">
        <v>9</v>
      </c>
      <c r="AY2722">
        <v>406</v>
      </c>
      <c r="AZ2722">
        <v>406</v>
      </c>
      <c r="BA2722">
        <v>738</v>
      </c>
      <c r="BB2722">
        <v>44</v>
      </c>
      <c r="BD2722">
        <v>1</v>
      </c>
      <c r="BF2722" t="s">
        <v>2920</v>
      </c>
      <c r="BG2722" s="1">
        <v>44354.165277777778</v>
      </c>
      <c r="BH2722" s="1">
        <v>44354.185833333337</v>
      </c>
      <c r="BI2722" s="1">
        <v>44354.186296296299</v>
      </c>
      <c r="BJ2722" t="s">
        <v>85</v>
      </c>
      <c r="BK2722" t="s">
        <v>86</v>
      </c>
      <c r="BL2722" t="s">
        <v>87</v>
      </c>
    </row>
    <row r="2723" spans="1:64" x14ac:dyDescent="0.3">
      <c r="A2723" t="str">
        <f>"201766B0000"</f>
        <v>201766B0000</v>
      </c>
      <c r="B2723" t="str">
        <f>"201766B00003"</f>
        <v>201766B00003</v>
      </c>
      <c r="C2723" t="str">
        <f t="shared" si="184"/>
        <v>20</v>
      </c>
      <c r="D2723" t="s">
        <v>81</v>
      </c>
      <c r="E2723" t="str">
        <f t="shared" si="185"/>
        <v>392</v>
      </c>
      <c r="F2723" t="s">
        <v>2862</v>
      </c>
      <c r="G2723" t="str">
        <f>"1766"</f>
        <v>1766</v>
      </c>
      <c r="H2723" t="str">
        <f>"0000"</f>
        <v>0000</v>
      </c>
      <c r="I2723" t="s">
        <v>83</v>
      </c>
      <c r="J2723">
        <v>0</v>
      </c>
      <c r="K2723">
        <v>1</v>
      </c>
      <c r="L2723">
        <v>3</v>
      </c>
      <c r="M2723">
        <v>325</v>
      </c>
      <c r="N2723">
        <v>302</v>
      </c>
      <c r="O2723" t="s">
        <v>131</v>
      </c>
      <c r="P2723">
        <v>306</v>
      </c>
      <c r="Q2723">
        <v>13</v>
      </c>
      <c r="R2723">
        <v>31</v>
      </c>
      <c r="S2723">
        <v>3</v>
      </c>
      <c r="T2723">
        <v>2</v>
      </c>
      <c r="U2723">
        <v>31</v>
      </c>
      <c r="V2723">
        <v>46</v>
      </c>
      <c r="W2723">
        <v>3</v>
      </c>
      <c r="X2723">
        <v>126</v>
      </c>
      <c r="Y2723">
        <v>8</v>
      </c>
      <c r="Z2723">
        <v>3</v>
      </c>
      <c r="AA2723">
        <v>1</v>
      </c>
      <c r="AB2723">
        <v>29</v>
      </c>
      <c r="AR2723">
        <v>1</v>
      </c>
      <c r="AU2723">
        <v>0</v>
      </c>
      <c r="AW2723">
        <v>0</v>
      </c>
      <c r="AX2723">
        <v>9</v>
      </c>
      <c r="AY2723">
        <v>306</v>
      </c>
      <c r="AZ2723">
        <v>306</v>
      </c>
      <c r="BA2723">
        <v>587</v>
      </c>
      <c r="BB2723">
        <v>44</v>
      </c>
      <c r="BD2723">
        <v>1</v>
      </c>
      <c r="BF2723" t="s">
        <v>2921</v>
      </c>
      <c r="BG2723" s="1">
        <v>44354.165277777778</v>
      </c>
      <c r="BH2723" s="1">
        <v>44354.188344907408</v>
      </c>
      <c r="BI2723" s="1">
        <v>44354.189849537041</v>
      </c>
      <c r="BJ2723" t="s">
        <v>85</v>
      </c>
      <c r="BK2723" t="s">
        <v>86</v>
      </c>
      <c r="BL2723" t="s">
        <v>87</v>
      </c>
    </row>
    <row r="2724" spans="1:64" x14ac:dyDescent="0.3">
      <c r="A2724" t="str">
        <f>"201766C0100"</f>
        <v>201766C0100</v>
      </c>
      <c r="B2724" t="str">
        <f>"201766C01003"</f>
        <v>201766C01003</v>
      </c>
      <c r="C2724" t="str">
        <f t="shared" si="184"/>
        <v>20</v>
      </c>
      <c r="D2724" t="s">
        <v>81</v>
      </c>
      <c r="E2724" t="str">
        <f t="shared" si="185"/>
        <v>392</v>
      </c>
      <c r="F2724" t="s">
        <v>2862</v>
      </c>
      <c r="G2724" t="str">
        <f>"1766"</f>
        <v>1766</v>
      </c>
      <c r="H2724" t="str">
        <f>"0001"</f>
        <v>0001</v>
      </c>
      <c r="I2724" t="s">
        <v>89</v>
      </c>
      <c r="J2724">
        <v>0</v>
      </c>
      <c r="K2724">
        <v>1</v>
      </c>
      <c r="L2724">
        <v>3</v>
      </c>
      <c r="M2724">
        <v>296</v>
      </c>
      <c r="N2724">
        <v>331</v>
      </c>
      <c r="O2724">
        <v>9</v>
      </c>
      <c r="P2724" t="s">
        <v>92</v>
      </c>
      <c r="Q2724">
        <v>26</v>
      </c>
      <c r="R2724">
        <v>43</v>
      </c>
      <c r="S2724">
        <v>2</v>
      </c>
      <c r="T2724">
        <v>0</v>
      </c>
      <c r="U2724">
        <v>47</v>
      </c>
      <c r="V2724">
        <v>33</v>
      </c>
      <c r="W2724">
        <v>3</v>
      </c>
      <c r="X2724">
        <v>118</v>
      </c>
      <c r="Y2724">
        <v>13</v>
      </c>
      <c r="Z2724">
        <v>4</v>
      </c>
      <c r="AA2724">
        <v>4</v>
      </c>
      <c r="AB2724">
        <v>32</v>
      </c>
      <c r="AR2724">
        <v>0</v>
      </c>
      <c r="AU2724">
        <v>0</v>
      </c>
      <c r="AW2724">
        <v>1</v>
      </c>
      <c r="AX2724">
        <v>8</v>
      </c>
      <c r="AY2724">
        <v>334</v>
      </c>
      <c r="AZ2724">
        <v>334</v>
      </c>
      <c r="BA2724">
        <v>586</v>
      </c>
      <c r="BB2724">
        <v>44</v>
      </c>
      <c r="BD2724">
        <v>1</v>
      </c>
      <c r="BF2724" t="s">
        <v>2922</v>
      </c>
      <c r="BG2724" s="1">
        <v>44354.165972222225</v>
      </c>
      <c r="BH2724" s="1">
        <v>44354.189513888887</v>
      </c>
      <c r="BI2724" s="1">
        <v>44354.190659722219</v>
      </c>
      <c r="BJ2724" t="s">
        <v>85</v>
      </c>
      <c r="BK2724" t="s">
        <v>86</v>
      </c>
      <c r="BL2724" t="s">
        <v>87</v>
      </c>
    </row>
    <row r="2725" spans="1:64" x14ac:dyDescent="0.3">
      <c r="A2725" t="str">
        <f>"201767B0000"</f>
        <v>201767B0000</v>
      </c>
      <c r="B2725" t="str">
        <f>"201767B00003"</f>
        <v>201767B00003</v>
      </c>
      <c r="C2725" t="str">
        <f t="shared" si="184"/>
        <v>20</v>
      </c>
      <c r="D2725" t="s">
        <v>81</v>
      </c>
      <c r="E2725" t="str">
        <f t="shared" si="185"/>
        <v>392</v>
      </c>
      <c r="F2725" t="s">
        <v>2862</v>
      </c>
      <c r="G2725" t="str">
        <f>"1767"</f>
        <v>1767</v>
      </c>
      <c r="H2725" t="str">
        <f>"0000"</f>
        <v>0000</v>
      </c>
      <c r="I2725" t="s">
        <v>83</v>
      </c>
      <c r="J2725">
        <v>0</v>
      </c>
      <c r="K2725">
        <v>1</v>
      </c>
      <c r="L2725">
        <v>3</v>
      </c>
      <c r="M2725">
        <v>327</v>
      </c>
      <c r="N2725">
        <v>405</v>
      </c>
      <c r="O2725">
        <v>1</v>
      </c>
      <c r="P2725">
        <v>405</v>
      </c>
      <c r="Q2725">
        <v>16</v>
      </c>
      <c r="R2725">
        <v>50</v>
      </c>
      <c r="S2725">
        <v>5</v>
      </c>
      <c r="T2725">
        <v>2</v>
      </c>
      <c r="U2725">
        <v>76</v>
      </c>
      <c r="V2725">
        <v>58</v>
      </c>
      <c r="W2725">
        <v>11</v>
      </c>
      <c r="X2725">
        <v>115</v>
      </c>
      <c r="Y2725">
        <v>10</v>
      </c>
      <c r="Z2725">
        <v>6</v>
      </c>
      <c r="AA2725">
        <v>3</v>
      </c>
      <c r="AB2725">
        <v>43</v>
      </c>
      <c r="AR2725">
        <v>1</v>
      </c>
      <c r="AU2725">
        <v>0</v>
      </c>
      <c r="AW2725">
        <v>0</v>
      </c>
      <c r="AX2725">
        <v>9</v>
      </c>
      <c r="AY2725">
        <v>405</v>
      </c>
      <c r="AZ2725">
        <v>405</v>
      </c>
      <c r="BA2725">
        <v>688</v>
      </c>
      <c r="BB2725">
        <v>44</v>
      </c>
      <c r="BD2725">
        <v>1</v>
      </c>
      <c r="BF2725" t="s">
        <v>2923</v>
      </c>
      <c r="BG2725" s="1">
        <v>44353.895613425928</v>
      </c>
      <c r="BH2725" s="1">
        <v>44353.89775462963</v>
      </c>
      <c r="BI2725" s="1">
        <v>44353.898449074077</v>
      </c>
      <c r="BJ2725" t="s">
        <v>197</v>
      </c>
      <c r="BK2725" t="s">
        <v>198</v>
      </c>
      <c r="BL2725" t="s">
        <v>87</v>
      </c>
    </row>
    <row r="2726" spans="1:64" x14ac:dyDescent="0.3">
      <c r="A2726" t="str">
        <f>"201767C0100"</f>
        <v>201767C0100</v>
      </c>
      <c r="B2726" t="str">
        <f>"201767C01003"</f>
        <v>201767C01003</v>
      </c>
      <c r="C2726" t="str">
        <f t="shared" si="184"/>
        <v>20</v>
      </c>
      <c r="D2726" t="s">
        <v>81</v>
      </c>
      <c r="E2726" t="str">
        <f t="shared" si="185"/>
        <v>392</v>
      </c>
      <c r="F2726" t="s">
        <v>2862</v>
      </c>
      <c r="G2726" t="str">
        <f>"1767"</f>
        <v>1767</v>
      </c>
      <c r="H2726" t="str">
        <f>"0001"</f>
        <v>0001</v>
      </c>
      <c r="I2726" t="s">
        <v>89</v>
      </c>
      <c r="J2726">
        <v>0</v>
      </c>
      <c r="K2726">
        <v>1</v>
      </c>
      <c r="L2726">
        <v>3</v>
      </c>
      <c r="M2726">
        <v>294</v>
      </c>
      <c r="N2726">
        <v>438</v>
      </c>
      <c r="O2726">
        <v>4</v>
      </c>
      <c r="P2726">
        <v>448</v>
      </c>
      <c r="Q2726">
        <v>28</v>
      </c>
      <c r="R2726">
        <v>56</v>
      </c>
      <c r="S2726">
        <v>3</v>
      </c>
      <c r="T2726">
        <v>0</v>
      </c>
      <c r="U2726">
        <v>89</v>
      </c>
      <c r="V2726">
        <v>44</v>
      </c>
      <c r="W2726">
        <v>5</v>
      </c>
      <c r="X2726">
        <v>136</v>
      </c>
      <c r="Y2726">
        <v>22</v>
      </c>
      <c r="Z2726">
        <v>8</v>
      </c>
      <c r="AA2726">
        <v>0</v>
      </c>
      <c r="AB2726">
        <v>35</v>
      </c>
      <c r="AR2726">
        <v>0</v>
      </c>
      <c r="AU2726">
        <v>0</v>
      </c>
      <c r="AW2726">
        <v>0</v>
      </c>
      <c r="AX2726">
        <v>12</v>
      </c>
      <c r="AY2726">
        <v>438</v>
      </c>
      <c r="AZ2726">
        <v>438</v>
      </c>
      <c r="BA2726">
        <v>688</v>
      </c>
      <c r="BB2726">
        <v>44</v>
      </c>
      <c r="BD2726">
        <v>1</v>
      </c>
      <c r="BF2726" t="s">
        <v>2924</v>
      </c>
      <c r="BG2726" s="1">
        <v>44353.923564814817</v>
      </c>
      <c r="BH2726" s="1">
        <v>44353.925949074073</v>
      </c>
      <c r="BI2726" s="1">
        <v>44353.927175925928</v>
      </c>
      <c r="BJ2726" t="s">
        <v>197</v>
      </c>
      <c r="BK2726" t="s">
        <v>198</v>
      </c>
      <c r="BL2726" t="s">
        <v>87</v>
      </c>
    </row>
    <row r="2727" spans="1:64" x14ac:dyDescent="0.3">
      <c r="A2727" t="str">
        <f>"201767C0200"</f>
        <v>201767C0200</v>
      </c>
      <c r="B2727" t="str">
        <f>"201767C02003"</f>
        <v>201767C02003</v>
      </c>
      <c r="C2727" t="str">
        <f t="shared" si="184"/>
        <v>20</v>
      </c>
      <c r="D2727" t="s">
        <v>81</v>
      </c>
      <c r="E2727" t="str">
        <f t="shared" si="185"/>
        <v>392</v>
      </c>
      <c r="F2727" t="s">
        <v>2862</v>
      </c>
      <c r="G2727" t="str">
        <f>"1767"</f>
        <v>1767</v>
      </c>
      <c r="H2727" t="str">
        <f>"0002"</f>
        <v>0002</v>
      </c>
      <c r="I2727" t="s">
        <v>89</v>
      </c>
      <c r="J2727">
        <v>0</v>
      </c>
      <c r="K2727">
        <v>1</v>
      </c>
      <c r="L2727">
        <v>3</v>
      </c>
      <c r="M2727" t="s">
        <v>92</v>
      </c>
      <c r="N2727" t="s">
        <v>92</v>
      </c>
      <c r="O2727" t="s">
        <v>92</v>
      </c>
      <c r="P2727" t="s">
        <v>92</v>
      </c>
      <c r="Q2727">
        <v>22</v>
      </c>
      <c r="R2727">
        <v>43</v>
      </c>
      <c r="S2727">
        <v>1</v>
      </c>
      <c r="T2727">
        <v>0</v>
      </c>
      <c r="U2727">
        <v>101</v>
      </c>
      <c r="V2727">
        <v>67</v>
      </c>
      <c r="W2727">
        <v>14</v>
      </c>
      <c r="X2727">
        <v>108</v>
      </c>
      <c r="Y2727">
        <v>17</v>
      </c>
      <c r="Z2727">
        <v>5</v>
      </c>
      <c r="AA2727">
        <v>2</v>
      </c>
      <c r="AB2727">
        <v>29</v>
      </c>
      <c r="AR2727">
        <v>0</v>
      </c>
      <c r="AU2727">
        <v>0</v>
      </c>
      <c r="AW2727">
        <v>0</v>
      </c>
      <c r="AX2727">
        <v>7</v>
      </c>
      <c r="AY2727">
        <v>416</v>
      </c>
      <c r="AZ2727">
        <v>416</v>
      </c>
      <c r="BA2727">
        <v>688</v>
      </c>
      <c r="BB2727">
        <v>44</v>
      </c>
      <c r="BD2727">
        <v>1</v>
      </c>
      <c r="BF2727" t="s">
        <v>2925</v>
      </c>
      <c r="BG2727" s="1">
        <v>44353.88958333333</v>
      </c>
      <c r="BH2727" s="1">
        <v>44353.89199074074</v>
      </c>
      <c r="BI2727" s="1">
        <v>44353.892997685187</v>
      </c>
      <c r="BJ2727" t="s">
        <v>197</v>
      </c>
      <c r="BK2727" t="s">
        <v>198</v>
      </c>
      <c r="BL2727" t="s">
        <v>87</v>
      </c>
    </row>
    <row r="2728" spans="1:64" x14ac:dyDescent="0.3">
      <c r="A2728" t="str">
        <f>"201767C0300"</f>
        <v>201767C0300</v>
      </c>
      <c r="B2728" t="str">
        <f>"201767C03003"</f>
        <v>201767C03003</v>
      </c>
      <c r="C2728" t="str">
        <f t="shared" si="184"/>
        <v>20</v>
      </c>
      <c r="D2728" t="s">
        <v>81</v>
      </c>
      <c r="E2728" t="str">
        <f t="shared" si="185"/>
        <v>392</v>
      </c>
      <c r="F2728" t="s">
        <v>2862</v>
      </c>
      <c r="G2728" t="str">
        <f>"1767"</f>
        <v>1767</v>
      </c>
      <c r="H2728" t="str">
        <f>"0003"</f>
        <v>0003</v>
      </c>
      <c r="I2728" t="s">
        <v>89</v>
      </c>
      <c r="J2728">
        <v>0</v>
      </c>
      <c r="K2728">
        <v>1</v>
      </c>
      <c r="L2728">
        <v>3</v>
      </c>
      <c r="M2728">
        <v>269</v>
      </c>
      <c r="N2728">
        <v>461</v>
      </c>
      <c r="O2728">
        <v>5</v>
      </c>
      <c r="P2728">
        <v>461</v>
      </c>
      <c r="Q2728">
        <v>28</v>
      </c>
      <c r="R2728">
        <v>43</v>
      </c>
      <c r="S2728">
        <v>3</v>
      </c>
      <c r="T2728">
        <v>3</v>
      </c>
      <c r="U2728">
        <v>71</v>
      </c>
      <c r="V2728">
        <v>72</v>
      </c>
      <c r="W2728">
        <v>7</v>
      </c>
      <c r="X2728">
        <v>145</v>
      </c>
      <c r="Y2728">
        <v>30</v>
      </c>
      <c r="Z2728">
        <v>6</v>
      </c>
      <c r="AA2728">
        <v>4</v>
      </c>
      <c r="AB2728">
        <v>33</v>
      </c>
      <c r="AR2728">
        <v>0</v>
      </c>
      <c r="AU2728">
        <v>0</v>
      </c>
      <c r="AW2728">
        <v>0</v>
      </c>
      <c r="AX2728">
        <v>16</v>
      </c>
      <c r="AY2728">
        <v>461</v>
      </c>
      <c r="AZ2728">
        <v>461</v>
      </c>
      <c r="BA2728">
        <v>687</v>
      </c>
      <c r="BB2728">
        <v>44</v>
      </c>
      <c r="BD2728">
        <v>1</v>
      </c>
      <c r="BF2728" t="s">
        <v>2926</v>
      </c>
      <c r="BG2728" s="1">
        <v>44353.932314814818</v>
      </c>
      <c r="BH2728" s="1">
        <v>44353.934525462966</v>
      </c>
      <c r="BI2728" s="1">
        <v>44353.935208333336</v>
      </c>
      <c r="BJ2728" t="s">
        <v>197</v>
      </c>
      <c r="BK2728" t="s">
        <v>198</v>
      </c>
      <c r="BL2728" t="s">
        <v>87</v>
      </c>
    </row>
    <row r="2729" spans="1:64" x14ac:dyDescent="0.3">
      <c r="A2729" t="str">
        <f>"201768B0000"</f>
        <v>201768B0000</v>
      </c>
      <c r="B2729" t="str">
        <f>"201768B00003"</f>
        <v>201768B00003</v>
      </c>
      <c r="C2729" t="str">
        <f t="shared" si="184"/>
        <v>20</v>
      </c>
      <c r="D2729" t="s">
        <v>81</v>
      </c>
      <c r="E2729" t="str">
        <f t="shared" si="185"/>
        <v>392</v>
      </c>
      <c r="F2729" t="s">
        <v>2862</v>
      </c>
      <c r="G2729" t="str">
        <f>"1768"</f>
        <v>1768</v>
      </c>
      <c r="H2729" t="str">
        <f>"0000"</f>
        <v>0000</v>
      </c>
      <c r="I2729" t="s">
        <v>83</v>
      </c>
      <c r="J2729">
        <v>0</v>
      </c>
      <c r="K2729">
        <v>1</v>
      </c>
      <c r="L2729">
        <v>3</v>
      </c>
      <c r="M2729">
        <v>269</v>
      </c>
      <c r="N2729">
        <v>304</v>
      </c>
      <c r="O2729">
        <v>10</v>
      </c>
      <c r="P2729">
        <v>304</v>
      </c>
      <c r="Q2729">
        <v>23</v>
      </c>
      <c r="R2729">
        <v>38</v>
      </c>
      <c r="S2729">
        <v>1</v>
      </c>
      <c r="T2729">
        <v>2</v>
      </c>
      <c r="U2729">
        <v>71</v>
      </c>
      <c r="V2729">
        <v>36</v>
      </c>
      <c r="W2729">
        <v>2</v>
      </c>
      <c r="X2729">
        <v>72</v>
      </c>
      <c r="Y2729">
        <v>0</v>
      </c>
      <c r="Z2729">
        <v>3</v>
      </c>
      <c r="AA2729">
        <v>1</v>
      </c>
      <c r="AB2729">
        <v>40</v>
      </c>
      <c r="AR2729">
        <v>0</v>
      </c>
      <c r="AU2729">
        <v>1</v>
      </c>
      <c r="AW2729">
        <v>1</v>
      </c>
      <c r="AX2729">
        <v>13</v>
      </c>
      <c r="AY2729">
        <v>304</v>
      </c>
      <c r="AZ2729">
        <v>304</v>
      </c>
      <c r="BA2729">
        <v>529</v>
      </c>
      <c r="BB2729">
        <v>44</v>
      </c>
      <c r="BD2729">
        <v>1</v>
      </c>
      <c r="BF2729" t="s">
        <v>2927</v>
      </c>
      <c r="BG2729" s="1">
        <v>44354.166666666664</v>
      </c>
      <c r="BH2729" s="1">
        <v>44354.192662037036</v>
      </c>
      <c r="BI2729" s="1">
        <v>44354.193530092591</v>
      </c>
      <c r="BJ2729" t="s">
        <v>85</v>
      </c>
      <c r="BK2729" t="s">
        <v>86</v>
      </c>
      <c r="BL2729" t="s">
        <v>87</v>
      </c>
    </row>
    <row r="2730" spans="1:64" x14ac:dyDescent="0.3">
      <c r="A2730" t="str">
        <f>"201768C0100"</f>
        <v>201768C0100</v>
      </c>
      <c r="B2730" t="str">
        <f>"201768C01003"</f>
        <v>201768C01003</v>
      </c>
      <c r="C2730" t="str">
        <f t="shared" si="184"/>
        <v>20</v>
      </c>
      <c r="D2730" t="s">
        <v>81</v>
      </c>
      <c r="E2730" t="str">
        <f t="shared" si="185"/>
        <v>392</v>
      </c>
      <c r="F2730" t="s">
        <v>2862</v>
      </c>
      <c r="G2730" t="str">
        <f>"1768"</f>
        <v>1768</v>
      </c>
      <c r="H2730" t="str">
        <f>"0001"</f>
        <v>0001</v>
      </c>
      <c r="I2730" t="s">
        <v>89</v>
      </c>
      <c r="J2730">
        <v>0</v>
      </c>
      <c r="K2730">
        <v>1</v>
      </c>
      <c r="L2730">
        <v>3</v>
      </c>
      <c r="M2730">
        <v>307</v>
      </c>
      <c r="N2730">
        <v>265</v>
      </c>
      <c r="O2730">
        <v>8</v>
      </c>
      <c r="P2730">
        <v>265</v>
      </c>
      <c r="Q2730">
        <v>17</v>
      </c>
      <c r="R2730">
        <v>52</v>
      </c>
      <c r="S2730">
        <v>3</v>
      </c>
      <c r="T2730">
        <v>2</v>
      </c>
      <c r="U2730">
        <v>60</v>
      </c>
      <c r="V2730">
        <v>23</v>
      </c>
      <c r="W2730">
        <v>6</v>
      </c>
      <c r="X2730">
        <v>58</v>
      </c>
      <c r="Y2730">
        <v>1</v>
      </c>
      <c r="Z2730">
        <v>2</v>
      </c>
      <c r="AA2730">
        <v>0</v>
      </c>
      <c r="AB2730">
        <v>34</v>
      </c>
      <c r="AR2730">
        <v>0</v>
      </c>
      <c r="AU2730">
        <v>1</v>
      </c>
      <c r="AW2730">
        <v>0</v>
      </c>
      <c r="AX2730">
        <v>6</v>
      </c>
      <c r="AY2730">
        <v>265</v>
      </c>
      <c r="AZ2730">
        <v>265</v>
      </c>
      <c r="BA2730">
        <v>528</v>
      </c>
      <c r="BB2730">
        <v>44</v>
      </c>
      <c r="BD2730">
        <v>1</v>
      </c>
      <c r="BF2730" t="s">
        <v>2928</v>
      </c>
      <c r="BG2730" s="1">
        <v>44354.166666666664</v>
      </c>
      <c r="BH2730" s="1">
        <v>44354.193171296298</v>
      </c>
      <c r="BI2730" s="1">
        <v>44354.193761574075</v>
      </c>
      <c r="BJ2730" t="s">
        <v>85</v>
      </c>
      <c r="BK2730" t="s">
        <v>86</v>
      </c>
      <c r="BL2730" t="s">
        <v>87</v>
      </c>
    </row>
    <row r="2731" spans="1:64" x14ac:dyDescent="0.3">
      <c r="A2731" t="str">
        <f>"201826B0000"</f>
        <v>201826B0000</v>
      </c>
      <c r="B2731" t="str">
        <f>"201826B00003"</f>
        <v>201826B00003</v>
      </c>
      <c r="C2731" t="str">
        <f t="shared" si="184"/>
        <v>20</v>
      </c>
      <c r="D2731" t="s">
        <v>81</v>
      </c>
      <c r="E2731" t="str">
        <f>"407"</f>
        <v>407</v>
      </c>
      <c r="F2731" t="s">
        <v>2929</v>
      </c>
      <c r="G2731" t="str">
        <f>"1826"</f>
        <v>1826</v>
      </c>
      <c r="H2731" t="str">
        <f>"0000"</f>
        <v>0000</v>
      </c>
      <c r="I2731" t="s">
        <v>83</v>
      </c>
      <c r="J2731">
        <v>0</v>
      </c>
      <c r="K2731">
        <v>1</v>
      </c>
      <c r="L2731">
        <v>3</v>
      </c>
      <c r="M2731">
        <v>129</v>
      </c>
      <c r="N2731">
        <v>392</v>
      </c>
      <c r="O2731">
        <v>0</v>
      </c>
      <c r="P2731">
        <v>0</v>
      </c>
      <c r="Q2731">
        <v>6</v>
      </c>
      <c r="R2731">
        <v>14</v>
      </c>
      <c r="S2731">
        <v>112</v>
      </c>
      <c r="T2731">
        <v>2</v>
      </c>
      <c r="U2731">
        <v>0</v>
      </c>
      <c r="V2731">
        <v>9</v>
      </c>
      <c r="X2731">
        <v>0</v>
      </c>
      <c r="Z2731">
        <v>1</v>
      </c>
      <c r="AB2731">
        <v>54</v>
      </c>
      <c r="AF2731">
        <v>13</v>
      </c>
      <c r="AG2731">
        <v>0</v>
      </c>
      <c r="AH2731">
        <v>1</v>
      </c>
      <c r="AI2731">
        <v>3</v>
      </c>
      <c r="AW2731">
        <v>159</v>
      </c>
      <c r="AX2731">
        <v>18</v>
      </c>
      <c r="AY2731">
        <v>392</v>
      </c>
      <c r="AZ2731">
        <v>392</v>
      </c>
      <c r="BA2731">
        <v>477</v>
      </c>
      <c r="BB2731">
        <v>44</v>
      </c>
      <c r="BD2731">
        <v>1</v>
      </c>
      <c r="BF2731" t="s">
        <v>2930</v>
      </c>
      <c r="BG2731" s="1">
        <v>44354.179166666669</v>
      </c>
      <c r="BH2731" s="1">
        <v>44354.182129629633</v>
      </c>
      <c r="BI2731" s="1">
        <v>44354.182638888888</v>
      </c>
      <c r="BJ2731" t="s">
        <v>85</v>
      </c>
      <c r="BK2731" t="s">
        <v>86</v>
      </c>
      <c r="BL2731" t="s">
        <v>87</v>
      </c>
    </row>
    <row r="2732" spans="1:64" x14ac:dyDescent="0.3">
      <c r="A2732" t="str">
        <f>"201826C0100"</f>
        <v>201826C0100</v>
      </c>
      <c r="B2732" t="str">
        <f>"201826C01003"</f>
        <v>201826C01003</v>
      </c>
      <c r="C2732" t="str">
        <f t="shared" si="184"/>
        <v>20</v>
      </c>
      <c r="D2732" t="s">
        <v>81</v>
      </c>
      <c r="E2732" t="str">
        <f>"407"</f>
        <v>407</v>
      </c>
      <c r="F2732" t="s">
        <v>2929</v>
      </c>
      <c r="G2732" t="str">
        <f>"1826"</f>
        <v>1826</v>
      </c>
      <c r="H2732" t="str">
        <f>"0001"</f>
        <v>0001</v>
      </c>
      <c r="I2732" t="s">
        <v>89</v>
      </c>
      <c r="J2732">
        <v>0</v>
      </c>
      <c r="K2732">
        <v>1</v>
      </c>
      <c r="L2732">
        <v>3</v>
      </c>
      <c r="M2732">
        <v>158</v>
      </c>
      <c r="N2732">
        <v>362</v>
      </c>
      <c r="O2732">
        <v>0</v>
      </c>
      <c r="P2732">
        <v>362</v>
      </c>
      <c r="Q2732">
        <v>8</v>
      </c>
      <c r="R2732">
        <v>17</v>
      </c>
      <c r="S2732">
        <v>110</v>
      </c>
      <c r="T2732">
        <v>7</v>
      </c>
      <c r="U2732">
        <v>38</v>
      </c>
      <c r="V2732">
        <v>23</v>
      </c>
      <c r="X2732">
        <v>50</v>
      </c>
      <c r="Z2732">
        <v>1</v>
      </c>
      <c r="AB2732">
        <v>51</v>
      </c>
      <c r="AF2732">
        <v>4</v>
      </c>
      <c r="AG2732">
        <v>0</v>
      </c>
      <c r="AH2732">
        <v>1</v>
      </c>
      <c r="AI2732">
        <v>1</v>
      </c>
      <c r="AW2732">
        <v>11</v>
      </c>
      <c r="AX2732">
        <v>22</v>
      </c>
      <c r="AY2732">
        <v>362</v>
      </c>
      <c r="AZ2732">
        <v>344</v>
      </c>
      <c r="BA2732">
        <v>476</v>
      </c>
      <c r="BB2732">
        <v>44</v>
      </c>
      <c r="BD2732">
        <v>1</v>
      </c>
      <c r="BF2732" t="s">
        <v>2931</v>
      </c>
      <c r="BG2732" s="1">
        <v>44354.178472222222</v>
      </c>
      <c r="BH2732" s="1">
        <v>44354.18074074074</v>
      </c>
      <c r="BI2732" s="1">
        <v>44354.181261574071</v>
      </c>
      <c r="BJ2732" t="s">
        <v>85</v>
      </c>
      <c r="BK2732" t="s">
        <v>86</v>
      </c>
      <c r="BL2732" t="s">
        <v>87</v>
      </c>
    </row>
    <row r="2733" spans="1:64" x14ac:dyDescent="0.3">
      <c r="A2733" t="str">
        <f>"201841B0000"</f>
        <v>201841B0000</v>
      </c>
      <c r="B2733" t="str">
        <f>"201841B00003"</f>
        <v>201841B00003</v>
      </c>
      <c r="C2733" t="str">
        <f t="shared" si="184"/>
        <v>20</v>
      </c>
      <c r="D2733" t="s">
        <v>81</v>
      </c>
      <c r="E2733" t="str">
        <f t="shared" ref="E2733:E2764" si="187">"414"</f>
        <v>414</v>
      </c>
      <c r="F2733" t="s">
        <v>2932</v>
      </c>
      <c r="G2733" t="str">
        <f>"1841"</f>
        <v>1841</v>
      </c>
      <c r="H2733" t="str">
        <f>"0000"</f>
        <v>0000</v>
      </c>
      <c r="I2733" t="s">
        <v>83</v>
      </c>
      <c r="J2733">
        <v>0</v>
      </c>
      <c r="K2733">
        <v>1</v>
      </c>
      <c r="L2733">
        <v>3</v>
      </c>
      <c r="M2733">
        <v>324</v>
      </c>
      <c r="N2733">
        <v>349</v>
      </c>
      <c r="O2733">
        <v>6</v>
      </c>
      <c r="P2733">
        <v>348</v>
      </c>
      <c r="Q2733">
        <v>6</v>
      </c>
      <c r="R2733">
        <v>44</v>
      </c>
      <c r="S2733">
        <v>57</v>
      </c>
      <c r="T2733">
        <v>1</v>
      </c>
      <c r="U2733">
        <v>4</v>
      </c>
      <c r="V2733">
        <v>5</v>
      </c>
      <c r="W2733">
        <v>2</v>
      </c>
      <c r="X2733">
        <v>123</v>
      </c>
      <c r="Y2733">
        <v>32</v>
      </c>
      <c r="Z2733">
        <v>2</v>
      </c>
      <c r="AA2733">
        <v>2</v>
      </c>
      <c r="AB2733">
        <v>48</v>
      </c>
      <c r="AC2733">
        <v>3</v>
      </c>
      <c r="AJ2733">
        <v>3</v>
      </c>
      <c r="AK2733">
        <v>1</v>
      </c>
      <c r="AL2733">
        <v>0</v>
      </c>
      <c r="AM2733">
        <v>0</v>
      </c>
      <c r="AN2733">
        <v>0</v>
      </c>
      <c r="AO2733">
        <v>0</v>
      </c>
      <c r="AP2733">
        <v>1</v>
      </c>
      <c r="AQ2733">
        <v>0</v>
      </c>
      <c r="AR2733">
        <v>0</v>
      </c>
      <c r="AS2733">
        <v>0</v>
      </c>
      <c r="AT2733">
        <v>1</v>
      </c>
      <c r="AU2733">
        <v>0</v>
      </c>
      <c r="AW2733">
        <v>0</v>
      </c>
      <c r="AX2733">
        <v>18</v>
      </c>
      <c r="AY2733">
        <v>348</v>
      </c>
      <c r="AZ2733">
        <v>353</v>
      </c>
      <c r="BA2733">
        <v>627</v>
      </c>
      <c r="BB2733">
        <v>46</v>
      </c>
      <c r="BD2733">
        <v>1</v>
      </c>
      <c r="BF2733" t="s">
        <v>2933</v>
      </c>
      <c r="BG2733" s="1">
        <v>44354.070138888892</v>
      </c>
      <c r="BH2733" s="1">
        <v>44354.076562499999</v>
      </c>
      <c r="BI2733" s="1">
        <v>44354.077453703707</v>
      </c>
      <c r="BJ2733" t="s">
        <v>85</v>
      </c>
      <c r="BK2733" t="s">
        <v>86</v>
      </c>
      <c r="BL2733" t="s">
        <v>87</v>
      </c>
    </row>
    <row r="2734" spans="1:64" x14ac:dyDescent="0.3">
      <c r="A2734" t="str">
        <f>"201841C0100"</f>
        <v>201841C0100</v>
      </c>
      <c r="B2734" t="str">
        <f>"201841C01003"</f>
        <v>201841C01003</v>
      </c>
      <c r="C2734" t="str">
        <f t="shared" si="184"/>
        <v>20</v>
      </c>
      <c r="D2734" t="s">
        <v>81</v>
      </c>
      <c r="E2734" t="str">
        <f t="shared" si="187"/>
        <v>414</v>
      </c>
      <c r="F2734" t="s">
        <v>2932</v>
      </c>
      <c r="G2734" t="str">
        <f>"1841"</f>
        <v>1841</v>
      </c>
      <c r="H2734" t="str">
        <f>"0001"</f>
        <v>0001</v>
      </c>
      <c r="I2734" t="s">
        <v>89</v>
      </c>
      <c r="J2734">
        <v>0</v>
      </c>
      <c r="K2734">
        <v>1</v>
      </c>
      <c r="L2734">
        <v>3</v>
      </c>
      <c r="M2734">
        <v>330</v>
      </c>
      <c r="N2734">
        <v>342</v>
      </c>
      <c r="O2734">
        <v>5</v>
      </c>
      <c r="P2734" t="s">
        <v>92</v>
      </c>
      <c r="Q2734">
        <v>8</v>
      </c>
      <c r="R2734">
        <v>27</v>
      </c>
      <c r="S2734">
        <v>50</v>
      </c>
      <c r="T2734">
        <v>2</v>
      </c>
      <c r="U2734">
        <v>7</v>
      </c>
      <c r="V2734">
        <v>3</v>
      </c>
      <c r="W2734">
        <v>7</v>
      </c>
      <c r="X2734">
        <v>140</v>
      </c>
      <c r="Y2734">
        <v>32</v>
      </c>
      <c r="Z2734">
        <v>2</v>
      </c>
      <c r="AA2734">
        <v>4</v>
      </c>
      <c r="AB2734">
        <v>47</v>
      </c>
      <c r="AC2734">
        <v>3</v>
      </c>
      <c r="AJ2734">
        <v>2</v>
      </c>
      <c r="AK2734">
        <v>0</v>
      </c>
      <c r="AL2734">
        <v>0</v>
      </c>
      <c r="AM2734">
        <v>1</v>
      </c>
      <c r="AN2734">
        <v>1</v>
      </c>
      <c r="AO2734">
        <v>0</v>
      </c>
      <c r="AP2734">
        <v>0</v>
      </c>
      <c r="AQ2734">
        <v>0</v>
      </c>
      <c r="AR2734">
        <v>0</v>
      </c>
      <c r="AS2734">
        <v>0</v>
      </c>
      <c r="AT2734">
        <v>1</v>
      </c>
      <c r="AU2734">
        <v>0</v>
      </c>
      <c r="AW2734">
        <v>1</v>
      </c>
      <c r="AX2734">
        <v>5</v>
      </c>
      <c r="AY2734">
        <v>343</v>
      </c>
      <c r="AZ2734">
        <v>343</v>
      </c>
      <c r="BA2734">
        <v>627</v>
      </c>
      <c r="BB2734">
        <v>46</v>
      </c>
      <c r="BD2734">
        <v>1</v>
      </c>
      <c r="BF2734" t="s">
        <v>2934</v>
      </c>
      <c r="BG2734" s="1">
        <v>44354.0625</v>
      </c>
      <c r="BH2734" s="1">
        <v>44354.068865740737</v>
      </c>
      <c r="BI2734" s="1">
        <v>44354.069618055553</v>
      </c>
      <c r="BJ2734" t="s">
        <v>85</v>
      </c>
      <c r="BK2734" t="s">
        <v>86</v>
      </c>
      <c r="BL2734" t="s">
        <v>87</v>
      </c>
    </row>
    <row r="2735" spans="1:64" x14ac:dyDescent="0.3">
      <c r="A2735" t="str">
        <f>"201841C0200"</f>
        <v>201841C0200</v>
      </c>
      <c r="B2735" t="str">
        <f>"201841C02003"</f>
        <v>201841C02003</v>
      </c>
      <c r="C2735" t="str">
        <f t="shared" si="184"/>
        <v>20</v>
      </c>
      <c r="D2735" t="s">
        <v>81</v>
      </c>
      <c r="E2735" t="str">
        <f t="shared" si="187"/>
        <v>414</v>
      </c>
      <c r="F2735" t="s">
        <v>2932</v>
      </c>
      <c r="G2735" t="str">
        <f>"1841"</f>
        <v>1841</v>
      </c>
      <c r="H2735" t="str">
        <f>"0002"</f>
        <v>0002</v>
      </c>
      <c r="I2735" t="s">
        <v>89</v>
      </c>
      <c r="J2735">
        <v>0</v>
      </c>
      <c r="K2735">
        <v>1</v>
      </c>
      <c r="L2735">
        <v>3</v>
      </c>
      <c r="M2735">
        <v>319</v>
      </c>
      <c r="N2735">
        <v>353</v>
      </c>
      <c r="O2735">
        <v>9</v>
      </c>
      <c r="P2735" t="s">
        <v>92</v>
      </c>
      <c r="Q2735">
        <v>2</v>
      </c>
      <c r="R2735">
        <v>19</v>
      </c>
      <c r="S2735">
        <v>56</v>
      </c>
      <c r="T2735">
        <v>3</v>
      </c>
      <c r="U2735">
        <v>4</v>
      </c>
      <c r="V2735">
        <v>2</v>
      </c>
      <c r="W2735">
        <v>4</v>
      </c>
      <c r="X2735">
        <v>148</v>
      </c>
      <c r="Y2735">
        <v>33</v>
      </c>
      <c r="Z2735">
        <v>4</v>
      </c>
      <c r="AA2735">
        <v>3</v>
      </c>
      <c r="AB2735">
        <v>59</v>
      </c>
      <c r="AC2735">
        <v>2</v>
      </c>
      <c r="AJ2735">
        <v>0</v>
      </c>
      <c r="AK2735">
        <v>6</v>
      </c>
      <c r="AL2735">
        <v>0</v>
      </c>
      <c r="AM2735">
        <v>0</v>
      </c>
      <c r="AN2735">
        <v>0</v>
      </c>
      <c r="AO2735">
        <v>0</v>
      </c>
      <c r="AP2735">
        <v>0</v>
      </c>
      <c r="AQ2735">
        <v>1</v>
      </c>
      <c r="AR2735">
        <v>0</v>
      </c>
      <c r="AS2735">
        <v>1</v>
      </c>
      <c r="AT2735">
        <v>1</v>
      </c>
      <c r="AU2735">
        <v>0</v>
      </c>
      <c r="AW2735">
        <v>0</v>
      </c>
      <c r="AX2735">
        <v>7</v>
      </c>
      <c r="AY2735">
        <v>355</v>
      </c>
      <c r="AZ2735">
        <v>355</v>
      </c>
      <c r="BA2735">
        <v>627</v>
      </c>
      <c r="BB2735">
        <v>46</v>
      </c>
      <c r="BD2735">
        <v>1</v>
      </c>
      <c r="BF2735" t="s">
        <v>2935</v>
      </c>
      <c r="BG2735" s="1">
        <v>44354.057638888888</v>
      </c>
      <c r="BH2735" s="1">
        <v>44354.061736111114</v>
      </c>
      <c r="BI2735" s="1">
        <v>44354.062962962962</v>
      </c>
      <c r="BJ2735" t="s">
        <v>85</v>
      </c>
      <c r="BK2735" t="s">
        <v>86</v>
      </c>
      <c r="BL2735" t="s">
        <v>87</v>
      </c>
    </row>
    <row r="2736" spans="1:64" x14ac:dyDescent="0.3">
      <c r="A2736" t="str">
        <f>"201841C0300"</f>
        <v>201841C0300</v>
      </c>
      <c r="B2736" t="str">
        <f>"201841C03003"</f>
        <v>201841C03003</v>
      </c>
      <c r="C2736" t="str">
        <f t="shared" si="184"/>
        <v>20</v>
      </c>
      <c r="D2736" t="s">
        <v>81</v>
      </c>
      <c r="E2736" t="str">
        <f t="shared" si="187"/>
        <v>414</v>
      </c>
      <c r="F2736" t="s">
        <v>2932</v>
      </c>
      <c r="G2736" t="str">
        <f>"1841"</f>
        <v>1841</v>
      </c>
      <c r="H2736" t="str">
        <f>"0003"</f>
        <v>0003</v>
      </c>
      <c r="I2736" t="s">
        <v>89</v>
      </c>
      <c r="J2736">
        <v>0</v>
      </c>
      <c r="K2736">
        <v>1</v>
      </c>
      <c r="L2736">
        <v>3</v>
      </c>
      <c r="M2736">
        <v>324</v>
      </c>
      <c r="N2736">
        <v>348</v>
      </c>
      <c r="O2736">
        <v>7</v>
      </c>
      <c r="P2736">
        <v>348</v>
      </c>
      <c r="Q2736">
        <v>4</v>
      </c>
      <c r="R2736">
        <v>29</v>
      </c>
      <c r="S2736">
        <v>80</v>
      </c>
      <c r="T2736">
        <v>2</v>
      </c>
      <c r="U2736">
        <v>10</v>
      </c>
      <c r="V2736">
        <v>3</v>
      </c>
      <c r="W2736">
        <v>7</v>
      </c>
      <c r="X2736">
        <v>124</v>
      </c>
      <c r="Y2736">
        <v>30</v>
      </c>
      <c r="Z2736">
        <v>0</v>
      </c>
      <c r="AA2736">
        <v>3</v>
      </c>
      <c r="AB2736">
        <v>37</v>
      </c>
      <c r="AC2736">
        <v>4</v>
      </c>
      <c r="AJ2736">
        <v>2</v>
      </c>
      <c r="AK2736">
        <v>0</v>
      </c>
      <c r="AL2736">
        <v>0</v>
      </c>
      <c r="AM2736">
        <v>0</v>
      </c>
      <c r="AN2736">
        <v>0</v>
      </c>
      <c r="AO2736">
        <v>0</v>
      </c>
      <c r="AP2736">
        <v>1</v>
      </c>
      <c r="AQ2736">
        <v>0</v>
      </c>
      <c r="AR2736">
        <v>0</v>
      </c>
      <c r="AS2736">
        <v>0</v>
      </c>
      <c r="AT2736">
        <v>0</v>
      </c>
      <c r="AU2736">
        <v>0</v>
      </c>
      <c r="AW2736">
        <v>2</v>
      </c>
      <c r="AX2736">
        <v>10</v>
      </c>
      <c r="AY2736">
        <v>348</v>
      </c>
      <c r="AZ2736">
        <v>348</v>
      </c>
      <c r="BA2736">
        <v>626</v>
      </c>
      <c r="BB2736">
        <v>46</v>
      </c>
      <c r="BD2736">
        <v>1</v>
      </c>
      <c r="BF2736" t="s">
        <v>2936</v>
      </c>
      <c r="BG2736" s="1">
        <v>44354.071527777778</v>
      </c>
      <c r="BH2736" s="1">
        <v>44354.077638888892</v>
      </c>
      <c r="BI2736" s="1">
        <v>44354.078263888892</v>
      </c>
      <c r="BJ2736" t="s">
        <v>85</v>
      </c>
      <c r="BK2736" t="s">
        <v>86</v>
      </c>
      <c r="BL2736" t="s">
        <v>87</v>
      </c>
    </row>
    <row r="2737" spans="1:64" x14ac:dyDescent="0.3">
      <c r="A2737" t="str">
        <f>"201841C0400"</f>
        <v>201841C0400</v>
      </c>
      <c r="B2737" t="str">
        <f>"201841C04003"</f>
        <v>201841C04003</v>
      </c>
      <c r="C2737" t="str">
        <f t="shared" si="184"/>
        <v>20</v>
      </c>
      <c r="D2737" t="s">
        <v>81</v>
      </c>
      <c r="E2737" t="str">
        <f t="shared" si="187"/>
        <v>414</v>
      </c>
      <c r="F2737" t="s">
        <v>2932</v>
      </c>
      <c r="G2737" t="str">
        <f>"1841"</f>
        <v>1841</v>
      </c>
      <c r="H2737" t="str">
        <f>"0004"</f>
        <v>0004</v>
      </c>
      <c r="I2737" t="s">
        <v>89</v>
      </c>
      <c r="J2737">
        <v>0</v>
      </c>
      <c r="K2737">
        <v>1</v>
      </c>
      <c r="L2737">
        <v>3</v>
      </c>
      <c r="M2737">
        <v>325</v>
      </c>
      <c r="N2737">
        <v>346</v>
      </c>
      <c r="O2737">
        <v>6</v>
      </c>
      <c r="P2737">
        <v>346</v>
      </c>
      <c r="Q2737">
        <v>6</v>
      </c>
      <c r="R2737">
        <v>25</v>
      </c>
      <c r="S2737">
        <v>56</v>
      </c>
      <c r="T2737" t="s">
        <v>95</v>
      </c>
      <c r="U2737">
        <v>8</v>
      </c>
      <c r="V2737">
        <v>4</v>
      </c>
      <c r="W2737">
        <v>5</v>
      </c>
      <c r="X2737">
        <v>140</v>
      </c>
      <c r="Y2737">
        <v>34</v>
      </c>
      <c r="Z2737">
        <v>3</v>
      </c>
      <c r="AA2737">
        <v>7</v>
      </c>
      <c r="AB2737">
        <v>43</v>
      </c>
      <c r="AC2737">
        <v>3</v>
      </c>
      <c r="AJ2737">
        <v>4</v>
      </c>
      <c r="AK2737" t="s">
        <v>95</v>
      </c>
      <c r="AL2737" t="s">
        <v>95</v>
      </c>
      <c r="AM2737" t="s">
        <v>95</v>
      </c>
      <c r="AN2737" t="s">
        <v>95</v>
      </c>
      <c r="AO2737" t="s">
        <v>95</v>
      </c>
      <c r="AP2737" t="s">
        <v>95</v>
      </c>
      <c r="AQ2737" t="s">
        <v>95</v>
      </c>
      <c r="AR2737" t="s">
        <v>95</v>
      </c>
      <c r="AS2737" t="s">
        <v>95</v>
      </c>
      <c r="AT2737" t="s">
        <v>95</v>
      </c>
      <c r="AU2737" t="s">
        <v>95</v>
      </c>
      <c r="AW2737" t="s">
        <v>95</v>
      </c>
      <c r="AX2737">
        <v>8</v>
      </c>
      <c r="AY2737" t="s">
        <v>95</v>
      </c>
      <c r="AZ2737">
        <v>346</v>
      </c>
      <c r="BA2737">
        <v>626</v>
      </c>
      <c r="BB2737">
        <v>46</v>
      </c>
      <c r="BC2737" t="s">
        <v>96</v>
      </c>
      <c r="BD2737">
        <v>1</v>
      </c>
      <c r="BF2737" t="s">
        <v>2937</v>
      </c>
      <c r="BG2737" s="1">
        <v>44354.073611111111</v>
      </c>
      <c r="BH2737" s="1">
        <v>44354.081620370373</v>
      </c>
      <c r="BI2737" s="1">
        <v>44354.082291666666</v>
      </c>
      <c r="BJ2737" t="s">
        <v>85</v>
      </c>
      <c r="BK2737" t="s">
        <v>86</v>
      </c>
      <c r="BL2737" t="s">
        <v>87</v>
      </c>
    </row>
    <row r="2738" spans="1:64" x14ac:dyDescent="0.3">
      <c r="A2738" t="str">
        <f>"201842B0000"</f>
        <v>201842B0000</v>
      </c>
      <c r="B2738" t="str">
        <f>"201842B00003"</f>
        <v>201842B00003</v>
      </c>
      <c r="C2738" t="str">
        <f t="shared" si="184"/>
        <v>20</v>
      </c>
      <c r="D2738" t="s">
        <v>81</v>
      </c>
      <c r="E2738" t="str">
        <f t="shared" si="187"/>
        <v>414</v>
      </c>
      <c r="F2738" t="s">
        <v>2932</v>
      </c>
      <c r="G2738" t="str">
        <f t="shared" ref="G2738:G2745" si="188">"1842"</f>
        <v>1842</v>
      </c>
      <c r="H2738" t="str">
        <f>"0000"</f>
        <v>0000</v>
      </c>
      <c r="I2738" t="s">
        <v>83</v>
      </c>
      <c r="J2738">
        <v>0</v>
      </c>
      <c r="K2738">
        <v>1</v>
      </c>
      <c r="L2738">
        <v>3</v>
      </c>
      <c r="M2738">
        <v>337</v>
      </c>
      <c r="N2738">
        <v>418</v>
      </c>
      <c r="O2738">
        <v>11</v>
      </c>
      <c r="P2738">
        <v>418</v>
      </c>
      <c r="Q2738">
        <v>10</v>
      </c>
      <c r="R2738">
        <v>32</v>
      </c>
      <c r="S2738">
        <v>103</v>
      </c>
      <c r="T2738">
        <v>0</v>
      </c>
      <c r="U2738">
        <v>6</v>
      </c>
      <c r="V2738">
        <v>3</v>
      </c>
      <c r="W2738">
        <v>6</v>
      </c>
      <c r="X2738">
        <v>157</v>
      </c>
      <c r="Y2738">
        <v>27</v>
      </c>
      <c r="Z2738">
        <v>3</v>
      </c>
      <c r="AA2738">
        <v>3</v>
      </c>
      <c r="AB2738">
        <v>51</v>
      </c>
      <c r="AC2738">
        <v>5</v>
      </c>
      <c r="AJ2738">
        <v>2</v>
      </c>
      <c r="AK2738">
        <v>0</v>
      </c>
      <c r="AL2738">
        <v>0</v>
      </c>
      <c r="AM2738">
        <v>0</v>
      </c>
      <c r="AN2738">
        <v>0</v>
      </c>
      <c r="AO2738">
        <v>0</v>
      </c>
      <c r="AP2738">
        <v>0</v>
      </c>
      <c r="AQ2738">
        <v>0</v>
      </c>
      <c r="AR2738">
        <v>0</v>
      </c>
      <c r="AS2738">
        <v>0</v>
      </c>
      <c r="AT2738">
        <v>0</v>
      </c>
      <c r="AU2738">
        <v>0</v>
      </c>
      <c r="AW2738">
        <v>2</v>
      </c>
      <c r="AX2738">
        <v>8</v>
      </c>
      <c r="AY2738">
        <v>418</v>
      </c>
      <c r="AZ2738">
        <v>418</v>
      </c>
      <c r="BA2738">
        <v>709</v>
      </c>
      <c r="BB2738">
        <v>46</v>
      </c>
      <c r="BD2738">
        <v>1</v>
      </c>
      <c r="BF2738" t="s">
        <v>2938</v>
      </c>
      <c r="BG2738" s="1">
        <v>44354.100694444445</v>
      </c>
      <c r="BH2738" s="1">
        <v>44354.101967592593</v>
      </c>
      <c r="BI2738" s="1">
        <v>44354.102581018517</v>
      </c>
      <c r="BJ2738" t="s">
        <v>85</v>
      </c>
      <c r="BK2738" t="s">
        <v>86</v>
      </c>
      <c r="BL2738" t="s">
        <v>87</v>
      </c>
    </row>
    <row r="2739" spans="1:64" x14ac:dyDescent="0.3">
      <c r="A2739" t="str">
        <f>"201842C0100"</f>
        <v>201842C0100</v>
      </c>
      <c r="B2739" t="str">
        <f>"201842C01003"</f>
        <v>201842C01003</v>
      </c>
      <c r="C2739" t="str">
        <f t="shared" si="184"/>
        <v>20</v>
      </c>
      <c r="D2739" t="s">
        <v>81</v>
      </c>
      <c r="E2739" t="str">
        <f t="shared" si="187"/>
        <v>414</v>
      </c>
      <c r="F2739" t="s">
        <v>2932</v>
      </c>
      <c r="G2739" t="str">
        <f t="shared" si="188"/>
        <v>1842</v>
      </c>
      <c r="H2739" t="str">
        <f>"0001"</f>
        <v>0001</v>
      </c>
      <c r="I2739" t="s">
        <v>89</v>
      </c>
      <c r="J2739">
        <v>0</v>
      </c>
      <c r="K2739">
        <v>1</v>
      </c>
      <c r="L2739">
        <v>3</v>
      </c>
      <c r="M2739">
        <v>372</v>
      </c>
      <c r="N2739">
        <v>383</v>
      </c>
      <c r="O2739">
        <v>7</v>
      </c>
      <c r="P2739">
        <v>383</v>
      </c>
      <c r="Q2739">
        <v>5</v>
      </c>
      <c r="R2739">
        <v>35</v>
      </c>
      <c r="S2739">
        <v>48</v>
      </c>
      <c r="T2739">
        <v>1</v>
      </c>
      <c r="U2739">
        <v>5</v>
      </c>
      <c r="V2739">
        <v>3</v>
      </c>
      <c r="W2739">
        <v>3</v>
      </c>
      <c r="X2739">
        <v>183</v>
      </c>
      <c r="Y2739">
        <v>22</v>
      </c>
      <c r="Z2739">
        <v>3</v>
      </c>
      <c r="AA2739">
        <v>2</v>
      </c>
      <c r="AB2739">
        <v>48</v>
      </c>
      <c r="AC2739">
        <v>3</v>
      </c>
      <c r="AJ2739">
        <v>2</v>
      </c>
      <c r="AK2739">
        <v>1</v>
      </c>
      <c r="AL2739">
        <v>0</v>
      </c>
      <c r="AM2739">
        <v>0</v>
      </c>
      <c r="AN2739">
        <v>0</v>
      </c>
      <c r="AO2739">
        <v>0</v>
      </c>
      <c r="AP2739">
        <v>0</v>
      </c>
      <c r="AQ2739">
        <v>0</v>
      </c>
      <c r="AR2739">
        <v>0</v>
      </c>
      <c r="AS2739">
        <v>0</v>
      </c>
      <c r="AT2739">
        <v>0</v>
      </c>
      <c r="AU2739">
        <v>0</v>
      </c>
      <c r="AW2739">
        <v>0</v>
      </c>
      <c r="AX2739">
        <v>20</v>
      </c>
      <c r="AY2739">
        <v>383</v>
      </c>
      <c r="AZ2739">
        <v>384</v>
      </c>
      <c r="BA2739">
        <v>709</v>
      </c>
      <c r="BB2739">
        <v>46</v>
      </c>
      <c r="BD2739">
        <v>1</v>
      </c>
      <c r="BF2739" t="s">
        <v>2939</v>
      </c>
      <c r="BG2739" s="1">
        <v>44354.09652777778</v>
      </c>
      <c r="BH2739" s="1">
        <v>44354.100173611114</v>
      </c>
      <c r="BI2739" s="1">
        <v>44354.101666666669</v>
      </c>
      <c r="BJ2739" t="s">
        <v>85</v>
      </c>
      <c r="BK2739" t="s">
        <v>86</v>
      </c>
      <c r="BL2739" t="s">
        <v>87</v>
      </c>
    </row>
    <row r="2740" spans="1:64" x14ac:dyDescent="0.3">
      <c r="A2740" t="str">
        <f>"201842C0200"</f>
        <v>201842C0200</v>
      </c>
      <c r="B2740" t="str">
        <f>"201842C02003"</f>
        <v>201842C02003</v>
      </c>
      <c r="C2740" t="str">
        <f t="shared" si="184"/>
        <v>20</v>
      </c>
      <c r="D2740" t="s">
        <v>81</v>
      </c>
      <c r="E2740" t="str">
        <f t="shared" si="187"/>
        <v>414</v>
      </c>
      <c r="F2740" t="s">
        <v>2932</v>
      </c>
      <c r="G2740" t="str">
        <f t="shared" si="188"/>
        <v>1842</v>
      </c>
      <c r="H2740" t="str">
        <f>"0002"</f>
        <v>0002</v>
      </c>
      <c r="I2740" t="s">
        <v>89</v>
      </c>
      <c r="J2740">
        <v>0</v>
      </c>
      <c r="K2740">
        <v>1</v>
      </c>
      <c r="L2740">
        <v>3</v>
      </c>
      <c r="M2740">
        <v>355</v>
      </c>
      <c r="N2740">
        <v>397</v>
      </c>
      <c r="O2740">
        <v>10</v>
      </c>
      <c r="P2740">
        <v>394</v>
      </c>
      <c r="Q2740">
        <v>7</v>
      </c>
      <c r="R2740">
        <v>28</v>
      </c>
      <c r="S2740">
        <v>55</v>
      </c>
      <c r="T2740">
        <v>1</v>
      </c>
      <c r="U2740">
        <v>2</v>
      </c>
      <c r="V2740">
        <v>2</v>
      </c>
      <c r="W2740">
        <v>5</v>
      </c>
      <c r="X2740">
        <v>183</v>
      </c>
      <c r="Y2740">
        <v>37</v>
      </c>
      <c r="Z2740">
        <v>4</v>
      </c>
      <c r="AA2740">
        <v>3</v>
      </c>
      <c r="AB2740">
        <v>38</v>
      </c>
      <c r="AC2740">
        <v>8</v>
      </c>
      <c r="AJ2740">
        <v>1</v>
      </c>
      <c r="AK2740">
        <v>2</v>
      </c>
      <c r="AL2740">
        <v>0</v>
      </c>
      <c r="AM2740">
        <v>0</v>
      </c>
      <c r="AN2740">
        <v>0</v>
      </c>
      <c r="AO2740">
        <v>0</v>
      </c>
      <c r="AP2740">
        <v>0</v>
      </c>
      <c r="AQ2740">
        <v>0</v>
      </c>
      <c r="AR2740">
        <v>2</v>
      </c>
      <c r="AS2740">
        <v>0</v>
      </c>
      <c r="AT2740">
        <v>0</v>
      </c>
      <c r="AU2740">
        <v>0</v>
      </c>
      <c r="AW2740">
        <v>0</v>
      </c>
      <c r="AX2740">
        <v>16</v>
      </c>
      <c r="AY2740">
        <v>394</v>
      </c>
      <c r="AZ2740">
        <v>394</v>
      </c>
      <c r="BA2740">
        <v>708</v>
      </c>
      <c r="BB2740">
        <v>46</v>
      </c>
      <c r="BD2740">
        <v>1</v>
      </c>
      <c r="BF2740" t="s">
        <v>2940</v>
      </c>
      <c r="BG2740" s="1">
        <v>44354.102777777778</v>
      </c>
      <c r="BH2740" s="1">
        <v>44354.10434027778</v>
      </c>
      <c r="BI2740" s="1">
        <v>44354.104895833334</v>
      </c>
      <c r="BJ2740" t="s">
        <v>85</v>
      </c>
      <c r="BK2740" t="s">
        <v>86</v>
      </c>
      <c r="BL2740" t="s">
        <v>87</v>
      </c>
    </row>
    <row r="2741" spans="1:64" x14ac:dyDescent="0.3">
      <c r="A2741" t="str">
        <f>"201842C0300"</f>
        <v>201842C0300</v>
      </c>
      <c r="B2741" t="str">
        <f>"201842C03003"</f>
        <v>201842C03003</v>
      </c>
      <c r="C2741" t="str">
        <f t="shared" si="184"/>
        <v>20</v>
      </c>
      <c r="D2741" t="s">
        <v>81</v>
      </c>
      <c r="E2741" t="str">
        <f t="shared" si="187"/>
        <v>414</v>
      </c>
      <c r="F2741" t="s">
        <v>2932</v>
      </c>
      <c r="G2741" t="str">
        <f t="shared" si="188"/>
        <v>1842</v>
      </c>
      <c r="H2741" t="str">
        <f>"0003"</f>
        <v>0003</v>
      </c>
      <c r="I2741" t="s">
        <v>89</v>
      </c>
      <c r="J2741">
        <v>0</v>
      </c>
      <c r="K2741">
        <v>1</v>
      </c>
      <c r="L2741">
        <v>3</v>
      </c>
      <c r="M2741">
        <v>339</v>
      </c>
      <c r="N2741">
        <v>421</v>
      </c>
      <c r="O2741">
        <v>7</v>
      </c>
      <c r="P2741">
        <v>415</v>
      </c>
      <c r="Q2741">
        <v>6</v>
      </c>
      <c r="R2741">
        <v>32</v>
      </c>
      <c r="S2741">
        <v>73</v>
      </c>
      <c r="T2741">
        <v>2</v>
      </c>
      <c r="U2741">
        <v>8</v>
      </c>
      <c r="V2741">
        <v>3</v>
      </c>
      <c r="W2741">
        <v>4</v>
      </c>
      <c r="X2741">
        <v>190</v>
      </c>
      <c r="Y2741">
        <v>41</v>
      </c>
      <c r="Z2741">
        <v>2</v>
      </c>
      <c r="AA2741">
        <v>4</v>
      </c>
      <c r="AB2741">
        <v>42</v>
      </c>
      <c r="AC2741">
        <v>0</v>
      </c>
      <c r="AJ2741">
        <v>0</v>
      </c>
      <c r="AK2741">
        <v>2</v>
      </c>
      <c r="AL2741">
        <v>0</v>
      </c>
      <c r="AM2741">
        <v>0</v>
      </c>
      <c r="AN2741">
        <v>0</v>
      </c>
      <c r="AO2741">
        <v>1</v>
      </c>
      <c r="AP2741">
        <v>1</v>
      </c>
      <c r="AQ2741">
        <v>0</v>
      </c>
      <c r="AR2741">
        <v>0</v>
      </c>
      <c r="AS2741">
        <v>0</v>
      </c>
      <c r="AT2741">
        <v>1</v>
      </c>
      <c r="AU2741">
        <v>0</v>
      </c>
      <c r="AW2741">
        <v>0</v>
      </c>
      <c r="AX2741">
        <v>3</v>
      </c>
      <c r="AY2741">
        <v>415</v>
      </c>
      <c r="AZ2741">
        <v>415</v>
      </c>
      <c r="BA2741">
        <v>708</v>
      </c>
      <c r="BB2741">
        <v>46</v>
      </c>
      <c r="BD2741">
        <v>1</v>
      </c>
      <c r="BF2741" t="s">
        <v>2941</v>
      </c>
      <c r="BG2741" s="1">
        <v>44354.105555555558</v>
      </c>
      <c r="BH2741" s="1">
        <v>44354.10864583333</v>
      </c>
      <c r="BI2741" s="1">
        <v>44354.109699074077</v>
      </c>
      <c r="BJ2741" t="s">
        <v>85</v>
      </c>
      <c r="BK2741" t="s">
        <v>86</v>
      </c>
      <c r="BL2741" t="s">
        <v>87</v>
      </c>
    </row>
    <row r="2742" spans="1:64" x14ac:dyDescent="0.3">
      <c r="A2742" t="str">
        <f>"201842C0400"</f>
        <v>201842C0400</v>
      </c>
      <c r="B2742" t="str">
        <f>"201842C04003"</f>
        <v>201842C04003</v>
      </c>
      <c r="C2742" t="str">
        <f t="shared" si="184"/>
        <v>20</v>
      </c>
      <c r="D2742" t="s">
        <v>81</v>
      </c>
      <c r="E2742" t="str">
        <f t="shared" si="187"/>
        <v>414</v>
      </c>
      <c r="F2742" t="s">
        <v>2932</v>
      </c>
      <c r="G2742" t="str">
        <f t="shared" si="188"/>
        <v>1842</v>
      </c>
      <c r="H2742" t="str">
        <f>"0004"</f>
        <v>0004</v>
      </c>
      <c r="I2742" t="s">
        <v>89</v>
      </c>
      <c r="J2742">
        <v>0</v>
      </c>
      <c r="K2742">
        <v>1</v>
      </c>
      <c r="L2742">
        <v>3</v>
      </c>
      <c r="M2742">
        <v>357</v>
      </c>
      <c r="N2742">
        <v>397</v>
      </c>
      <c r="O2742">
        <v>7</v>
      </c>
      <c r="P2742">
        <v>396</v>
      </c>
      <c r="Q2742">
        <v>6</v>
      </c>
      <c r="R2742">
        <v>38</v>
      </c>
      <c r="S2742">
        <v>71</v>
      </c>
      <c r="T2742">
        <v>1</v>
      </c>
      <c r="U2742">
        <v>8</v>
      </c>
      <c r="V2742">
        <v>5</v>
      </c>
      <c r="W2742">
        <v>3</v>
      </c>
      <c r="X2742">
        <v>172</v>
      </c>
      <c r="Y2742">
        <v>26</v>
      </c>
      <c r="Z2742">
        <v>5</v>
      </c>
      <c r="AA2742">
        <v>4</v>
      </c>
      <c r="AB2742">
        <v>36</v>
      </c>
      <c r="AC2742">
        <v>4</v>
      </c>
      <c r="AJ2742" t="s">
        <v>95</v>
      </c>
      <c r="AK2742">
        <v>1</v>
      </c>
      <c r="AL2742">
        <v>0</v>
      </c>
      <c r="AM2742">
        <v>0</v>
      </c>
      <c r="AN2742">
        <v>0</v>
      </c>
      <c r="AO2742">
        <v>1</v>
      </c>
      <c r="AP2742">
        <v>1</v>
      </c>
      <c r="AQ2742">
        <v>0</v>
      </c>
      <c r="AR2742">
        <v>2</v>
      </c>
      <c r="AS2742">
        <v>1</v>
      </c>
      <c r="AT2742">
        <v>1</v>
      </c>
      <c r="AU2742">
        <v>0</v>
      </c>
      <c r="AW2742">
        <v>2</v>
      </c>
      <c r="AX2742">
        <v>8</v>
      </c>
      <c r="AY2742">
        <v>396</v>
      </c>
      <c r="AZ2742">
        <v>396</v>
      </c>
      <c r="BA2742">
        <v>708</v>
      </c>
      <c r="BB2742">
        <v>46</v>
      </c>
      <c r="BC2742" t="s">
        <v>96</v>
      </c>
      <c r="BD2742">
        <v>1</v>
      </c>
      <c r="BF2742" t="s">
        <v>2942</v>
      </c>
      <c r="BG2742" s="1">
        <v>44354.088888888888</v>
      </c>
      <c r="BH2742" s="1">
        <v>44354.099212962959</v>
      </c>
      <c r="BI2742" s="1">
        <v>44354.099942129629</v>
      </c>
      <c r="BJ2742" t="s">
        <v>85</v>
      </c>
      <c r="BK2742" t="s">
        <v>86</v>
      </c>
      <c r="BL2742" t="s">
        <v>87</v>
      </c>
    </row>
    <row r="2743" spans="1:64" x14ac:dyDescent="0.3">
      <c r="A2743" t="str">
        <f>"201842E0100"</f>
        <v>201842E0100</v>
      </c>
      <c r="B2743" t="str">
        <f>"201842E01003"</f>
        <v>201842E01003</v>
      </c>
      <c r="C2743" t="str">
        <f t="shared" si="184"/>
        <v>20</v>
      </c>
      <c r="D2743" t="s">
        <v>81</v>
      </c>
      <c r="E2743" t="str">
        <f t="shared" si="187"/>
        <v>414</v>
      </c>
      <c r="F2743" t="s">
        <v>2932</v>
      </c>
      <c r="G2743" t="str">
        <f t="shared" si="188"/>
        <v>1842</v>
      </c>
      <c r="H2743" t="str">
        <f>"0001"</f>
        <v>0001</v>
      </c>
      <c r="I2743" t="s">
        <v>122</v>
      </c>
      <c r="J2743">
        <v>0</v>
      </c>
      <c r="K2743">
        <v>1</v>
      </c>
      <c r="L2743">
        <v>3</v>
      </c>
      <c r="M2743">
        <v>396</v>
      </c>
      <c r="N2743">
        <v>352</v>
      </c>
      <c r="O2743">
        <v>6</v>
      </c>
      <c r="P2743">
        <v>352</v>
      </c>
      <c r="Q2743">
        <v>2</v>
      </c>
      <c r="R2743">
        <v>20</v>
      </c>
      <c r="S2743">
        <v>48</v>
      </c>
      <c r="T2743">
        <v>7</v>
      </c>
      <c r="U2743">
        <v>6</v>
      </c>
      <c r="V2743">
        <v>4</v>
      </c>
      <c r="W2743">
        <v>8</v>
      </c>
      <c r="X2743">
        <v>163</v>
      </c>
      <c r="Y2743">
        <v>21</v>
      </c>
      <c r="Z2743">
        <v>1</v>
      </c>
      <c r="AA2743">
        <v>5</v>
      </c>
      <c r="AB2743">
        <v>42</v>
      </c>
      <c r="AC2743">
        <v>3</v>
      </c>
      <c r="AJ2743">
        <v>0</v>
      </c>
      <c r="AK2743">
        <v>1</v>
      </c>
      <c r="AL2743">
        <v>0</v>
      </c>
      <c r="AM2743">
        <v>0</v>
      </c>
      <c r="AN2743">
        <v>1</v>
      </c>
      <c r="AO2743">
        <v>0</v>
      </c>
      <c r="AP2743">
        <v>0</v>
      </c>
      <c r="AQ2743">
        <v>0</v>
      </c>
      <c r="AR2743">
        <v>1</v>
      </c>
      <c r="AS2743">
        <v>1</v>
      </c>
      <c r="AT2743">
        <v>1</v>
      </c>
      <c r="AU2743">
        <v>0</v>
      </c>
      <c r="AW2743" t="s">
        <v>95</v>
      </c>
      <c r="AX2743">
        <v>17</v>
      </c>
      <c r="AY2743">
        <v>352</v>
      </c>
      <c r="AZ2743">
        <v>352</v>
      </c>
      <c r="BA2743">
        <v>702</v>
      </c>
      <c r="BB2743">
        <v>46</v>
      </c>
      <c r="BC2743" t="s">
        <v>96</v>
      </c>
      <c r="BD2743">
        <v>1</v>
      </c>
      <c r="BF2743" t="s">
        <v>2943</v>
      </c>
      <c r="BG2743" s="1">
        <v>44354.098611111112</v>
      </c>
      <c r="BH2743" s="1">
        <v>44354.100787037038</v>
      </c>
      <c r="BI2743" s="1">
        <v>44354.1018287037</v>
      </c>
      <c r="BJ2743" t="s">
        <v>85</v>
      </c>
      <c r="BK2743" t="s">
        <v>86</v>
      </c>
      <c r="BL2743" t="s">
        <v>87</v>
      </c>
    </row>
    <row r="2744" spans="1:64" x14ac:dyDescent="0.3">
      <c r="A2744" t="str">
        <f>"201842E0200"</f>
        <v>201842E0200</v>
      </c>
      <c r="B2744" t="str">
        <f>"201842E02003"</f>
        <v>201842E02003</v>
      </c>
      <c r="C2744" t="str">
        <f t="shared" si="184"/>
        <v>20</v>
      </c>
      <c r="D2744" t="s">
        <v>81</v>
      </c>
      <c r="E2744" t="str">
        <f t="shared" si="187"/>
        <v>414</v>
      </c>
      <c r="F2744" t="s">
        <v>2932</v>
      </c>
      <c r="G2744" t="str">
        <f t="shared" si="188"/>
        <v>1842</v>
      </c>
      <c r="H2744" t="str">
        <f>"0002"</f>
        <v>0002</v>
      </c>
      <c r="I2744" t="s">
        <v>122</v>
      </c>
      <c r="J2744">
        <v>0</v>
      </c>
      <c r="K2744">
        <v>1</v>
      </c>
      <c r="L2744">
        <v>3</v>
      </c>
      <c r="M2744">
        <v>371</v>
      </c>
      <c r="N2744">
        <v>328</v>
      </c>
      <c r="O2744">
        <v>10</v>
      </c>
      <c r="P2744">
        <v>329</v>
      </c>
      <c r="Q2744">
        <v>11</v>
      </c>
      <c r="R2744">
        <v>35</v>
      </c>
      <c r="S2744">
        <v>60</v>
      </c>
      <c r="T2744">
        <v>4</v>
      </c>
      <c r="U2744">
        <v>7</v>
      </c>
      <c r="V2744">
        <v>3</v>
      </c>
      <c r="W2744">
        <v>4</v>
      </c>
      <c r="X2744">
        <v>126</v>
      </c>
      <c r="Y2744">
        <v>20</v>
      </c>
      <c r="Z2744">
        <v>5</v>
      </c>
      <c r="AA2744">
        <v>6</v>
      </c>
      <c r="AB2744">
        <v>34</v>
      </c>
      <c r="AC2744">
        <v>5</v>
      </c>
      <c r="AJ2744">
        <v>1</v>
      </c>
      <c r="AK2744">
        <v>1</v>
      </c>
      <c r="AL2744">
        <v>0</v>
      </c>
      <c r="AM2744">
        <v>1</v>
      </c>
      <c r="AN2744">
        <v>0</v>
      </c>
      <c r="AO2744">
        <v>0</v>
      </c>
      <c r="AP2744">
        <v>1</v>
      </c>
      <c r="AQ2744">
        <v>0</v>
      </c>
      <c r="AR2744">
        <v>0</v>
      </c>
      <c r="AS2744">
        <v>0</v>
      </c>
      <c r="AT2744">
        <v>0</v>
      </c>
      <c r="AU2744">
        <v>0</v>
      </c>
      <c r="AW2744">
        <v>0</v>
      </c>
      <c r="AX2744">
        <v>5</v>
      </c>
      <c r="AY2744">
        <v>329</v>
      </c>
      <c r="AZ2744">
        <v>329</v>
      </c>
      <c r="BA2744">
        <v>654</v>
      </c>
      <c r="BB2744">
        <v>46</v>
      </c>
      <c r="BD2744">
        <v>1</v>
      </c>
      <c r="BF2744" t="s">
        <v>2944</v>
      </c>
      <c r="BG2744" s="1">
        <v>44354.19027777778</v>
      </c>
      <c r="BH2744" s="1">
        <v>44354.192210648151</v>
      </c>
      <c r="BI2744" s="1">
        <v>44354.192777777775</v>
      </c>
      <c r="BJ2744" t="s">
        <v>85</v>
      </c>
      <c r="BK2744" t="s">
        <v>86</v>
      </c>
      <c r="BL2744" t="s">
        <v>87</v>
      </c>
    </row>
    <row r="2745" spans="1:64" x14ac:dyDescent="0.3">
      <c r="A2745" t="str">
        <f>"201842E0201"</f>
        <v>201842E0201</v>
      </c>
      <c r="B2745" t="str">
        <f>"201842E02013"</f>
        <v>201842E02013</v>
      </c>
      <c r="C2745" t="str">
        <f t="shared" si="184"/>
        <v>20</v>
      </c>
      <c r="D2745" t="s">
        <v>81</v>
      </c>
      <c r="E2745" t="str">
        <f t="shared" si="187"/>
        <v>414</v>
      </c>
      <c r="F2745" t="s">
        <v>2932</v>
      </c>
      <c r="G2745" t="str">
        <f t="shared" si="188"/>
        <v>1842</v>
      </c>
      <c r="H2745" t="str">
        <f>"0002"</f>
        <v>0002</v>
      </c>
      <c r="I2745" t="s">
        <v>122</v>
      </c>
      <c r="J2745">
        <v>1</v>
      </c>
      <c r="K2745">
        <v>1</v>
      </c>
      <c r="L2745">
        <v>3</v>
      </c>
      <c r="M2745">
        <v>326</v>
      </c>
      <c r="N2745">
        <v>374</v>
      </c>
      <c r="O2745">
        <v>11</v>
      </c>
      <c r="P2745">
        <v>373</v>
      </c>
      <c r="Q2745">
        <v>3</v>
      </c>
      <c r="R2745">
        <v>32</v>
      </c>
      <c r="S2745">
        <v>95</v>
      </c>
      <c r="T2745">
        <v>2</v>
      </c>
      <c r="U2745">
        <v>20</v>
      </c>
      <c r="V2745">
        <v>8</v>
      </c>
      <c r="W2745">
        <v>5</v>
      </c>
      <c r="X2745">
        <v>117</v>
      </c>
      <c r="Y2745">
        <v>21</v>
      </c>
      <c r="Z2745">
        <v>6</v>
      </c>
      <c r="AA2745">
        <v>4</v>
      </c>
      <c r="AB2745">
        <v>36</v>
      </c>
      <c r="AC2745">
        <v>0</v>
      </c>
      <c r="AJ2745">
        <v>4</v>
      </c>
      <c r="AK2745">
        <v>0</v>
      </c>
      <c r="AL2745">
        <v>0</v>
      </c>
      <c r="AM2745">
        <v>1</v>
      </c>
      <c r="AN2745">
        <v>0</v>
      </c>
      <c r="AO2745">
        <v>0</v>
      </c>
      <c r="AP2745">
        <v>0</v>
      </c>
      <c r="AQ2745">
        <v>0</v>
      </c>
      <c r="AR2745">
        <v>0</v>
      </c>
      <c r="AS2745">
        <v>0</v>
      </c>
      <c r="AT2745">
        <v>0</v>
      </c>
      <c r="AU2745">
        <v>0</v>
      </c>
      <c r="AW2745">
        <v>0</v>
      </c>
      <c r="AX2745" t="s">
        <v>131</v>
      </c>
      <c r="AY2745">
        <v>373</v>
      </c>
      <c r="AZ2745">
        <v>354</v>
      </c>
      <c r="BA2745">
        <v>654</v>
      </c>
      <c r="BB2745">
        <v>46</v>
      </c>
      <c r="BC2745" t="s">
        <v>96</v>
      </c>
      <c r="BD2745">
        <v>1</v>
      </c>
      <c r="BF2745" t="s">
        <v>2945</v>
      </c>
      <c r="BG2745" s="1">
        <v>44354.295138888891</v>
      </c>
      <c r="BH2745" s="1">
        <v>44354.320960648147</v>
      </c>
      <c r="BI2745" s="1">
        <v>44354.336446759262</v>
      </c>
      <c r="BJ2745" t="s">
        <v>85</v>
      </c>
      <c r="BK2745" t="s">
        <v>86</v>
      </c>
      <c r="BL2745" t="s">
        <v>87</v>
      </c>
    </row>
    <row r="2746" spans="1:64" x14ac:dyDescent="0.3">
      <c r="A2746" t="str">
        <f>"201843B0000"</f>
        <v>201843B0000</v>
      </c>
      <c r="B2746" t="str">
        <f>"201843B00003"</f>
        <v>201843B00003</v>
      </c>
      <c r="C2746" t="str">
        <f t="shared" si="184"/>
        <v>20</v>
      </c>
      <c r="D2746" t="s">
        <v>81</v>
      </c>
      <c r="E2746" t="str">
        <f t="shared" si="187"/>
        <v>414</v>
      </c>
      <c r="F2746" t="s">
        <v>2932</v>
      </c>
      <c r="G2746" t="str">
        <f>"1843"</f>
        <v>1843</v>
      </c>
      <c r="H2746" t="str">
        <f>"0000"</f>
        <v>0000</v>
      </c>
      <c r="I2746" t="s">
        <v>83</v>
      </c>
      <c r="J2746">
        <v>0</v>
      </c>
      <c r="K2746">
        <v>1</v>
      </c>
      <c r="L2746">
        <v>3</v>
      </c>
      <c r="M2746">
        <v>131</v>
      </c>
      <c r="N2746">
        <v>199</v>
      </c>
      <c r="O2746">
        <v>10</v>
      </c>
      <c r="P2746" t="s">
        <v>92</v>
      </c>
      <c r="Q2746">
        <v>2</v>
      </c>
      <c r="R2746">
        <v>7</v>
      </c>
      <c r="S2746">
        <v>13</v>
      </c>
      <c r="T2746">
        <v>2</v>
      </c>
      <c r="U2746">
        <v>9</v>
      </c>
      <c r="V2746">
        <v>1</v>
      </c>
      <c r="W2746">
        <v>9</v>
      </c>
      <c r="X2746">
        <v>64</v>
      </c>
      <c r="Y2746">
        <v>26</v>
      </c>
      <c r="Z2746">
        <v>6</v>
      </c>
      <c r="AA2746">
        <v>9</v>
      </c>
      <c r="AB2746">
        <v>37</v>
      </c>
      <c r="AC2746">
        <v>1</v>
      </c>
      <c r="AJ2746">
        <v>0</v>
      </c>
      <c r="AK2746">
        <v>0</v>
      </c>
      <c r="AL2746">
        <v>0</v>
      </c>
      <c r="AM2746">
        <v>0</v>
      </c>
      <c r="AN2746">
        <v>0</v>
      </c>
      <c r="AO2746">
        <v>0</v>
      </c>
      <c r="AP2746">
        <v>0</v>
      </c>
      <c r="AQ2746">
        <v>0</v>
      </c>
      <c r="AR2746">
        <v>0</v>
      </c>
      <c r="AS2746">
        <v>0</v>
      </c>
      <c r="AT2746">
        <v>0</v>
      </c>
      <c r="AU2746">
        <v>0</v>
      </c>
      <c r="AW2746">
        <v>0</v>
      </c>
      <c r="AX2746">
        <v>11</v>
      </c>
      <c r="AY2746">
        <v>197</v>
      </c>
      <c r="AZ2746">
        <v>197</v>
      </c>
      <c r="BA2746">
        <v>284</v>
      </c>
      <c r="BB2746">
        <v>46</v>
      </c>
      <c r="BD2746">
        <v>1</v>
      </c>
      <c r="BF2746" t="s">
        <v>2946</v>
      </c>
      <c r="BG2746" s="1">
        <v>44354.246527777781</v>
      </c>
      <c r="BH2746" s="1">
        <v>44354.248472222222</v>
      </c>
      <c r="BI2746" s="1">
        <v>44354.249282407407</v>
      </c>
      <c r="BJ2746" t="s">
        <v>85</v>
      </c>
      <c r="BK2746" t="s">
        <v>86</v>
      </c>
      <c r="BL2746" t="s">
        <v>87</v>
      </c>
    </row>
    <row r="2747" spans="1:64" x14ac:dyDescent="0.3">
      <c r="A2747" t="str">
        <f>"201844B0000"</f>
        <v>201844B0000</v>
      </c>
      <c r="B2747" t="str">
        <f>"201844B00003"</f>
        <v>201844B00003</v>
      </c>
      <c r="C2747" t="str">
        <f t="shared" si="184"/>
        <v>20</v>
      </c>
      <c r="D2747" t="s">
        <v>81</v>
      </c>
      <c r="E2747" t="str">
        <f t="shared" si="187"/>
        <v>414</v>
      </c>
      <c r="F2747" t="s">
        <v>2932</v>
      </c>
      <c r="G2747" t="str">
        <f>"1844"</f>
        <v>1844</v>
      </c>
      <c r="H2747" t="str">
        <f>"0000"</f>
        <v>0000</v>
      </c>
      <c r="I2747" t="s">
        <v>83</v>
      </c>
      <c r="J2747">
        <v>0</v>
      </c>
      <c r="K2747">
        <v>1</v>
      </c>
      <c r="L2747">
        <v>3</v>
      </c>
      <c r="M2747">
        <v>274</v>
      </c>
      <c r="N2747">
        <v>516</v>
      </c>
      <c r="O2747">
        <v>3</v>
      </c>
      <c r="P2747">
        <v>517</v>
      </c>
      <c r="Q2747">
        <v>8</v>
      </c>
      <c r="R2747">
        <v>32</v>
      </c>
      <c r="S2747">
        <v>86</v>
      </c>
      <c r="T2747">
        <v>1</v>
      </c>
      <c r="U2747">
        <v>7</v>
      </c>
      <c r="V2747">
        <v>3</v>
      </c>
      <c r="W2747">
        <v>2</v>
      </c>
      <c r="X2747">
        <v>181</v>
      </c>
      <c r="Y2747">
        <v>47</v>
      </c>
      <c r="Z2747">
        <v>7</v>
      </c>
      <c r="AA2747">
        <v>4</v>
      </c>
      <c r="AB2747">
        <v>116</v>
      </c>
      <c r="AC2747">
        <v>2</v>
      </c>
      <c r="AJ2747">
        <v>0</v>
      </c>
      <c r="AK2747">
        <v>0</v>
      </c>
      <c r="AL2747">
        <v>0</v>
      </c>
      <c r="AM2747">
        <v>0</v>
      </c>
      <c r="AN2747">
        <v>0</v>
      </c>
      <c r="AO2747">
        <v>0</v>
      </c>
      <c r="AP2747">
        <v>0</v>
      </c>
      <c r="AQ2747">
        <v>1</v>
      </c>
      <c r="AR2747">
        <v>0</v>
      </c>
      <c r="AS2747">
        <v>0</v>
      </c>
      <c r="AT2747">
        <v>0</v>
      </c>
      <c r="AU2747">
        <v>0</v>
      </c>
      <c r="AW2747">
        <v>2</v>
      </c>
      <c r="AX2747">
        <v>19</v>
      </c>
      <c r="AY2747">
        <v>517</v>
      </c>
      <c r="AZ2747">
        <v>518</v>
      </c>
      <c r="BA2747">
        <v>744</v>
      </c>
      <c r="BB2747">
        <v>46</v>
      </c>
      <c r="BD2747">
        <v>1</v>
      </c>
      <c r="BF2747" t="s">
        <v>2947</v>
      </c>
      <c r="BG2747" s="1">
        <v>44354.25277777778</v>
      </c>
      <c r="BH2747" s="1">
        <v>44354.262303240743</v>
      </c>
      <c r="BI2747" s="1">
        <v>44354.264652777776</v>
      </c>
      <c r="BJ2747" t="s">
        <v>85</v>
      </c>
      <c r="BK2747" t="s">
        <v>86</v>
      </c>
      <c r="BL2747" t="s">
        <v>87</v>
      </c>
    </row>
    <row r="2748" spans="1:64" x14ac:dyDescent="0.3">
      <c r="A2748" t="str">
        <f>"201844E0100"</f>
        <v>201844E0100</v>
      </c>
      <c r="B2748" t="str">
        <f>"201844E01003"</f>
        <v>201844E01003</v>
      </c>
      <c r="C2748" t="str">
        <f t="shared" si="184"/>
        <v>20</v>
      </c>
      <c r="D2748" t="s">
        <v>81</v>
      </c>
      <c r="E2748" t="str">
        <f t="shared" si="187"/>
        <v>414</v>
      </c>
      <c r="F2748" t="s">
        <v>2932</v>
      </c>
      <c r="G2748" t="str">
        <f>"1844"</f>
        <v>1844</v>
      </c>
      <c r="H2748" t="str">
        <f>"0001"</f>
        <v>0001</v>
      </c>
      <c r="I2748" t="s">
        <v>122</v>
      </c>
      <c r="J2748">
        <v>0</v>
      </c>
      <c r="K2748">
        <v>1</v>
      </c>
      <c r="L2748">
        <v>3</v>
      </c>
      <c r="M2748">
        <v>227</v>
      </c>
      <c r="N2748">
        <v>334</v>
      </c>
      <c r="O2748">
        <v>5</v>
      </c>
      <c r="P2748">
        <v>334</v>
      </c>
      <c r="Q2748">
        <v>4</v>
      </c>
      <c r="R2748">
        <v>26</v>
      </c>
      <c r="S2748">
        <v>21</v>
      </c>
      <c r="T2748">
        <v>6</v>
      </c>
      <c r="U2748">
        <v>2</v>
      </c>
      <c r="V2748">
        <v>7</v>
      </c>
      <c r="W2748">
        <v>3</v>
      </c>
      <c r="X2748">
        <v>116</v>
      </c>
      <c r="Y2748">
        <v>36</v>
      </c>
      <c r="Z2748">
        <v>3</v>
      </c>
      <c r="AA2748">
        <v>6</v>
      </c>
      <c r="AB2748">
        <v>88</v>
      </c>
      <c r="AC2748">
        <v>1</v>
      </c>
      <c r="AJ2748">
        <v>1</v>
      </c>
      <c r="AK2748">
        <v>1</v>
      </c>
      <c r="AL2748" t="s">
        <v>95</v>
      </c>
      <c r="AM2748" t="s">
        <v>95</v>
      </c>
      <c r="AN2748" t="s">
        <v>95</v>
      </c>
      <c r="AO2748" t="s">
        <v>95</v>
      </c>
      <c r="AP2748" t="s">
        <v>95</v>
      </c>
      <c r="AQ2748" t="s">
        <v>95</v>
      </c>
      <c r="AR2748" t="s">
        <v>95</v>
      </c>
      <c r="AS2748" t="s">
        <v>95</v>
      </c>
      <c r="AT2748" t="s">
        <v>95</v>
      </c>
      <c r="AU2748" t="s">
        <v>95</v>
      </c>
      <c r="AW2748" t="s">
        <v>95</v>
      </c>
      <c r="AX2748">
        <v>13</v>
      </c>
      <c r="AY2748">
        <v>334</v>
      </c>
      <c r="AZ2748">
        <v>334</v>
      </c>
      <c r="BA2748">
        <v>515</v>
      </c>
      <c r="BB2748">
        <v>46</v>
      </c>
      <c r="BC2748" t="s">
        <v>96</v>
      </c>
      <c r="BD2748">
        <v>1</v>
      </c>
      <c r="BF2748" t="s">
        <v>2948</v>
      </c>
      <c r="BG2748" s="1">
        <v>44354.255555555559</v>
      </c>
      <c r="BH2748" s="1">
        <v>44354.257071759261</v>
      </c>
      <c r="BI2748" s="1">
        <v>44354.257824074077</v>
      </c>
      <c r="BJ2748" t="s">
        <v>85</v>
      </c>
      <c r="BK2748" t="s">
        <v>86</v>
      </c>
      <c r="BL2748" t="s">
        <v>87</v>
      </c>
    </row>
    <row r="2749" spans="1:64" x14ac:dyDescent="0.3">
      <c r="A2749" t="str">
        <f>"201844E0200"</f>
        <v>201844E0200</v>
      </c>
      <c r="B2749" t="str">
        <f>"201844E02003"</f>
        <v>201844E02003</v>
      </c>
      <c r="C2749" t="str">
        <f t="shared" si="184"/>
        <v>20</v>
      </c>
      <c r="D2749" t="s">
        <v>81</v>
      </c>
      <c r="E2749" t="str">
        <f t="shared" si="187"/>
        <v>414</v>
      </c>
      <c r="F2749" t="s">
        <v>2932</v>
      </c>
      <c r="G2749" t="str">
        <f>"1844"</f>
        <v>1844</v>
      </c>
      <c r="H2749" t="str">
        <f>"0002"</f>
        <v>0002</v>
      </c>
      <c r="I2749" t="s">
        <v>122</v>
      </c>
      <c r="J2749">
        <v>0</v>
      </c>
      <c r="K2749">
        <v>1</v>
      </c>
      <c r="L2749">
        <v>3</v>
      </c>
      <c r="M2749">
        <v>191</v>
      </c>
      <c r="N2749">
        <v>327</v>
      </c>
      <c r="O2749">
        <v>4</v>
      </c>
      <c r="P2749">
        <v>327</v>
      </c>
      <c r="Q2749">
        <v>0</v>
      </c>
      <c r="R2749">
        <v>10</v>
      </c>
      <c r="S2749">
        <v>49</v>
      </c>
      <c r="T2749">
        <v>2</v>
      </c>
      <c r="U2749">
        <v>8</v>
      </c>
      <c r="V2749">
        <v>3</v>
      </c>
      <c r="W2749">
        <v>2</v>
      </c>
      <c r="X2749">
        <v>143</v>
      </c>
      <c r="Y2749">
        <v>15</v>
      </c>
      <c r="Z2749">
        <v>6</v>
      </c>
      <c r="AA2749">
        <v>3</v>
      </c>
      <c r="AB2749">
        <v>73</v>
      </c>
      <c r="AC2749">
        <v>1</v>
      </c>
      <c r="AJ2749">
        <v>0</v>
      </c>
      <c r="AK2749">
        <v>1</v>
      </c>
      <c r="AL2749">
        <v>0</v>
      </c>
      <c r="AM2749">
        <v>0</v>
      </c>
      <c r="AN2749">
        <v>0</v>
      </c>
      <c r="AO2749">
        <v>0</v>
      </c>
      <c r="AP2749">
        <v>0</v>
      </c>
      <c r="AQ2749">
        <v>0</v>
      </c>
      <c r="AR2749">
        <v>1</v>
      </c>
      <c r="AS2749">
        <v>0</v>
      </c>
      <c r="AT2749">
        <v>0</v>
      </c>
      <c r="AU2749">
        <v>0</v>
      </c>
      <c r="AW2749">
        <v>0</v>
      </c>
      <c r="AX2749">
        <v>10</v>
      </c>
      <c r="AY2749">
        <v>327</v>
      </c>
      <c r="AZ2749">
        <v>327</v>
      </c>
      <c r="BA2749">
        <v>472</v>
      </c>
      <c r="BB2749">
        <v>46</v>
      </c>
      <c r="BD2749">
        <v>1</v>
      </c>
      <c r="BF2749" t="s">
        <v>2949</v>
      </c>
      <c r="BG2749" s="1">
        <v>44354.257638888892</v>
      </c>
      <c r="BH2749" s="1">
        <v>44354.260104166664</v>
      </c>
      <c r="BI2749" s="1">
        <v>44354.261099537034</v>
      </c>
      <c r="BJ2749" t="s">
        <v>85</v>
      </c>
      <c r="BK2749" t="s">
        <v>86</v>
      </c>
      <c r="BL2749" t="s">
        <v>87</v>
      </c>
    </row>
    <row r="2750" spans="1:64" x14ac:dyDescent="0.3">
      <c r="A2750" t="str">
        <f>"201844E0300"</f>
        <v>201844E0300</v>
      </c>
      <c r="B2750" t="str">
        <f>"201844E03003"</f>
        <v>201844E03003</v>
      </c>
      <c r="C2750" t="str">
        <f t="shared" si="184"/>
        <v>20</v>
      </c>
      <c r="D2750" t="s">
        <v>81</v>
      </c>
      <c r="E2750" t="str">
        <f t="shared" si="187"/>
        <v>414</v>
      </c>
      <c r="F2750" t="s">
        <v>2932</v>
      </c>
      <c r="G2750" t="str">
        <f>"1844"</f>
        <v>1844</v>
      </c>
      <c r="H2750" t="str">
        <f>"0003"</f>
        <v>0003</v>
      </c>
      <c r="I2750" t="s">
        <v>122</v>
      </c>
      <c r="J2750">
        <v>0</v>
      </c>
      <c r="K2750">
        <v>1</v>
      </c>
      <c r="L2750">
        <v>3</v>
      </c>
      <c r="M2750">
        <v>335</v>
      </c>
      <c r="N2750">
        <v>441</v>
      </c>
      <c r="O2750">
        <v>9</v>
      </c>
      <c r="P2750">
        <v>4</v>
      </c>
      <c r="Q2750">
        <v>9</v>
      </c>
      <c r="R2750">
        <v>16</v>
      </c>
      <c r="S2750">
        <v>43</v>
      </c>
      <c r="T2750">
        <v>1</v>
      </c>
      <c r="U2750">
        <v>5</v>
      </c>
      <c r="V2750">
        <v>6</v>
      </c>
      <c r="W2750">
        <v>7</v>
      </c>
      <c r="X2750">
        <v>176</v>
      </c>
      <c r="Y2750">
        <v>19</v>
      </c>
      <c r="Z2750">
        <v>5</v>
      </c>
      <c r="AA2750">
        <v>4</v>
      </c>
      <c r="AB2750">
        <v>121</v>
      </c>
      <c r="AC2750">
        <v>2</v>
      </c>
      <c r="AJ2750">
        <v>0</v>
      </c>
      <c r="AK2750">
        <v>1</v>
      </c>
      <c r="AL2750">
        <v>0</v>
      </c>
      <c r="AM2750">
        <v>0</v>
      </c>
      <c r="AN2750">
        <v>0</v>
      </c>
      <c r="AO2750">
        <v>1</v>
      </c>
      <c r="AP2750">
        <v>0</v>
      </c>
      <c r="AQ2750">
        <v>0</v>
      </c>
      <c r="AR2750">
        <v>0</v>
      </c>
      <c r="AS2750">
        <v>0</v>
      </c>
      <c r="AT2750">
        <v>0</v>
      </c>
      <c r="AU2750">
        <v>0</v>
      </c>
      <c r="AW2750">
        <v>0</v>
      </c>
      <c r="AX2750">
        <v>17</v>
      </c>
      <c r="AY2750">
        <v>433</v>
      </c>
      <c r="AZ2750">
        <v>433</v>
      </c>
      <c r="BA2750">
        <v>726</v>
      </c>
      <c r="BB2750">
        <v>46</v>
      </c>
      <c r="BD2750">
        <v>1</v>
      </c>
      <c r="BF2750" t="s">
        <v>2950</v>
      </c>
      <c r="BG2750" s="1">
        <v>44354.25</v>
      </c>
      <c r="BH2750" s="1">
        <v>44354.251759259256</v>
      </c>
      <c r="BI2750" s="1">
        <v>44354.253368055557</v>
      </c>
      <c r="BJ2750" t="s">
        <v>85</v>
      </c>
      <c r="BK2750" t="s">
        <v>86</v>
      </c>
      <c r="BL2750" t="s">
        <v>87</v>
      </c>
    </row>
    <row r="2751" spans="1:64" x14ac:dyDescent="0.3">
      <c r="A2751" t="str">
        <f>"201845B0000"</f>
        <v>201845B0000</v>
      </c>
      <c r="B2751" t="str">
        <f>"201845B00003"</f>
        <v>201845B00003</v>
      </c>
      <c r="C2751" t="str">
        <f t="shared" si="184"/>
        <v>20</v>
      </c>
      <c r="D2751" t="s">
        <v>81</v>
      </c>
      <c r="E2751" t="str">
        <f t="shared" si="187"/>
        <v>414</v>
      </c>
      <c r="F2751" t="s">
        <v>2932</v>
      </c>
      <c r="G2751" t="str">
        <f t="shared" ref="G2751:G2759" si="189">"1845"</f>
        <v>1845</v>
      </c>
      <c r="H2751" t="str">
        <f>"0000"</f>
        <v>0000</v>
      </c>
      <c r="I2751" t="s">
        <v>83</v>
      </c>
      <c r="J2751">
        <v>0</v>
      </c>
      <c r="K2751">
        <v>1</v>
      </c>
      <c r="L2751">
        <v>3</v>
      </c>
      <c r="M2751">
        <v>350</v>
      </c>
      <c r="N2751">
        <v>364</v>
      </c>
      <c r="O2751">
        <v>12</v>
      </c>
      <c r="P2751" t="s">
        <v>92</v>
      </c>
      <c r="Q2751">
        <v>9</v>
      </c>
      <c r="R2751">
        <v>25</v>
      </c>
      <c r="S2751">
        <v>75</v>
      </c>
      <c r="T2751">
        <v>1</v>
      </c>
      <c r="U2751">
        <v>9</v>
      </c>
      <c r="V2751">
        <v>4</v>
      </c>
      <c r="W2751">
        <v>26</v>
      </c>
      <c r="X2751">
        <v>107</v>
      </c>
      <c r="Y2751">
        <v>19</v>
      </c>
      <c r="Z2751">
        <v>4</v>
      </c>
      <c r="AA2751">
        <v>3</v>
      </c>
      <c r="AB2751">
        <v>51</v>
      </c>
      <c r="AC2751">
        <v>12</v>
      </c>
      <c r="AJ2751">
        <v>1</v>
      </c>
      <c r="AK2751">
        <v>2</v>
      </c>
      <c r="AL2751">
        <v>0</v>
      </c>
      <c r="AM2751">
        <v>0</v>
      </c>
      <c r="AN2751">
        <v>0</v>
      </c>
      <c r="AO2751">
        <v>0</v>
      </c>
      <c r="AP2751">
        <v>2</v>
      </c>
      <c r="AQ2751">
        <v>0</v>
      </c>
      <c r="AR2751">
        <v>3</v>
      </c>
      <c r="AS2751">
        <v>0</v>
      </c>
      <c r="AT2751">
        <v>2</v>
      </c>
      <c r="AU2751">
        <v>0</v>
      </c>
      <c r="AW2751">
        <v>0</v>
      </c>
      <c r="AX2751">
        <v>9</v>
      </c>
      <c r="AY2751">
        <v>364</v>
      </c>
      <c r="AZ2751">
        <v>364</v>
      </c>
      <c r="BA2751">
        <v>666</v>
      </c>
      <c r="BB2751">
        <v>46</v>
      </c>
      <c r="BD2751">
        <v>1</v>
      </c>
      <c r="BF2751" t="s">
        <v>2951</v>
      </c>
      <c r="BG2751" s="1">
        <v>44354.149305555555</v>
      </c>
      <c r="BH2751" s="1">
        <v>44354.150972222225</v>
      </c>
      <c r="BI2751" s="1">
        <v>44354.152962962966</v>
      </c>
      <c r="BJ2751" t="s">
        <v>85</v>
      </c>
      <c r="BK2751" t="s">
        <v>86</v>
      </c>
      <c r="BL2751" t="s">
        <v>87</v>
      </c>
    </row>
    <row r="2752" spans="1:64" x14ac:dyDescent="0.3">
      <c r="A2752" t="str">
        <f>"201845C0100"</f>
        <v>201845C0100</v>
      </c>
      <c r="B2752" t="str">
        <f>"201845C01003"</f>
        <v>201845C01003</v>
      </c>
      <c r="C2752" t="str">
        <f t="shared" si="184"/>
        <v>20</v>
      </c>
      <c r="D2752" t="s">
        <v>81</v>
      </c>
      <c r="E2752" t="str">
        <f t="shared" si="187"/>
        <v>414</v>
      </c>
      <c r="F2752" t="s">
        <v>2932</v>
      </c>
      <c r="G2752" t="str">
        <f t="shared" si="189"/>
        <v>1845</v>
      </c>
      <c r="H2752" t="str">
        <f>"0001"</f>
        <v>0001</v>
      </c>
      <c r="I2752" t="s">
        <v>89</v>
      </c>
      <c r="J2752">
        <v>0</v>
      </c>
      <c r="K2752">
        <v>1</v>
      </c>
      <c r="L2752">
        <v>3</v>
      </c>
      <c r="M2752">
        <v>370</v>
      </c>
      <c r="N2752">
        <v>342</v>
      </c>
      <c r="O2752">
        <v>6</v>
      </c>
      <c r="P2752" t="s">
        <v>92</v>
      </c>
      <c r="Q2752">
        <v>8</v>
      </c>
      <c r="R2752">
        <v>27</v>
      </c>
      <c r="S2752">
        <v>75</v>
      </c>
      <c r="T2752">
        <v>1</v>
      </c>
      <c r="U2752">
        <v>9</v>
      </c>
      <c r="V2752">
        <v>2</v>
      </c>
      <c r="W2752">
        <v>19</v>
      </c>
      <c r="X2752">
        <v>103</v>
      </c>
      <c r="Y2752">
        <v>14</v>
      </c>
      <c r="Z2752">
        <v>1</v>
      </c>
      <c r="AA2752">
        <v>0</v>
      </c>
      <c r="AB2752">
        <v>65</v>
      </c>
      <c r="AC2752">
        <v>10</v>
      </c>
      <c r="AJ2752">
        <v>0</v>
      </c>
      <c r="AK2752">
        <v>0</v>
      </c>
      <c r="AL2752">
        <v>0</v>
      </c>
      <c r="AM2752">
        <v>0</v>
      </c>
      <c r="AN2752">
        <v>1</v>
      </c>
      <c r="AO2752">
        <v>0</v>
      </c>
      <c r="AP2752">
        <v>0</v>
      </c>
      <c r="AQ2752">
        <v>0</v>
      </c>
      <c r="AR2752">
        <v>0</v>
      </c>
      <c r="AS2752">
        <v>0</v>
      </c>
      <c r="AT2752">
        <v>0</v>
      </c>
      <c r="AU2752">
        <v>0</v>
      </c>
      <c r="AW2752">
        <v>1</v>
      </c>
      <c r="AX2752">
        <v>6</v>
      </c>
      <c r="AY2752">
        <v>342</v>
      </c>
      <c r="AZ2752">
        <v>342</v>
      </c>
      <c r="BA2752">
        <v>666</v>
      </c>
      <c r="BB2752">
        <v>46</v>
      </c>
      <c r="BD2752">
        <v>1</v>
      </c>
      <c r="BF2752" t="s">
        <v>2952</v>
      </c>
      <c r="BG2752" s="1">
        <v>44354.155555555553</v>
      </c>
      <c r="BH2752" s="1">
        <v>44354.158807870372</v>
      </c>
      <c r="BI2752" s="1">
        <v>44354.160138888888</v>
      </c>
      <c r="BJ2752" t="s">
        <v>85</v>
      </c>
      <c r="BK2752" t="s">
        <v>86</v>
      </c>
      <c r="BL2752" t="s">
        <v>1390</v>
      </c>
    </row>
    <row r="2753" spans="1:64" x14ac:dyDescent="0.3">
      <c r="A2753" t="str">
        <f>"201845C0200"</f>
        <v>201845C0200</v>
      </c>
      <c r="B2753" t="str">
        <f>"201845C02003"</f>
        <v>201845C02003</v>
      </c>
      <c r="C2753" t="str">
        <f t="shared" si="184"/>
        <v>20</v>
      </c>
      <c r="D2753" t="s">
        <v>81</v>
      </c>
      <c r="E2753" t="str">
        <f t="shared" si="187"/>
        <v>414</v>
      </c>
      <c r="F2753" t="s">
        <v>2932</v>
      </c>
      <c r="G2753" t="str">
        <f t="shared" si="189"/>
        <v>1845</v>
      </c>
      <c r="H2753" t="str">
        <f>"0002"</f>
        <v>0002</v>
      </c>
      <c r="I2753" t="s">
        <v>89</v>
      </c>
      <c r="J2753">
        <v>0</v>
      </c>
      <c r="K2753">
        <v>1</v>
      </c>
      <c r="L2753">
        <v>3</v>
      </c>
      <c r="M2753">
        <v>359</v>
      </c>
      <c r="N2753">
        <v>353</v>
      </c>
      <c r="O2753">
        <v>9</v>
      </c>
      <c r="P2753">
        <v>353</v>
      </c>
      <c r="Q2753">
        <v>10</v>
      </c>
      <c r="R2753">
        <v>14</v>
      </c>
      <c r="S2753">
        <v>76</v>
      </c>
      <c r="T2753">
        <v>0</v>
      </c>
      <c r="U2753">
        <v>5</v>
      </c>
      <c r="V2753">
        <v>2</v>
      </c>
      <c r="W2753">
        <v>23</v>
      </c>
      <c r="X2753">
        <v>112</v>
      </c>
      <c r="Y2753">
        <v>14</v>
      </c>
      <c r="Z2753">
        <v>4</v>
      </c>
      <c r="AA2753">
        <v>2</v>
      </c>
      <c r="AB2753">
        <v>67</v>
      </c>
      <c r="AC2753">
        <v>7</v>
      </c>
      <c r="AJ2753">
        <v>1</v>
      </c>
      <c r="AK2753">
        <v>1</v>
      </c>
      <c r="AL2753">
        <v>1</v>
      </c>
      <c r="AM2753">
        <v>0</v>
      </c>
      <c r="AN2753">
        <v>4</v>
      </c>
      <c r="AO2753">
        <v>0</v>
      </c>
      <c r="AP2753">
        <v>0</v>
      </c>
      <c r="AQ2753">
        <v>0</v>
      </c>
      <c r="AR2753">
        <v>2</v>
      </c>
      <c r="AS2753">
        <v>0</v>
      </c>
      <c r="AT2753">
        <v>0</v>
      </c>
      <c r="AU2753">
        <v>0</v>
      </c>
      <c r="AW2753">
        <v>0</v>
      </c>
      <c r="AX2753">
        <v>8</v>
      </c>
      <c r="AY2753">
        <v>353</v>
      </c>
      <c r="AZ2753">
        <v>353</v>
      </c>
      <c r="BA2753">
        <v>666</v>
      </c>
      <c r="BB2753">
        <v>46</v>
      </c>
      <c r="BD2753">
        <v>1</v>
      </c>
      <c r="BF2753" t="s">
        <v>2953</v>
      </c>
      <c r="BG2753" s="1">
        <v>44354.152777777781</v>
      </c>
      <c r="BH2753" s="1">
        <v>44354.156481481485</v>
      </c>
      <c r="BI2753" s="1">
        <v>44354.157627314817</v>
      </c>
      <c r="BJ2753" t="s">
        <v>85</v>
      </c>
      <c r="BK2753" t="s">
        <v>86</v>
      </c>
      <c r="BL2753" t="s">
        <v>87</v>
      </c>
    </row>
    <row r="2754" spans="1:64" x14ac:dyDescent="0.3">
      <c r="A2754" t="str">
        <f>"201845C0300"</f>
        <v>201845C0300</v>
      </c>
      <c r="B2754" t="str">
        <f>"201845C03003"</f>
        <v>201845C03003</v>
      </c>
      <c r="C2754" t="str">
        <f t="shared" si="184"/>
        <v>20</v>
      </c>
      <c r="D2754" t="s">
        <v>81</v>
      </c>
      <c r="E2754" t="str">
        <f t="shared" si="187"/>
        <v>414</v>
      </c>
      <c r="F2754" t="s">
        <v>2932</v>
      </c>
      <c r="G2754" t="str">
        <f t="shared" si="189"/>
        <v>1845</v>
      </c>
      <c r="H2754" t="str">
        <f>"0003"</f>
        <v>0003</v>
      </c>
      <c r="I2754" t="s">
        <v>89</v>
      </c>
      <c r="J2754">
        <v>0</v>
      </c>
      <c r="K2754">
        <v>1</v>
      </c>
      <c r="L2754">
        <v>3</v>
      </c>
      <c r="M2754">
        <v>372</v>
      </c>
      <c r="N2754">
        <v>340</v>
      </c>
      <c r="O2754">
        <v>9</v>
      </c>
      <c r="P2754">
        <v>0</v>
      </c>
      <c r="Q2754">
        <v>8</v>
      </c>
      <c r="R2754">
        <v>15</v>
      </c>
      <c r="S2754">
        <v>89</v>
      </c>
      <c r="T2754">
        <v>2</v>
      </c>
      <c r="U2754">
        <v>12</v>
      </c>
      <c r="V2754">
        <v>3</v>
      </c>
      <c r="W2754">
        <v>15</v>
      </c>
      <c r="X2754">
        <v>100</v>
      </c>
      <c r="Y2754">
        <v>13</v>
      </c>
      <c r="Z2754">
        <v>1</v>
      </c>
      <c r="AA2754">
        <v>4</v>
      </c>
      <c r="AB2754">
        <v>53</v>
      </c>
      <c r="AC2754">
        <v>12</v>
      </c>
      <c r="AJ2754">
        <v>1</v>
      </c>
      <c r="AK2754">
        <v>0</v>
      </c>
      <c r="AL2754">
        <v>0</v>
      </c>
      <c r="AM2754">
        <v>0</v>
      </c>
      <c r="AN2754">
        <v>1</v>
      </c>
      <c r="AO2754">
        <v>0</v>
      </c>
      <c r="AP2754">
        <v>0</v>
      </c>
      <c r="AQ2754">
        <v>0</v>
      </c>
      <c r="AR2754">
        <v>0</v>
      </c>
      <c r="AS2754">
        <v>0</v>
      </c>
      <c r="AT2754">
        <v>1</v>
      </c>
      <c r="AU2754">
        <v>0</v>
      </c>
      <c r="AW2754">
        <v>1</v>
      </c>
      <c r="AX2754">
        <v>9</v>
      </c>
      <c r="AY2754">
        <v>340</v>
      </c>
      <c r="AZ2754">
        <v>340</v>
      </c>
      <c r="BA2754">
        <v>666</v>
      </c>
      <c r="BB2754">
        <v>46</v>
      </c>
      <c r="BD2754">
        <v>1</v>
      </c>
      <c r="BF2754" t="s">
        <v>2954</v>
      </c>
      <c r="BG2754" s="1">
        <v>44354.142361111109</v>
      </c>
      <c r="BH2754" s="1">
        <v>44354.144317129627</v>
      </c>
      <c r="BI2754" s="1">
        <v>44354.145590277774</v>
      </c>
      <c r="BJ2754" t="s">
        <v>85</v>
      </c>
      <c r="BK2754" t="s">
        <v>86</v>
      </c>
      <c r="BL2754" t="s">
        <v>87</v>
      </c>
    </row>
    <row r="2755" spans="1:64" x14ac:dyDescent="0.3">
      <c r="A2755" t="str">
        <f>"201845C0400"</f>
        <v>201845C0400</v>
      </c>
      <c r="B2755" t="str">
        <f>"201845C04003"</f>
        <v>201845C04003</v>
      </c>
      <c r="C2755" t="str">
        <f t="shared" si="184"/>
        <v>20</v>
      </c>
      <c r="D2755" t="s">
        <v>81</v>
      </c>
      <c r="E2755" t="str">
        <f t="shared" si="187"/>
        <v>414</v>
      </c>
      <c r="F2755" t="s">
        <v>2932</v>
      </c>
      <c r="G2755" t="str">
        <f t="shared" si="189"/>
        <v>1845</v>
      </c>
      <c r="H2755" t="str">
        <f>"0004"</f>
        <v>0004</v>
      </c>
      <c r="I2755" t="s">
        <v>89</v>
      </c>
      <c r="J2755">
        <v>0</v>
      </c>
      <c r="K2755">
        <v>1</v>
      </c>
      <c r="L2755">
        <v>3</v>
      </c>
      <c r="M2755">
        <v>364</v>
      </c>
      <c r="N2755">
        <v>348</v>
      </c>
      <c r="O2755">
        <v>4</v>
      </c>
      <c r="P2755">
        <v>348</v>
      </c>
      <c r="Q2755">
        <v>10</v>
      </c>
      <c r="R2755">
        <v>23</v>
      </c>
      <c r="S2755">
        <v>89</v>
      </c>
      <c r="T2755">
        <v>3</v>
      </c>
      <c r="U2755">
        <v>11</v>
      </c>
      <c r="V2755">
        <v>4</v>
      </c>
      <c r="W2755">
        <v>18</v>
      </c>
      <c r="X2755">
        <v>105</v>
      </c>
      <c r="Y2755">
        <v>12</v>
      </c>
      <c r="Z2755">
        <v>4</v>
      </c>
      <c r="AA2755">
        <v>5</v>
      </c>
      <c r="AB2755">
        <v>46</v>
      </c>
      <c r="AC2755">
        <v>6</v>
      </c>
      <c r="AJ2755">
        <v>0</v>
      </c>
      <c r="AK2755">
        <v>1</v>
      </c>
      <c r="AL2755">
        <v>0</v>
      </c>
      <c r="AM2755">
        <v>0</v>
      </c>
      <c r="AN2755">
        <v>0</v>
      </c>
      <c r="AO2755">
        <v>1</v>
      </c>
      <c r="AP2755">
        <v>0</v>
      </c>
      <c r="AQ2755">
        <v>0</v>
      </c>
      <c r="AR2755">
        <v>1</v>
      </c>
      <c r="AS2755">
        <v>0</v>
      </c>
      <c r="AT2755">
        <v>0</v>
      </c>
      <c r="AU2755">
        <v>0</v>
      </c>
      <c r="AW2755">
        <v>1</v>
      </c>
      <c r="AX2755">
        <v>8</v>
      </c>
      <c r="AY2755">
        <v>348</v>
      </c>
      <c r="AZ2755">
        <v>348</v>
      </c>
      <c r="BA2755">
        <v>666</v>
      </c>
      <c r="BB2755">
        <v>46</v>
      </c>
      <c r="BD2755">
        <v>1</v>
      </c>
      <c r="BF2755" t="s">
        <v>2955</v>
      </c>
      <c r="BG2755" s="1">
        <v>44354.186805555553</v>
      </c>
      <c r="BH2755" s="1">
        <v>44354.188969907409</v>
      </c>
      <c r="BI2755" s="1">
        <v>44354.190023148149</v>
      </c>
      <c r="BJ2755" t="s">
        <v>85</v>
      </c>
      <c r="BK2755" t="s">
        <v>86</v>
      </c>
      <c r="BL2755" t="s">
        <v>87</v>
      </c>
    </row>
    <row r="2756" spans="1:64" x14ac:dyDescent="0.3">
      <c r="A2756" t="str">
        <f>"201845C0500"</f>
        <v>201845C0500</v>
      </c>
      <c r="B2756" t="str">
        <f>"201845C05003"</f>
        <v>201845C05003</v>
      </c>
      <c r="C2756" t="str">
        <f t="shared" si="184"/>
        <v>20</v>
      </c>
      <c r="D2756" t="s">
        <v>81</v>
      </c>
      <c r="E2756" t="str">
        <f t="shared" si="187"/>
        <v>414</v>
      </c>
      <c r="F2756" t="s">
        <v>2932</v>
      </c>
      <c r="G2756" t="str">
        <f t="shared" si="189"/>
        <v>1845</v>
      </c>
      <c r="H2756" t="str">
        <f>"0005"</f>
        <v>0005</v>
      </c>
      <c r="I2756" t="s">
        <v>89</v>
      </c>
      <c r="J2756">
        <v>0</v>
      </c>
      <c r="K2756">
        <v>1</v>
      </c>
      <c r="L2756">
        <v>3</v>
      </c>
      <c r="M2756">
        <v>355</v>
      </c>
      <c r="N2756">
        <v>356</v>
      </c>
      <c r="O2756">
        <v>8</v>
      </c>
      <c r="P2756">
        <v>357</v>
      </c>
      <c r="Q2756">
        <v>9</v>
      </c>
      <c r="R2756">
        <v>12</v>
      </c>
      <c r="S2756">
        <v>74</v>
      </c>
      <c r="T2756">
        <v>2</v>
      </c>
      <c r="U2756">
        <v>7</v>
      </c>
      <c r="V2756">
        <v>2</v>
      </c>
      <c r="W2756">
        <v>21</v>
      </c>
      <c r="X2756">
        <v>130</v>
      </c>
      <c r="Y2756">
        <v>13</v>
      </c>
      <c r="Z2756">
        <v>1</v>
      </c>
      <c r="AA2756">
        <v>1</v>
      </c>
      <c r="AB2756">
        <v>66</v>
      </c>
      <c r="AC2756">
        <v>4</v>
      </c>
      <c r="AJ2756">
        <v>0</v>
      </c>
      <c r="AK2756">
        <v>0</v>
      </c>
      <c r="AL2756">
        <v>0</v>
      </c>
      <c r="AM2756">
        <v>0</v>
      </c>
      <c r="AN2756">
        <v>0</v>
      </c>
      <c r="AO2756">
        <v>0</v>
      </c>
      <c r="AP2756">
        <v>0</v>
      </c>
      <c r="AQ2756">
        <v>0</v>
      </c>
      <c r="AR2756">
        <v>1</v>
      </c>
      <c r="AS2756">
        <v>0</v>
      </c>
      <c r="AT2756">
        <v>0</v>
      </c>
      <c r="AU2756">
        <v>0</v>
      </c>
      <c r="AW2756">
        <v>0</v>
      </c>
      <c r="AX2756">
        <v>13</v>
      </c>
      <c r="AY2756">
        <v>356</v>
      </c>
      <c r="AZ2756">
        <v>356</v>
      </c>
      <c r="BA2756">
        <v>666</v>
      </c>
      <c r="BB2756">
        <v>46</v>
      </c>
      <c r="BD2756">
        <v>1</v>
      </c>
      <c r="BF2756" t="s">
        <v>2956</v>
      </c>
      <c r="BG2756" s="1">
        <v>44354.177083333336</v>
      </c>
      <c r="BH2756" s="1">
        <v>44354.1797337963</v>
      </c>
      <c r="BI2756" s="1">
        <v>44354.181689814817</v>
      </c>
      <c r="BJ2756" t="s">
        <v>85</v>
      </c>
      <c r="BK2756" t="s">
        <v>86</v>
      </c>
      <c r="BL2756" t="s">
        <v>87</v>
      </c>
    </row>
    <row r="2757" spans="1:64" x14ac:dyDescent="0.3">
      <c r="A2757" t="str">
        <f>"201845C0600"</f>
        <v>201845C0600</v>
      </c>
      <c r="B2757" t="str">
        <f>"201845C06003"</f>
        <v>201845C06003</v>
      </c>
      <c r="C2757" t="str">
        <f t="shared" si="184"/>
        <v>20</v>
      </c>
      <c r="D2757" t="s">
        <v>81</v>
      </c>
      <c r="E2757" t="str">
        <f t="shared" si="187"/>
        <v>414</v>
      </c>
      <c r="F2757" t="s">
        <v>2932</v>
      </c>
      <c r="G2757" t="str">
        <f t="shared" si="189"/>
        <v>1845</v>
      </c>
      <c r="H2757" t="str">
        <f>"0006"</f>
        <v>0006</v>
      </c>
      <c r="I2757" t="s">
        <v>89</v>
      </c>
      <c r="J2757">
        <v>0</v>
      </c>
      <c r="K2757">
        <v>1</v>
      </c>
      <c r="L2757">
        <v>3</v>
      </c>
      <c r="M2757">
        <v>351</v>
      </c>
      <c r="N2757">
        <v>361</v>
      </c>
      <c r="O2757">
        <v>12</v>
      </c>
      <c r="P2757">
        <v>361</v>
      </c>
      <c r="Q2757">
        <v>7</v>
      </c>
      <c r="R2757">
        <v>21</v>
      </c>
      <c r="S2757">
        <v>69</v>
      </c>
      <c r="T2757">
        <v>1</v>
      </c>
      <c r="U2757">
        <v>8</v>
      </c>
      <c r="V2757">
        <v>5</v>
      </c>
      <c r="W2757">
        <v>28</v>
      </c>
      <c r="X2757">
        <v>99</v>
      </c>
      <c r="Y2757">
        <v>22</v>
      </c>
      <c r="Z2757">
        <v>5</v>
      </c>
      <c r="AA2757">
        <v>5</v>
      </c>
      <c r="AB2757">
        <v>69</v>
      </c>
      <c r="AC2757">
        <v>8</v>
      </c>
      <c r="AJ2757">
        <v>2</v>
      </c>
      <c r="AK2757">
        <v>0</v>
      </c>
      <c r="AL2757">
        <v>0</v>
      </c>
      <c r="AM2757">
        <v>0</v>
      </c>
      <c r="AN2757">
        <v>0</v>
      </c>
      <c r="AO2757">
        <v>0</v>
      </c>
      <c r="AP2757">
        <v>0</v>
      </c>
      <c r="AQ2757">
        <v>0</v>
      </c>
      <c r="AR2757">
        <v>0</v>
      </c>
      <c r="AS2757">
        <v>0</v>
      </c>
      <c r="AT2757">
        <v>0</v>
      </c>
      <c r="AU2757">
        <v>0</v>
      </c>
      <c r="AW2757">
        <v>2</v>
      </c>
      <c r="AX2757">
        <v>10</v>
      </c>
      <c r="AY2757">
        <v>361</v>
      </c>
      <c r="AZ2757">
        <v>361</v>
      </c>
      <c r="BA2757">
        <v>666</v>
      </c>
      <c r="BB2757">
        <v>46</v>
      </c>
      <c r="BD2757">
        <v>1</v>
      </c>
      <c r="BF2757" t="s">
        <v>2957</v>
      </c>
      <c r="BG2757" s="1">
        <v>44354.179861111108</v>
      </c>
      <c r="BH2757" s="1">
        <v>44354.191863425927</v>
      </c>
      <c r="BI2757" s="1">
        <v>44354.203715277778</v>
      </c>
      <c r="BJ2757" t="s">
        <v>85</v>
      </c>
      <c r="BK2757" t="s">
        <v>86</v>
      </c>
      <c r="BL2757" t="s">
        <v>87</v>
      </c>
    </row>
    <row r="2758" spans="1:64" x14ac:dyDescent="0.3">
      <c r="A2758" t="str">
        <f>"201845C0700"</f>
        <v>201845C0700</v>
      </c>
      <c r="B2758" t="str">
        <f>"201845C07003"</f>
        <v>201845C07003</v>
      </c>
      <c r="C2758" t="str">
        <f t="shared" si="184"/>
        <v>20</v>
      </c>
      <c r="D2758" t="s">
        <v>81</v>
      </c>
      <c r="E2758" t="str">
        <f t="shared" si="187"/>
        <v>414</v>
      </c>
      <c r="F2758" t="s">
        <v>2932</v>
      </c>
      <c r="G2758" t="str">
        <f t="shared" si="189"/>
        <v>1845</v>
      </c>
      <c r="H2758" t="str">
        <f>"0007"</f>
        <v>0007</v>
      </c>
      <c r="I2758" t="s">
        <v>89</v>
      </c>
      <c r="J2758">
        <v>0</v>
      </c>
      <c r="K2758">
        <v>1</v>
      </c>
      <c r="L2758">
        <v>3</v>
      </c>
      <c r="M2758">
        <v>344</v>
      </c>
      <c r="N2758">
        <v>362</v>
      </c>
      <c r="O2758">
        <v>3</v>
      </c>
      <c r="P2758">
        <v>362</v>
      </c>
      <c r="Q2758">
        <v>8</v>
      </c>
      <c r="R2758">
        <v>18</v>
      </c>
      <c r="S2758">
        <v>98</v>
      </c>
      <c r="T2758">
        <v>0</v>
      </c>
      <c r="U2758">
        <v>16</v>
      </c>
      <c r="V2758">
        <v>1</v>
      </c>
      <c r="W2758">
        <v>18</v>
      </c>
      <c r="X2758">
        <v>99</v>
      </c>
      <c r="Y2758">
        <v>18</v>
      </c>
      <c r="Z2758">
        <v>4</v>
      </c>
      <c r="AA2758">
        <v>5</v>
      </c>
      <c r="AB2758">
        <v>58</v>
      </c>
      <c r="AC2758">
        <v>8</v>
      </c>
      <c r="AJ2758" t="s">
        <v>95</v>
      </c>
      <c r="AK2758" t="s">
        <v>95</v>
      </c>
      <c r="AL2758" t="s">
        <v>95</v>
      </c>
      <c r="AM2758" t="s">
        <v>95</v>
      </c>
      <c r="AN2758">
        <v>1</v>
      </c>
      <c r="AO2758" t="s">
        <v>95</v>
      </c>
      <c r="AP2758">
        <v>1</v>
      </c>
      <c r="AQ2758" t="s">
        <v>95</v>
      </c>
      <c r="AR2758">
        <v>1</v>
      </c>
      <c r="AS2758">
        <v>1</v>
      </c>
      <c r="AT2758">
        <v>1</v>
      </c>
      <c r="AU2758" t="s">
        <v>95</v>
      </c>
      <c r="AW2758" t="s">
        <v>95</v>
      </c>
      <c r="AX2758">
        <v>6</v>
      </c>
      <c r="AY2758" t="s">
        <v>95</v>
      </c>
      <c r="AZ2758">
        <v>362</v>
      </c>
      <c r="BA2758">
        <v>666</v>
      </c>
      <c r="BB2758">
        <v>46</v>
      </c>
      <c r="BC2758" t="s">
        <v>96</v>
      </c>
      <c r="BD2758">
        <v>1</v>
      </c>
      <c r="BF2758" t="s">
        <v>2958</v>
      </c>
      <c r="BG2758" s="1">
        <v>44354.172222222223</v>
      </c>
      <c r="BH2758" s="1">
        <v>44354.175868055558</v>
      </c>
      <c r="BI2758" s="1">
        <v>44354.177164351851</v>
      </c>
      <c r="BJ2758" t="s">
        <v>85</v>
      </c>
      <c r="BK2758" t="s">
        <v>86</v>
      </c>
      <c r="BL2758" t="s">
        <v>87</v>
      </c>
    </row>
    <row r="2759" spans="1:64" x14ac:dyDescent="0.3">
      <c r="A2759" t="str">
        <f>"201845S0100"</f>
        <v>201845S0100</v>
      </c>
      <c r="B2759" t="str">
        <f>"201845S01003E"</f>
        <v>201845S01003E</v>
      </c>
      <c r="C2759" t="str">
        <f t="shared" ref="C2759:C2822" si="190">"20"</f>
        <v>20</v>
      </c>
      <c r="D2759" t="s">
        <v>81</v>
      </c>
      <c r="E2759" t="str">
        <f t="shared" si="187"/>
        <v>414</v>
      </c>
      <c r="F2759" t="s">
        <v>2932</v>
      </c>
      <c r="G2759" t="str">
        <f t="shared" si="189"/>
        <v>1845</v>
      </c>
      <c r="H2759" t="str">
        <f>"0001"</f>
        <v>0001</v>
      </c>
      <c r="I2759" t="s">
        <v>99</v>
      </c>
      <c r="J2759">
        <v>0</v>
      </c>
      <c r="K2759">
        <v>1</v>
      </c>
      <c r="L2759" t="s">
        <v>100</v>
      </c>
      <c r="M2759">
        <v>919</v>
      </c>
      <c r="N2759">
        <v>81</v>
      </c>
      <c r="O2759">
        <v>0</v>
      </c>
      <c r="P2759">
        <v>81</v>
      </c>
      <c r="Q2759">
        <v>4</v>
      </c>
      <c r="R2759">
        <v>4</v>
      </c>
      <c r="S2759">
        <v>9</v>
      </c>
      <c r="T2759">
        <v>0</v>
      </c>
      <c r="U2759">
        <v>3</v>
      </c>
      <c r="V2759">
        <v>1</v>
      </c>
      <c r="W2759">
        <v>8</v>
      </c>
      <c r="X2759">
        <v>34</v>
      </c>
      <c r="Y2759">
        <v>2</v>
      </c>
      <c r="Z2759">
        <v>0</v>
      </c>
      <c r="AA2759">
        <v>1</v>
      </c>
      <c r="AB2759">
        <v>8</v>
      </c>
      <c r="AC2759">
        <v>3</v>
      </c>
      <c r="AJ2759">
        <v>1</v>
      </c>
      <c r="AK2759" t="s">
        <v>95</v>
      </c>
      <c r="AL2759" t="s">
        <v>95</v>
      </c>
      <c r="AM2759" t="s">
        <v>95</v>
      </c>
      <c r="AN2759" t="s">
        <v>95</v>
      </c>
      <c r="AO2759" t="s">
        <v>95</v>
      </c>
      <c r="AP2759" t="s">
        <v>95</v>
      </c>
      <c r="AQ2759" t="s">
        <v>95</v>
      </c>
      <c r="AR2759" t="s">
        <v>95</v>
      </c>
      <c r="AS2759" t="s">
        <v>95</v>
      </c>
      <c r="AT2759" t="s">
        <v>95</v>
      </c>
      <c r="AU2759" t="s">
        <v>95</v>
      </c>
      <c r="AW2759" t="s">
        <v>95</v>
      </c>
      <c r="AX2759">
        <v>3</v>
      </c>
      <c r="AY2759">
        <v>81</v>
      </c>
      <c r="AZ2759">
        <v>81</v>
      </c>
      <c r="BA2759">
        <v>0</v>
      </c>
      <c r="BB2759">
        <v>46</v>
      </c>
      <c r="BC2759" t="s">
        <v>96</v>
      </c>
      <c r="BD2759">
        <v>1</v>
      </c>
      <c r="BF2759" t="s">
        <v>2959</v>
      </c>
      <c r="BG2759" s="1">
        <v>44354.175694444442</v>
      </c>
      <c r="BH2759" s="1">
        <v>44354.177777777775</v>
      </c>
      <c r="BI2759" s="1">
        <v>44354.178379629629</v>
      </c>
      <c r="BJ2759" t="s">
        <v>85</v>
      </c>
      <c r="BK2759" t="s">
        <v>86</v>
      </c>
      <c r="BL2759" t="s">
        <v>87</v>
      </c>
    </row>
    <row r="2760" spans="1:64" x14ac:dyDescent="0.3">
      <c r="A2760" t="str">
        <f>"201846B0000"</f>
        <v>201846B0000</v>
      </c>
      <c r="B2760" t="str">
        <f>"201846B00003"</f>
        <v>201846B00003</v>
      </c>
      <c r="C2760" t="str">
        <f t="shared" si="190"/>
        <v>20</v>
      </c>
      <c r="D2760" t="s">
        <v>81</v>
      </c>
      <c r="E2760" t="str">
        <f t="shared" si="187"/>
        <v>414</v>
      </c>
      <c r="F2760" t="s">
        <v>2932</v>
      </c>
      <c r="G2760" t="str">
        <f t="shared" ref="G2760:G2775" si="191">"1846"</f>
        <v>1846</v>
      </c>
      <c r="H2760" t="str">
        <f>"0000"</f>
        <v>0000</v>
      </c>
      <c r="I2760" t="s">
        <v>83</v>
      </c>
      <c r="J2760">
        <v>0</v>
      </c>
      <c r="K2760">
        <v>1</v>
      </c>
      <c r="L2760">
        <v>3</v>
      </c>
      <c r="M2760">
        <v>348</v>
      </c>
      <c r="N2760">
        <v>394</v>
      </c>
      <c r="O2760">
        <v>11</v>
      </c>
      <c r="P2760">
        <v>394</v>
      </c>
      <c r="Q2760">
        <v>9</v>
      </c>
      <c r="R2760">
        <v>19</v>
      </c>
      <c r="S2760">
        <v>69</v>
      </c>
      <c r="T2760">
        <v>1</v>
      </c>
      <c r="U2760">
        <v>7</v>
      </c>
      <c r="V2760">
        <v>3</v>
      </c>
      <c r="W2760">
        <v>18</v>
      </c>
      <c r="X2760">
        <v>130</v>
      </c>
      <c r="Y2760">
        <v>16</v>
      </c>
      <c r="Z2760">
        <v>3</v>
      </c>
      <c r="AA2760">
        <v>2</v>
      </c>
      <c r="AB2760">
        <v>87</v>
      </c>
      <c r="AC2760">
        <v>23</v>
      </c>
      <c r="AJ2760">
        <v>1</v>
      </c>
      <c r="AK2760">
        <v>1</v>
      </c>
      <c r="AL2760">
        <v>0</v>
      </c>
      <c r="AM2760">
        <v>0</v>
      </c>
      <c r="AN2760">
        <v>0</v>
      </c>
      <c r="AO2760">
        <v>0</v>
      </c>
      <c r="AP2760">
        <v>0</v>
      </c>
      <c r="AQ2760">
        <v>0</v>
      </c>
      <c r="AR2760">
        <v>0</v>
      </c>
      <c r="AS2760">
        <v>0</v>
      </c>
      <c r="AT2760">
        <v>0</v>
      </c>
      <c r="AU2760">
        <v>0</v>
      </c>
      <c r="AW2760">
        <v>0</v>
      </c>
      <c r="AX2760">
        <v>5</v>
      </c>
      <c r="AY2760">
        <v>394</v>
      </c>
      <c r="AZ2760">
        <v>394</v>
      </c>
      <c r="BA2760">
        <v>696</v>
      </c>
      <c r="BB2760">
        <v>46</v>
      </c>
      <c r="BD2760">
        <v>1</v>
      </c>
      <c r="BF2760" t="s">
        <v>2960</v>
      </c>
      <c r="BG2760" s="1">
        <v>44354.225694444445</v>
      </c>
      <c r="BH2760" s="1">
        <v>44354.22760416667</v>
      </c>
      <c r="BI2760" s="1">
        <v>44354.228668981479</v>
      </c>
      <c r="BJ2760" t="s">
        <v>85</v>
      </c>
      <c r="BK2760" t="s">
        <v>86</v>
      </c>
      <c r="BL2760" t="s">
        <v>87</v>
      </c>
    </row>
    <row r="2761" spans="1:64" x14ac:dyDescent="0.3">
      <c r="A2761" t="str">
        <f>"201846C0100"</f>
        <v>201846C0100</v>
      </c>
      <c r="B2761" t="str">
        <f>"201846C01003"</f>
        <v>201846C01003</v>
      </c>
      <c r="C2761" t="str">
        <f t="shared" si="190"/>
        <v>20</v>
      </c>
      <c r="D2761" t="s">
        <v>81</v>
      </c>
      <c r="E2761" t="str">
        <f t="shared" si="187"/>
        <v>414</v>
      </c>
      <c r="F2761" t="s">
        <v>2932</v>
      </c>
      <c r="G2761" t="str">
        <f t="shared" si="191"/>
        <v>1846</v>
      </c>
      <c r="H2761" t="str">
        <f>"0001"</f>
        <v>0001</v>
      </c>
      <c r="I2761" t="s">
        <v>89</v>
      </c>
      <c r="J2761">
        <v>0</v>
      </c>
      <c r="K2761">
        <v>1</v>
      </c>
      <c r="L2761">
        <v>3</v>
      </c>
      <c r="BA2761">
        <v>696</v>
      </c>
      <c r="BB2761">
        <v>46</v>
      </c>
      <c r="BC2761" t="s">
        <v>381</v>
      </c>
      <c r="BD2761">
        <v>0</v>
      </c>
      <c r="BF2761" t="s">
        <v>2961</v>
      </c>
      <c r="BG2761" s="1">
        <v>44354.355555555558</v>
      </c>
      <c r="BH2761" s="1">
        <v>44354.357118055559</v>
      </c>
      <c r="BI2761" s="1">
        <v>44354.357118055559</v>
      </c>
      <c r="BJ2761" t="s">
        <v>85</v>
      </c>
      <c r="BK2761" t="s">
        <v>86</v>
      </c>
      <c r="BL2761" t="s">
        <v>87</v>
      </c>
    </row>
    <row r="2762" spans="1:64" x14ac:dyDescent="0.3">
      <c r="A2762" t="str">
        <f>"201846C0200"</f>
        <v>201846C0200</v>
      </c>
      <c r="B2762" t="str">
        <f>"201846C02003"</f>
        <v>201846C02003</v>
      </c>
      <c r="C2762" t="str">
        <f t="shared" si="190"/>
        <v>20</v>
      </c>
      <c r="D2762" t="s">
        <v>81</v>
      </c>
      <c r="E2762" t="str">
        <f t="shared" si="187"/>
        <v>414</v>
      </c>
      <c r="F2762" t="s">
        <v>2932</v>
      </c>
      <c r="G2762" t="str">
        <f t="shared" si="191"/>
        <v>1846</v>
      </c>
      <c r="H2762" t="str">
        <f>"0002"</f>
        <v>0002</v>
      </c>
      <c r="I2762" t="s">
        <v>89</v>
      </c>
      <c r="J2762">
        <v>0</v>
      </c>
      <c r="K2762">
        <v>1</v>
      </c>
      <c r="L2762">
        <v>3</v>
      </c>
      <c r="M2762">
        <v>337</v>
      </c>
      <c r="N2762">
        <v>404</v>
      </c>
      <c r="O2762">
        <v>7</v>
      </c>
      <c r="P2762">
        <v>405</v>
      </c>
      <c r="Q2762">
        <v>12</v>
      </c>
      <c r="R2762">
        <v>14</v>
      </c>
      <c r="S2762">
        <v>62</v>
      </c>
      <c r="T2762">
        <v>0</v>
      </c>
      <c r="U2762">
        <v>5</v>
      </c>
      <c r="V2762">
        <v>1</v>
      </c>
      <c r="W2762">
        <v>21</v>
      </c>
      <c r="X2762">
        <v>148</v>
      </c>
      <c r="Y2762">
        <v>12</v>
      </c>
      <c r="Z2762">
        <v>1</v>
      </c>
      <c r="AA2762">
        <v>81</v>
      </c>
      <c r="AB2762">
        <v>81</v>
      </c>
      <c r="AC2762">
        <v>26</v>
      </c>
      <c r="AJ2762">
        <v>4</v>
      </c>
      <c r="AK2762">
        <v>4</v>
      </c>
      <c r="AL2762">
        <v>1</v>
      </c>
      <c r="AM2762">
        <v>0</v>
      </c>
      <c r="AN2762">
        <v>0</v>
      </c>
      <c r="AO2762">
        <v>0</v>
      </c>
      <c r="AP2762">
        <v>1</v>
      </c>
      <c r="AQ2762">
        <v>0</v>
      </c>
      <c r="AR2762">
        <v>2</v>
      </c>
      <c r="AS2762">
        <v>1</v>
      </c>
      <c r="AT2762">
        <v>0</v>
      </c>
      <c r="AU2762">
        <v>0</v>
      </c>
      <c r="AW2762">
        <v>1</v>
      </c>
      <c r="AX2762">
        <v>8</v>
      </c>
      <c r="AY2762">
        <v>45</v>
      </c>
      <c r="AZ2762">
        <v>486</v>
      </c>
      <c r="BA2762">
        <v>696</v>
      </c>
      <c r="BB2762">
        <v>46</v>
      </c>
      <c r="BD2762">
        <v>1</v>
      </c>
      <c r="BF2762" t="s">
        <v>2962</v>
      </c>
      <c r="BG2762" s="1">
        <v>44354.228472222225</v>
      </c>
      <c r="BH2762" s="1">
        <v>44354.232442129629</v>
      </c>
      <c r="BI2762" s="1">
        <v>44354.233425925922</v>
      </c>
      <c r="BJ2762" t="s">
        <v>85</v>
      </c>
      <c r="BK2762" t="s">
        <v>86</v>
      </c>
      <c r="BL2762" t="s">
        <v>87</v>
      </c>
    </row>
    <row r="2763" spans="1:64" x14ac:dyDescent="0.3">
      <c r="A2763" t="str">
        <f>"201846C0300"</f>
        <v>201846C0300</v>
      </c>
      <c r="B2763" t="str">
        <f>"201846C03003"</f>
        <v>201846C03003</v>
      </c>
      <c r="C2763" t="str">
        <f t="shared" si="190"/>
        <v>20</v>
      </c>
      <c r="D2763" t="s">
        <v>81</v>
      </c>
      <c r="E2763" t="str">
        <f t="shared" si="187"/>
        <v>414</v>
      </c>
      <c r="F2763" t="s">
        <v>2932</v>
      </c>
      <c r="G2763" t="str">
        <f t="shared" si="191"/>
        <v>1846</v>
      </c>
      <c r="H2763" t="str">
        <f>"0003"</f>
        <v>0003</v>
      </c>
      <c r="I2763" t="s">
        <v>89</v>
      </c>
      <c r="J2763">
        <v>0</v>
      </c>
      <c r="K2763">
        <v>1</v>
      </c>
      <c r="L2763">
        <v>3</v>
      </c>
      <c r="M2763">
        <v>333</v>
      </c>
      <c r="N2763">
        <v>409</v>
      </c>
      <c r="O2763">
        <v>12</v>
      </c>
      <c r="P2763">
        <v>409</v>
      </c>
      <c r="Q2763">
        <v>19</v>
      </c>
      <c r="R2763">
        <v>15</v>
      </c>
      <c r="S2763">
        <v>77</v>
      </c>
      <c r="T2763">
        <v>1</v>
      </c>
      <c r="U2763">
        <v>11</v>
      </c>
      <c r="V2763">
        <v>2</v>
      </c>
      <c r="W2763">
        <v>16</v>
      </c>
      <c r="X2763">
        <v>137</v>
      </c>
      <c r="Y2763">
        <v>19</v>
      </c>
      <c r="Z2763">
        <v>3</v>
      </c>
      <c r="AA2763">
        <v>3</v>
      </c>
      <c r="AB2763">
        <v>73</v>
      </c>
      <c r="AC2763">
        <v>15</v>
      </c>
      <c r="AJ2763">
        <v>2</v>
      </c>
      <c r="AK2763">
        <v>3</v>
      </c>
      <c r="AL2763">
        <v>0</v>
      </c>
      <c r="AM2763">
        <v>1</v>
      </c>
      <c r="AN2763">
        <v>0</v>
      </c>
      <c r="AO2763">
        <v>0</v>
      </c>
      <c r="AP2763">
        <v>0</v>
      </c>
      <c r="AQ2763">
        <v>0</v>
      </c>
      <c r="AR2763">
        <v>0</v>
      </c>
      <c r="AS2763">
        <v>0</v>
      </c>
      <c r="AT2763">
        <v>0</v>
      </c>
      <c r="AU2763">
        <v>0</v>
      </c>
      <c r="AW2763">
        <v>1</v>
      </c>
      <c r="AX2763">
        <v>11</v>
      </c>
      <c r="AY2763">
        <v>409</v>
      </c>
      <c r="AZ2763">
        <v>409</v>
      </c>
      <c r="BA2763">
        <v>696</v>
      </c>
      <c r="BB2763">
        <v>46</v>
      </c>
      <c r="BD2763">
        <v>1</v>
      </c>
      <c r="BF2763" t="s">
        <v>2963</v>
      </c>
      <c r="BG2763" s="1">
        <v>44354.22152777778</v>
      </c>
      <c r="BH2763" s="1">
        <v>44354.22320601852</v>
      </c>
      <c r="BI2763" s="1">
        <v>44354.22415509259</v>
      </c>
      <c r="BJ2763" t="s">
        <v>85</v>
      </c>
      <c r="BK2763" t="s">
        <v>86</v>
      </c>
      <c r="BL2763" t="s">
        <v>87</v>
      </c>
    </row>
    <row r="2764" spans="1:64" x14ac:dyDescent="0.3">
      <c r="A2764" t="str">
        <f>"201846C0400"</f>
        <v>201846C0400</v>
      </c>
      <c r="B2764" t="str">
        <f>"201846C04003"</f>
        <v>201846C04003</v>
      </c>
      <c r="C2764" t="str">
        <f t="shared" si="190"/>
        <v>20</v>
      </c>
      <c r="D2764" t="s">
        <v>81</v>
      </c>
      <c r="E2764" t="str">
        <f t="shared" si="187"/>
        <v>414</v>
      </c>
      <c r="F2764" t="s">
        <v>2932</v>
      </c>
      <c r="G2764" t="str">
        <f t="shared" si="191"/>
        <v>1846</v>
      </c>
      <c r="H2764" t="str">
        <f>"0004"</f>
        <v>0004</v>
      </c>
      <c r="I2764" t="s">
        <v>89</v>
      </c>
      <c r="J2764">
        <v>0</v>
      </c>
      <c r="K2764">
        <v>1</v>
      </c>
      <c r="L2764">
        <v>3</v>
      </c>
      <c r="M2764">
        <v>351</v>
      </c>
      <c r="N2764">
        <v>390</v>
      </c>
      <c r="O2764">
        <v>13</v>
      </c>
      <c r="P2764">
        <v>390</v>
      </c>
      <c r="Q2764">
        <v>14</v>
      </c>
      <c r="R2764">
        <v>12</v>
      </c>
      <c r="S2764">
        <v>80</v>
      </c>
      <c r="T2764">
        <v>1</v>
      </c>
      <c r="U2764">
        <v>5</v>
      </c>
      <c r="V2764">
        <v>2</v>
      </c>
      <c r="W2764">
        <v>15</v>
      </c>
      <c r="X2764">
        <v>121</v>
      </c>
      <c r="Y2764">
        <v>14</v>
      </c>
      <c r="Z2764">
        <v>2</v>
      </c>
      <c r="AA2764">
        <v>0</v>
      </c>
      <c r="AB2764">
        <v>82</v>
      </c>
      <c r="AC2764">
        <v>26</v>
      </c>
      <c r="AJ2764">
        <v>3</v>
      </c>
      <c r="AK2764">
        <v>1</v>
      </c>
      <c r="AL2764">
        <v>0</v>
      </c>
      <c r="AM2764">
        <v>0</v>
      </c>
      <c r="AN2764">
        <v>0</v>
      </c>
      <c r="AO2764">
        <v>0</v>
      </c>
      <c r="AP2764">
        <v>0</v>
      </c>
      <c r="AQ2764">
        <v>0</v>
      </c>
      <c r="AR2764">
        <v>0</v>
      </c>
      <c r="AS2764">
        <v>0</v>
      </c>
      <c r="AT2764">
        <v>0</v>
      </c>
      <c r="AU2764">
        <v>0</v>
      </c>
      <c r="AW2764">
        <v>0</v>
      </c>
      <c r="AX2764">
        <v>0</v>
      </c>
      <c r="AY2764">
        <v>0</v>
      </c>
      <c r="AZ2764">
        <v>378</v>
      </c>
      <c r="BA2764">
        <v>695</v>
      </c>
      <c r="BB2764">
        <v>46</v>
      </c>
      <c r="BD2764">
        <v>1</v>
      </c>
      <c r="BF2764" t="s">
        <v>2964</v>
      </c>
      <c r="BG2764" s="1">
        <v>44354.211805555555</v>
      </c>
      <c r="BH2764" s="1">
        <v>44354.214548611111</v>
      </c>
      <c r="BI2764" s="1">
        <v>44354.215879629628</v>
      </c>
      <c r="BJ2764" t="s">
        <v>85</v>
      </c>
      <c r="BK2764" t="s">
        <v>86</v>
      </c>
      <c r="BL2764" t="s">
        <v>87</v>
      </c>
    </row>
    <row r="2765" spans="1:64" x14ac:dyDescent="0.3">
      <c r="A2765" t="str">
        <f>"201846C0500"</f>
        <v>201846C0500</v>
      </c>
      <c r="B2765" t="str">
        <f>"201846C05003"</f>
        <v>201846C05003</v>
      </c>
      <c r="C2765" t="str">
        <f t="shared" si="190"/>
        <v>20</v>
      </c>
      <c r="D2765" t="s">
        <v>81</v>
      </c>
      <c r="E2765" t="str">
        <f t="shared" ref="E2765:E2790" si="192">"414"</f>
        <v>414</v>
      </c>
      <c r="F2765" t="s">
        <v>2932</v>
      </c>
      <c r="G2765" t="str">
        <f t="shared" si="191"/>
        <v>1846</v>
      </c>
      <c r="H2765" t="str">
        <f>"0005"</f>
        <v>0005</v>
      </c>
      <c r="I2765" t="s">
        <v>89</v>
      </c>
      <c r="J2765">
        <v>0</v>
      </c>
      <c r="K2765">
        <v>1</v>
      </c>
      <c r="L2765">
        <v>3</v>
      </c>
      <c r="M2765">
        <v>349</v>
      </c>
      <c r="N2765">
        <v>392</v>
      </c>
      <c r="O2765">
        <v>12</v>
      </c>
      <c r="P2765">
        <v>392</v>
      </c>
      <c r="Q2765">
        <v>16</v>
      </c>
      <c r="R2765">
        <v>21</v>
      </c>
      <c r="S2765">
        <v>74</v>
      </c>
      <c r="T2765">
        <v>0</v>
      </c>
      <c r="U2765">
        <v>12</v>
      </c>
      <c r="V2765">
        <v>7</v>
      </c>
      <c r="W2765">
        <v>10</v>
      </c>
      <c r="X2765">
        <v>126</v>
      </c>
      <c r="Y2765">
        <v>20</v>
      </c>
      <c r="Z2765">
        <v>0</v>
      </c>
      <c r="AA2765">
        <v>1</v>
      </c>
      <c r="AB2765">
        <v>71</v>
      </c>
      <c r="AC2765">
        <v>16</v>
      </c>
      <c r="AJ2765">
        <v>2</v>
      </c>
      <c r="AK2765">
        <v>1</v>
      </c>
      <c r="AL2765">
        <v>1</v>
      </c>
      <c r="AM2765">
        <v>3</v>
      </c>
      <c r="AN2765">
        <v>0</v>
      </c>
      <c r="AO2765">
        <v>0</v>
      </c>
      <c r="AP2765">
        <v>0</v>
      </c>
      <c r="AQ2765">
        <v>0</v>
      </c>
      <c r="AR2765">
        <v>0</v>
      </c>
      <c r="AS2765">
        <v>0</v>
      </c>
      <c r="AT2765">
        <v>1</v>
      </c>
      <c r="AU2765">
        <v>0</v>
      </c>
      <c r="AW2765">
        <v>0</v>
      </c>
      <c r="AX2765">
        <v>10</v>
      </c>
      <c r="AY2765">
        <v>392</v>
      </c>
      <c r="AZ2765">
        <v>392</v>
      </c>
      <c r="BA2765">
        <v>695</v>
      </c>
      <c r="BB2765">
        <v>46</v>
      </c>
      <c r="BD2765">
        <v>1</v>
      </c>
      <c r="BF2765" t="s">
        <v>2965</v>
      </c>
      <c r="BG2765" s="1">
        <v>44354.213194444441</v>
      </c>
      <c r="BH2765" s="1">
        <v>44354.215150462966</v>
      </c>
      <c r="BI2765" s="1">
        <v>44354.21601851852</v>
      </c>
      <c r="BJ2765" t="s">
        <v>85</v>
      </c>
      <c r="BK2765" t="s">
        <v>86</v>
      </c>
      <c r="BL2765" t="s">
        <v>87</v>
      </c>
    </row>
    <row r="2766" spans="1:64" x14ac:dyDescent="0.3">
      <c r="A2766" t="str">
        <f>"201846E0100"</f>
        <v>201846E0100</v>
      </c>
      <c r="B2766" t="str">
        <f>"201846E01003"</f>
        <v>201846E01003</v>
      </c>
      <c r="C2766" t="str">
        <f t="shared" si="190"/>
        <v>20</v>
      </c>
      <c r="D2766" t="s">
        <v>81</v>
      </c>
      <c r="E2766" t="str">
        <f t="shared" si="192"/>
        <v>414</v>
      </c>
      <c r="F2766" t="s">
        <v>2932</v>
      </c>
      <c r="G2766" t="str">
        <f t="shared" si="191"/>
        <v>1846</v>
      </c>
      <c r="H2766" t="str">
        <f>"0001"</f>
        <v>0001</v>
      </c>
      <c r="I2766" t="s">
        <v>122</v>
      </c>
      <c r="J2766">
        <v>0</v>
      </c>
      <c r="K2766">
        <v>1</v>
      </c>
      <c r="L2766">
        <v>3</v>
      </c>
      <c r="M2766">
        <v>373</v>
      </c>
      <c r="N2766">
        <v>342</v>
      </c>
      <c r="O2766">
        <v>15</v>
      </c>
      <c r="P2766">
        <v>342</v>
      </c>
      <c r="Q2766">
        <v>23</v>
      </c>
      <c r="R2766">
        <v>20</v>
      </c>
      <c r="S2766">
        <v>51</v>
      </c>
      <c r="T2766">
        <v>1</v>
      </c>
      <c r="U2766">
        <v>10</v>
      </c>
      <c r="V2766">
        <v>3</v>
      </c>
      <c r="W2766">
        <v>13</v>
      </c>
      <c r="X2766">
        <v>100</v>
      </c>
      <c r="Y2766">
        <v>17</v>
      </c>
      <c r="Z2766">
        <v>0</v>
      </c>
      <c r="AA2766">
        <v>2</v>
      </c>
      <c r="AB2766">
        <v>59</v>
      </c>
      <c r="AC2766">
        <v>36</v>
      </c>
      <c r="AJ2766">
        <v>0</v>
      </c>
      <c r="AK2766">
        <v>0</v>
      </c>
      <c r="AL2766">
        <v>1</v>
      </c>
      <c r="AM2766">
        <v>0</v>
      </c>
      <c r="AN2766">
        <v>0</v>
      </c>
      <c r="AO2766">
        <v>1</v>
      </c>
      <c r="AP2766">
        <v>0</v>
      </c>
      <c r="AQ2766">
        <v>0</v>
      </c>
      <c r="AR2766">
        <v>0</v>
      </c>
      <c r="AS2766">
        <v>0</v>
      </c>
      <c r="AT2766">
        <v>0</v>
      </c>
      <c r="AU2766">
        <v>0</v>
      </c>
      <c r="AW2766">
        <v>0</v>
      </c>
      <c r="AX2766">
        <v>5</v>
      </c>
      <c r="AY2766">
        <v>342</v>
      </c>
      <c r="AZ2766">
        <v>342</v>
      </c>
      <c r="BA2766">
        <v>669</v>
      </c>
      <c r="BB2766">
        <v>46</v>
      </c>
      <c r="BD2766">
        <v>1</v>
      </c>
      <c r="BF2766" t="s">
        <v>2966</v>
      </c>
      <c r="BG2766" s="1">
        <v>44354.111805555556</v>
      </c>
      <c r="BH2766" s="1">
        <v>44354.115046296298</v>
      </c>
      <c r="BI2766" s="1">
        <v>44354.116249999999</v>
      </c>
      <c r="BJ2766" t="s">
        <v>85</v>
      </c>
      <c r="BK2766" t="s">
        <v>86</v>
      </c>
      <c r="BL2766" t="s">
        <v>87</v>
      </c>
    </row>
    <row r="2767" spans="1:64" x14ac:dyDescent="0.3">
      <c r="A2767" t="str">
        <f>"201846E0101"</f>
        <v>201846E0101</v>
      </c>
      <c r="B2767" t="str">
        <f>"201846E01013"</f>
        <v>201846E01013</v>
      </c>
      <c r="C2767" t="str">
        <f t="shared" si="190"/>
        <v>20</v>
      </c>
      <c r="D2767" t="s">
        <v>81</v>
      </c>
      <c r="E2767" t="str">
        <f t="shared" si="192"/>
        <v>414</v>
      </c>
      <c r="F2767" t="s">
        <v>2932</v>
      </c>
      <c r="G2767" t="str">
        <f t="shared" si="191"/>
        <v>1846</v>
      </c>
      <c r="H2767" t="str">
        <f>"0001"</f>
        <v>0001</v>
      </c>
      <c r="I2767" t="s">
        <v>122</v>
      </c>
      <c r="J2767">
        <v>1</v>
      </c>
      <c r="K2767">
        <v>1</v>
      </c>
      <c r="L2767">
        <v>3</v>
      </c>
      <c r="M2767">
        <v>348</v>
      </c>
      <c r="N2767">
        <v>367</v>
      </c>
      <c r="O2767">
        <v>13</v>
      </c>
      <c r="P2767">
        <v>367</v>
      </c>
      <c r="Q2767">
        <v>33</v>
      </c>
      <c r="R2767">
        <v>28</v>
      </c>
      <c r="S2767">
        <v>57</v>
      </c>
      <c r="T2767">
        <v>1</v>
      </c>
      <c r="U2767">
        <v>5</v>
      </c>
      <c r="V2767">
        <v>2</v>
      </c>
      <c r="W2767">
        <v>6</v>
      </c>
      <c r="X2767">
        <v>96</v>
      </c>
      <c r="Y2767">
        <v>17</v>
      </c>
      <c r="Z2767">
        <v>2</v>
      </c>
      <c r="AA2767">
        <v>1</v>
      </c>
      <c r="AB2767">
        <v>76</v>
      </c>
      <c r="AC2767">
        <v>33</v>
      </c>
      <c r="AJ2767">
        <v>1</v>
      </c>
      <c r="AK2767">
        <v>1</v>
      </c>
      <c r="AL2767">
        <v>0</v>
      </c>
      <c r="AM2767">
        <v>0</v>
      </c>
      <c r="AN2767">
        <v>0</v>
      </c>
      <c r="AO2767">
        <v>2</v>
      </c>
      <c r="AP2767">
        <v>0</v>
      </c>
      <c r="AQ2767">
        <v>0</v>
      </c>
      <c r="AR2767">
        <v>0</v>
      </c>
      <c r="AS2767">
        <v>0</v>
      </c>
      <c r="AT2767">
        <v>0</v>
      </c>
      <c r="AU2767">
        <v>0</v>
      </c>
      <c r="AW2767">
        <v>0</v>
      </c>
      <c r="AX2767">
        <v>6</v>
      </c>
      <c r="AY2767">
        <v>367</v>
      </c>
      <c r="AZ2767">
        <v>367</v>
      </c>
      <c r="BA2767">
        <v>669</v>
      </c>
      <c r="BB2767">
        <v>46</v>
      </c>
      <c r="BD2767">
        <v>1</v>
      </c>
      <c r="BF2767" t="s">
        <v>2967</v>
      </c>
      <c r="BG2767" s="1">
        <v>44354.109027777777</v>
      </c>
      <c r="BH2767" s="1">
        <v>44354.111921296295</v>
      </c>
      <c r="BI2767" s="1">
        <v>44354.113321759258</v>
      </c>
      <c r="BJ2767" t="s">
        <v>85</v>
      </c>
      <c r="BK2767" t="s">
        <v>86</v>
      </c>
      <c r="BL2767" t="s">
        <v>87</v>
      </c>
    </row>
    <row r="2768" spans="1:64" x14ac:dyDescent="0.3">
      <c r="A2768" t="str">
        <f>"201846E0102"</f>
        <v>201846E0102</v>
      </c>
      <c r="B2768" t="str">
        <f>"201846E01023"</f>
        <v>201846E01023</v>
      </c>
      <c r="C2768" t="str">
        <f t="shared" si="190"/>
        <v>20</v>
      </c>
      <c r="D2768" t="s">
        <v>81</v>
      </c>
      <c r="E2768" t="str">
        <f t="shared" si="192"/>
        <v>414</v>
      </c>
      <c r="F2768" t="s">
        <v>2932</v>
      </c>
      <c r="G2768" t="str">
        <f t="shared" si="191"/>
        <v>1846</v>
      </c>
      <c r="H2768" t="str">
        <f>"0001"</f>
        <v>0001</v>
      </c>
      <c r="I2768" t="s">
        <v>122</v>
      </c>
      <c r="J2768">
        <v>2</v>
      </c>
      <c r="K2768">
        <v>1</v>
      </c>
      <c r="L2768">
        <v>3</v>
      </c>
      <c r="M2768">
        <v>350</v>
      </c>
      <c r="N2768">
        <v>363</v>
      </c>
      <c r="O2768">
        <v>8</v>
      </c>
      <c r="P2768">
        <v>363</v>
      </c>
      <c r="Q2768">
        <v>27</v>
      </c>
      <c r="R2768">
        <v>25</v>
      </c>
      <c r="S2768">
        <v>54</v>
      </c>
      <c r="T2768">
        <v>3</v>
      </c>
      <c r="U2768">
        <v>6</v>
      </c>
      <c r="V2768">
        <v>1</v>
      </c>
      <c r="W2768">
        <v>9</v>
      </c>
      <c r="X2768">
        <v>102</v>
      </c>
      <c r="Y2768">
        <v>17</v>
      </c>
      <c r="Z2768">
        <v>2</v>
      </c>
      <c r="AA2768">
        <v>2</v>
      </c>
      <c r="AB2768">
        <v>70</v>
      </c>
      <c r="AC2768">
        <v>34</v>
      </c>
      <c r="AJ2768">
        <v>3</v>
      </c>
      <c r="AK2768">
        <v>1</v>
      </c>
      <c r="AL2768">
        <v>0</v>
      </c>
      <c r="AM2768">
        <v>0</v>
      </c>
      <c r="AN2768">
        <v>0</v>
      </c>
      <c r="AO2768">
        <v>1</v>
      </c>
      <c r="AP2768">
        <v>0</v>
      </c>
      <c r="AQ2768">
        <v>0</v>
      </c>
      <c r="AR2768">
        <v>0</v>
      </c>
      <c r="AS2768">
        <v>0</v>
      </c>
      <c r="AT2768">
        <v>0</v>
      </c>
      <c r="AU2768">
        <v>0</v>
      </c>
      <c r="AW2768">
        <v>0</v>
      </c>
      <c r="AX2768">
        <v>6</v>
      </c>
      <c r="AY2768">
        <v>363</v>
      </c>
      <c r="AZ2768">
        <v>363</v>
      </c>
      <c r="BA2768">
        <v>668</v>
      </c>
      <c r="BB2768">
        <v>46</v>
      </c>
      <c r="BD2768">
        <v>1</v>
      </c>
      <c r="BF2768" t="s">
        <v>2968</v>
      </c>
      <c r="BG2768" s="1">
        <v>44354.156944444447</v>
      </c>
      <c r="BH2768" s="1">
        <v>44354.159849537034</v>
      </c>
      <c r="BI2768" s="1">
        <v>44354.160486111112</v>
      </c>
      <c r="BJ2768" t="s">
        <v>85</v>
      </c>
      <c r="BK2768" t="s">
        <v>86</v>
      </c>
      <c r="BL2768" t="s">
        <v>87</v>
      </c>
    </row>
    <row r="2769" spans="1:64" x14ac:dyDescent="0.3">
      <c r="A2769" t="str">
        <f>"201846E0103"</f>
        <v>201846E0103</v>
      </c>
      <c r="B2769" t="str">
        <f>"201846E01033"</f>
        <v>201846E01033</v>
      </c>
      <c r="C2769" t="str">
        <f t="shared" si="190"/>
        <v>20</v>
      </c>
      <c r="D2769" t="s">
        <v>81</v>
      </c>
      <c r="E2769" t="str">
        <f t="shared" si="192"/>
        <v>414</v>
      </c>
      <c r="F2769" t="s">
        <v>2932</v>
      </c>
      <c r="G2769" t="str">
        <f t="shared" si="191"/>
        <v>1846</v>
      </c>
      <c r="H2769" t="str">
        <f>"0001"</f>
        <v>0001</v>
      </c>
      <c r="I2769" t="s">
        <v>122</v>
      </c>
      <c r="J2769">
        <v>3</v>
      </c>
      <c r="K2769">
        <v>1</v>
      </c>
      <c r="L2769">
        <v>3</v>
      </c>
      <c r="M2769">
        <v>342</v>
      </c>
      <c r="N2769">
        <v>352</v>
      </c>
      <c r="O2769">
        <v>14</v>
      </c>
      <c r="P2769">
        <v>370</v>
      </c>
      <c r="Q2769">
        <v>34</v>
      </c>
      <c r="R2769">
        <v>18</v>
      </c>
      <c r="S2769">
        <v>37</v>
      </c>
      <c r="T2769">
        <v>0</v>
      </c>
      <c r="U2769">
        <v>9</v>
      </c>
      <c r="V2769">
        <v>3</v>
      </c>
      <c r="W2769">
        <v>11</v>
      </c>
      <c r="X2769">
        <v>113</v>
      </c>
      <c r="Y2769">
        <v>7</v>
      </c>
      <c r="Z2769">
        <v>0</v>
      </c>
      <c r="AA2769">
        <v>0</v>
      </c>
      <c r="AB2769">
        <v>92</v>
      </c>
      <c r="AC2769">
        <v>40</v>
      </c>
      <c r="AJ2769" t="s">
        <v>95</v>
      </c>
      <c r="AK2769" t="s">
        <v>95</v>
      </c>
      <c r="AL2769" t="s">
        <v>95</v>
      </c>
      <c r="AM2769" t="s">
        <v>95</v>
      </c>
      <c r="AN2769">
        <v>4</v>
      </c>
      <c r="AO2769" t="s">
        <v>95</v>
      </c>
      <c r="AP2769" t="s">
        <v>95</v>
      </c>
      <c r="AQ2769" t="s">
        <v>95</v>
      </c>
      <c r="AR2769" t="s">
        <v>95</v>
      </c>
      <c r="AS2769" t="s">
        <v>95</v>
      </c>
      <c r="AT2769" t="s">
        <v>95</v>
      </c>
      <c r="AU2769" t="s">
        <v>95</v>
      </c>
      <c r="AW2769" t="s">
        <v>95</v>
      </c>
      <c r="AX2769">
        <v>5</v>
      </c>
      <c r="AY2769">
        <v>373</v>
      </c>
      <c r="AZ2769">
        <v>373</v>
      </c>
      <c r="BA2769">
        <v>668</v>
      </c>
      <c r="BB2769">
        <v>46</v>
      </c>
      <c r="BC2769" t="s">
        <v>96</v>
      </c>
      <c r="BD2769">
        <v>1</v>
      </c>
      <c r="BF2769" t="s">
        <v>2969</v>
      </c>
      <c r="BG2769" s="1">
        <v>44354.168749999997</v>
      </c>
      <c r="BH2769" s="1">
        <v>44354.171238425923</v>
      </c>
      <c r="BI2769" s="1">
        <v>44354.172534722224</v>
      </c>
      <c r="BJ2769" t="s">
        <v>85</v>
      </c>
      <c r="BK2769" t="s">
        <v>86</v>
      </c>
      <c r="BL2769" t="s">
        <v>87</v>
      </c>
    </row>
    <row r="2770" spans="1:64" x14ac:dyDescent="0.3">
      <c r="A2770" t="str">
        <f>"201846E0200"</f>
        <v>201846E0200</v>
      </c>
      <c r="B2770" t="str">
        <f>"201846E02003"</f>
        <v>201846E02003</v>
      </c>
      <c r="C2770" t="str">
        <f t="shared" si="190"/>
        <v>20</v>
      </c>
      <c r="D2770" t="s">
        <v>81</v>
      </c>
      <c r="E2770" t="str">
        <f t="shared" si="192"/>
        <v>414</v>
      </c>
      <c r="F2770" t="s">
        <v>2932</v>
      </c>
      <c r="G2770" t="str">
        <f t="shared" si="191"/>
        <v>1846</v>
      </c>
      <c r="H2770" t="str">
        <f t="shared" ref="H2770:H2775" si="193">"0002"</f>
        <v>0002</v>
      </c>
      <c r="I2770" t="s">
        <v>122</v>
      </c>
      <c r="J2770">
        <v>0</v>
      </c>
      <c r="K2770">
        <v>1</v>
      </c>
      <c r="L2770">
        <v>3</v>
      </c>
      <c r="M2770">
        <v>343</v>
      </c>
      <c r="N2770">
        <v>359</v>
      </c>
      <c r="O2770">
        <v>9</v>
      </c>
      <c r="P2770">
        <v>359</v>
      </c>
      <c r="Q2770">
        <v>8</v>
      </c>
      <c r="R2770">
        <v>23</v>
      </c>
      <c r="S2770">
        <v>68</v>
      </c>
      <c r="T2770">
        <v>0</v>
      </c>
      <c r="U2770">
        <v>13</v>
      </c>
      <c r="V2770">
        <v>0</v>
      </c>
      <c r="W2770">
        <v>29</v>
      </c>
      <c r="X2770">
        <v>111</v>
      </c>
      <c r="Y2770">
        <v>19</v>
      </c>
      <c r="Z2770">
        <v>1</v>
      </c>
      <c r="AA2770">
        <v>1</v>
      </c>
      <c r="AB2770">
        <v>66</v>
      </c>
      <c r="AC2770">
        <v>8</v>
      </c>
      <c r="AJ2770">
        <v>1</v>
      </c>
      <c r="AK2770">
        <v>0</v>
      </c>
      <c r="AL2770">
        <v>0</v>
      </c>
      <c r="AM2770">
        <v>1</v>
      </c>
      <c r="AN2770">
        <v>0</v>
      </c>
      <c r="AO2770">
        <v>0</v>
      </c>
      <c r="AP2770">
        <v>0</v>
      </c>
      <c r="AQ2770">
        <v>0</v>
      </c>
      <c r="AR2770">
        <v>0</v>
      </c>
      <c r="AS2770">
        <v>0</v>
      </c>
      <c r="AT2770">
        <v>0</v>
      </c>
      <c r="AU2770">
        <v>0</v>
      </c>
      <c r="AW2770">
        <v>0</v>
      </c>
      <c r="AX2770">
        <v>10</v>
      </c>
      <c r="AY2770">
        <v>359</v>
      </c>
      <c r="AZ2770">
        <v>359</v>
      </c>
      <c r="BA2770">
        <v>657</v>
      </c>
      <c r="BB2770">
        <v>46</v>
      </c>
      <c r="BD2770">
        <v>1</v>
      </c>
      <c r="BF2770" t="s">
        <v>2970</v>
      </c>
      <c r="BG2770" s="1">
        <v>44354.159722222219</v>
      </c>
      <c r="BH2770" s="1">
        <v>44354.162210648145</v>
      </c>
      <c r="BI2770" s="1">
        <v>44354.162812499999</v>
      </c>
      <c r="BJ2770" t="s">
        <v>85</v>
      </c>
      <c r="BK2770" t="s">
        <v>86</v>
      </c>
      <c r="BL2770" t="s">
        <v>87</v>
      </c>
    </row>
    <row r="2771" spans="1:64" x14ac:dyDescent="0.3">
      <c r="A2771" t="str">
        <f>"201846E0201"</f>
        <v>201846E0201</v>
      </c>
      <c r="B2771" t="str">
        <f>"201846E02013"</f>
        <v>201846E02013</v>
      </c>
      <c r="C2771" t="str">
        <f t="shared" si="190"/>
        <v>20</v>
      </c>
      <c r="D2771" t="s">
        <v>81</v>
      </c>
      <c r="E2771" t="str">
        <f t="shared" si="192"/>
        <v>414</v>
      </c>
      <c r="F2771" t="s">
        <v>2932</v>
      </c>
      <c r="G2771" t="str">
        <f t="shared" si="191"/>
        <v>1846</v>
      </c>
      <c r="H2771" t="str">
        <f t="shared" si="193"/>
        <v>0002</v>
      </c>
      <c r="I2771" t="s">
        <v>122</v>
      </c>
      <c r="J2771">
        <v>1</v>
      </c>
      <c r="K2771">
        <v>1</v>
      </c>
      <c r="L2771">
        <v>3</v>
      </c>
      <c r="M2771">
        <v>314</v>
      </c>
      <c r="N2771">
        <v>388</v>
      </c>
      <c r="O2771">
        <v>7</v>
      </c>
      <c r="P2771" t="s">
        <v>92</v>
      </c>
      <c r="Q2771">
        <v>8</v>
      </c>
      <c r="R2771">
        <v>26</v>
      </c>
      <c r="S2771">
        <v>59</v>
      </c>
      <c r="T2771">
        <v>1</v>
      </c>
      <c r="U2771">
        <v>8</v>
      </c>
      <c r="V2771">
        <v>6</v>
      </c>
      <c r="W2771">
        <v>22</v>
      </c>
      <c r="X2771">
        <v>140</v>
      </c>
      <c r="Y2771">
        <v>23</v>
      </c>
      <c r="Z2771">
        <v>4</v>
      </c>
      <c r="AA2771">
        <v>0</v>
      </c>
      <c r="AB2771">
        <v>66</v>
      </c>
      <c r="AC2771">
        <v>15</v>
      </c>
      <c r="AJ2771">
        <v>1</v>
      </c>
      <c r="AK2771">
        <v>1</v>
      </c>
      <c r="AL2771">
        <v>0</v>
      </c>
      <c r="AM2771">
        <v>0</v>
      </c>
      <c r="AN2771">
        <v>0</v>
      </c>
      <c r="AO2771">
        <v>0</v>
      </c>
      <c r="AP2771">
        <v>1</v>
      </c>
      <c r="AQ2771">
        <v>0</v>
      </c>
      <c r="AR2771">
        <v>0</v>
      </c>
      <c r="AS2771">
        <v>0</v>
      </c>
      <c r="AT2771">
        <v>0</v>
      </c>
      <c r="AU2771">
        <v>0</v>
      </c>
      <c r="AW2771">
        <v>0</v>
      </c>
      <c r="AX2771">
        <v>8</v>
      </c>
      <c r="AY2771">
        <v>389</v>
      </c>
      <c r="AZ2771">
        <v>389</v>
      </c>
      <c r="BA2771">
        <v>657</v>
      </c>
      <c r="BB2771">
        <v>46</v>
      </c>
      <c r="BD2771">
        <v>1</v>
      </c>
      <c r="BF2771" t="s">
        <v>2971</v>
      </c>
      <c r="BG2771" s="1">
        <v>44354.163194444445</v>
      </c>
      <c r="BH2771" s="1">
        <v>44354.168749999997</v>
      </c>
      <c r="BI2771" s="1">
        <v>44354.169502314813</v>
      </c>
      <c r="BJ2771" t="s">
        <v>85</v>
      </c>
      <c r="BK2771" t="s">
        <v>86</v>
      </c>
      <c r="BL2771" t="s">
        <v>87</v>
      </c>
    </row>
    <row r="2772" spans="1:64" x14ac:dyDescent="0.3">
      <c r="A2772" t="str">
        <f>"201846E0202"</f>
        <v>201846E0202</v>
      </c>
      <c r="B2772" t="str">
        <f>"201846E02023"</f>
        <v>201846E02023</v>
      </c>
      <c r="C2772" t="str">
        <f t="shared" si="190"/>
        <v>20</v>
      </c>
      <c r="D2772" t="s">
        <v>81</v>
      </c>
      <c r="E2772" t="str">
        <f t="shared" si="192"/>
        <v>414</v>
      </c>
      <c r="F2772" t="s">
        <v>2932</v>
      </c>
      <c r="G2772" t="str">
        <f t="shared" si="191"/>
        <v>1846</v>
      </c>
      <c r="H2772" t="str">
        <f t="shared" si="193"/>
        <v>0002</v>
      </c>
      <c r="I2772" t="s">
        <v>122</v>
      </c>
      <c r="J2772">
        <v>2</v>
      </c>
      <c r="K2772">
        <v>1</v>
      </c>
      <c r="L2772">
        <v>3</v>
      </c>
      <c r="M2772">
        <v>324</v>
      </c>
      <c r="N2772">
        <v>379</v>
      </c>
      <c r="O2772">
        <v>6</v>
      </c>
      <c r="P2772">
        <v>376</v>
      </c>
      <c r="Q2772">
        <v>7</v>
      </c>
      <c r="R2772">
        <v>25</v>
      </c>
      <c r="S2772">
        <v>67</v>
      </c>
      <c r="T2772" t="s">
        <v>95</v>
      </c>
      <c r="U2772">
        <v>19</v>
      </c>
      <c r="V2772">
        <v>3</v>
      </c>
      <c r="W2772">
        <v>16</v>
      </c>
      <c r="X2772">
        <v>122</v>
      </c>
      <c r="Y2772">
        <v>10</v>
      </c>
      <c r="Z2772">
        <v>2</v>
      </c>
      <c r="AA2772">
        <v>2</v>
      </c>
      <c r="AB2772">
        <v>75</v>
      </c>
      <c r="AC2772">
        <v>14</v>
      </c>
      <c r="AJ2772">
        <v>3</v>
      </c>
      <c r="AK2772">
        <v>1</v>
      </c>
      <c r="AL2772" t="s">
        <v>95</v>
      </c>
      <c r="AM2772" t="s">
        <v>95</v>
      </c>
      <c r="AN2772">
        <v>1</v>
      </c>
      <c r="AO2772" t="s">
        <v>95</v>
      </c>
      <c r="AP2772" t="s">
        <v>95</v>
      </c>
      <c r="AQ2772" t="s">
        <v>95</v>
      </c>
      <c r="AR2772">
        <v>1</v>
      </c>
      <c r="AS2772" t="s">
        <v>95</v>
      </c>
      <c r="AT2772" t="s">
        <v>95</v>
      </c>
      <c r="AU2772" t="s">
        <v>95</v>
      </c>
      <c r="AW2772" t="s">
        <v>95</v>
      </c>
      <c r="AX2772">
        <v>8</v>
      </c>
      <c r="AY2772">
        <v>376</v>
      </c>
      <c r="AZ2772">
        <v>376</v>
      </c>
      <c r="BA2772">
        <v>657</v>
      </c>
      <c r="BB2772">
        <v>46</v>
      </c>
      <c r="BC2772" t="s">
        <v>96</v>
      </c>
      <c r="BD2772">
        <v>1</v>
      </c>
      <c r="BF2772" t="s">
        <v>2972</v>
      </c>
      <c r="BG2772" s="1">
        <v>44354.122916666667</v>
      </c>
      <c r="BH2772" s="1">
        <v>44354.127337962964</v>
      </c>
      <c r="BI2772" s="1">
        <v>44354.127858796295</v>
      </c>
      <c r="BJ2772" t="s">
        <v>85</v>
      </c>
      <c r="BK2772" t="s">
        <v>86</v>
      </c>
      <c r="BL2772" t="s">
        <v>87</v>
      </c>
    </row>
    <row r="2773" spans="1:64" x14ac:dyDescent="0.3">
      <c r="A2773" t="str">
        <f>"201846E0203"</f>
        <v>201846E0203</v>
      </c>
      <c r="B2773" t="str">
        <f>"201846E02033"</f>
        <v>201846E02033</v>
      </c>
      <c r="C2773" t="str">
        <f t="shared" si="190"/>
        <v>20</v>
      </c>
      <c r="D2773" t="s">
        <v>81</v>
      </c>
      <c r="E2773" t="str">
        <f t="shared" si="192"/>
        <v>414</v>
      </c>
      <c r="F2773" t="s">
        <v>2932</v>
      </c>
      <c r="G2773" t="str">
        <f t="shared" si="191"/>
        <v>1846</v>
      </c>
      <c r="H2773" t="str">
        <f t="shared" si="193"/>
        <v>0002</v>
      </c>
      <c r="I2773" t="s">
        <v>122</v>
      </c>
      <c r="J2773">
        <v>3</v>
      </c>
      <c r="K2773">
        <v>1</v>
      </c>
      <c r="L2773">
        <v>3</v>
      </c>
      <c r="M2773">
        <v>338</v>
      </c>
      <c r="N2773">
        <v>365</v>
      </c>
      <c r="O2773">
        <v>7</v>
      </c>
      <c r="P2773">
        <v>366</v>
      </c>
      <c r="Q2773">
        <v>9</v>
      </c>
      <c r="R2773">
        <v>14</v>
      </c>
      <c r="S2773">
        <v>74</v>
      </c>
      <c r="T2773">
        <v>0</v>
      </c>
      <c r="U2773">
        <v>13</v>
      </c>
      <c r="V2773">
        <v>3</v>
      </c>
      <c r="W2773">
        <v>27</v>
      </c>
      <c r="X2773">
        <v>115</v>
      </c>
      <c r="Y2773">
        <v>19</v>
      </c>
      <c r="Z2773">
        <v>2</v>
      </c>
      <c r="AA2773">
        <v>4</v>
      </c>
      <c r="AB2773">
        <v>66</v>
      </c>
      <c r="AC2773">
        <v>7</v>
      </c>
      <c r="AJ2773">
        <v>1</v>
      </c>
      <c r="AK2773">
        <v>2</v>
      </c>
      <c r="AL2773">
        <v>0</v>
      </c>
      <c r="AM2773">
        <v>0</v>
      </c>
      <c r="AN2773">
        <v>0</v>
      </c>
      <c r="AO2773">
        <v>0</v>
      </c>
      <c r="AP2773">
        <v>0</v>
      </c>
      <c r="AQ2773">
        <v>0</v>
      </c>
      <c r="AR2773">
        <v>0</v>
      </c>
      <c r="AS2773">
        <v>0</v>
      </c>
      <c r="AT2773">
        <v>0</v>
      </c>
      <c r="AU2773">
        <v>0</v>
      </c>
      <c r="AW2773">
        <v>0</v>
      </c>
      <c r="AX2773">
        <v>10</v>
      </c>
      <c r="AY2773">
        <v>366</v>
      </c>
      <c r="AZ2773">
        <v>366</v>
      </c>
      <c r="BA2773">
        <v>656</v>
      </c>
      <c r="BB2773">
        <v>46</v>
      </c>
      <c r="BD2773">
        <v>1</v>
      </c>
      <c r="BF2773" t="s">
        <v>2973</v>
      </c>
      <c r="BG2773" s="1">
        <v>44354.120138888888</v>
      </c>
      <c r="BH2773" s="1">
        <v>44354.122175925928</v>
      </c>
      <c r="BI2773" s="1">
        <v>44354.122754629629</v>
      </c>
      <c r="BJ2773" t="s">
        <v>85</v>
      </c>
      <c r="BK2773" t="s">
        <v>86</v>
      </c>
      <c r="BL2773" t="s">
        <v>87</v>
      </c>
    </row>
    <row r="2774" spans="1:64" x14ac:dyDescent="0.3">
      <c r="A2774" t="str">
        <f>"201846E0204"</f>
        <v>201846E0204</v>
      </c>
      <c r="B2774" t="str">
        <f>"201846E02043"</f>
        <v>201846E02043</v>
      </c>
      <c r="C2774" t="str">
        <f t="shared" si="190"/>
        <v>20</v>
      </c>
      <c r="D2774" t="s">
        <v>81</v>
      </c>
      <c r="E2774" t="str">
        <f t="shared" si="192"/>
        <v>414</v>
      </c>
      <c r="F2774" t="s">
        <v>2932</v>
      </c>
      <c r="G2774" t="str">
        <f t="shared" si="191"/>
        <v>1846</v>
      </c>
      <c r="H2774" t="str">
        <f t="shared" si="193"/>
        <v>0002</v>
      </c>
      <c r="I2774" t="s">
        <v>122</v>
      </c>
      <c r="J2774">
        <v>4</v>
      </c>
      <c r="K2774">
        <v>1</v>
      </c>
      <c r="L2774">
        <v>3</v>
      </c>
      <c r="M2774">
        <v>331</v>
      </c>
      <c r="N2774">
        <v>368</v>
      </c>
      <c r="O2774">
        <v>11</v>
      </c>
      <c r="P2774">
        <v>372</v>
      </c>
      <c r="Q2774">
        <v>6</v>
      </c>
      <c r="R2774">
        <v>21</v>
      </c>
      <c r="S2774">
        <v>66</v>
      </c>
      <c r="T2774">
        <v>1</v>
      </c>
      <c r="U2774">
        <v>7</v>
      </c>
      <c r="V2774">
        <v>0</v>
      </c>
      <c r="W2774">
        <v>15</v>
      </c>
      <c r="X2774">
        <v>143</v>
      </c>
      <c r="Y2774">
        <v>10</v>
      </c>
      <c r="Z2774">
        <v>6</v>
      </c>
      <c r="AA2774">
        <v>0</v>
      </c>
      <c r="AB2774">
        <v>63</v>
      </c>
      <c r="AC2774">
        <v>21</v>
      </c>
      <c r="AJ2774">
        <v>0</v>
      </c>
      <c r="AK2774">
        <v>2</v>
      </c>
      <c r="AL2774">
        <v>1</v>
      </c>
      <c r="AM2774">
        <v>0</v>
      </c>
      <c r="AN2774">
        <v>1</v>
      </c>
      <c r="AO2774">
        <v>0</v>
      </c>
      <c r="AP2774">
        <v>0</v>
      </c>
      <c r="AQ2774">
        <v>0</v>
      </c>
      <c r="AR2774">
        <v>3</v>
      </c>
      <c r="AS2774">
        <v>0</v>
      </c>
      <c r="AT2774">
        <v>1</v>
      </c>
      <c r="AU2774">
        <v>0</v>
      </c>
      <c r="AW2774">
        <v>0</v>
      </c>
      <c r="AX2774">
        <v>5</v>
      </c>
      <c r="AY2774">
        <v>372</v>
      </c>
      <c r="AZ2774">
        <v>372</v>
      </c>
      <c r="BA2774">
        <v>656</v>
      </c>
      <c r="BB2774">
        <v>46</v>
      </c>
      <c r="BD2774">
        <v>1</v>
      </c>
      <c r="BF2774" t="s">
        <v>2974</v>
      </c>
      <c r="BG2774" s="1">
        <v>44354.118055555555</v>
      </c>
      <c r="BH2774" s="1">
        <v>44354.119027777779</v>
      </c>
      <c r="BI2774" s="1">
        <v>44354.119652777779</v>
      </c>
      <c r="BJ2774" t="s">
        <v>85</v>
      </c>
      <c r="BK2774" t="s">
        <v>86</v>
      </c>
      <c r="BL2774" t="s">
        <v>87</v>
      </c>
    </row>
    <row r="2775" spans="1:64" x14ac:dyDescent="0.3">
      <c r="A2775" t="str">
        <f>"201846E0205"</f>
        <v>201846E0205</v>
      </c>
      <c r="B2775" t="str">
        <f>"201846E02053"</f>
        <v>201846E02053</v>
      </c>
      <c r="C2775" t="str">
        <f t="shared" si="190"/>
        <v>20</v>
      </c>
      <c r="D2775" t="s">
        <v>81</v>
      </c>
      <c r="E2775" t="str">
        <f t="shared" si="192"/>
        <v>414</v>
      </c>
      <c r="F2775" t="s">
        <v>2932</v>
      </c>
      <c r="G2775" t="str">
        <f t="shared" si="191"/>
        <v>1846</v>
      </c>
      <c r="H2775" t="str">
        <f t="shared" si="193"/>
        <v>0002</v>
      </c>
      <c r="I2775" t="s">
        <v>122</v>
      </c>
      <c r="J2775">
        <v>5</v>
      </c>
      <c r="K2775">
        <v>1</v>
      </c>
      <c r="L2775">
        <v>3</v>
      </c>
      <c r="M2775">
        <v>325</v>
      </c>
      <c r="N2775">
        <v>362</v>
      </c>
      <c r="O2775">
        <v>16</v>
      </c>
      <c r="P2775">
        <v>362</v>
      </c>
      <c r="Q2775">
        <v>7</v>
      </c>
      <c r="R2775">
        <v>13</v>
      </c>
      <c r="S2775">
        <v>59</v>
      </c>
      <c r="T2775">
        <v>1</v>
      </c>
      <c r="U2775">
        <v>7</v>
      </c>
      <c r="V2775">
        <v>2</v>
      </c>
      <c r="W2775">
        <v>12</v>
      </c>
      <c r="X2775">
        <v>146</v>
      </c>
      <c r="Y2775">
        <v>15</v>
      </c>
      <c r="Z2775">
        <v>2</v>
      </c>
      <c r="AA2775">
        <v>1</v>
      </c>
      <c r="AB2775">
        <v>68</v>
      </c>
      <c r="AC2775">
        <v>14</v>
      </c>
      <c r="AJ2775">
        <v>4</v>
      </c>
      <c r="AK2775" t="s">
        <v>95</v>
      </c>
      <c r="AL2775" t="s">
        <v>95</v>
      </c>
      <c r="AM2775" t="s">
        <v>95</v>
      </c>
      <c r="AN2775" t="s">
        <v>95</v>
      </c>
      <c r="AO2775" t="s">
        <v>95</v>
      </c>
      <c r="AP2775" t="s">
        <v>95</v>
      </c>
      <c r="AQ2775" t="s">
        <v>95</v>
      </c>
      <c r="AR2775" t="s">
        <v>95</v>
      </c>
      <c r="AS2775" t="s">
        <v>95</v>
      </c>
      <c r="AT2775" t="s">
        <v>95</v>
      </c>
      <c r="AU2775" t="s">
        <v>95</v>
      </c>
      <c r="AW2775" t="s">
        <v>95</v>
      </c>
      <c r="AX2775">
        <v>11</v>
      </c>
      <c r="AY2775">
        <v>362</v>
      </c>
      <c r="AZ2775">
        <v>362</v>
      </c>
      <c r="BA2775">
        <v>656</v>
      </c>
      <c r="BB2775">
        <v>46</v>
      </c>
      <c r="BC2775" t="s">
        <v>96</v>
      </c>
      <c r="BD2775">
        <v>1</v>
      </c>
      <c r="BF2775" t="s">
        <v>2975</v>
      </c>
      <c r="BG2775" s="1">
        <v>44354.114583333336</v>
      </c>
      <c r="BH2775" s="1">
        <v>44354.117534722223</v>
      </c>
      <c r="BI2775" s="1">
        <v>44354.118032407408</v>
      </c>
      <c r="BJ2775" t="s">
        <v>85</v>
      </c>
      <c r="BK2775" t="s">
        <v>86</v>
      </c>
      <c r="BL2775" t="s">
        <v>87</v>
      </c>
    </row>
    <row r="2776" spans="1:64" x14ac:dyDescent="0.3">
      <c r="A2776" t="str">
        <f>"201847B0000"</f>
        <v>201847B0000</v>
      </c>
      <c r="B2776" t="str">
        <f>"201847B00003"</f>
        <v>201847B00003</v>
      </c>
      <c r="C2776" t="str">
        <f t="shared" si="190"/>
        <v>20</v>
      </c>
      <c r="D2776" t="s">
        <v>81</v>
      </c>
      <c r="E2776" t="str">
        <f t="shared" si="192"/>
        <v>414</v>
      </c>
      <c r="F2776" t="s">
        <v>2932</v>
      </c>
      <c r="G2776" t="str">
        <f>"1847"</f>
        <v>1847</v>
      </c>
      <c r="H2776" t="str">
        <f>"0000"</f>
        <v>0000</v>
      </c>
      <c r="I2776" t="s">
        <v>83</v>
      </c>
      <c r="J2776">
        <v>0</v>
      </c>
      <c r="K2776">
        <v>1</v>
      </c>
      <c r="L2776">
        <v>3</v>
      </c>
      <c r="M2776">
        <v>287</v>
      </c>
      <c r="N2776">
        <v>288</v>
      </c>
      <c r="O2776">
        <v>6</v>
      </c>
      <c r="P2776">
        <v>288</v>
      </c>
      <c r="Q2776">
        <v>14</v>
      </c>
      <c r="R2776">
        <v>30</v>
      </c>
      <c r="S2776">
        <v>53</v>
      </c>
      <c r="T2776">
        <v>3</v>
      </c>
      <c r="U2776">
        <v>7</v>
      </c>
      <c r="V2776">
        <v>1</v>
      </c>
      <c r="W2776">
        <v>12</v>
      </c>
      <c r="X2776">
        <v>79</v>
      </c>
      <c r="Y2776">
        <v>8</v>
      </c>
      <c r="Z2776">
        <v>0</v>
      </c>
      <c r="AA2776">
        <v>7</v>
      </c>
      <c r="AB2776">
        <v>55</v>
      </c>
      <c r="AC2776">
        <v>16</v>
      </c>
      <c r="AJ2776">
        <v>0</v>
      </c>
      <c r="AK2776">
        <v>0</v>
      </c>
      <c r="AL2776">
        <v>0</v>
      </c>
      <c r="AM2776">
        <v>0</v>
      </c>
      <c r="AN2776">
        <v>0</v>
      </c>
      <c r="AO2776">
        <v>0</v>
      </c>
      <c r="AP2776">
        <v>0</v>
      </c>
      <c r="AQ2776">
        <v>0</v>
      </c>
      <c r="AR2776">
        <v>0</v>
      </c>
      <c r="AS2776">
        <v>0</v>
      </c>
      <c r="AT2776">
        <v>0</v>
      </c>
      <c r="AU2776">
        <v>0</v>
      </c>
      <c r="AW2776">
        <v>0</v>
      </c>
      <c r="AX2776">
        <v>9</v>
      </c>
      <c r="AY2776">
        <v>288</v>
      </c>
      <c r="AZ2776">
        <v>294</v>
      </c>
      <c r="BA2776">
        <v>529</v>
      </c>
      <c r="BB2776">
        <v>46</v>
      </c>
      <c r="BD2776">
        <v>1</v>
      </c>
      <c r="BF2776" t="s">
        <v>2976</v>
      </c>
      <c r="BG2776" s="1">
        <v>44354.243055555555</v>
      </c>
      <c r="BH2776" s="1">
        <v>44354.244780092595</v>
      </c>
      <c r="BI2776" s="1">
        <v>44354.246817129628</v>
      </c>
      <c r="BJ2776" t="s">
        <v>85</v>
      </c>
      <c r="BK2776" t="s">
        <v>86</v>
      </c>
      <c r="BL2776" t="s">
        <v>87</v>
      </c>
    </row>
    <row r="2777" spans="1:64" x14ac:dyDescent="0.3">
      <c r="A2777" t="str">
        <f>"201847C0100"</f>
        <v>201847C0100</v>
      </c>
      <c r="B2777" t="str">
        <f>"201847C01003"</f>
        <v>201847C01003</v>
      </c>
      <c r="C2777" t="str">
        <f t="shared" si="190"/>
        <v>20</v>
      </c>
      <c r="D2777" t="s">
        <v>81</v>
      </c>
      <c r="E2777" t="str">
        <f t="shared" si="192"/>
        <v>414</v>
      </c>
      <c r="F2777" t="s">
        <v>2932</v>
      </c>
      <c r="G2777" t="str">
        <f>"1847"</f>
        <v>1847</v>
      </c>
      <c r="H2777" t="str">
        <f>"0001"</f>
        <v>0001</v>
      </c>
      <c r="I2777" t="s">
        <v>89</v>
      </c>
      <c r="J2777">
        <v>0</v>
      </c>
      <c r="K2777">
        <v>1</v>
      </c>
      <c r="L2777">
        <v>3</v>
      </c>
      <c r="M2777">
        <v>302</v>
      </c>
      <c r="N2777">
        <v>273</v>
      </c>
      <c r="O2777">
        <v>8</v>
      </c>
      <c r="P2777">
        <v>273</v>
      </c>
      <c r="Q2777">
        <v>17</v>
      </c>
      <c r="R2777">
        <v>15</v>
      </c>
      <c r="S2777">
        <v>56</v>
      </c>
      <c r="T2777">
        <v>2</v>
      </c>
      <c r="U2777">
        <v>5</v>
      </c>
      <c r="V2777">
        <v>2</v>
      </c>
      <c r="W2777">
        <v>9</v>
      </c>
      <c r="X2777">
        <v>84</v>
      </c>
      <c r="Y2777">
        <v>13</v>
      </c>
      <c r="Z2777">
        <v>2</v>
      </c>
      <c r="AA2777">
        <v>0</v>
      </c>
      <c r="AB2777">
        <v>44</v>
      </c>
      <c r="AC2777">
        <v>14</v>
      </c>
      <c r="AJ2777">
        <v>1</v>
      </c>
      <c r="AK2777">
        <v>3</v>
      </c>
      <c r="AL2777">
        <v>0</v>
      </c>
      <c r="AM2777">
        <v>0</v>
      </c>
      <c r="AN2777">
        <v>0</v>
      </c>
      <c r="AO2777">
        <v>1</v>
      </c>
      <c r="AP2777">
        <v>0</v>
      </c>
      <c r="AQ2777">
        <v>0</v>
      </c>
      <c r="AR2777">
        <v>0</v>
      </c>
      <c r="AS2777">
        <v>0</v>
      </c>
      <c r="AT2777">
        <v>0</v>
      </c>
      <c r="AU2777">
        <v>0</v>
      </c>
      <c r="AW2777">
        <v>0</v>
      </c>
      <c r="AX2777">
        <v>5</v>
      </c>
      <c r="AY2777">
        <v>273</v>
      </c>
      <c r="AZ2777">
        <v>273</v>
      </c>
      <c r="BA2777">
        <v>529</v>
      </c>
      <c r="BB2777">
        <v>46</v>
      </c>
      <c r="BD2777">
        <v>1</v>
      </c>
      <c r="BF2777" t="s">
        <v>2977</v>
      </c>
      <c r="BG2777" s="1">
        <v>44354.239583333336</v>
      </c>
      <c r="BH2777" s="1">
        <v>44354.242291666669</v>
      </c>
      <c r="BI2777" s="1">
        <v>44354.242708333331</v>
      </c>
      <c r="BJ2777" t="s">
        <v>85</v>
      </c>
      <c r="BK2777" t="s">
        <v>86</v>
      </c>
      <c r="BL2777" t="s">
        <v>87</v>
      </c>
    </row>
    <row r="2778" spans="1:64" x14ac:dyDescent="0.3">
      <c r="A2778" t="str">
        <f>"201847S0100"</f>
        <v>201847S0100</v>
      </c>
      <c r="B2778" t="str">
        <f>"201847S01003E"</f>
        <v>201847S01003E</v>
      </c>
      <c r="C2778" t="str">
        <f t="shared" si="190"/>
        <v>20</v>
      </c>
      <c r="D2778" t="s">
        <v>81</v>
      </c>
      <c r="E2778" t="str">
        <f t="shared" si="192"/>
        <v>414</v>
      </c>
      <c r="F2778" t="s">
        <v>2932</v>
      </c>
      <c r="G2778" t="str">
        <f>"1847"</f>
        <v>1847</v>
      </c>
      <c r="H2778" t="str">
        <f>"0001"</f>
        <v>0001</v>
      </c>
      <c r="I2778" t="s">
        <v>99</v>
      </c>
      <c r="J2778">
        <v>0</v>
      </c>
      <c r="K2778">
        <v>1</v>
      </c>
      <c r="L2778" t="s">
        <v>100</v>
      </c>
      <c r="M2778">
        <v>952</v>
      </c>
      <c r="N2778">
        <v>48</v>
      </c>
      <c r="O2778">
        <v>0</v>
      </c>
      <c r="P2778">
        <v>48</v>
      </c>
      <c r="Q2778">
        <v>1</v>
      </c>
      <c r="R2778">
        <v>7</v>
      </c>
      <c r="S2778">
        <v>13</v>
      </c>
      <c r="T2778">
        <v>0</v>
      </c>
      <c r="U2778">
        <v>2</v>
      </c>
      <c r="V2778">
        <v>0</v>
      </c>
      <c r="W2778">
        <v>1</v>
      </c>
      <c r="X2778">
        <v>9</v>
      </c>
      <c r="Y2778">
        <v>5</v>
      </c>
      <c r="Z2778">
        <v>0</v>
      </c>
      <c r="AA2778">
        <v>0</v>
      </c>
      <c r="AB2778">
        <v>6</v>
      </c>
      <c r="AC2778">
        <v>1</v>
      </c>
      <c r="AJ2778">
        <v>0</v>
      </c>
      <c r="AK2778">
        <v>0</v>
      </c>
      <c r="AL2778">
        <v>0</v>
      </c>
      <c r="AM2778">
        <v>0</v>
      </c>
      <c r="AN2778">
        <v>0</v>
      </c>
      <c r="AO2778">
        <v>0</v>
      </c>
      <c r="AP2778">
        <v>0</v>
      </c>
      <c r="AQ2778">
        <v>0</v>
      </c>
      <c r="AR2778">
        <v>0</v>
      </c>
      <c r="AS2778">
        <v>0</v>
      </c>
      <c r="AT2778">
        <v>0</v>
      </c>
      <c r="AU2778">
        <v>0</v>
      </c>
      <c r="AW2778">
        <v>0</v>
      </c>
      <c r="AX2778">
        <v>3</v>
      </c>
      <c r="AY2778">
        <v>48</v>
      </c>
      <c r="AZ2778">
        <v>48</v>
      </c>
      <c r="BA2778">
        <v>0</v>
      </c>
      <c r="BB2778">
        <v>46</v>
      </c>
      <c r="BD2778">
        <v>1</v>
      </c>
      <c r="BF2778" t="s">
        <v>2978</v>
      </c>
      <c r="BG2778" s="1">
        <v>44354.231249999997</v>
      </c>
      <c r="BH2778" s="1">
        <v>44354.233275462961</v>
      </c>
      <c r="BI2778" s="1">
        <v>44354.234143518515</v>
      </c>
      <c r="BJ2778" t="s">
        <v>85</v>
      </c>
      <c r="BK2778" t="s">
        <v>86</v>
      </c>
      <c r="BL2778" t="s">
        <v>87</v>
      </c>
    </row>
    <row r="2779" spans="1:64" x14ac:dyDescent="0.3">
      <c r="A2779" t="str">
        <f>"201849B0000"</f>
        <v>201849B0000</v>
      </c>
      <c r="B2779" t="str">
        <f>"201849B00003"</f>
        <v>201849B00003</v>
      </c>
      <c r="C2779" t="str">
        <f t="shared" si="190"/>
        <v>20</v>
      </c>
      <c r="D2779" t="s">
        <v>81</v>
      </c>
      <c r="E2779" t="str">
        <f t="shared" si="192"/>
        <v>414</v>
      </c>
      <c r="F2779" t="s">
        <v>2932</v>
      </c>
      <c r="G2779" t="str">
        <f>"1849"</f>
        <v>1849</v>
      </c>
      <c r="H2779" t="str">
        <f>"0000"</f>
        <v>0000</v>
      </c>
      <c r="I2779" t="s">
        <v>83</v>
      </c>
      <c r="J2779">
        <v>0</v>
      </c>
      <c r="K2779">
        <v>1</v>
      </c>
      <c r="L2779">
        <v>3</v>
      </c>
      <c r="M2779">
        <v>306</v>
      </c>
      <c r="N2779">
        <v>693</v>
      </c>
      <c r="O2779">
        <v>7</v>
      </c>
      <c r="P2779">
        <v>387</v>
      </c>
      <c r="Q2779">
        <v>7</v>
      </c>
      <c r="R2779">
        <v>29</v>
      </c>
      <c r="S2779">
        <v>62</v>
      </c>
      <c r="T2779">
        <v>0</v>
      </c>
      <c r="U2779">
        <v>6</v>
      </c>
      <c r="V2779">
        <v>3</v>
      </c>
      <c r="W2779">
        <v>4</v>
      </c>
      <c r="X2779">
        <v>167</v>
      </c>
      <c r="Y2779">
        <v>36</v>
      </c>
      <c r="Z2779">
        <v>4</v>
      </c>
      <c r="AA2779">
        <v>4</v>
      </c>
      <c r="AB2779">
        <v>49</v>
      </c>
      <c r="AC2779">
        <v>7</v>
      </c>
      <c r="AJ2779">
        <v>0</v>
      </c>
      <c r="AK2779">
        <v>0</v>
      </c>
      <c r="AL2779">
        <v>0</v>
      </c>
      <c r="AM2779">
        <v>0</v>
      </c>
      <c r="AN2779">
        <v>0</v>
      </c>
      <c r="AO2779">
        <v>0</v>
      </c>
      <c r="AP2779">
        <v>0</v>
      </c>
      <c r="AQ2779">
        <v>0</v>
      </c>
      <c r="AR2779">
        <v>0</v>
      </c>
      <c r="AS2779">
        <v>0</v>
      </c>
      <c r="AT2779">
        <v>0</v>
      </c>
      <c r="AU2779">
        <v>0</v>
      </c>
      <c r="AW2779">
        <v>0</v>
      </c>
      <c r="AX2779">
        <v>9</v>
      </c>
      <c r="AY2779">
        <v>387</v>
      </c>
      <c r="AZ2779">
        <v>387</v>
      </c>
      <c r="BA2779">
        <v>647</v>
      </c>
      <c r="BB2779">
        <v>46</v>
      </c>
      <c r="BD2779">
        <v>1</v>
      </c>
      <c r="BF2779" t="s">
        <v>2979</v>
      </c>
      <c r="BG2779" s="1">
        <v>44354.2</v>
      </c>
      <c r="BH2779" s="1">
        <v>44354.202523148146</v>
      </c>
      <c r="BI2779" s="1">
        <v>44354.204467592594</v>
      </c>
      <c r="BJ2779" t="s">
        <v>85</v>
      </c>
      <c r="BK2779" t="s">
        <v>86</v>
      </c>
      <c r="BL2779" t="s">
        <v>87</v>
      </c>
    </row>
    <row r="2780" spans="1:64" x14ac:dyDescent="0.3">
      <c r="A2780" t="str">
        <f>"201849C0100"</f>
        <v>201849C0100</v>
      </c>
      <c r="B2780" t="str">
        <f>"201849C01003"</f>
        <v>201849C01003</v>
      </c>
      <c r="C2780" t="str">
        <f t="shared" si="190"/>
        <v>20</v>
      </c>
      <c r="D2780" t="s">
        <v>81</v>
      </c>
      <c r="E2780" t="str">
        <f t="shared" si="192"/>
        <v>414</v>
      </c>
      <c r="F2780" t="s">
        <v>2932</v>
      </c>
      <c r="G2780" t="str">
        <f>"1849"</f>
        <v>1849</v>
      </c>
      <c r="H2780" t="str">
        <f>"0001"</f>
        <v>0001</v>
      </c>
      <c r="I2780" t="s">
        <v>89</v>
      </c>
      <c r="J2780">
        <v>0</v>
      </c>
      <c r="K2780">
        <v>1</v>
      </c>
      <c r="L2780">
        <v>3</v>
      </c>
      <c r="M2780">
        <v>330</v>
      </c>
      <c r="N2780">
        <v>362</v>
      </c>
      <c r="O2780">
        <v>4</v>
      </c>
      <c r="P2780">
        <v>362</v>
      </c>
      <c r="Q2780">
        <v>1</v>
      </c>
      <c r="R2780">
        <v>24</v>
      </c>
      <c r="S2780">
        <v>75</v>
      </c>
      <c r="T2780">
        <v>1</v>
      </c>
      <c r="U2780">
        <v>10</v>
      </c>
      <c r="V2780">
        <v>3</v>
      </c>
      <c r="W2780">
        <v>2</v>
      </c>
      <c r="X2780">
        <v>158</v>
      </c>
      <c r="Y2780">
        <v>35</v>
      </c>
      <c r="Z2780">
        <v>3</v>
      </c>
      <c r="AA2780">
        <v>3</v>
      </c>
      <c r="AB2780">
        <v>30</v>
      </c>
      <c r="AC2780">
        <v>3</v>
      </c>
      <c r="AJ2780">
        <v>1</v>
      </c>
      <c r="AK2780">
        <v>1</v>
      </c>
      <c r="AL2780">
        <v>0</v>
      </c>
      <c r="AM2780">
        <v>0</v>
      </c>
      <c r="AN2780">
        <v>2</v>
      </c>
      <c r="AO2780">
        <v>0</v>
      </c>
      <c r="AP2780">
        <v>0</v>
      </c>
      <c r="AQ2780">
        <v>1</v>
      </c>
      <c r="AR2780">
        <v>0</v>
      </c>
      <c r="AS2780">
        <v>0</v>
      </c>
      <c r="AT2780">
        <v>0</v>
      </c>
      <c r="AU2780">
        <v>0</v>
      </c>
      <c r="AW2780">
        <v>0</v>
      </c>
      <c r="AX2780">
        <v>9</v>
      </c>
      <c r="AY2780">
        <v>362</v>
      </c>
      <c r="AZ2780">
        <v>362</v>
      </c>
      <c r="BA2780">
        <v>647</v>
      </c>
      <c r="BB2780">
        <v>46</v>
      </c>
      <c r="BD2780">
        <v>1</v>
      </c>
      <c r="BF2780" t="s">
        <v>2980</v>
      </c>
      <c r="BG2780" s="1">
        <v>44354.203472222223</v>
      </c>
      <c r="BH2780" s="1">
        <v>44354.205474537041</v>
      </c>
      <c r="BI2780" s="1">
        <v>44354.206458333334</v>
      </c>
      <c r="BJ2780" t="s">
        <v>85</v>
      </c>
      <c r="BK2780" t="s">
        <v>86</v>
      </c>
      <c r="BL2780" t="s">
        <v>87</v>
      </c>
    </row>
    <row r="2781" spans="1:64" x14ac:dyDescent="0.3">
      <c r="A2781" t="str">
        <f>"201849C0200"</f>
        <v>201849C0200</v>
      </c>
      <c r="B2781" t="str">
        <f>"201849C02003"</f>
        <v>201849C02003</v>
      </c>
      <c r="C2781" t="str">
        <f t="shared" si="190"/>
        <v>20</v>
      </c>
      <c r="D2781" t="s">
        <v>81</v>
      </c>
      <c r="E2781" t="str">
        <f t="shared" si="192"/>
        <v>414</v>
      </c>
      <c r="F2781" t="s">
        <v>2932</v>
      </c>
      <c r="G2781" t="str">
        <f>"1849"</f>
        <v>1849</v>
      </c>
      <c r="H2781" t="str">
        <f>"0002"</f>
        <v>0002</v>
      </c>
      <c r="I2781" t="s">
        <v>89</v>
      </c>
      <c r="J2781">
        <v>0</v>
      </c>
      <c r="K2781">
        <v>1</v>
      </c>
      <c r="L2781">
        <v>3</v>
      </c>
      <c r="BA2781">
        <v>646</v>
      </c>
      <c r="BB2781">
        <v>46</v>
      </c>
      <c r="BC2781" t="s">
        <v>381</v>
      </c>
      <c r="BD2781">
        <v>0</v>
      </c>
      <c r="BF2781" t="s">
        <v>2981</v>
      </c>
      <c r="BG2781" s="1">
        <v>44354.356249999997</v>
      </c>
      <c r="BH2781" s="1">
        <v>44354.357499999998</v>
      </c>
      <c r="BI2781" s="1">
        <v>44354.357499999998</v>
      </c>
      <c r="BJ2781" t="s">
        <v>85</v>
      </c>
      <c r="BK2781" t="s">
        <v>86</v>
      </c>
      <c r="BL2781" t="s">
        <v>87</v>
      </c>
    </row>
    <row r="2782" spans="1:64" x14ac:dyDescent="0.3">
      <c r="A2782" t="str">
        <f>"201850B0000"</f>
        <v>201850B0000</v>
      </c>
      <c r="B2782" t="str">
        <f>"201850B00003"</f>
        <v>201850B00003</v>
      </c>
      <c r="C2782" t="str">
        <f t="shared" si="190"/>
        <v>20</v>
      </c>
      <c r="D2782" t="s">
        <v>81</v>
      </c>
      <c r="E2782" t="str">
        <f t="shared" si="192"/>
        <v>414</v>
      </c>
      <c r="F2782" t="s">
        <v>2932</v>
      </c>
      <c r="G2782" t="str">
        <f>"1850"</f>
        <v>1850</v>
      </c>
      <c r="H2782" t="str">
        <f>"0000"</f>
        <v>0000</v>
      </c>
      <c r="I2782" t="s">
        <v>83</v>
      </c>
      <c r="J2782">
        <v>0</v>
      </c>
      <c r="K2782">
        <v>1</v>
      </c>
      <c r="L2782">
        <v>3</v>
      </c>
      <c r="M2782">
        <v>329</v>
      </c>
      <c r="N2782">
        <v>386</v>
      </c>
      <c r="O2782">
        <v>7</v>
      </c>
      <c r="P2782" t="s">
        <v>92</v>
      </c>
      <c r="Q2782">
        <v>13</v>
      </c>
      <c r="R2782">
        <v>30</v>
      </c>
      <c r="S2782">
        <v>67</v>
      </c>
      <c r="T2782">
        <v>3</v>
      </c>
      <c r="U2782">
        <v>9</v>
      </c>
      <c r="V2782">
        <v>1</v>
      </c>
      <c r="W2782">
        <v>8</v>
      </c>
      <c r="X2782">
        <v>124</v>
      </c>
      <c r="Y2782">
        <v>11</v>
      </c>
      <c r="Z2782">
        <v>1</v>
      </c>
      <c r="AA2782">
        <v>2</v>
      </c>
      <c r="AB2782">
        <v>88</v>
      </c>
      <c r="AC2782">
        <v>15</v>
      </c>
      <c r="AJ2782">
        <v>1</v>
      </c>
      <c r="AK2782">
        <v>2</v>
      </c>
      <c r="AL2782" t="s">
        <v>95</v>
      </c>
      <c r="AM2782" t="s">
        <v>95</v>
      </c>
      <c r="AN2782" t="s">
        <v>95</v>
      </c>
      <c r="AO2782" t="s">
        <v>95</v>
      </c>
      <c r="AP2782">
        <v>2</v>
      </c>
      <c r="AQ2782" t="s">
        <v>95</v>
      </c>
      <c r="AR2782" t="s">
        <v>95</v>
      </c>
      <c r="AS2782">
        <v>1</v>
      </c>
      <c r="AT2782" t="s">
        <v>95</v>
      </c>
      <c r="AU2782">
        <v>1</v>
      </c>
      <c r="AW2782" t="s">
        <v>95</v>
      </c>
      <c r="AX2782">
        <v>7</v>
      </c>
      <c r="AY2782">
        <v>386</v>
      </c>
      <c r="AZ2782">
        <v>386</v>
      </c>
      <c r="BA2782">
        <v>669</v>
      </c>
      <c r="BB2782">
        <v>46</v>
      </c>
      <c r="BC2782" t="s">
        <v>96</v>
      </c>
      <c r="BD2782">
        <v>1</v>
      </c>
      <c r="BF2782" t="s">
        <v>2982</v>
      </c>
      <c r="BG2782" s="1">
        <v>44354.231944444444</v>
      </c>
      <c r="BH2782" s="1">
        <v>44354.234178240738</v>
      </c>
      <c r="BI2782" s="1">
        <v>44354.235601851855</v>
      </c>
      <c r="BJ2782" t="s">
        <v>85</v>
      </c>
      <c r="BK2782" t="s">
        <v>86</v>
      </c>
      <c r="BL2782" t="s">
        <v>87</v>
      </c>
    </row>
    <row r="2783" spans="1:64" x14ac:dyDescent="0.3">
      <c r="A2783" t="str">
        <f>"201850C0100"</f>
        <v>201850C0100</v>
      </c>
      <c r="B2783" t="str">
        <f>"201850C01003"</f>
        <v>201850C01003</v>
      </c>
      <c r="C2783" t="str">
        <f t="shared" si="190"/>
        <v>20</v>
      </c>
      <c r="D2783" t="s">
        <v>81</v>
      </c>
      <c r="E2783" t="str">
        <f t="shared" si="192"/>
        <v>414</v>
      </c>
      <c r="F2783" t="s">
        <v>2932</v>
      </c>
      <c r="G2783" t="str">
        <f>"1850"</f>
        <v>1850</v>
      </c>
      <c r="H2783" t="str">
        <f>"0001"</f>
        <v>0001</v>
      </c>
      <c r="I2783" t="s">
        <v>89</v>
      </c>
      <c r="J2783">
        <v>0</v>
      </c>
      <c r="K2783">
        <v>1</v>
      </c>
      <c r="L2783">
        <v>3</v>
      </c>
      <c r="M2783">
        <v>374</v>
      </c>
      <c r="N2783">
        <v>340</v>
      </c>
      <c r="O2783">
        <v>3</v>
      </c>
      <c r="P2783">
        <v>340</v>
      </c>
      <c r="Q2783">
        <v>14</v>
      </c>
      <c r="R2783">
        <v>21</v>
      </c>
      <c r="S2783">
        <v>57</v>
      </c>
      <c r="T2783">
        <v>1</v>
      </c>
      <c r="U2783">
        <v>5</v>
      </c>
      <c r="V2783">
        <v>3</v>
      </c>
      <c r="W2783">
        <v>7</v>
      </c>
      <c r="X2783">
        <v>100</v>
      </c>
      <c r="Y2783">
        <v>9</v>
      </c>
      <c r="Z2783">
        <v>3</v>
      </c>
      <c r="AA2783">
        <v>7</v>
      </c>
      <c r="AB2783">
        <v>79</v>
      </c>
      <c r="AC2783">
        <v>18</v>
      </c>
      <c r="AJ2783">
        <v>2</v>
      </c>
      <c r="AK2783">
        <v>2</v>
      </c>
      <c r="AL2783" t="s">
        <v>95</v>
      </c>
      <c r="AM2783">
        <v>1</v>
      </c>
      <c r="AN2783">
        <v>1</v>
      </c>
      <c r="AO2783" t="s">
        <v>95</v>
      </c>
      <c r="AP2783" t="s">
        <v>95</v>
      </c>
      <c r="AQ2783" t="s">
        <v>95</v>
      </c>
      <c r="AR2783" t="s">
        <v>95</v>
      </c>
      <c r="AS2783" t="s">
        <v>95</v>
      </c>
      <c r="AT2783" t="s">
        <v>95</v>
      </c>
      <c r="AU2783" t="s">
        <v>95</v>
      </c>
      <c r="AW2783" t="s">
        <v>95</v>
      </c>
      <c r="AX2783">
        <v>10</v>
      </c>
      <c r="AY2783">
        <v>340</v>
      </c>
      <c r="AZ2783">
        <v>340</v>
      </c>
      <c r="BA2783">
        <v>668</v>
      </c>
      <c r="BB2783">
        <v>46</v>
      </c>
      <c r="BC2783" t="s">
        <v>96</v>
      </c>
      <c r="BD2783">
        <v>1</v>
      </c>
      <c r="BF2783" s="2" t="s">
        <v>2983</v>
      </c>
      <c r="BG2783" s="1">
        <v>44354.236111111109</v>
      </c>
      <c r="BH2783" s="1">
        <v>44354.238657407404</v>
      </c>
      <c r="BI2783" s="1">
        <v>44354.242673611108</v>
      </c>
      <c r="BJ2783" t="s">
        <v>85</v>
      </c>
      <c r="BK2783" t="s">
        <v>86</v>
      </c>
      <c r="BL2783" t="s">
        <v>87</v>
      </c>
    </row>
    <row r="2784" spans="1:64" x14ac:dyDescent="0.3">
      <c r="A2784" t="str">
        <f>"202493B0000"</f>
        <v>202493B0000</v>
      </c>
      <c r="B2784" t="str">
        <f>"202493B00003"</f>
        <v>202493B00003</v>
      </c>
      <c r="C2784" t="str">
        <f t="shared" si="190"/>
        <v>20</v>
      </c>
      <c r="D2784" t="s">
        <v>81</v>
      </c>
      <c r="E2784" t="str">
        <f t="shared" si="192"/>
        <v>414</v>
      </c>
      <c r="F2784" t="s">
        <v>2932</v>
      </c>
      <c r="G2784" t="str">
        <f>"2493"</f>
        <v>2493</v>
      </c>
      <c r="H2784" t="str">
        <f>"0000"</f>
        <v>0000</v>
      </c>
      <c r="I2784" t="s">
        <v>83</v>
      </c>
      <c r="J2784">
        <v>0</v>
      </c>
      <c r="K2784">
        <v>1</v>
      </c>
      <c r="L2784">
        <v>3</v>
      </c>
      <c r="M2784">
        <v>246</v>
      </c>
      <c r="N2784">
        <v>364</v>
      </c>
      <c r="O2784">
        <v>5</v>
      </c>
      <c r="P2784">
        <v>364</v>
      </c>
      <c r="Q2784">
        <v>8</v>
      </c>
      <c r="R2784">
        <v>9</v>
      </c>
      <c r="S2784">
        <v>57</v>
      </c>
      <c r="T2784">
        <v>1</v>
      </c>
      <c r="U2784">
        <v>11</v>
      </c>
      <c r="V2784">
        <v>3</v>
      </c>
      <c r="W2784">
        <v>7</v>
      </c>
      <c r="X2784">
        <v>125</v>
      </c>
      <c r="Y2784">
        <v>58</v>
      </c>
      <c r="Z2784">
        <v>3</v>
      </c>
      <c r="AA2784">
        <v>0</v>
      </c>
      <c r="AB2784">
        <v>64</v>
      </c>
      <c r="AC2784">
        <v>5</v>
      </c>
      <c r="AJ2784">
        <v>0</v>
      </c>
      <c r="AK2784">
        <v>0</v>
      </c>
      <c r="AL2784">
        <v>0</v>
      </c>
      <c r="AM2784">
        <v>0</v>
      </c>
      <c r="AN2784">
        <v>0</v>
      </c>
      <c r="AO2784">
        <v>0</v>
      </c>
      <c r="AP2784">
        <v>0</v>
      </c>
      <c r="AQ2784">
        <v>0</v>
      </c>
      <c r="AR2784">
        <v>2</v>
      </c>
      <c r="AS2784">
        <v>0</v>
      </c>
      <c r="AT2784">
        <v>0</v>
      </c>
      <c r="AU2784">
        <v>0</v>
      </c>
      <c r="AW2784">
        <v>0</v>
      </c>
      <c r="AX2784">
        <v>11</v>
      </c>
      <c r="AY2784">
        <v>364</v>
      </c>
      <c r="AZ2784">
        <v>364</v>
      </c>
      <c r="BA2784">
        <v>564</v>
      </c>
      <c r="BB2784">
        <v>46</v>
      </c>
      <c r="BD2784">
        <v>1</v>
      </c>
      <c r="BF2784" t="s">
        <v>2984</v>
      </c>
      <c r="BG2784" s="1">
        <v>44354.136805555558</v>
      </c>
      <c r="BH2784" s="1">
        <v>44354.139016203706</v>
      </c>
      <c r="BI2784" s="1">
        <v>44354.139618055553</v>
      </c>
      <c r="BJ2784" t="s">
        <v>85</v>
      </c>
      <c r="BK2784" t="s">
        <v>86</v>
      </c>
      <c r="BL2784" t="s">
        <v>87</v>
      </c>
    </row>
    <row r="2785" spans="1:64" x14ac:dyDescent="0.3">
      <c r="A2785" t="str">
        <f>"202494B0000"</f>
        <v>202494B0000</v>
      </c>
      <c r="B2785" t="str">
        <f>"202494B00003"</f>
        <v>202494B00003</v>
      </c>
      <c r="C2785" t="str">
        <f t="shared" si="190"/>
        <v>20</v>
      </c>
      <c r="D2785" t="s">
        <v>81</v>
      </c>
      <c r="E2785" t="str">
        <f t="shared" si="192"/>
        <v>414</v>
      </c>
      <c r="F2785" t="s">
        <v>2932</v>
      </c>
      <c r="G2785" t="str">
        <f>"2494"</f>
        <v>2494</v>
      </c>
      <c r="H2785" t="str">
        <f>"0000"</f>
        <v>0000</v>
      </c>
      <c r="I2785" t="s">
        <v>83</v>
      </c>
      <c r="J2785">
        <v>0</v>
      </c>
      <c r="K2785">
        <v>1</v>
      </c>
      <c r="L2785">
        <v>3</v>
      </c>
      <c r="M2785">
        <v>274</v>
      </c>
      <c r="N2785">
        <v>375</v>
      </c>
      <c r="O2785">
        <v>3</v>
      </c>
      <c r="P2785">
        <v>375</v>
      </c>
      <c r="Q2785">
        <v>13</v>
      </c>
      <c r="R2785">
        <v>14</v>
      </c>
      <c r="S2785">
        <v>84</v>
      </c>
      <c r="T2785">
        <v>1</v>
      </c>
      <c r="U2785">
        <v>5</v>
      </c>
      <c r="V2785">
        <v>5</v>
      </c>
      <c r="W2785">
        <v>14</v>
      </c>
      <c r="X2785">
        <v>164</v>
      </c>
      <c r="Y2785">
        <v>15</v>
      </c>
      <c r="Z2785">
        <v>4</v>
      </c>
      <c r="AA2785">
        <v>3</v>
      </c>
      <c r="AB2785">
        <v>40</v>
      </c>
      <c r="AC2785">
        <v>3</v>
      </c>
      <c r="AJ2785">
        <v>3</v>
      </c>
      <c r="AK2785">
        <v>2</v>
      </c>
      <c r="AL2785">
        <v>0</v>
      </c>
      <c r="AM2785">
        <v>0</v>
      </c>
      <c r="AN2785">
        <v>1</v>
      </c>
      <c r="AO2785">
        <v>0</v>
      </c>
      <c r="AP2785">
        <v>0</v>
      </c>
      <c r="AQ2785">
        <v>0</v>
      </c>
      <c r="AR2785">
        <v>0</v>
      </c>
      <c r="AS2785">
        <v>1</v>
      </c>
      <c r="AT2785">
        <v>0</v>
      </c>
      <c r="AU2785">
        <v>0</v>
      </c>
      <c r="AW2785" t="s">
        <v>95</v>
      </c>
      <c r="AX2785">
        <v>3</v>
      </c>
      <c r="AY2785">
        <v>375</v>
      </c>
      <c r="AZ2785">
        <v>375</v>
      </c>
      <c r="BA2785">
        <v>603</v>
      </c>
      <c r="BB2785">
        <v>46</v>
      </c>
      <c r="BC2785" t="s">
        <v>96</v>
      </c>
      <c r="BD2785">
        <v>1</v>
      </c>
      <c r="BF2785" t="s">
        <v>2985</v>
      </c>
      <c r="BG2785" s="1">
        <v>44354.13958333333</v>
      </c>
      <c r="BH2785" s="1">
        <v>44354.141458333332</v>
      </c>
      <c r="BI2785" s="1">
        <v>44354.142291666663</v>
      </c>
      <c r="BJ2785" t="s">
        <v>85</v>
      </c>
      <c r="BK2785" t="s">
        <v>86</v>
      </c>
      <c r="BL2785" t="s">
        <v>87</v>
      </c>
    </row>
    <row r="2786" spans="1:64" x14ac:dyDescent="0.3">
      <c r="A2786" t="str">
        <f>"202494C0100"</f>
        <v>202494C0100</v>
      </c>
      <c r="B2786" t="str">
        <f>"202494C01003"</f>
        <v>202494C01003</v>
      </c>
      <c r="C2786" t="str">
        <f t="shared" si="190"/>
        <v>20</v>
      </c>
      <c r="D2786" t="s">
        <v>81</v>
      </c>
      <c r="E2786" t="str">
        <f t="shared" si="192"/>
        <v>414</v>
      </c>
      <c r="F2786" t="s">
        <v>2932</v>
      </c>
      <c r="G2786" t="str">
        <f>"2494"</f>
        <v>2494</v>
      </c>
      <c r="H2786" t="str">
        <f>"0001"</f>
        <v>0001</v>
      </c>
      <c r="I2786" t="s">
        <v>89</v>
      </c>
      <c r="J2786">
        <v>0</v>
      </c>
      <c r="K2786">
        <v>1</v>
      </c>
      <c r="L2786">
        <v>3</v>
      </c>
      <c r="M2786">
        <v>280</v>
      </c>
      <c r="N2786">
        <v>369</v>
      </c>
      <c r="O2786">
        <v>3</v>
      </c>
      <c r="P2786">
        <v>369</v>
      </c>
      <c r="Q2786">
        <v>6</v>
      </c>
      <c r="R2786">
        <v>18</v>
      </c>
      <c r="S2786">
        <v>67</v>
      </c>
      <c r="T2786">
        <v>2</v>
      </c>
      <c r="U2786">
        <v>7</v>
      </c>
      <c r="V2786">
        <v>2</v>
      </c>
      <c r="W2786">
        <v>7</v>
      </c>
      <c r="X2786">
        <v>155</v>
      </c>
      <c r="Y2786">
        <v>16</v>
      </c>
      <c r="Z2786">
        <v>2</v>
      </c>
      <c r="AA2786">
        <v>8</v>
      </c>
      <c r="AB2786">
        <v>53</v>
      </c>
      <c r="AC2786">
        <v>9</v>
      </c>
      <c r="AJ2786">
        <v>0</v>
      </c>
      <c r="AK2786">
        <v>0</v>
      </c>
      <c r="AL2786">
        <v>0</v>
      </c>
      <c r="AM2786">
        <v>0</v>
      </c>
      <c r="AN2786">
        <v>0</v>
      </c>
      <c r="AO2786">
        <v>0</v>
      </c>
      <c r="AP2786">
        <v>3</v>
      </c>
      <c r="AQ2786">
        <v>0</v>
      </c>
      <c r="AR2786">
        <v>1</v>
      </c>
      <c r="AS2786">
        <v>0</v>
      </c>
      <c r="AT2786">
        <v>0</v>
      </c>
      <c r="AU2786">
        <v>0</v>
      </c>
      <c r="AW2786">
        <v>0</v>
      </c>
      <c r="AX2786">
        <v>13</v>
      </c>
      <c r="AY2786">
        <v>369</v>
      </c>
      <c r="AZ2786">
        <v>369</v>
      </c>
      <c r="BA2786">
        <v>603</v>
      </c>
      <c r="BB2786">
        <v>46</v>
      </c>
      <c r="BD2786">
        <v>1</v>
      </c>
      <c r="BF2786" t="s">
        <v>2986</v>
      </c>
      <c r="BG2786" s="1">
        <v>44354.126388888886</v>
      </c>
      <c r="BH2786" s="1">
        <v>44354.128506944442</v>
      </c>
      <c r="BI2786" s="1">
        <v>44354.128958333335</v>
      </c>
      <c r="BJ2786" t="s">
        <v>85</v>
      </c>
      <c r="BK2786" t="s">
        <v>86</v>
      </c>
      <c r="BL2786" t="s">
        <v>87</v>
      </c>
    </row>
    <row r="2787" spans="1:64" x14ac:dyDescent="0.3">
      <c r="A2787" t="str">
        <f>"202495B0000"</f>
        <v>202495B0000</v>
      </c>
      <c r="B2787" t="str">
        <f>"202495B00003"</f>
        <v>202495B00003</v>
      </c>
      <c r="C2787" t="str">
        <f t="shared" si="190"/>
        <v>20</v>
      </c>
      <c r="D2787" t="s">
        <v>81</v>
      </c>
      <c r="E2787" t="str">
        <f t="shared" si="192"/>
        <v>414</v>
      </c>
      <c r="F2787" t="s">
        <v>2932</v>
      </c>
      <c r="G2787" t="str">
        <f>"2495"</f>
        <v>2495</v>
      </c>
      <c r="H2787" t="str">
        <f>"0000"</f>
        <v>0000</v>
      </c>
      <c r="I2787" t="s">
        <v>83</v>
      </c>
      <c r="J2787">
        <v>0</v>
      </c>
      <c r="K2787">
        <v>1</v>
      </c>
      <c r="L2787">
        <v>3</v>
      </c>
      <c r="M2787">
        <v>174</v>
      </c>
      <c r="N2787">
        <v>329</v>
      </c>
      <c r="O2787">
        <v>4</v>
      </c>
      <c r="P2787">
        <v>329</v>
      </c>
      <c r="Q2787">
        <v>2</v>
      </c>
      <c r="R2787">
        <v>9</v>
      </c>
      <c r="S2787">
        <v>33</v>
      </c>
      <c r="T2787">
        <v>2</v>
      </c>
      <c r="U2787">
        <v>13</v>
      </c>
      <c r="V2787">
        <v>0</v>
      </c>
      <c r="W2787">
        <v>6</v>
      </c>
      <c r="X2787">
        <v>91</v>
      </c>
      <c r="Y2787">
        <v>40</v>
      </c>
      <c r="Z2787">
        <v>4</v>
      </c>
      <c r="AA2787">
        <v>6</v>
      </c>
      <c r="AB2787">
        <v>103</v>
      </c>
      <c r="AC2787">
        <v>1</v>
      </c>
      <c r="AJ2787">
        <v>0</v>
      </c>
      <c r="AK2787">
        <v>0</v>
      </c>
      <c r="AL2787">
        <v>0</v>
      </c>
      <c r="AM2787">
        <v>0</v>
      </c>
      <c r="AN2787">
        <v>0</v>
      </c>
      <c r="AO2787">
        <v>0</v>
      </c>
      <c r="AP2787">
        <v>0</v>
      </c>
      <c r="AQ2787">
        <v>1</v>
      </c>
      <c r="AR2787">
        <v>1</v>
      </c>
      <c r="AS2787">
        <v>0</v>
      </c>
      <c r="AT2787">
        <v>0</v>
      </c>
      <c r="AU2787">
        <v>0</v>
      </c>
      <c r="AW2787">
        <v>2</v>
      </c>
      <c r="AX2787">
        <v>14</v>
      </c>
      <c r="AY2787">
        <v>329</v>
      </c>
      <c r="AZ2787">
        <v>328</v>
      </c>
      <c r="BA2787">
        <v>457</v>
      </c>
      <c r="BB2787">
        <v>46</v>
      </c>
      <c r="BD2787">
        <v>1</v>
      </c>
      <c r="BF2787" t="s">
        <v>2987</v>
      </c>
      <c r="BG2787" s="1">
        <v>44354.135416666664</v>
      </c>
      <c r="BH2787" s="1">
        <v>44354.137303240743</v>
      </c>
      <c r="BI2787" s="1">
        <v>44354.13826388889</v>
      </c>
      <c r="BJ2787" t="s">
        <v>85</v>
      </c>
      <c r="BK2787" t="s">
        <v>86</v>
      </c>
      <c r="BL2787" t="s">
        <v>87</v>
      </c>
    </row>
    <row r="2788" spans="1:64" x14ac:dyDescent="0.3">
      <c r="A2788" t="str">
        <f>"202496B0000"</f>
        <v>202496B0000</v>
      </c>
      <c r="B2788" t="str">
        <f>"202496B00003"</f>
        <v>202496B00003</v>
      </c>
      <c r="C2788" t="str">
        <f t="shared" si="190"/>
        <v>20</v>
      </c>
      <c r="D2788" t="s">
        <v>81</v>
      </c>
      <c r="E2788" t="str">
        <f t="shared" si="192"/>
        <v>414</v>
      </c>
      <c r="F2788" t="s">
        <v>2932</v>
      </c>
      <c r="G2788" t="str">
        <f>"2496"</f>
        <v>2496</v>
      </c>
      <c r="H2788" t="str">
        <f>"0000"</f>
        <v>0000</v>
      </c>
      <c r="I2788" t="s">
        <v>83</v>
      </c>
      <c r="J2788">
        <v>0</v>
      </c>
      <c r="K2788">
        <v>1</v>
      </c>
      <c r="L2788">
        <v>3</v>
      </c>
      <c r="M2788">
        <v>246</v>
      </c>
      <c r="N2788">
        <v>334</v>
      </c>
      <c r="O2788">
        <v>3</v>
      </c>
      <c r="P2788">
        <v>334</v>
      </c>
      <c r="Q2788">
        <v>6</v>
      </c>
      <c r="R2788">
        <v>25</v>
      </c>
      <c r="S2788">
        <v>66</v>
      </c>
      <c r="T2788">
        <v>0</v>
      </c>
      <c r="U2788">
        <v>4</v>
      </c>
      <c r="V2788">
        <v>4</v>
      </c>
      <c r="W2788">
        <v>2</v>
      </c>
      <c r="X2788">
        <v>136</v>
      </c>
      <c r="Y2788">
        <v>39</v>
      </c>
      <c r="Z2788">
        <v>5</v>
      </c>
      <c r="AA2788">
        <v>6</v>
      </c>
      <c r="AB2788">
        <v>23</v>
      </c>
      <c r="AC2788">
        <v>3</v>
      </c>
      <c r="AJ2788">
        <v>0</v>
      </c>
      <c r="AK2788">
        <v>1</v>
      </c>
      <c r="AL2788">
        <v>0</v>
      </c>
      <c r="AM2788">
        <v>0</v>
      </c>
      <c r="AN2788">
        <v>0</v>
      </c>
      <c r="AO2788">
        <v>0</v>
      </c>
      <c r="AP2788">
        <v>0</v>
      </c>
      <c r="AQ2788">
        <v>0</v>
      </c>
      <c r="AR2788">
        <v>1</v>
      </c>
      <c r="AS2788">
        <v>1</v>
      </c>
      <c r="AT2788">
        <v>0</v>
      </c>
      <c r="AU2788">
        <v>0</v>
      </c>
      <c r="AW2788">
        <v>0</v>
      </c>
      <c r="AX2788">
        <v>13</v>
      </c>
      <c r="AY2788">
        <v>335</v>
      </c>
      <c r="AZ2788">
        <v>335</v>
      </c>
      <c r="BA2788">
        <v>535</v>
      </c>
      <c r="BB2788">
        <v>46</v>
      </c>
      <c r="BD2788">
        <v>1</v>
      </c>
      <c r="BF2788" t="s">
        <v>2988</v>
      </c>
      <c r="BG2788" s="1">
        <v>44354.086111111108</v>
      </c>
      <c r="BH2788" s="1">
        <v>44354.092789351853</v>
      </c>
      <c r="BI2788" s="1">
        <v>44354.093530092592</v>
      </c>
      <c r="BJ2788" t="s">
        <v>85</v>
      </c>
      <c r="BK2788" t="s">
        <v>86</v>
      </c>
      <c r="BL2788" t="s">
        <v>87</v>
      </c>
    </row>
    <row r="2789" spans="1:64" x14ac:dyDescent="0.3">
      <c r="A2789" t="str">
        <f>"202497B0000"</f>
        <v>202497B0000</v>
      </c>
      <c r="B2789" t="str">
        <f>"202497B00003"</f>
        <v>202497B00003</v>
      </c>
      <c r="C2789" t="str">
        <f t="shared" si="190"/>
        <v>20</v>
      </c>
      <c r="D2789" t="s">
        <v>81</v>
      </c>
      <c r="E2789" t="str">
        <f t="shared" si="192"/>
        <v>414</v>
      </c>
      <c r="F2789" t="s">
        <v>2932</v>
      </c>
      <c r="G2789" t="str">
        <f>"2497"</f>
        <v>2497</v>
      </c>
      <c r="H2789" t="str">
        <f>"0000"</f>
        <v>0000</v>
      </c>
      <c r="I2789" t="s">
        <v>83</v>
      </c>
      <c r="J2789">
        <v>0</v>
      </c>
      <c r="K2789">
        <v>1</v>
      </c>
      <c r="L2789">
        <v>3</v>
      </c>
      <c r="M2789">
        <v>226</v>
      </c>
      <c r="N2789">
        <v>363</v>
      </c>
      <c r="O2789">
        <v>1</v>
      </c>
      <c r="P2789" t="s">
        <v>92</v>
      </c>
      <c r="Q2789">
        <v>6</v>
      </c>
      <c r="R2789">
        <v>60</v>
      </c>
      <c r="S2789">
        <v>61</v>
      </c>
      <c r="T2789">
        <v>4</v>
      </c>
      <c r="U2789">
        <v>11</v>
      </c>
      <c r="V2789">
        <v>3</v>
      </c>
      <c r="W2789">
        <v>2</v>
      </c>
      <c r="X2789">
        <v>93</v>
      </c>
      <c r="Y2789">
        <v>23</v>
      </c>
      <c r="Z2789">
        <v>1</v>
      </c>
      <c r="AA2789">
        <v>3</v>
      </c>
      <c r="AB2789">
        <v>81</v>
      </c>
      <c r="AC2789">
        <v>2</v>
      </c>
      <c r="AJ2789">
        <v>0</v>
      </c>
      <c r="AK2789">
        <v>0</v>
      </c>
      <c r="AL2789">
        <v>0</v>
      </c>
      <c r="AM2789">
        <v>0</v>
      </c>
      <c r="AN2789">
        <v>0</v>
      </c>
      <c r="AO2789">
        <v>0</v>
      </c>
      <c r="AP2789">
        <v>0</v>
      </c>
      <c r="AQ2789">
        <v>0</v>
      </c>
      <c r="AR2789">
        <v>0</v>
      </c>
      <c r="AS2789">
        <v>0</v>
      </c>
      <c r="AT2789">
        <v>0</v>
      </c>
      <c r="AU2789">
        <v>0</v>
      </c>
      <c r="AW2789">
        <v>0</v>
      </c>
      <c r="AX2789">
        <v>13</v>
      </c>
      <c r="AY2789">
        <v>363</v>
      </c>
      <c r="AZ2789">
        <v>363</v>
      </c>
      <c r="BA2789">
        <v>543</v>
      </c>
      <c r="BB2789">
        <v>46</v>
      </c>
      <c r="BD2789">
        <v>1</v>
      </c>
      <c r="BF2789" t="s">
        <v>2989</v>
      </c>
      <c r="BG2789" s="1">
        <v>44354.084722222222</v>
      </c>
      <c r="BH2789" s="1">
        <v>44354.091087962966</v>
      </c>
      <c r="BI2789" s="1">
        <v>44354.091678240744</v>
      </c>
      <c r="BJ2789" t="s">
        <v>85</v>
      </c>
      <c r="BK2789" t="s">
        <v>86</v>
      </c>
      <c r="BL2789" t="s">
        <v>87</v>
      </c>
    </row>
    <row r="2790" spans="1:64" x14ac:dyDescent="0.3">
      <c r="A2790" t="str">
        <f>"202497C0100"</f>
        <v>202497C0100</v>
      </c>
      <c r="B2790" t="str">
        <f>"202497C01003"</f>
        <v>202497C01003</v>
      </c>
      <c r="C2790" t="str">
        <f t="shared" si="190"/>
        <v>20</v>
      </c>
      <c r="D2790" t="s">
        <v>81</v>
      </c>
      <c r="E2790" t="str">
        <f t="shared" si="192"/>
        <v>414</v>
      </c>
      <c r="F2790" t="s">
        <v>2932</v>
      </c>
      <c r="G2790" t="str">
        <f>"2497"</f>
        <v>2497</v>
      </c>
      <c r="H2790" t="str">
        <f>"0001"</f>
        <v>0001</v>
      </c>
      <c r="I2790" t="s">
        <v>89</v>
      </c>
      <c r="J2790">
        <v>0</v>
      </c>
      <c r="K2790">
        <v>1</v>
      </c>
      <c r="L2790">
        <v>3</v>
      </c>
      <c r="M2790">
        <v>206</v>
      </c>
      <c r="N2790">
        <v>382</v>
      </c>
      <c r="O2790">
        <v>4</v>
      </c>
      <c r="P2790" t="s">
        <v>92</v>
      </c>
      <c r="Q2790">
        <v>1</v>
      </c>
      <c r="R2790">
        <v>61</v>
      </c>
      <c r="S2790">
        <v>81</v>
      </c>
      <c r="T2790">
        <v>3</v>
      </c>
      <c r="U2790">
        <v>10</v>
      </c>
      <c r="V2790">
        <v>3</v>
      </c>
      <c r="W2790">
        <v>3</v>
      </c>
      <c r="X2790">
        <v>80</v>
      </c>
      <c r="Y2790">
        <v>23</v>
      </c>
      <c r="Z2790">
        <v>5</v>
      </c>
      <c r="AA2790">
        <v>3</v>
      </c>
      <c r="AB2790">
        <v>88</v>
      </c>
      <c r="AC2790">
        <v>1</v>
      </c>
      <c r="AJ2790">
        <v>2</v>
      </c>
      <c r="AK2790">
        <v>1</v>
      </c>
      <c r="AL2790">
        <v>0</v>
      </c>
      <c r="AM2790">
        <v>2</v>
      </c>
      <c r="AN2790">
        <v>0</v>
      </c>
      <c r="AO2790">
        <v>0</v>
      </c>
      <c r="AP2790">
        <v>0</v>
      </c>
      <c r="AQ2790">
        <v>0</v>
      </c>
      <c r="AR2790">
        <v>0</v>
      </c>
      <c r="AS2790">
        <v>0</v>
      </c>
      <c r="AT2790">
        <v>0</v>
      </c>
      <c r="AU2790">
        <v>0</v>
      </c>
      <c r="AW2790">
        <v>0</v>
      </c>
      <c r="AX2790">
        <v>15</v>
      </c>
      <c r="AY2790">
        <v>382</v>
      </c>
      <c r="AZ2790">
        <v>382</v>
      </c>
      <c r="BA2790">
        <v>542</v>
      </c>
      <c r="BB2790">
        <v>46</v>
      </c>
      <c r="BD2790">
        <v>1</v>
      </c>
      <c r="BF2790" t="s">
        <v>2990</v>
      </c>
      <c r="BG2790" s="1">
        <v>44354.076388888891</v>
      </c>
      <c r="BH2790" s="1">
        <v>44354.083344907405</v>
      </c>
      <c r="BI2790" s="1">
        <v>44354.083819444444</v>
      </c>
      <c r="BJ2790" t="s">
        <v>85</v>
      </c>
      <c r="BK2790" t="s">
        <v>86</v>
      </c>
      <c r="BL2790" t="s">
        <v>87</v>
      </c>
    </row>
    <row r="2791" spans="1:64" x14ac:dyDescent="0.3">
      <c r="A2791" t="str">
        <f>"201851B0000"</f>
        <v>201851B0000</v>
      </c>
      <c r="B2791" t="str">
        <f>"201851B00003"</f>
        <v>201851B00003</v>
      </c>
      <c r="C2791" t="str">
        <f t="shared" si="190"/>
        <v>20</v>
      </c>
      <c r="D2791" t="s">
        <v>81</v>
      </c>
      <c r="E2791" t="str">
        <f t="shared" ref="E2791:E2806" si="194">"415"</f>
        <v>415</v>
      </c>
      <c r="F2791" t="s">
        <v>2991</v>
      </c>
      <c r="G2791" t="str">
        <f>"1851"</f>
        <v>1851</v>
      </c>
      <c r="H2791" t="str">
        <f>"0000"</f>
        <v>0000</v>
      </c>
      <c r="I2791" t="s">
        <v>83</v>
      </c>
      <c r="J2791">
        <v>0</v>
      </c>
      <c r="K2791">
        <v>1</v>
      </c>
      <c r="L2791">
        <v>3</v>
      </c>
      <c r="M2791">
        <v>222</v>
      </c>
      <c r="N2791">
        <v>436</v>
      </c>
      <c r="O2791">
        <v>6</v>
      </c>
      <c r="P2791">
        <v>436</v>
      </c>
      <c r="Q2791">
        <v>2</v>
      </c>
      <c r="R2791">
        <v>63</v>
      </c>
      <c r="S2791">
        <v>73</v>
      </c>
      <c r="T2791">
        <v>89</v>
      </c>
      <c r="U2791">
        <v>29</v>
      </c>
      <c r="W2791">
        <v>2</v>
      </c>
      <c r="X2791">
        <v>93</v>
      </c>
      <c r="Y2791">
        <v>13</v>
      </c>
      <c r="Z2791">
        <v>3</v>
      </c>
      <c r="AB2791">
        <v>54</v>
      </c>
      <c r="AO2791">
        <v>0</v>
      </c>
      <c r="AW2791">
        <v>0</v>
      </c>
      <c r="AX2791">
        <v>15</v>
      </c>
      <c r="AY2791">
        <v>436</v>
      </c>
      <c r="AZ2791">
        <v>436</v>
      </c>
      <c r="BA2791">
        <v>614</v>
      </c>
      <c r="BB2791">
        <v>44</v>
      </c>
      <c r="BD2791">
        <v>1</v>
      </c>
      <c r="BF2791" t="s">
        <v>2992</v>
      </c>
      <c r="BG2791" s="1">
        <v>44354.013391203705</v>
      </c>
      <c r="BH2791" s="1">
        <v>44354.019872685189</v>
      </c>
      <c r="BI2791" s="1">
        <v>44354.020312499997</v>
      </c>
      <c r="BJ2791" t="s">
        <v>197</v>
      </c>
      <c r="BK2791" t="s">
        <v>198</v>
      </c>
      <c r="BL2791" t="s">
        <v>87</v>
      </c>
    </row>
    <row r="2792" spans="1:64" x14ac:dyDescent="0.3">
      <c r="A2792" t="str">
        <f>"201851C0100"</f>
        <v>201851C0100</v>
      </c>
      <c r="B2792" t="str">
        <f>"201851C01003"</f>
        <v>201851C01003</v>
      </c>
      <c r="C2792" t="str">
        <f t="shared" si="190"/>
        <v>20</v>
      </c>
      <c r="D2792" t="s">
        <v>81</v>
      </c>
      <c r="E2792" t="str">
        <f t="shared" si="194"/>
        <v>415</v>
      </c>
      <c r="F2792" t="s">
        <v>2991</v>
      </c>
      <c r="G2792" t="str">
        <f>"1851"</f>
        <v>1851</v>
      </c>
      <c r="H2792" t="str">
        <f>"0001"</f>
        <v>0001</v>
      </c>
      <c r="I2792" t="s">
        <v>89</v>
      </c>
      <c r="J2792">
        <v>0</v>
      </c>
      <c r="K2792">
        <v>1</v>
      </c>
      <c r="L2792">
        <v>3</v>
      </c>
      <c r="M2792">
        <v>216</v>
      </c>
      <c r="N2792">
        <v>441</v>
      </c>
      <c r="O2792">
        <v>4</v>
      </c>
      <c r="P2792">
        <v>441</v>
      </c>
      <c r="Q2792">
        <v>1</v>
      </c>
      <c r="R2792">
        <v>72</v>
      </c>
      <c r="S2792">
        <v>77</v>
      </c>
      <c r="T2792">
        <v>108</v>
      </c>
      <c r="U2792">
        <v>20</v>
      </c>
      <c r="W2792">
        <v>3</v>
      </c>
      <c r="X2792">
        <v>88</v>
      </c>
      <c r="Y2792">
        <v>12</v>
      </c>
      <c r="Z2792">
        <v>1</v>
      </c>
      <c r="AB2792">
        <v>41</v>
      </c>
      <c r="AO2792">
        <v>0</v>
      </c>
      <c r="AW2792">
        <v>0</v>
      </c>
      <c r="AX2792">
        <v>18</v>
      </c>
      <c r="AY2792">
        <v>441</v>
      </c>
      <c r="AZ2792">
        <v>441</v>
      </c>
      <c r="BA2792">
        <v>613</v>
      </c>
      <c r="BB2792">
        <v>44</v>
      </c>
      <c r="BD2792">
        <v>1</v>
      </c>
      <c r="BF2792" t="s">
        <v>2993</v>
      </c>
      <c r="BG2792" s="1">
        <v>44354.007835648146</v>
      </c>
      <c r="BH2792" s="1">
        <v>44354.012928240743</v>
      </c>
      <c r="BI2792" s="1">
        <v>44354.013321759259</v>
      </c>
      <c r="BJ2792" t="s">
        <v>197</v>
      </c>
      <c r="BK2792" t="s">
        <v>198</v>
      </c>
      <c r="BL2792" t="s">
        <v>87</v>
      </c>
    </row>
    <row r="2793" spans="1:64" x14ac:dyDescent="0.3">
      <c r="A2793" t="str">
        <f>"201851C0200"</f>
        <v>201851C0200</v>
      </c>
      <c r="B2793" t="str">
        <f>"201851C02003"</f>
        <v>201851C02003</v>
      </c>
      <c r="C2793" t="str">
        <f t="shared" si="190"/>
        <v>20</v>
      </c>
      <c r="D2793" t="s">
        <v>81</v>
      </c>
      <c r="E2793" t="str">
        <f t="shared" si="194"/>
        <v>415</v>
      </c>
      <c r="F2793" t="s">
        <v>2991</v>
      </c>
      <c r="G2793" t="str">
        <f>"1851"</f>
        <v>1851</v>
      </c>
      <c r="H2793" t="str">
        <f>"0002"</f>
        <v>0002</v>
      </c>
      <c r="I2793" t="s">
        <v>89</v>
      </c>
      <c r="J2793">
        <v>0</v>
      </c>
      <c r="K2793">
        <v>1</v>
      </c>
      <c r="L2793">
        <v>3</v>
      </c>
      <c r="M2793">
        <v>196</v>
      </c>
      <c r="N2793">
        <v>461</v>
      </c>
      <c r="O2793">
        <v>8</v>
      </c>
      <c r="P2793">
        <v>461</v>
      </c>
      <c r="Q2793">
        <v>0</v>
      </c>
      <c r="R2793">
        <v>74</v>
      </c>
      <c r="S2793">
        <v>68</v>
      </c>
      <c r="T2793">
        <v>113</v>
      </c>
      <c r="U2793">
        <v>16</v>
      </c>
      <c r="W2793">
        <v>0</v>
      </c>
      <c r="X2793">
        <v>93</v>
      </c>
      <c r="Y2793">
        <v>18</v>
      </c>
      <c r="Z2793">
        <v>1</v>
      </c>
      <c r="AB2793">
        <v>71</v>
      </c>
      <c r="AO2793">
        <v>0</v>
      </c>
      <c r="AW2793">
        <v>0</v>
      </c>
      <c r="AX2793">
        <v>7</v>
      </c>
      <c r="AY2793">
        <v>461</v>
      </c>
      <c r="AZ2793">
        <v>461</v>
      </c>
      <c r="BA2793">
        <v>613</v>
      </c>
      <c r="BB2793">
        <v>44</v>
      </c>
      <c r="BD2793">
        <v>1</v>
      </c>
      <c r="BF2793" t="s">
        <v>2994</v>
      </c>
      <c r="BG2793" s="1">
        <v>44353.921203703707</v>
      </c>
      <c r="BH2793" s="1">
        <v>44353.923657407409</v>
      </c>
      <c r="BI2793" s="1">
        <v>44353.924432870372</v>
      </c>
      <c r="BJ2793" t="s">
        <v>197</v>
      </c>
      <c r="BK2793" t="s">
        <v>198</v>
      </c>
      <c r="BL2793" t="s">
        <v>87</v>
      </c>
    </row>
    <row r="2794" spans="1:64" x14ac:dyDescent="0.3">
      <c r="A2794" t="str">
        <f>"201851E0100"</f>
        <v>201851E0100</v>
      </c>
      <c r="B2794" t="str">
        <f>"201851E01003"</f>
        <v>201851E01003</v>
      </c>
      <c r="C2794" t="str">
        <f t="shared" si="190"/>
        <v>20</v>
      </c>
      <c r="D2794" t="s">
        <v>81</v>
      </c>
      <c r="E2794" t="str">
        <f t="shared" si="194"/>
        <v>415</v>
      </c>
      <c r="F2794" t="s">
        <v>2991</v>
      </c>
      <c r="G2794" t="str">
        <f>"1851"</f>
        <v>1851</v>
      </c>
      <c r="H2794" t="str">
        <f>"0001"</f>
        <v>0001</v>
      </c>
      <c r="I2794" t="s">
        <v>122</v>
      </c>
      <c r="J2794">
        <v>0</v>
      </c>
      <c r="K2794">
        <v>1</v>
      </c>
      <c r="L2794">
        <v>3</v>
      </c>
      <c r="M2794">
        <v>134</v>
      </c>
      <c r="N2794">
        <v>165</v>
      </c>
      <c r="O2794">
        <v>2</v>
      </c>
      <c r="P2794">
        <v>165</v>
      </c>
      <c r="Q2794">
        <v>0</v>
      </c>
      <c r="R2794">
        <v>42</v>
      </c>
      <c r="S2794">
        <v>16</v>
      </c>
      <c r="T2794">
        <v>36</v>
      </c>
      <c r="U2794">
        <v>16</v>
      </c>
      <c r="W2794">
        <v>0</v>
      </c>
      <c r="X2794">
        <v>37</v>
      </c>
      <c r="Y2794">
        <v>9</v>
      </c>
      <c r="Z2794">
        <v>1</v>
      </c>
      <c r="AB2794">
        <v>1</v>
      </c>
      <c r="AO2794">
        <v>0</v>
      </c>
      <c r="AW2794">
        <v>0</v>
      </c>
      <c r="AX2794">
        <v>7</v>
      </c>
      <c r="AY2794">
        <v>165</v>
      </c>
      <c r="AZ2794">
        <v>165</v>
      </c>
      <c r="BA2794">
        <v>255</v>
      </c>
      <c r="BB2794">
        <v>44</v>
      </c>
      <c r="BD2794">
        <v>1</v>
      </c>
      <c r="BF2794" t="s">
        <v>2995</v>
      </c>
      <c r="BG2794" s="1">
        <v>44354.09375</v>
      </c>
      <c r="BH2794" s="1">
        <v>44354.098368055558</v>
      </c>
      <c r="BI2794" s="1">
        <v>44354.09884259259</v>
      </c>
      <c r="BJ2794" t="s">
        <v>85</v>
      </c>
      <c r="BK2794" t="s">
        <v>86</v>
      </c>
      <c r="BL2794" t="s">
        <v>87</v>
      </c>
    </row>
    <row r="2795" spans="1:64" x14ac:dyDescent="0.3">
      <c r="A2795" t="str">
        <f>"201852B0000"</f>
        <v>201852B0000</v>
      </c>
      <c r="B2795" t="str">
        <f>"201852B00003"</f>
        <v>201852B00003</v>
      </c>
      <c r="C2795" t="str">
        <f t="shared" si="190"/>
        <v>20</v>
      </c>
      <c r="D2795" t="s">
        <v>81</v>
      </c>
      <c r="E2795" t="str">
        <f t="shared" si="194"/>
        <v>415</v>
      </c>
      <c r="F2795" t="s">
        <v>2991</v>
      </c>
      <c r="G2795" t="str">
        <f>"1852"</f>
        <v>1852</v>
      </c>
      <c r="H2795" t="str">
        <f>"0000"</f>
        <v>0000</v>
      </c>
      <c r="I2795" t="s">
        <v>83</v>
      </c>
      <c r="J2795">
        <v>0</v>
      </c>
      <c r="K2795">
        <v>1</v>
      </c>
      <c r="L2795">
        <v>3</v>
      </c>
      <c r="M2795">
        <v>237</v>
      </c>
      <c r="N2795">
        <v>509</v>
      </c>
      <c r="O2795">
        <v>3</v>
      </c>
      <c r="P2795">
        <v>508</v>
      </c>
      <c r="Q2795">
        <v>1</v>
      </c>
      <c r="R2795">
        <v>74</v>
      </c>
      <c r="S2795">
        <v>115</v>
      </c>
      <c r="T2795">
        <v>126</v>
      </c>
      <c r="U2795">
        <v>33</v>
      </c>
      <c r="W2795">
        <v>2</v>
      </c>
      <c r="X2795">
        <v>90</v>
      </c>
      <c r="Y2795">
        <v>5</v>
      </c>
      <c r="Z2795">
        <v>2</v>
      </c>
      <c r="AB2795">
        <v>45</v>
      </c>
      <c r="AO2795">
        <v>0</v>
      </c>
      <c r="AW2795">
        <v>0</v>
      </c>
      <c r="AX2795">
        <v>15</v>
      </c>
      <c r="AY2795">
        <v>508</v>
      </c>
      <c r="AZ2795">
        <v>508</v>
      </c>
      <c r="BA2795">
        <v>701</v>
      </c>
      <c r="BB2795">
        <v>44</v>
      </c>
      <c r="BD2795">
        <v>1</v>
      </c>
      <c r="BF2795" t="s">
        <v>2996</v>
      </c>
      <c r="BG2795" s="1">
        <v>44354.093055555553</v>
      </c>
      <c r="BH2795" s="1">
        <v>44354.098032407404</v>
      </c>
      <c r="BI2795" s="1">
        <v>44354.098877314813</v>
      </c>
      <c r="BJ2795" t="s">
        <v>85</v>
      </c>
      <c r="BK2795" t="s">
        <v>86</v>
      </c>
      <c r="BL2795" t="s">
        <v>87</v>
      </c>
    </row>
    <row r="2796" spans="1:64" x14ac:dyDescent="0.3">
      <c r="A2796" t="str">
        <f>"201852C0100"</f>
        <v>201852C0100</v>
      </c>
      <c r="B2796" t="str">
        <f>"201852C01003"</f>
        <v>201852C01003</v>
      </c>
      <c r="C2796" t="str">
        <f t="shared" si="190"/>
        <v>20</v>
      </c>
      <c r="D2796" t="s">
        <v>81</v>
      </c>
      <c r="E2796" t="str">
        <f t="shared" si="194"/>
        <v>415</v>
      </c>
      <c r="F2796" t="s">
        <v>2991</v>
      </c>
      <c r="G2796" t="str">
        <f>"1852"</f>
        <v>1852</v>
      </c>
      <c r="H2796" t="str">
        <f>"0001"</f>
        <v>0001</v>
      </c>
      <c r="I2796" t="s">
        <v>89</v>
      </c>
      <c r="J2796">
        <v>0</v>
      </c>
      <c r="K2796">
        <v>1</v>
      </c>
      <c r="L2796">
        <v>3</v>
      </c>
      <c r="M2796">
        <v>226</v>
      </c>
      <c r="N2796">
        <v>519</v>
      </c>
      <c r="O2796">
        <v>2</v>
      </c>
      <c r="P2796">
        <v>519</v>
      </c>
      <c r="Q2796">
        <v>4</v>
      </c>
      <c r="R2796">
        <v>86</v>
      </c>
      <c r="S2796">
        <v>102</v>
      </c>
      <c r="T2796">
        <v>111</v>
      </c>
      <c r="U2796">
        <v>26</v>
      </c>
      <c r="W2796">
        <v>0</v>
      </c>
      <c r="X2796">
        <v>92</v>
      </c>
      <c r="Y2796">
        <v>16</v>
      </c>
      <c r="Z2796">
        <v>5</v>
      </c>
      <c r="AB2796">
        <v>62</v>
      </c>
      <c r="AO2796">
        <v>0</v>
      </c>
      <c r="AW2796">
        <v>1</v>
      </c>
      <c r="AX2796">
        <v>14</v>
      </c>
      <c r="AY2796">
        <v>519</v>
      </c>
      <c r="AZ2796">
        <v>519</v>
      </c>
      <c r="BA2796">
        <v>701</v>
      </c>
      <c r="BB2796">
        <v>44</v>
      </c>
      <c r="BD2796">
        <v>1</v>
      </c>
      <c r="BF2796" t="s">
        <v>2997</v>
      </c>
      <c r="BG2796" s="1">
        <v>44353.941527777781</v>
      </c>
      <c r="BH2796" s="1">
        <v>44353.944432870368</v>
      </c>
      <c r="BI2796" s="1">
        <v>44353.945300925923</v>
      </c>
      <c r="BJ2796" t="s">
        <v>197</v>
      </c>
      <c r="BK2796" t="s">
        <v>198</v>
      </c>
      <c r="BL2796" t="s">
        <v>87</v>
      </c>
    </row>
    <row r="2797" spans="1:64" x14ac:dyDescent="0.3">
      <c r="A2797" t="str">
        <f>"201852C0200"</f>
        <v>201852C0200</v>
      </c>
      <c r="B2797" t="str">
        <f>"201852C02003"</f>
        <v>201852C02003</v>
      </c>
      <c r="C2797" t="str">
        <f t="shared" si="190"/>
        <v>20</v>
      </c>
      <c r="D2797" t="s">
        <v>81</v>
      </c>
      <c r="E2797" t="str">
        <f t="shared" si="194"/>
        <v>415</v>
      </c>
      <c r="F2797" t="s">
        <v>2991</v>
      </c>
      <c r="G2797" t="str">
        <f>"1852"</f>
        <v>1852</v>
      </c>
      <c r="H2797" t="str">
        <f>"0002"</f>
        <v>0002</v>
      </c>
      <c r="I2797" t="s">
        <v>89</v>
      </c>
      <c r="J2797">
        <v>0</v>
      </c>
      <c r="K2797">
        <v>1</v>
      </c>
      <c r="L2797">
        <v>3</v>
      </c>
      <c r="M2797">
        <v>208</v>
      </c>
      <c r="N2797">
        <v>536</v>
      </c>
      <c r="O2797">
        <v>3</v>
      </c>
      <c r="P2797">
        <v>536</v>
      </c>
      <c r="Q2797">
        <v>0</v>
      </c>
      <c r="R2797">
        <v>124</v>
      </c>
      <c r="S2797">
        <v>78</v>
      </c>
      <c r="T2797">
        <v>126</v>
      </c>
      <c r="U2797">
        <v>39</v>
      </c>
      <c r="W2797">
        <v>1</v>
      </c>
      <c r="X2797">
        <v>94</v>
      </c>
      <c r="Y2797">
        <v>15</v>
      </c>
      <c r="Z2797">
        <v>1</v>
      </c>
      <c r="AB2797">
        <v>50</v>
      </c>
      <c r="AO2797" t="s">
        <v>95</v>
      </c>
      <c r="AW2797" t="s">
        <v>95</v>
      </c>
      <c r="AX2797">
        <v>8</v>
      </c>
      <c r="AY2797">
        <v>536</v>
      </c>
      <c r="AZ2797">
        <v>536</v>
      </c>
      <c r="BA2797">
        <v>700</v>
      </c>
      <c r="BB2797">
        <v>44</v>
      </c>
      <c r="BC2797" t="s">
        <v>96</v>
      </c>
      <c r="BD2797">
        <v>1</v>
      </c>
      <c r="BF2797" t="s">
        <v>2998</v>
      </c>
      <c r="BG2797" s="1">
        <v>44353.944351851853</v>
      </c>
      <c r="BH2797" s="1">
        <v>44353.945486111108</v>
      </c>
      <c r="BI2797" s="1">
        <v>44353.946168981478</v>
      </c>
      <c r="BJ2797" t="s">
        <v>197</v>
      </c>
      <c r="BK2797" t="s">
        <v>198</v>
      </c>
      <c r="BL2797" t="s">
        <v>87</v>
      </c>
    </row>
    <row r="2798" spans="1:64" x14ac:dyDescent="0.3">
      <c r="A2798" t="str">
        <f>"201853B0000"</f>
        <v>201853B0000</v>
      </c>
      <c r="B2798" t="str">
        <f>"201853B00003"</f>
        <v>201853B00003</v>
      </c>
      <c r="C2798" t="str">
        <f t="shared" si="190"/>
        <v>20</v>
      </c>
      <c r="D2798" t="s">
        <v>81</v>
      </c>
      <c r="E2798" t="str">
        <f t="shared" si="194"/>
        <v>415</v>
      </c>
      <c r="F2798" t="s">
        <v>2991</v>
      </c>
      <c r="G2798" t="str">
        <f>"1853"</f>
        <v>1853</v>
      </c>
      <c r="H2798" t="str">
        <f>"0000"</f>
        <v>0000</v>
      </c>
      <c r="I2798" t="s">
        <v>83</v>
      </c>
      <c r="J2798">
        <v>0</v>
      </c>
      <c r="K2798">
        <v>1</v>
      </c>
      <c r="L2798">
        <v>3</v>
      </c>
      <c r="M2798">
        <v>167</v>
      </c>
      <c r="N2798">
        <v>308</v>
      </c>
      <c r="O2798">
        <v>7</v>
      </c>
      <c r="P2798">
        <v>309</v>
      </c>
      <c r="Q2798">
        <v>2</v>
      </c>
      <c r="R2798">
        <v>87</v>
      </c>
      <c r="S2798">
        <v>43</v>
      </c>
      <c r="T2798">
        <v>33</v>
      </c>
      <c r="U2798">
        <v>37</v>
      </c>
      <c r="W2798">
        <v>0</v>
      </c>
      <c r="X2798">
        <v>39</v>
      </c>
      <c r="Y2798">
        <v>42</v>
      </c>
      <c r="Z2798">
        <v>2</v>
      </c>
      <c r="AB2798">
        <v>13</v>
      </c>
      <c r="AO2798">
        <v>0</v>
      </c>
      <c r="AW2798">
        <v>0</v>
      </c>
      <c r="AX2798">
        <v>10</v>
      </c>
      <c r="AY2798">
        <v>309</v>
      </c>
      <c r="AZ2798">
        <v>308</v>
      </c>
      <c r="BA2798">
        <v>432</v>
      </c>
      <c r="BB2798">
        <v>44</v>
      </c>
      <c r="BD2798">
        <v>1</v>
      </c>
      <c r="BF2798" t="s">
        <v>2999</v>
      </c>
      <c r="BG2798" s="1">
        <v>44354.13958333333</v>
      </c>
      <c r="BH2798" s="1">
        <v>44354.14130787037</v>
      </c>
      <c r="BI2798" s="1">
        <v>44354.141828703701</v>
      </c>
      <c r="BJ2798" t="s">
        <v>85</v>
      </c>
      <c r="BK2798" t="s">
        <v>86</v>
      </c>
      <c r="BL2798" t="s">
        <v>87</v>
      </c>
    </row>
    <row r="2799" spans="1:64" x14ac:dyDescent="0.3">
      <c r="A2799" t="str">
        <f>"201853E0100"</f>
        <v>201853E0100</v>
      </c>
      <c r="B2799" t="str">
        <f>"201853E01003"</f>
        <v>201853E01003</v>
      </c>
      <c r="C2799" t="str">
        <f t="shared" si="190"/>
        <v>20</v>
      </c>
      <c r="D2799" t="s">
        <v>81</v>
      </c>
      <c r="E2799" t="str">
        <f t="shared" si="194"/>
        <v>415</v>
      </c>
      <c r="F2799" t="s">
        <v>2991</v>
      </c>
      <c r="G2799" t="str">
        <f>"1853"</f>
        <v>1853</v>
      </c>
      <c r="H2799" t="str">
        <f>"0001"</f>
        <v>0001</v>
      </c>
      <c r="I2799" t="s">
        <v>122</v>
      </c>
      <c r="J2799">
        <v>0</v>
      </c>
      <c r="K2799">
        <v>1</v>
      </c>
      <c r="L2799">
        <v>3</v>
      </c>
      <c r="M2799">
        <v>156</v>
      </c>
      <c r="N2799">
        <v>274</v>
      </c>
      <c r="O2799">
        <v>3</v>
      </c>
      <c r="P2799">
        <v>274</v>
      </c>
      <c r="Q2799">
        <v>0</v>
      </c>
      <c r="R2799">
        <v>49</v>
      </c>
      <c r="S2799">
        <v>43</v>
      </c>
      <c r="T2799">
        <v>96</v>
      </c>
      <c r="U2799">
        <v>27</v>
      </c>
      <c r="W2799">
        <v>1</v>
      </c>
      <c r="X2799">
        <v>33</v>
      </c>
      <c r="Y2799">
        <v>3</v>
      </c>
      <c r="Z2799">
        <v>1</v>
      </c>
      <c r="AB2799">
        <v>17</v>
      </c>
      <c r="AO2799">
        <v>0</v>
      </c>
      <c r="AW2799">
        <v>0</v>
      </c>
      <c r="AX2799">
        <v>4</v>
      </c>
      <c r="AY2799">
        <v>274</v>
      </c>
      <c r="AZ2799">
        <v>274</v>
      </c>
      <c r="BA2799">
        <v>388</v>
      </c>
      <c r="BB2799">
        <v>44</v>
      </c>
      <c r="BD2799">
        <v>1</v>
      </c>
      <c r="BF2799" t="s">
        <v>3000</v>
      </c>
      <c r="BG2799" s="1">
        <v>44354.143055555556</v>
      </c>
      <c r="BH2799" s="1">
        <v>44354.152638888889</v>
      </c>
      <c r="BI2799" s="1">
        <v>44354.153101851851</v>
      </c>
      <c r="BJ2799" t="s">
        <v>85</v>
      </c>
      <c r="BK2799" t="s">
        <v>86</v>
      </c>
      <c r="BL2799" t="s">
        <v>87</v>
      </c>
    </row>
    <row r="2800" spans="1:64" x14ac:dyDescent="0.3">
      <c r="A2800" t="str">
        <f>"201853E0101"</f>
        <v>201853E0101</v>
      </c>
      <c r="B2800" t="str">
        <f>"201853E01013"</f>
        <v>201853E01013</v>
      </c>
      <c r="C2800" t="str">
        <f t="shared" si="190"/>
        <v>20</v>
      </c>
      <c r="D2800" t="s">
        <v>81</v>
      </c>
      <c r="E2800" t="str">
        <f t="shared" si="194"/>
        <v>415</v>
      </c>
      <c r="F2800" t="s">
        <v>2991</v>
      </c>
      <c r="G2800" t="str">
        <f>"1853"</f>
        <v>1853</v>
      </c>
      <c r="H2800" t="str">
        <f>"0001"</f>
        <v>0001</v>
      </c>
      <c r="I2800" t="s">
        <v>122</v>
      </c>
      <c r="J2800">
        <v>1</v>
      </c>
      <c r="K2800">
        <v>1</v>
      </c>
      <c r="L2800">
        <v>3</v>
      </c>
      <c r="M2800">
        <v>156</v>
      </c>
      <c r="N2800">
        <v>275</v>
      </c>
      <c r="O2800">
        <v>4</v>
      </c>
      <c r="P2800">
        <v>275</v>
      </c>
      <c r="Q2800">
        <v>2</v>
      </c>
      <c r="R2800">
        <v>52</v>
      </c>
      <c r="S2800">
        <v>33</v>
      </c>
      <c r="T2800">
        <v>90</v>
      </c>
      <c r="U2800">
        <v>42</v>
      </c>
      <c r="W2800">
        <v>2</v>
      </c>
      <c r="X2800">
        <v>19</v>
      </c>
      <c r="Y2800">
        <v>2</v>
      </c>
      <c r="Z2800">
        <v>0</v>
      </c>
      <c r="AB2800">
        <v>22</v>
      </c>
      <c r="AO2800" t="s">
        <v>95</v>
      </c>
      <c r="AW2800" t="s">
        <v>95</v>
      </c>
      <c r="AX2800">
        <v>11</v>
      </c>
      <c r="AY2800">
        <v>275</v>
      </c>
      <c r="AZ2800">
        <v>275</v>
      </c>
      <c r="BA2800">
        <v>387</v>
      </c>
      <c r="BB2800">
        <v>44</v>
      </c>
      <c r="BC2800" t="s">
        <v>96</v>
      </c>
      <c r="BD2800">
        <v>1</v>
      </c>
      <c r="BF2800" t="s">
        <v>3001</v>
      </c>
      <c r="BG2800" s="1">
        <v>44354.145833333336</v>
      </c>
      <c r="BH2800" s="1">
        <v>44354.148506944446</v>
      </c>
      <c r="BI2800" s="1">
        <v>44354.149050925924</v>
      </c>
      <c r="BJ2800" t="s">
        <v>85</v>
      </c>
      <c r="BK2800" t="s">
        <v>86</v>
      </c>
      <c r="BL2800" t="s">
        <v>87</v>
      </c>
    </row>
    <row r="2801" spans="1:64" x14ac:dyDescent="0.3">
      <c r="A2801" t="str">
        <f>"201854B0000"</f>
        <v>201854B0000</v>
      </c>
      <c r="B2801" t="str">
        <f>"201854B00003"</f>
        <v>201854B00003</v>
      </c>
      <c r="C2801" t="str">
        <f t="shared" si="190"/>
        <v>20</v>
      </c>
      <c r="D2801" t="s">
        <v>81</v>
      </c>
      <c r="E2801" t="str">
        <f t="shared" si="194"/>
        <v>415</v>
      </c>
      <c r="F2801" t="s">
        <v>2991</v>
      </c>
      <c r="G2801" t="str">
        <f>"1854"</f>
        <v>1854</v>
      </c>
      <c r="H2801" t="str">
        <f>"0000"</f>
        <v>0000</v>
      </c>
      <c r="I2801" t="s">
        <v>83</v>
      </c>
      <c r="J2801">
        <v>0</v>
      </c>
      <c r="K2801">
        <v>1</v>
      </c>
      <c r="L2801">
        <v>3</v>
      </c>
      <c r="M2801">
        <v>227</v>
      </c>
      <c r="N2801">
        <v>386</v>
      </c>
      <c r="O2801">
        <v>7</v>
      </c>
      <c r="P2801">
        <v>386</v>
      </c>
      <c r="Q2801">
        <v>0</v>
      </c>
      <c r="R2801">
        <v>88</v>
      </c>
      <c r="S2801">
        <v>63</v>
      </c>
      <c r="T2801">
        <v>25</v>
      </c>
      <c r="U2801">
        <v>139</v>
      </c>
      <c r="W2801">
        <v>0</v>
      </c>
      <c r="X2801">
        <v>24</v>
      </c>
      <c r="Y2801">
        <v>22</v>
      </c>
      <c r="Z2801">
        <v>0</v>
      </c>
      <c r="AB2801">
        <v>11</v>
      </c>
      <c r="AO2801">
        <v>0</v>
      </c>
      <c r="AW2801">
        <v>0</v>
      </c>
      <c r="AX2801">
        <v>14</v>
      </c>
      <c r="AY2801">
        <v>386</v>
      </c>
      <c r="AZ2801">
        <v>386</v>
      </c>
      <c r="BA2801">
        <v>569</v>
      </c>
      <c r="BB2801">
        <v>44</v>
      </c>
      <c r="BD2801">
        <v>1</v>
      </c>
      <c r="BF2801" t="s">
        <v>3002</v>
      </c>
      <c r="BG2801" s="1">
        <v>44354.159722222219</v>
      </c>
      <c r="BH2801" s="1">
        <v>44354.169652777775</v>
      </c>
      <c r="BI2801" s="1">
        <v>44354.170185185183</v>
      </c>
      <c r="BJ2801" t="s">
        <v>85</v>
      </c>
      <c r="BK2801" t="s">
        <v>86</v>
      </c>
      <c r="BL2801" t="s">
        <v>87</v>
      </c>
    </row>
    <row r="2802" spans="1:64" x14ac:dyDescent="0.3">
      <c r="A2802" t="str">
        <f>"201854C0100"</f>
        <v>201854C0100</v>
      </c>
      <c r="B2802" t="str">
        <f>"201854C01003"</f>
        <v>201854C01003</v>
      </c>
      <c r="C2802" t="str">
        <f t="shared" si="190"/>
        <v>20</v>
      </c>
      <c r="D2802" t="s">
        <v>81</v>
      </c>
      <c r="E2802" t="str">
        <f t="shared" si="194"/>
        <v>415</v>
      </c>
      <c r="F2802" t="s">
        <v>2991</v>
      </c>
      <c r="G2802" t="str">
        <f>"1854"</f>
        <v>1854</v>
      </c>
      <c r="H2802" t="str">
        <f>"0001"</f>
        <v>0001</v>
      </c>
      <c r="I2802" t="s">
        <v>89</v>
      </c>
      <c r="J2802">
        <v>0</v>
      </c>
      <c r="K2802">
        <v>1</v>
      </c>
      <c r="L2802">
        <v>3</v>
      </c>
      <c r="M2802">
        <v>259</v>
      </c>
      <c r="N2802">
        <v>354</v>
      </c>
      <c r="O2802">
        <v>5</v>
      </c>
      <c r="P2802">
        <v>349</v>
      </c>
      <c r="Q2802">
        <v>4</v>
      </c>
      <c r="R2802">
        <v>108</v>
      </c>
      <c r="S2802">
        <v>47</v>
      </c>
      <c r="T2802">
        <v>20</v>
      </c>
      <c r="U2802">
        <v>114</v>
      </c>
      <c r="W2802">
        <v>1</v>
      </c>
      <c r="X2802">
        <v>21</v>
      </c>
      <c r="Y2802">
        <v>16</v>
      </c>
      <c r="Z2802">
        <v>1</v>
      </c>
      <c r="AB2802">
        <v>12</v>
      </c>
      <c r="AO2802">
        <v>0</v>
      </c>
      <c r="AW2802">
        <v>0</v>
      </c>
      <c r="AX2802">
        <v>10</v>
      </c>
      <c r="AY2802">
        <v>354</v>
      </c>
      <c r="AZ2802">
        <v>354</v>
      </c>
      <c r="BA2802">
        <v>569</v>
      </c>
      <c r="BB2802">
        <v>44</v>
      </c>
      <c r="BD2802">
        <v>1</v>
      </c>
      <c r="BF2802" s="2" t="s">
        <v>3003</v>
      </c>
      <c r="BG2802" s="1">
        <v>44354.154166666667</v>
      </c>
      <c r="BH2802" s="1">
        <v>44354.15966435185</v>
      </c>
      <c r="BI2802" s="1">
        <v>44354.160231481481</v>
      </c>
      <c r="BJ2802" t="s">
        <v>85</v>
      </c>
      <c r="BK2802" t="s">
        <v>86</v>
      </c>
      <c r="BL2802" t="s">
        <v>87</v>
      </c>
    </row>
    <row r="2803" spans="1:64" x14ac:dyDescent="0.3">
      <c r="A2803" t="str">
        <f>"201854C0200"</f>
        <v>201854C0200</v>
      </c>
      <c r="B2803" t="str">
        <f>"201854C02003"</f>
        <v>201854C02003</v>
      </c>
      <c r="C2803" t="str">
        <f t="shared" si="190"/>
        <v>20</v>
      </c>
      <c r="D2803" t="s">
        <v>81</v>
      </c>
      <c r="E2803" t="str">
        <f t="shared" si="194"/>
        <v>415</v>
      </c>
      <c r="F2803" t="s">
        <v>2991</v>
      </c>
      <c r="G2803" t="str">
        <f>"1854"</f>
        <v>1854</v>
      </c>
      <c r="H2803" t="str">
        <f>"0002"</f>
        <v>0002</v>
      </c>
      <c r="I2803" t="s">
        <v>89</v>
      </c>
      <c r="J2803">
        <v>0</v>
      </c>
      <c r="K2803">
        <v>1</v>
      </c>
      <c r="L2803">
        <v>3</v>
      </c>
      <c r="M2803">
        <v>215</v>
      </c>
      <c r="N2803">
        <v>398</v>
      </c>
      <c r="O2803">
        <v>0</v>
      </c>
      <c r="P2803">
        <v>398</v>
      </c>
      <c r="Q2803">
        <v>0</v>
      </c>
      <c r="R2803">
        <v>123</v>
      </c>
      <c r="S2803">
        <v>61</v>
      </c>
      <c r="T2803">
        <v>33</v>
      </c>
      <c r="U2803">
        <v>133</v>
      </c>
      <c r="W2803">
        <v>0</v>
      </c>
      <c r="X2803">
        <v>15</v>
      </c>
      <c r="Y2803">
        <v>10</v>
      </c>
      <c r="Z2803">
        <v>0</v>
      </c>
      <c r="AB2803">
        <v>15</v>
      </c>
      <c r="AO2803">
        <v>0</v>
      </c>
      <c r="AW2803">
        <v>0</v>
      </c>
      <c r="AX2803">
        <v>8</v>
      </c>
      <c r="AY2803">
        <v>398</v>
      </c>
      <c r="AZ2803">
        <v>398</v>
      </c>
      <c r="BA2803">
        <v>569</v>
      </c>
      <c r="BB2803">
        <v>44</v>
      </c>
      <c r="BD2803">
        <v>1</v>
      </c>
      <c r="BF2803" t="s">
        <v>3004</v>
      </c>
      <c r="BG2803" s="1">
        <v>44354.161111111112</v>
      </c>
      <c r="BH2803" s="1">
        <v>44354.167187500003</v>
      </c>
      <c r="BI2803" s="1">
        <v>44354.167766203704</v>
      </c>
      <c r="BJ2803" t="s">
        <v>85</v>
      </c>
      <c r="BK2803" t="s">
        <v>86</v>
      </c>
      <c r="BL2803" t="s">
        <v>87</v>
      </c>
    </row>
    <row r="2804" spans="1:64" x14ac:dyDescent="0.3">
      <c r="A2804" t="str">
        <f>"201855B0000"</f>
        <v>201855B0000</v>
      </c>
      <c r="B2804" t="str">
        <f>"201855B00003"</f>
        <v>201855B00003</v>
      </c>
      <c r="C2804" t="str">
        <f t="shared" si="190"/>
        <v>20</v>
      </c>
      <c r="D2804" t="s">
        <v>81</v>
      </c>
      <c r="E2804" t="str">
        <f t="shared" si="194"/>
        <v>415</v>
      </c>
      <c r="F2804" t="s">
        <v>2991</v>
      </c>
      <c r="G2804" t="str">
        <f>"1855"</f>
        <v>1855</v>
      </c>
      <c r="H2804" t="str">
        <f>"0000"</f>
        <v>0000</v>
      </c>
      <c r="I2804" t="s">
        <v>83</v>
      </c>
      <c r="J2804">
        <v>0</v>
      </c>
      <c r="K2804">
        <v>1</v>
      </c>
      <c r="L2804">
        <v>3</v>
      </c>
      <c r="M2804">
        <v>277</v>
      </c>
      <c r="N2804">
        <v>325</v>
      </c>
      <c r="O2804">
        <v>0</v>
      </c>
      <c r="P2804">
        <v>325</v>
      </c>
      <c r="Q2804">
        <v>2</v>
      </c>
      <c r="R2804">
        <v>72</v>
      </c>
      <c r="S2804">
        <v>56</v>
      </c>
      <c r="T2804">
        <v>28</v>
      </c>
      <c r="U2804">
        <v>29</v>
      </c>
      <c r="W2804">
        <v>0</v>
      </c>
      <c r="X2804">
        <v>68</v>
      </c>
      <c r="Y2804">
        <v>12</v>
      </c>
      <c r="Z2804">
        <v>5</v>
      </c>
      <c r="AB2804">
        <v>32</v>
      </c>
      <c r="AO2804">
        <v>0</v>
      </c>
      <c r="AW2804">
        <v>0</v>
      </c>
      <c r="AX2804">
        <v>9</v>
      </c>
      <c r="AY2804">
        <v>325</v>
      </c>
      <c r="AZ2804">
        <v>313</v>
      </c>
      <c r="BA2804">
        <v>558</v>
      </c>
      <c r="BB2804">
        <v>44</v>
      </c>
      <c r="BD2804">
        <v>1</v>
      </c>
      <c r="BF2804" s="2" t="s">
        <v>3005</v>
      </c>
      <c r="BG2804" s="1">
        <v>44354.15</v>
      </c>
      <c r="BH2804" s="1">
        <v>44354.15457175926</v>
      </c>
      <c r="BI2804" s="1">
        <v>44354.155300925922</v>
      </c>
      <c r="BJ2804" t="s">
        <v>85</v>
      </c>
      <c r="BK2804" t="s">
        <v>86</v>
      </c>
      <c r="BL2804" t="s">
        <v>87</v>
      </c>
    </row>
    <row r="2805" spans="1:64" x14ac:dyDescent="0.3">
      <c r="A2805" t="str">
        <f>"201855C0100"</f>
        <v>201855C0100</v>
      </c>
      <c r="B2805" t="str">
        <f>"201855C01003"</f>
        <v>201855C01003</v>
      </c>
      <c r="C2805" t="str">
        <f t="shared" si="190"/>
        <v>20</v>
      </c>
      <c r="D2805" t="s">
        <v>81</v>
      </c>
      <c r="E2805" t="str">
        <f t="shared" si="194"/>
        <v>415</v>
      </c>
      <c r="F2805" t="s">
        <v>2991</v>
      </c>
      <c r="G2805" t="str">
        <f>"1855"</f>
        <v>1855</v>
      </c>
      <c r="H2805" t="str">
        <f>"0001"</f>
        <v>0001</v>
      </c>
      <c r="I2805" t="s">
        <v>89</v>
      </c>
      <c r="J2805">
        <v>0</v>
      </c>
      <c r="K2805">
        <v>1</v>
      </c>
      <c r="L2805">
        <v>3</v>
      </c>
      <c r="M2805">
        <v>260</v>
      </c>
      <c r="N2805">
        <v>342</v>
      </c>
      <c r="O2805">
        <v>0</v>
      </c>
      <c r="P2805">
        <v>342</v>
      </c>
      <c r="Q2805">
        <v>0</v>
      </c>
      <c r="R2805">
        <v>117</v>
      </c>
      <c r="S2805">
        <v>41</v>
      </c>
      <c r="T2805">
        <v>49</v>
      </c>
      <c r="U2805">
        <v>45</v>
      </c>
      <c r="W2805">
        <v>4</v>
      </c>
      <c r="X2805">
        <v>54</v>
      </c>
      <c r="Y2805">
        <v>5</v>
      </c>
      <c r="Z2805">
        <v>1</v>
      </c>
      <c r="AB2805">
        <v>12</v>
      </c>
      <c r="AO2805">
        <v>0</v>
      </c>
      <c r="AW2805">
        <v>0</v>
      </c>
      <c r="AX2805">
        <v>14</v>
      </c>
      <c r="AY2805">
        <v>342</v>
      </c>
      <c r="AZ2805">
        <v>342</v>
      </c>
      <c r="BA2805">
        <v>558</v>
      </c>
      <c r="BB2805">
        <v>44</v>
      </c>
      <c r="BD2805">
        <v>1</v>
      </c>
      <c r="BF2805" t="s">
        <v>3006</v>
      </c>
      <c r="BG2805" s="1">
        <v>44354.145138888889</v>
      </c>
      <c r="BH2805" s="1">
        <v>44354.147222222222</v>
      </c>
      <c r="BI2805" s="1">
        <v>44354.148414351854</v>
      </c>
      <c r="BJ2805" t="s">
        <v>85</v>
      </c>
      <c r="BK2805" t="s">
        <v>86</v>
      </c>
      <c r="BL2805" t="s">
        <v>87</v>
      </c>
    </row>
    <row r="2806" spans="1:64" x14ac:dyDescent="0.3">
      <c r="A2806" t="str">
        <f>"201855E0100"</f>
        <v>201855E0100</v>
      </c>
      <c r="B2806" t="str">
        <f>"201855E01003"</f>
        <v>201855E01003</v>
      </c>
      <c r="C2806" t="str">
        <f t="shared" si="190"/>
        <v>20</v>
      </c>
      <c r="D2806" t="s">
        <v>81</v>
      </c>
      <c r="E2806" t="str">
        <f t="shared" si="194"/>
        <v>415</v>
      </c>
      <c r="F2806" t="s">
        <v>2991</v>
      </c>
      <c r="G2806" t="str">
        <f>"1855"</f>
        <v>1855</v>
      </c>
      <c r="H2806" t="str">
        <f>"0001"</f>
        <v>0001</v>
      </c>
      <c r="I2806" t="s">
        <v>122</v>
      </c>
      <c r="J2806">
        <v>0</v>
      </c>
      <c r="K2806">
        <v>1</v>
      </c>
      <c r="L2806">
        <v>3</v>
      </c>
      <c r="M2806">
        <v>112</v>
      </c>
      <c r="N2806">
        <v>144</v>
      </c>
      <c r="O2806">
        <v>3</v>
      </c>
      <c r="P2806">
        <v>144</v>
      </c>
      <c r="Q2806">
        <v>0</v>
      </c>
      <c r="R2806">
        <v>31</v>
      </c>
      <c r="S2806">
        <v>24</v>
      </c>
      <c r="T2806">
        <v>25</v>
      </c>
      <c r="U2806">
        <v>18</v>
      </c>
      <c r="W2806">
        <v>0</v>
      </c>
      <c r="X2806">
        <v>8</v>
      </c>
      <c r="Y2806">
        <v>10</v>
      </c>
      <c r="Z2806">
        <v>1</v>
      </c>
      <c r="AB2806">
        <v>19</v>
      </c>
      <c r="AO2806">
        <v>0</v>
      </c>
      <c r="AW2806">
        <v>0</v>
      </c>
      <c r="AX2806">
        <v>8</v>
      </c>
      <c r="AY2806">
        <v>144</v>
      </c>
      <c r="AZ2806">
        <v>144</v>
      </c>
      <c r="BA2806">
        <v>212</v>
      </c>
      <c r="BB2806">
        <v>44</v>
      </c>
      <c r="BD2806">
        <v>1</v>
      </c>
      <c r="BF2806" t="s">
        <v>3007</v>
      </c>
      <c r="BG2806" s="1">
        <v>44354.145138888889</v>
      </c>
      <c r="BH2806" s="1">
        <v>44354.148333333331</v>
      </c>
      <c r="BI2806" s="1">
        <v>44354.1487037037</v>
      </c>
      <c r="BJ2806" t="s">
        <v>85</v>
      </c>
      <c r="BK2806" t="s">
        <v>86</v>
      </c>
      <c r="BL2806" t="s">
        <v>87</v>
      </c>
    </row>
    <row r="2807" spans="1:64" x14ac:dyDescent="0.3">
      <c r="A2807" t="str">
        <f>"201856B0000"</f>
        <v>201856B0000</v>
      </c>
      <c r="B2807" t="str">
        <f>"201856B00003"</f>
        <v>201856B00003</v>
      </c>
      <c r="C2807" t="str">
        <f t="shared" si="190"/>
        <v>20</v>
      </c>
      <c r="D2807" t="s">
        <v>81</v>
      </c>
      <c r="E2807" t="str">
        <f t="shared" ref="E2807:E2814" si="195">"416"</f>
        <v>416</v>
      </c>
      <c r="F2807" t="s">
        <v>3008</v>
      </c>
      <c r="G2807" t="str">
        <f>"1856"</f>
        <v>1856</v>
      </c>
      <c r="H2807" t="str">
        <f>"0000"</f>
        <v>0000</v>
      </c>
      <c r="I2807" t="s">
        <v>83</v>
      </c>
      <c r="J2807">
        <v>0</v>
      </c>
      <c r="K2807">
        <v>1</v>
      </c>
      <c r="L2807">
        <v>3</v>
      </c>
      <c r="M2807">
        <v>169</v>
      </c>
      <c r="N2807">
        <v>445</v>
      </c>
      <c r="O2807">
        <v>445</v>
      </c>
      <c r="P2807" t="s">
        <v>92</v>
      </c>
      <c r="Q2807">
        <v>3</v>
      </c>
      <c r="R2807">
        <v>8</v>
      </c>
      <c r="S2807">
        <v>133</v>
      </c>
      <c r="T2807">
        <v>145</v>
      </c>
      <c r="U2807">
        <v>1</v>
      </c>
      <c r="V2807">
        <v>5</v>
      </c>
      <c r="W2807">
        <v>14</v>
      </c>
      <c r="X2807">
        <v>102</v>
      </c>
      <c r="Z2807">
        <v>3</v>
      </c>
      <c r="AF2807">
        <v>5</v>
      </c>
      <c r="AG2807">
        <v>0</v>
      </c>
      <c r="AH2807">
        <v>1</v>
      </c>
      <c r="AI2807">
        <v>2</v>
      </c>
      <c r="AW2807">
        <v>0</v>
      </c>
      <c r="AX2807">
        <v>23</v>
      </c>
      <c r="AY2807">
        <v>445</v>
      </c>
      <c r="AZ2807">
        <v>445</v>
      </c>
      <c r="BA2807">
        <v>568</v>
      </c>
      <c r="BB2807">
        <v>46</v>
      </c>
      <c r="BD2807">
        <v>1</v>
      </c>
      <c r="BF2807" t="s">
        <v>3009</v>
      </c>
      <c r="BG2807" s="1">
        <v>44354.030798611115</v>
      </c>
      <c r="BH2807" s="1">
        <v>44354.038460648146</v>
      </c>
      <c r="BI2807" s="1">
        <v>44354.039525462962</v>
      </c>
      <c r="BJ2807" t="s">
        <v>197</v>
      </c>
      <c r="BK2807" t="s">
        <v>198</v>
      </c>
      <c r="BL2807" t="s">
        <v>87</v>
      </c>
    </row>
    <row r="2808" spans="1:64" x14ac:dyDescent="0.3">
      <c r="A2808" t="str">
        <f>"201856C0100"</f>
        <v>201856C0100</v>
      </c>
      <c r="B2808" t="str">
        <f>"201856C01003"</f>
        <v>201856C01003</v>
      </c>
      <c r="C2808" t="str">
        <f t="shared" si="190"/>
        <v>20</v>
      </c>
      <c r="D2808" t="s">
        <v>81</v>
      </c>
      <c r="E2808" t="str">
        <f t="shared" si="195"/>
        <v>416</v>
      </c>
      <c r="F2808" t="s">
        <v>3008</v>
      </c>
      <c r="G2808" t="str">
        <f>"1856"</f>
        <v>1856</v>
      </c>
      <c r="H2808" t="str">
        <f>"0001"</f>
        <v>0001</v>
      </c>
      <c r="I2808" t="s">
        <v>89</v>
      </c>
      <c r="J2808">
        <v>0</v>
      </c>
      <c r="K2808">
        <v>1</v>
      </c>
      <c r="L2808">
        <v>3</v>
      </c>
      <c r="M2808">
        <v>173</v>
      </c>
      <c r="N2808">
        <v>441</v>
      </c>
      <c r="O2808">
        <v>0</v>
      </c>
      <c r="P2808" t="s">
        <v>92</v>
      </c>
      <c r="Q2808">
        <v>7</v>
      </c>
      <c r="R2808">
        <v>0</v>
      </c>
      <c r="S2808">
        <v>144</v>
      </c>
      <c r="T2808">
        <v>142</v>
      </c>
      <c r="U2808">
        <v>3</v>
      </c>
      <c r="V2808">
        <v>4</v>
      </c>
      <c r="W2808">
        <v>12</v>
      </c>
      <c r="X2808">
        <v>92</v>
      </c>
      <c r="Z2808">
        <v>2</v>
      </c>
      <c r="AF2808">
        <v>3</v>
      </c>
      <c r="AG2808">
        <v>0</v>
      </c>
      <c r="AH2808">
        <v>1</v>
      </c>
      <c r="AI2808">
        <v>1</v>
      </c>
      <c r="AW2808" t="s">
        <v>95</v>
      </c>
      <c r="AX2808">
        <v>21</v>
      </c>
      <c r="AY2808">
        <v>441</v>
      </c>
      <c r="AZ2808">
        <v>432</v>
      </c>
      <c r="BA2808">
        <v>568</v>
      </c>
      <c r="BB2808">
        <v>46</v>
      </c>
      <c r="BC2808" t="s">
        <v>96</v>
      </c>
      <c r="BD2808">
        <v>1</v>
      </c>
      <c r="BF2808" t="s">
        <v>3010</v>
      </c>
      <c r="BG2808" s="1">
        <v>44354.199305555558</v>
      </c>
      <c r="BH2808" s="1">
        <v>44354.202418981484</v>
      </c>
      <c r="BI2808" s="1">
        <v>44354.203379629631</v>
      </c>
      <c r="BJ2808" t="s">
        <v>85</v>
      </c>
      <c r="BK2808" t="s">
        <v>86</v>
      </c>
      <c r="BL2808" t="s">
        <v>87</v>
      </c>
    </row>
    <row r="2809" spans="1:64" x14ac:dyDescent="0.3">
      <c r="A2809" t="str">
        <f>"201856C0200"</f>
        <v>201856C0200</v>
      </c>
      <c r="B2809" t="str">
        <f>"201856C02003"</f>
        <v>201856C02003</v>
      </c>
      <c r="C2809" t="str">
        <f t="shared" si="190"/>
        <v>20</v>
      </c>
      <c r="D2809" t="s">
        <v>81</v>
      </c>
      <c r="E2809" t="str">
        <f t="shared" si="195"/>
        <v>416</v>
      </c>
      <c r="F2809" t="s">
        <v>3008</v>
      </c>
      <c r="G2809" t="str">
        <f>"1856"</f>
        <v>1856</v>
      </c>
      <c r="H2809" t="str">
        <f>"0002"</f>
        <v>0002</v>
      </c>
      <c r="I2809" t="s">
        <v>89</v>
      </c>
      <c r="J2809">
        <v>0</v>
      </c>
      <c r="K2809">
        <v>1</v>
      </c>
      <c r="L2809">
        <v>3</v>
      </c>
      <c r="M2809">
        <v>154</v>
      </c>
      <c r="N2809">
        <v>459</v>
      </c>
      <c r="O2809">
        <v>0</v>
      </c>
      <c r="P2809">
        <v>459</v>
      </c>
      <c r="Q2809">
        <v>4</v>
      </c>
      <c r="R2809">
        <v>9</v>
      </c>
      <c r="S2809">
        <v>158</v>
      </c>
      <c r="T2809">
        <v>142</v>
      </c>
      <c r="U2809">
        <v>1</v>
      </c>
      <c r="V2809">
        <v>1</v>
      </c>
      <c r="W2809">
        <v>2</v>
      </c>
      <c r="X2809">
        <v>123</v>
      </c>
      <c r="Z2809">
        <v>0</v>
      </c>
      <c r="AF2809">
        <v>3</v>
      </c>
      <c r="AG2809">
        <v>0</v>
      </c>
      <c r="AH2809">
        <v>0</v>
      </c>
      <c r="AI2809">
        <v>1</v>
      </c>
      <c r="AW2809">
        <v>0</v>
      </c>
      <c r="AX2809">
        <v>15</v>
      </c>
      <c r="AY2809">
        <v>459</v>
      </c>
      <c r="AZ2809">
        <v>459</v>
      </c>
      <c r="BA2809">
        <v>567</v>
      </c>
      <c r="BB2809">
        <v>46</v>
      </c>
      <c r="BD2809">
        <v>1</v>
      </c>
      <c r="BF2809" t="s">
        <v>3011</v>
      </c>
      <c r="BG2809" s="1">
        <v>44354.029004629629</v>
      </c>
      <c r="BH2809" s="1">
        <v>44354.035543981481</v>
      </c>
      <c r="BI2809" s="1">
        <v>44354.035868055558</v>
      </c>
      <c r="BJ2809" t="s">
        <v>197</v>
      </c>
      <c r="BK2809" t="s">
        <v>198</v>
      </c>
      <c r="BL2809" t="s">
        <v>87</v>
      </c>
    </row>
    <row r="2810" spans="1:64" x14ac:dyDescent="0.3">
      <c r="A2810" t="str">
        <f>"201857B0000"</f>
        <v>201857B0000</v>
      </c>
      <c r="B2810" t="str">
        <f>"201857B00003"</f>
        <v>201857B00003</v>
      </c>
      <c r="C2810" t="str">
        <f t="shared" si="190"/>
        <v>20</v>
      </c>
      <c r="D2810" t="s">
        <v>81</v>
      </c>
      <c r="E2810" t="str">
        <f t="shared" si="195"/>
        <v>416</v>
      </c>
      <c r="F2810" t="s">
        <v>3008</v>
      </c>
      <c r="G2810" t="str">
        <f>"1857"</f>
        <v>1857</v>
      </c>
      <c r="H2810" t="str">
        <f>"0000"</f>
        <v>0000</v>
      </c>
      <c r="I2810" t="s">
        <v>83</v>
      </c>
      <c r="J2810">
        <v>0</v>
      </c>
      <c r="K2810">
        <v>1</v>
      </c>
      <c r="L2810">
        <v>3</v>
      </c>
      <c r="M2810">
        <v>168</v>
      </c>
      <c r="N2810">
        <v>306</v>
      </c>
      <c r="O2810">
        <v>1</v>
      </c>
      <c r="P2810">
        <v>306</v>
      </c>
      <c r="Q2810">
        <v>2</v>
      </c>
      <c r="R2810">
        <v>8</v>
      </c>
      <c r="S2810">
        <v>110</v>
      </c>
      <c r="T2810">
        <v>60</v>
      </c>
      <c r="U2810">
        <v>1</v>
      </c>
      <c r="V2810">
        <v>0</v>
      </c>
      <c r="W2810">
        <v>0</v>
      </c>
      <c r="X2810">
        <v>110</v>
      </c>
      <c r="Z2810">
        <v>3</v>
      </c>
      <c r="AF2810">
        <v>3</v>
      </c>
      <c r="AG2810">
        <v>0</v>
      </c>
      <c r="AH2810">
        <v>1</v>
      </c>
      <c r="AI2810">
        <v>2</v>
      </c>
      <c r="AW2810">
        <v>0</v>
      </c>
      <c r="AX2810">
        <v>6</v>
      </c>
      <c r="AY2810">
        <v>306</v>
      </c>
      <c r="AZ2810">
        <v>306</v>
      </c>
      <c r="BA2810">
        <v>428</v>
      </c>
      <c r="BB2810">
        <v>46</v>
      </c>
      <c r="BD2810">
        <v>1</v>
      </c>
      <c r="BF2810" t="s">
        <v>3012</v>
      </c>
      <c r="BG2810" s="1">
        <v>44354.243750000001</v>
      </c>
      <c r="BH2810" s="1">
        <v>44354.248518518521</v>
      </c>
      <c r="BI2810" s="1">
        <v>44354.249050925922</v>
      </c>
      <c r="BJ2810" t="s">
        <v>85</v>
      </c>
      <c r="BK2810" t="s">
        <v>86</v>
      </c>
      <c r="BL2810" t="s">
        <v>87</v>
      </c>
    </row>
    <row r="2811" spans="1:64" x14ac:dyDescent="0.3">
      <c r="A2811" t="str">
        <f>"201857C0100"</f>
        <v>201857C0100</v>
      </c>
      <c r="B2811" t="str">
        <f>"201857C01003"</f>
        <v>201857C01003</v>
      </c>
      <c r="C2811" t="str">
        <f t="shared" si="190"/>
        <v>20</v>
      </c>
      <c r="D2811" t="s">
        <v>81</v>
      </c>
      <c r="E2811" t="str">
        <f t="shared" si="195"/>
        <v>416</v>
      </c>
      <c r="F2811" t="s">
        <v>3008</v>
      </c>
      <c r="G2811" t="str">
        <f>"1857"</f>
        <v>1857</v>
      </c>
      <c r="H2811" t="str">
        <f>"0001"</f>
        <v>0001</v>
      </c>
      <c r="I2811" t="s">
        <v>89</v>
      </c>
      <c r="J2811">
        <v>0</v>
      </c>
      <c r="K2811">
        <v>1</v>
      </c>
      <c r="L2811">
        <v>3</v>
      </c>
      <c r="M2811">
        <v>171</v>
      </c>
      <c r="N2811">
        <v>302</v>
      </c>
      <c r="O2811">
        <v>1</v>
      </c>
      <c r="P2811">
        <v>302</v>
      </c>
      <c r="Q2811">
        <v>4</v>
      </c>
      <c r="R2811">
        <v>6</v>
      </c>
      <c r="S2811">
        <v>117</v>
      </c>
      <c r="T2811">
        <v>53</v>
      </c>
      <c r="U2811">
        <v>2</v>
      </c>
      <c r="V2811">
        <v>1</v>
      </c>
      <c r="W2811">
        <v>4</v>
      </c>
      <c r="X2811">
        <v>105</v>
      </c>
      <c r="Z2811">
        <v>2</v>
      </c>
      <c r="AF2811">
        <v>1</v>
      </c>
      <c r="AG2811">
        <v>0</v>
      </c>
      <c r="AH2811">
        <v>1</v>
      </c>
      <c r="AI2811">
        <v>0</v>
      </c>
      <c r="AW2811">
        <v>0</v>
      </c>
      <c r="AX2811">
        <v>6</v>
      </c>
      <c r="AY2811">
        <v>302</v>
      </c>
      <c r="AZ2811">
        <v>302</v>
      </c>
      <c r="BA2811">
        <v>427</v>
      </c>
      <c r="BB2811">
        <v>46</v>
      </c>
      <c r="BD2811">
        <v>1</v>
      </c>
      <c r="BF2811" t="s">
        <v>3013</v>
      </c>
      <c r="BG2811" s="1">
        <v>44354.228472222225</v>
      </c>
      <c r="BH2811" s="1">
        <v>44354.23159722222</v>
      </c>
      <c r="BI2811" s="1">
        <v>44354.232141203705</v>
      </c>
      <c r="BJ2811" t="s">
        <v>85</v>
      </c>
      <c r="BK2811" t="s">
        <v>86</v>
      </c>
      <c r="BL2811" t="s">
        <v>87</v>
      </c>
    </row>
    <row r="2812" spans="1:64" x14ac:dyDescent="0.3">
      <c r="A2812" t="str">
        <f>"201857E0100"</f>
        <v>201857E0100</v>
      </c>
      <c r="B2812" t="str">
        <f>"201857E01003"</f>
        <v>201857E01003</v>
      </c>
      <c r="C2812" t="str">
        <f t="shared" si="190"/>
        <v>20</v>
      </c>
      <c r="D2812" t="s">
        <v>81</v>
      </c>
      <c r="E2812" t="str">
        <f t="shared" si="195"/>
        <v>416</v>
      </c>
      <c r="F2812" t="s">
        <v>3008</v>
      </c>
      <c r="G2812" t="str">
        <f>"1857"</f>
        <v>1857</v>
      </c>
      <c r="H2812" t="str">
        <f>"0001"</f>
        <v>0001</v>
      </c>
      <c r="I2812" t="s">
        <v>122</v>
      </c>
      <c r="J2812">
        <v>0</v>
      </c>
      <c r="K2812">
        <v>1</v>
      </c>
      <c r="L2812">
        <v>3</v>
      </c>
      <c r="M2812">
        <v>72</v>
      </c>
      <c r="N2812">
        <v>80</v>
      </c>
      <c r="O2812">
        <v>3</v>
      </c>
      <c r="P2812">
        <v>80</v>
      </c>
      <c r="Q2812">
        <v>0</v>
      </c>
      <c r="R2812">
        <v>2</v>
      </c>
      <c r="S2812">
        <v>29</v>
      </c>
      <c r="T2812">
        <v>35</v>
      </c>
      <c r="U2812">
        <v>0</v>
      </c>
      <c r="V2812">
        <v>0</v>
      </c>
      <c r="W2812">
        <v>0</v>
      </c>
      <c r="X2812">
        <v>4</v>
      </c>
      <c r="Z2812">
        <v>1</v>
      </c>
      <c r="AF2812">
        <v>0</v>
      </c>
      <c r="AG2812">
        <v>0</v>
      </c>
      <c r="AH2812">
        <v>1</v>
      </c>
      <c r="AI2812">
        <v>0</v>
      </c>
      <c r="AW2812">
        <v>0</v>
      </c>
      <c r="AX2812">
        <v>8</v>
      </c>
      <c r="AY2812">
        <v>80</v>
      </c>
      <c r="AZ2812">
        <v>80</v>
      </c>
      <c r="BA2812">
        <v>106</v>
      </c>
      <c r="BB2812">
        <v>46</v>
      </c>
      <c r="BD2812">
        <v>1</v>
      </c>
      <c r="BF2812" t="s">
        <v>3014</v>
      </c>
      <c r="BG2812" s="1">
        <v>44354.232638888891</v>
      </c>
      <c r="BH2812" s="1">
        <v>44354.235115740739</v>
      </c>
      <c r="BI2812" s="1">
        <v>44354.235451388886</v>
      </c>
      <c r="BJ2812" t="s">
        <v>85</v>
      </c>
      <c r="BK2812" t="s">
        <v>86</v>
      </c>
      <c r="BL2812" t="s">
        <v>87</v>
      </c>
    </row>
    <row r="2813" spans="1:64" x14ac:dyDescent="0.3">
      <c r="A2813" t="str">
        <f>"201858B0000"</f>
        <v>201858B0000</v>
      </c>
      <c r="B2813" t="str">
        <f>"201858B00003"</f>
        <v>201858B00003</v>
      </c>
      <c r="C2813" t="str">
        <f t="shared" si="190"/>
        <v>20</v>
      </c>
      <c r="D2813" t="s">
        <v>81</v>
      </c>
      <c r="E2813" t="str">
        <f t="shared" si="195"/>
        <v>416</v>
      </c>
      <c r="F2813" t="s">
        <v>3008</v>
      </c>
      <c r="G2813" t="str">
        <f>"1858"</f>
        <v>1858</v>
      </c>
      <c r="H2813" t="str">
        <f>"0000"</f>
        <v>0000</v>
      </c>
      <c r="I2813" t="s">
        <v>83</v>
      </c>
      <c r="J2813">
        <v>0</v>
      </c>
      <c r="K2813">
        <v>1</v>
      </c>
      <c r="L2813">
        <v>3</v>
      </c>
      <c r="M2813">
        <v>248</v>
      </c>
      <c r="N2813">
        <v>344</v>
      </c>
      <c r="O2813">
        <v>2</v>
      </c>
      <c r="P2813">
        <v>344</v>
      </c>
      <c r="Q2813">
        <v>1</v>
      </c>
      <c r="R2813">
        <v>13</v>
      </c>
      <c r="S2813">
        <v>99</v>
      </c>
      <c r="T2813">
        <v>142</v>
      </c>
      <c r="U2813">
        <v>2</v>
      </c>
      <c r="V2813">
        <v>1</v>
      </c>
      <c r="W2813">
        <v>1</v>
      </c>
      <c r="X2813">
        <v>61</v>
      </c>
      <c r="Z2813">
        <v>1</v>
      </c>
      <c r="AF2813">
        <v>9</v>
      </c>
      <c r="AG2813">
        <v>0</v>
      </c>
      <c r="AH2813">
        <v>0</v>
      </c>
      <c r="AI2813">
        <v>0</v>
      </c>
      <c r="AW2813">
        <v>0</v>
      </c>
      <c r="AX2813">
        <v>14</v>
      </c>
      <c r="AY2813">
        <v>344</v>
      </c>
      <c r="AZ2813">
        <v>344</v>
      </c>
      <c r="BA2813">
        <v>546</v>
      </c>
      <c r="BB2813">
        <v>46</v>
      </c>
      <c r="BD2813">
        <v>1</v>
      </c>
      <c r="BF2813" s="2" t="s">
        <v>3015</v>
      </c>
      <c r="BG2813" s="1">
        <v>44354.075798611113</v>
      </c>
      <c r="BH2813" s="1">
        <v>44354.082268518519</v>
      </c>
      <c r="BI2813" s="1">
        <v>44354.082812499997</v>
      </c>
      <c r="BJ2813" t="s">
        <v>197</v>
      </c>
      <c r="BK2813" t="s">
        <v>198</v>
      </c>
      <c r="BL2813" t="s">
        <v>87</v>
      </c>
    </row>
    <row r="2814" spans="1:64" x14ac:dyDescent="0.3">
      <c r="A2814" t="str">
        <f>"201858C0100"</f>
        <v>201858C0100</v>
      </c>
      <c r="B2814" t="str">
        <f>"201858C01003"</f>
        <v>201858C01003</v>
      </c>
      <c r="C2814" t="str">
        <f t="shared" si="190"/>
        <v>20</v>
      </c>
      <c r="D2814" t="s">
        <v>81</v>
      </c>
      <c r="E2814" t="str">
        <f t="shared" si="195"/>
        <v>416</v>
      </c>
      <c r="F2814" t="s">
        <v>3008</v>
      </c>
      <c r="G2814" t="str">
        <f>"1858"</f>
        <v>1858</v>
      </c>
      <c r="H2814" t="str">
        <f>"0001"</f>
        <v>0001</v>
      </c>
      <c r="I2814" t="s">
        <v>89</v>
      </c>
      <c r="J2814">
        <v>0</v>
      </c>
      <c r="K2814">
        <v>1</v>
      </c>
      <c r="L2814">
        <v>3</v>
      </c>
      <c r="M2814">
        <v>233</v>
      </c>
      <c r="N2814">
        <v>357</v>
      </c>
      <c r="O2814">
        <v>1</v>
      </c>
      <c r="P2814">
        <v>358</v>
      </c>
      <c r="Q2814">
        <v>1</v>
      </c>
      <c r="R2814">
        <v>20</v>
      </c>
      <c r="S2814">
        <v>91</v>
      </c>
      <c r="T2814">
        <v>155</v>
      </c>
      <c r="U2814">
        <v>2</v>
      </c>
      <c r="V2814">
        <v>1</v>
      </c>
      <c r="W2814">
        <v>1</v>
      </c>
      <c r="X2814">
        <v>61</v>
      </c>
      <c r="Z2814">
        <v>2</v>
      </c>
      <c r="AF2814">
        <v>5</v>
      </c>
      <c r="AG2814">
        <v>0</v>
      </c>
      <c r="AH2814">
        <v>0</v>
      </c>
      <c r="AI2814">
        <v>2</v>
      </c>
      <c r="AW2814">
        <v>0</v>
      </c>
      <c r="AX2814">
        <v>17</v>
      </c>
      <c r="AY2814">
        <v>358</v>
      </c>
      <c r="AZ2814">
        <v>358</v>
      </c>
      <c r="BA2814">
        <v>545</v>
      </c>
      <c r="BB2814">
        <v>46</v>
      </c>
      <c r="BD2814">
        <v>1</v>
      </c>
      <c r="BF2814" t="s">
        <v>3016</v>
      </c>
      <c r="BG2814" s="1">
        <v>44354.060555555552</v>
      </c>
      <c r="BH2814" s="1">
        <v>44354.066319444442</v>
      </c>
      <c r="BI2814" s="1">
        <v>44354.066805555558</v>
      </c>
      <c r="BJ2814" t="s">
        <v>197</v>
      </c>
      <c r="BK2814" t="s">
        <v>198</v>
      </c>
      <c r="BL2814" t="s">
        <v>87</v>
      </c>
    </row>
    <row r="2815" spans="1:64" x14ac:dyDescent="0.3">
      <c r="A2815" t="str">
        <f>"201860B0000"</f>
        <v>201860B0000</v>
      </c>
      <c r="B2815" t="str">
        <f>"201860B00003"</f>
        <v>201860B00003</v>
      </c>
      <c r="C2815" t="str">
        <f t="shared" si="190"/>
        <v>20</v>
      </c>
      <c r="D2815" t="s">
        <v>81</v>
      </c>
      <c r="E2815" t="str">
        <f t="shared" ref="E2815:E2828" si="196">"418"</f>
        <v>418</v>
      </c>
      <c r="F2815" t="s">
        <v>3017</v>
      </c>
      <c r="G2815" t="str">
        <f>"1860"</f>
        <v>1860</v>
      </c>
      <c r="H2815" t="str">
        <f>"0000"</f>
        <v>0000</v>
      </c>
      <c r="I2815" t="s">
        <v>83</v>
      </c>
      <c r="J2815">
        <v>0</v>
      </c>
      <c r="K2815">
        <v>1</v>
      </c>
      <c r="L2815">
        <v>3</v>
      </c>
      <c r="M2815">
        <v>183</v>
      </c>
      <c r="N2815">
        <v>533</v>
      </c>
      <c r="O2815">
        <v>0</v>
      </c>
      <c r="P2815">
        <v>0</v>
      </c>
      <c r="Q2815">
        <v>6</v>
      </c>
      <c r="R2815">
        <v>47</v>
      </c>
      <c r="S2815">
        <v>36</v>
      </c>
      <c r="T2815">
        <v>3</v>
      </c>
      <c r="U2815">
        <v>1</v>
      </c>
      <c r="V2815">
        <v>8</v>
      </c>
      <c r="X2815">
        <v>8</v>
      </c>
      <c r="Y2815">
        <v>78</v>
      </c>
      <c r="Z2815">
        <v>241</v>
      </c>
      <c r="AA2815">
        <v>70</v>
      </c>
      <c r="AB2815">
        <v>0</v>
      </c>
      <c r="AF2815">
        <v>9</v>
      </c>
      <c r="AG2815">
        <v>1</v>
      </c>
      <c r="AH2815">
        <v>2</v>
      </c>
      <c r="AI2815">
        <v>0</v>
      </c>
      <c r="AW2815" t="s">
        <v>95</v>
      </c>
      <c r="AX2815">
        <v>20</v>
      </c>
      <c r="AY2815">
        <v>530</v>
      </c>
      <c r="AZ2815">
        <v>530</v>
      </c>
      <c r="BA2815">
        <v>672</v>
      </c>
      <c r="BB2815">
        <v>44</v>
      </c>
      <c r="BC2815" t="s">
        <v>96</v>
      </c>
      <c r="BD2815">
        <v>1</v>
      </c>
      <c r="BF2815" t="s">
        <v>3018</v>
      </c>
      <c r="BG2815" s="1">
        <v>44354.095833333333</v>
      </c>
      <c r="BH2815" s="1">
        <v>44354.101180555554</v>
      </c>
      <c r="BI2815" s="1">
        <v>44354.101435185185</v>
      </c>
      <c r="BJ2815" t="s">
        <v>85</v>
      </c>
      <c r="BK2815" t="s">
        <v>86</v>
      </c>
      <c r="BL2815" t="s">
        <v>87</v>
      </c>
    </row>
    <row r="2816" spans="1:64" x14ac:dyDescent="0.3">
      <c r="A2816" t="str">
        <f>"201860C0100"</f>
        <v>201860C0100</v>
      </c>
      <c r="B2816" t="str">
        <f>"201860C01003"</f>
        <v>201860C01003</v>
      </c>
      <c r="C2816" t="str">
        <f t="shared" si="190"/>
        <v>20</v>
      </c>
      <c r="D2816" t="s">
        <v>81</v>
      </c>
      <c r="E2816" t="str">
        <f t="shared" si="196"/>
        <v>418</v>
      </c>
      <c r="F2816" t="s">
        <v>3017</v>
      </c>
      <c r="G2816" t="str">
        <f>"1860"</f>
        <v>1860</v>
      </c>
      <c r="H2816" t="str">
        <f>"0001"</f>
        <v>0001</v>
      </c>
      <c r="I2816" t="s">
        <v>89</v>
      </c>
      <c r="J2816">
        <v>0</v>
      </c>
      <c r="K2816">
        <v>1</v>
      </c>
      <c r="L2816">
        <v>3</v>
      </c>
      <c r="M2816">
        <v>206</v>
      </c>
      <c r="N2816">
        <v>510</v>
      </c>
      <c r="O2816">
        <v>4</v>
      </c>
      <c r="P2816">
        <v>510</v>
      </c>
      <c r="Q2816">
        <v>15</v>
      </c>
      <c r="R2816">
        <v>60</v>
      </c>
      <c r="S2816">
        <v>43</v>
      </c>
      <c r="T2816">
        <v>0</v>
      </c>
      <c r="U2816">
        <v>0</v>
      </c>
      <c r="V2816">
        <v>17</v>
      </c>
      <c r="X2816">
        <v>8</v>
      </c>
      <c r="Y2816">
        <v>65</v>
      </c>
      <c r="Z2816">
        <v>218</v>
      </c>
      <c r="AA2816">
        <v>64</v>
      </c>
      <c r="AB2816">
        <v>0</v>
      </c>
      <c r="AF2816">
        <v>6</v>
      </c>
      <c r="AG2816">
        <v>0</v>
      </c>
      <c r="AH2816">
        <v>0</v>
      </c>
      <c r="AI2816">
        <v>0</v>
      </c>
      <c r="AW2816">
        <v>0</v>
      </c>
      <c r="AX2816">
        <v>14</v>
      </c>
      <c r="AY2816">
        <v>510</v>
      </c>
      <c r="AZ2816">
        <v>510</v>
      </c>
      <c r="BA2816">
        <v>671</v>
      </c>
      <c r="BB2816">
        <v>44</v>
      </c>
      <c r="BD2816">
        <v>1</v>
      </c>
      <c r="BF2816" t="s">
        <v>3019</v>
      </c>
      <c r="BG2816" s="1">
        <v>44354.095138888886</v>
      </c>
      <c r="BH2816" s="1">
        <v>44354.101307870369</v>
      </c>
      <c r="BI2816" s="1">
        <v>44354.101909722223</v>
      </c>
      <c r="BJ2816" t="s">
        <v>85</v>
      </c>
      <c r="BK2816" t="s">
        <v>86</v>
      </c>
      <c r="BL2816" t="s">
        <v>87</v>
      </c>
    </row>
    <row r="2817" spans="1:64" x14ac:dyDescent="0.3">
      <c r="A2817" t="str">
        <f>"201860C0200"</f>
        <v>201860C0200</v>
      </c>
      <c r="B2817" t="str">
        <f>"201860C02003"</f>
        <v>201860C02003</v>
      </c>
      <c r="C2817" t="str">
        <f t="shared" si="190"/>
        <v>20</v>
      </c>
      <c r="D2817" t="s">
        <v>81</v>
      </c>
      <c r="E2817" t="str">
        <f t="shared" si="196"/>
        <v>418</v>
      </c>
      <c r="F2817" t="s">
        <v>3017</v>
      </c>
      <c r="G2817" t="str">
        <f>"1860"</f>
        <v>1860</v>
      </c>
      <c r="H2817" t="str">
        <f>"0002"</f>
        <v>0002</v>
      </c>
      <c r="I2817" t="s">
        <v>89</v>
      </c>
      <c r="J2817">
        <v>0</v>
      </c>
      <c r="K2817">
        <v>1</v>
      </c>
      <c r="L2817">
        <v>3</v>
      </c>
      <c r="M2817">
        <v>197</v>
      </c>
      <c r="N2817">
        <v>518</v>
      </c>
      <c r="O2817">
        <v>1</v>
      </c>
      <c r="P2817">
        <v>518</v>
      </c>
      <c r="Q2817">
        <v>8</v>
      </c>
      <c r="R2817">
        <v>70</v>
      </c>
      <c r="S2817">
        <v>40</v>
      </c>
      <c r="T2817">
        <v>3</v>
      </c>
      <c r="U2817">
        <v>3</v>
      </c>
      <c r="V2817">
        <v>9</v>
      </c>
      <c r="X2817">
        <v>9</v>
      </c>
      <c r="Y2817">
        <v>61</v>
      </c>
      <c r="Z2817">
        <v>213</v>
      </c>
      <c r="AA2817">
        <v>68</v>
      </c>
      <c r="AB2817">
        <v>1</v>
      </c>
      <c r="AF2817">
        <v>15</v>
      </c>
      <c r="AG2817">
        <v>2</v>
      </c>
      <c r="AH2817">
        <v>0</v>
      </c>
      <c r="AI2817">
        <v>1</v>
      </c>
      <c r="AW2817" t="s">
        <v>95</v>
      </c>
      <c r="AX2817">
        <v>15</v>
      </c>
      <c r="AY2817">
        <v>518</v>
      </c>
      <c r="AZ2817">
        <v>518</v>
      </c>
      <c r="BA2817">
        <v>671</v>
      </c>
      <c r="BB2817">
        <v>44</v>
      </c>
      <c r="BC2817" t="s">
        <v>96</v>
      </c>
      <c r="BD2817">
        <v>1</v>
      </c>
      <c r="BF2817" t="s">
        <v>3020</v>
      </c>
      <c r="BG2817" s="1">
        <v>44354.094444444447</v>
      </c>
      <c r="BH2817" s="1">
        <v>44354.100752314815</v>
      </c>
      <c r="BI2817" s="1">
        <v>44354.101365740738</v>
      </c>
      <c r="BJ2817" t="s">
        <v>85</v>
      </c>
      <c r="BK2817" t="s">
        <v>86</v>
      </c>
      <c r="BL2817" t="s">
        <v>87</v>
      </c>
    </row>
    <row r="2818" spans="1:64" x14ac:dyDescent="0.3">
      <c r="A2818" t="str">
        <f>"201860E0100"</f>
        <v>201860E0100</v>
      </c>
      <c r="B2818" t="str">
        <f>"201860E01003"</f>
        <v>201860E01003</v>
      </c>
      <c r="C2818" t="str">
        <f t="shared" si="190"/>
        <v>20</v>
      </c>
      <c r="D2818" t="s">
        <v>81</v>
      </c>
      <c r="E2818" t="str">
        <f t="shared" si="196"/>
        <v>418</v>
      </c>
      <c r="F2818" t="s">
        <v>3017</v>
      </c>
      <c r="G2818" t="str">
        <f>"1860"</f>
        <v>1860</v>
      </c>
      <c r="H2818" t="str">
        <f>"0001"</f>
        <v>0001</v>
      </c>
      <c r="I2818" t="s">
        <v>122</v>
      </c>
      <c r="J2818">
        <v>0</v>
      </c>
      <c r="K2818">
        <v>1</v>
      </c>
      <c r="L2818">
        <v>3</v>
      </c>
      <c r="M2818">
        <v>211</v>
      </c>
      <c r="N2818">
        <v>577</v>
      </c>
      <c r="O2818">
        <v>11</v>
      </c>
      <c r="P2818">
        <v>577</v>
      </c>
      <c r="Q2818">
        <v>11</v>
      </c>
      <c r="R2818">
        <v>26</v>
      </c>
      <c r="S2818">
        <v>79</v>
      </c>
      <c r="T2818">
        <v>1</v>
      </c>
      <c r="U2818">
        <v>2</v>
      </c>
      <c r="V2818">
        <v>4</v>
      </c>
      <c r="X2818">
        <v>65</v>
      </c>
      <c r="Y2818">
        <v>111</v>
      </c>
      <c r="Z2818">
        <v>248</v>
      </c>
      <c r="AA2818">
        <v>16</v>
      </c>
      <c r="AB2818">
        <v>0</v>
      </c>
      <c r="AF2818">
        <v>4</v>
      </c>
      <c r="AG2818">
        <v>0</v>
      </c>
      <c r="AH2818">
        <v>0</v>
      </c>
      <c r="AI2818">
        <v>1</v>
      </c>
      <c r="AW2818">
        <v>0</v>
      </c>
      <c r="AX2818">
        <v>9</v>
      </c>
      <c r="AY2818">
        <v>577</v>
      </c>
      <c r="AZ2818">
        <v>577</v>
      </c>
      <c r="BA2818">
        <v>744</v>
      </c>
      <c r="BB2818">
        <v>44</v>
      </c>
      <c r="BD2818">
        <v>1</v>
      </c>
      <c r="BF2818" t="s">
        <v>3021</v>
      </c>
      <c r="BG2818" s="1">
        <v>44354.09652777778</v>
      </c>
      <c r="BH2818" s="1">
        <v>44354.101956018516</v>
      </c>
      <c r="BI2818" s="1">
        <v>44354.10261574074</v>
      </c>
      <c r="BJ2818" t="s">
        <v>85</v>
      </c>
      <c r="BK2818" t="s">
        <v>86</v>
      </c>
      <c r="BL2818" t="s">
        <v>87</v>
      </c>
    </row>
    <row r="2819" spans="1:64" x14ac:dyDescent="0.3">
      <c r="A2819" t="str">
        <f>"201861B0000"</f>
        <v>201861B0000</v>
      </c>
      <c r="B2819" t="str">
        <f>"201861B00003"</f>
        <v>201861B00003</v>
      </c>
      <c r="C2819" t="str">
        <f t="shared" si="190"/>
        <v>20</v>
      </c>
      <c r="D2819" t="s">
        <v>81</v>
      </c>
      <c r="E2819" t="str">
        <f t="shared" si="196"/>
        <v>418</v>
      </c>
      <c r="F2819" t="s">
        <v>3017</v>
      </c>
      <c r="G2819" t="str">
        <f>"1861"</f>
        <v>1861</v>
      </c>
      <c r="H2819" t="str">
        <f>"0000"</f>
        <v>0000</v>
      </c>
      <c r="I2819" t="s">
        <v>83</v>
      </c>
      <c r="J2819">
        <v>0</v>
      </c>
      <c r="K2819">
        <v>1</v>
      </c>
      <c r="L2819">
        <v>3</v>
      </c>
      <c r="M2819">
        <v>156</v>
      </c>
      <c r="N2819">
        <v>312</v>
      </c>
      <c r="O2819">
        <v>2</v>
      </c>
      <c r="P2819">
        <v>312</v>
      </c>
      <c r="Q2819">
        <v>7</v>
      </c>
      <c r="R2819">
        <v>24</v>
      </c>
      <c r="S2819">
        <v>34</v>
      </c>
      <c r="T2819">
        <v>5</v>
      </c>
      <c r="U2819">
        <v>1</v>
      </c>
      <c r="V2819">
        <v>9</v>
      </c>
      <c r="X2819">
        <v>21</v>
      </c>
      <c r="Y2819">
        <v>21</v>
      </c>
      <c r="Z2819">
        <v>164</v>
      </c>
      <c r="AA2819">
        <v>11</v>
      </c>
      <c r="AB2819">
        <v>0</v>
      </c>
      <c r="AF2819">
        <v>4</v>
      </c>
      <c r="AG2819">
        <v>0</v>
      </c>
      <c r="AH2819">
        <v>0</v>
      </c>
      <c r="AI2819">
        <v>0</v>
      </c>
      <c r="AW2819">
        <v>0</v>
      </c>
      <c r="AX2819">
        <v>11</v>
      </c>
      <c r="AY2819">
        <v>312</v>
      </c>
      <c r="AZ2819">
        <v>312</v>
      </c>
      <c r="BA2819">
        <v>424</v>
      </c>
      <c r="BB2819">
        <v>44</v>
      </c>
      <c r="BD2819">
        <v>1</v>
      </c>
      <c r="BF2819" t="s">
        <v>3022</v>
      </c>
      <c r="BG2819" s="1">
        <v>44354.128472222219</v>
      </c>
      <c r="BH2819" s="1">
        <v>44354.161770833336</v>
      </c>
      <c r="BI2819" s="1">
        <v>44354.171990740739</v>
      </c>
      <c r="BJ2819" t="s">
        <v>85</v>
      </c>
      <c r="BK2819" t="s">
        <v>86</v>
      </c>
      <c r="BL2819" t="s">
        <v>87</v>
      </c>
    </row>
    <row r="2820" spans="1:64" x14ac:dyDescent="0.3">
      <c r="A2820" t="str">
        <f>"201861E0100"</f>
        <v>201861E0100</v>
      </c>
      <c r="B2820" t="str">
        <f>"201861E01003"</f>
        <v>201861E01003</v>
      </c>
      <c r="C2820" t="str">
        <f t="shared" si="190"/>
        <v>20</v>
      </c>
      <c r="D2820" t="s">
        <v>81</v>
      </c>
      <c r="E2820" t="str">
        <f t="shared" si="196"/>
        <v>418</v>
      </c>
      <c r="F2820" t="s">
        <v>3017</v>
      </c>
      <c r="G2820" t="str">
        <f>"1861"</f>
        <v>1861</v>
      </c>
      <c r="H2820" t="str">
        <f>"0001"</f>
        <v>0001</v>
      </c>
      <c r="I2820" t="s">
        <v>122</v>
      </c>
      <c r="J2820">
        <v>0</v>
      </c>
      <c r="K2820">
        <v>1</v>
      </c>
      <c r="L2820">
        <v>3</v>
      </c>
      <c r="M2820">
        <v>169</v>
      </c>
      <c r="N2820">
        <v>396</v>
      </c>
      <c r="O2820">
        <v>0</v>
      </c>
      <c r="P2820">
        <v>396</v>
      </c>
      <c r="Q2820">
        <v>22</v>
      </c>
      <c r="R2820">
        <v>47</v>
      </c>
      <c r="S2820">
        <v>31</v>
      </c>
      <c r="T2820">
        <v>1</v>
      </c>
      <c r="U2820">
        <v>0</v>
      </c>
      <c r="V2820">
        <v>3</v>
      </c>
      <c r="X2820">
        <v>8</v>
      </c>
      <c r="Y2820">
        <v>64</v>
      </c>
      <c r="Z2820">
        <v>173</v>
      </c>
      <c r="AA2820">
        <v>28</v>
      </c>
      <c r="AB2820">
        <v>1</v>
      </c>
      <c r="AF2820">
        <v>5</v>
      </c>
      <c r="AG2820">
        <v>1</v>
      </c>
      <c r="AH2820">
        <v>0</v>
      </c>
      <c r="AI2820">
        <v>1</v>
      </c>
      <c r="AW2820">
        <v>0</v>
      </c>
      <c r="AX2820">
        <v>11</v>
      </c>
      <c r="AY2820">
        <v>396</v>
      </c>
      <c r="AZ2820">
        <v>396</v>
      </c>
      <c r="BA2820">
        <v>521</v>
      </c>
      <c r="BB2820">
        <v>44</v>
      </c>
      <c r="BD2820">
        <v>1</v>
      </c>
      <c r="BF2820" t="s">
        <v>3023</v>
      </c>
      <c r="BG2820" s="1">
        <v>44354.129166666666</v>
      </c>
      <c r="BH2820" s="1">
        <v>44354.141481481478</v>
      </c>
      <c r="BI2820" s="1">
        <v>44354.142245370371</v>
      </c>
      <c r="BJ2820" t="s">
        <v>85</v>
      </c>
      <c r="BK2820" t="s">
        <v>86</v>
      </c>
      <c r="BL2820" t="s">
        <v>87</v>
      </c>
    </row>
    <row r="2821" spans="1:64" x14ac:dyDescent="0.3">
      <c r="A2821" t="str">
        <f>"201861E0200"</f>
        <v>201861E0200</v>
      </c>
      <c r="B2821" t="str">
        <f>"201861E02003"</f>
        <v>201861E02003</v>
      </c>
      <c r="C2821" t="str">
        <f t="shared" si="190"/>
        <v>20</v>
      </c>
      <c r="D2821" t="s">
        <v>81</v>
      </c>
      <c r="E2821" t="str">
        <f t="shared" si="196"/>
        <v>418</v>
      </c>
      <c r="F2821" t="s">
        <v>3017</v>
      </c>
      <c r="G2821" t="str">
        <f>"1861"</f>
        <v>1861</v>
      </c>
      <c r="H2821" t="str">
        <f>"0002"</f>
        <v>0002</v>
      </c>
      <c r="I2821" t="s">
        <v>122</v>
      </c>
      <c r="J2821">
        <v>0</v>
      </c>
      <c r="K2821">
        <v>1</v>
      </c>
      <c r="L2821">
        <v>3</v>
      </c>
      <c r="M2821">
        <v>87</v>
      </c>
      <c r="N2821">
        <v>127</v>
      </c>
      <c r="O2821">
        <v>4</v>
      </c>
      <c r="P2821">
        <v>127</v>
      </c>
      <c r="Q2821">
        <v>6</v>
      </c>
      <c r="R2821">
        <v>6</v>
      </c>
      <c r="S2821">
        <v>9</v>
      </c>
      <c r="T2821">
        <v>5</v>
      </c>
      <c r="U2821">
        <v>1</v>
      </c>
      <c r="V2821">
        <v>4</v>
      </c>
      <c r="X2821">
        <v>4</v>
      </c>
      <c r="Y2821">
        <v>4</v>
      </c>
      <c r="Z2821">
        <v>76</v>
      </c>
      <c r="AA2821">
        <v>4</v>
      </c>
      <c r="AB2821">
        <v>0</v>
      </c>
      <c r="AF2821">
        <v>0</v>
      </c>
      <c r="AG2821">
        <v>0</v>
      </c>
      <c r="AH2821">
        <v>0</v>
      </c>
      <c r="AI2821">
        <v>0</v>
      </c>
      <c r="AW2821">
        <v>0</v>
      </c>
      <c r="AX2821">
        <v>8</v>
      </c>
      <c r="AY2821">
        <v>127</v>
      </c>
      <c r="AZ2821">
        <v>127</v>
      </c>
      <c r="BA2821">
        <v>170</v>
      </c>
      <c r="BB2821">
        <v>44</v>
      </c>
      <c r="BD2821">
        <v>1</v>
      </c>
      <c r="BF2821" t="s">
        <v>3024</v>
      </c>
      <c r="BG2821" s="1">
        <v>44354.129861111112</v>
      </c>
      <c r="BH2821" s="1">
        <v>44354.141504629632</v>
      </c>
      <c r="BI2821" s="1">
        <v>44354.142199074071</v>
      </c>
      <c r="BJ2821" t="s">
        <v>85</v>
      </c>
      <c r="BK2821" t="s">
        <v>86</v>
      </c>
      <c r="BL2821" t="s">
        <v>87</v>
      </c>
    </row>
    <row r="2822" spans="1:64" x14ac:dyDescent="0.3">
      <c r="A2822" t="str">
        <f>"201862B0000"</f>
        <v>201862B0000</v>
      </c>
      <c r="B2822" t="str">
        <f>"201862B00003"</f>
        <v>201862B00003</v>
      </c>
      <c r="C2822" t="str">
        <f t="shared" si="190"/>
        <v>20</v>
      </c>
      <c r="D2822" t="s">
        <v>81</v>
      </c>
      <c r="E2822" t="str">
        <f t="shared" si="196"/>
        <v>418</v>
      </c>
      <c r="F2822" t="s">
        <v>3017</v>
      </c>
      <c r="G2822" t="str">
        <f>"1862"</f>
        <v>1862</v>
      </c>
      <c r="H2822" t="str">
        <f>"0000"</f>
        <v>0000</v>
      </c>
      <c r="I2822" t="s">
        <v>83</v>
      </c>
      <c r="J2822">
        <v>0</v>
      </c>
      <c r="K2822">
        <v>1</v>
      </c>
      <c r="L2822">
        <v>3</v>
      </c>
      <c r="M2822">
        <v>199</v>
      </c>
      <c r="N2822">
        <v>454</v>
      </c>
      <c r="O2822">
        <v>0</v>
      </c>
      <c r="P2822">
        <v>454</v>
      </c>
      <c r="Q2822">
        <v>26</v>
      </c>
      <c r="R2822">
        <v>50</v>
      </c>
      <c r="S2822">
        <v>56</v>
      </c>
      <c r="T2822">
        <v>13</v>
      </c>
      <c r="U2822">
        <v>1</v>
      </c>
      <c r="V2822">
        <v>32</v>
      </c>
      <c r="X2822">
        <v>26</v>
      </c>
      <c r="Y2822">
        <v>102</v>
      </c>
      <c r="Z2822">
        <v>119</v>
      </c>
      <c r="AA2822">
        <v>4</v>
      </c>
      <c r="AB2822">
        <v>0</v>
      </c>
      <c r="AF2822">
        <v>3</v>
      </c>
      <c r="AG2822">
        <v>0</v>
      </c>
      <c r="AH2822">
        <v>2</v>
      </c>
      <c r="AI2822">
        <v>1</v>
      </c>
      <c r="AW2822">
        <v>0</v>
      </c>
      <c r="AX2822">
        <v>19</v>
      </c>
      <c r="AY2822">
        <v>454</v>
      </c>
      <c r="AZ2822">
        <v>454</v>
      </c>
      <c r="BA2822">
        <v>609</v>
      </c>
      <c r="BB2822">
        <v>44</v>
      </c>
      <c r="BD2822">
        <v>1</v>
      </c>
      <c r="BF2822" t="s">
        <v>3025</v>
      </c>
      <c r="BG2822" s="1">
        <v>44354.10833333333</v>
      </c>
      <c r="BH2822" s="1">
        <v>44354.114224537036</v>
      </c>
      <c r="BI2822" s="1">
        <v>44354.114861111113</v>
      </c>
      <c r="BJ2822" t="s">
        <v>85</v>
      </c>
      <c r="BK2822" t="s">
        <v>86</v>
      </c>
      <c r="BL2822" t="s">
        <v>87</v>
      </c>
    </row>
    <row r="2823" spans="1:64" x14ac:dyDescent="0.3">
      <c r="A2823" t="str">
        <f>"201862C0100"</f>
        <v>201862C0100</v>
      </c>
      <c r="B2823" t="str">
        <f>"201862C01003"</f>
        <v>201862C01003</v>
      </c>
      <c r="C2823" t="str">
        <f t="shared" ref="C2823:C2886" si="197">"20"</f>
        <v>20</v>
      </c>
      <c r="D2823" t="s">
        <v>81</v>
      </c>
      <c r="E2823" t="str">
        <f t="shared" si="196"/>
        <v>418</v>
      </c>
      <c r="F2823" t="s">
        <v>3017</v>
      </c>
      <c r="G2823" t="str">
        <f>"1862"</f>
        <v>1862</v>
      </c>
      <c r="H2823" t="str">
        <f>"0001"</f>
        <v>0001</v>
      </c>
      <c r="I2823" t="s">
        <v>89</v>
      </c>
      <c r="J2823">
        <v>0</v>
      </c>
      <c r="K2823">
        <v>1</v>
      </c>
      <c r="L2823">
        <v>3</v>
      </c>
      <c r="M2823">
        <v>206</v>
      </c>
      <c r="N2823">
        <v>446</v>
      </c>
      <c r="O2823">
        <v>2</v>
      </c>
      <c r="P2823">
        <v>446</v>
      </c>
      <c r="Q2823">
        <v>30</v>
      </c>
      <c r="R2823">
        <v>36</v>
      </c>
      <c r="S2823">
        <v>52</v>
      </c>
      <c r="T2823">
        <v>13</v>
      </c>
      <c r="U2823">
        <v>0</v>
      </c>
      <c r="V2823">
        <v>28</v>
      </c>
      <c r="X2823">
        <v>25</v>
      </c>
      <c r="Y2823">
        <v>114</v>
      </c>
      <c r="Z2823">
        <v>124</v>
      </c>
      <c r="AA2823">
        <v>6</v>
      </c>
      <c r="AB2823">
        <v>0</v>
      </c>
      <c r="AF2823">
        <v>1</v>
      </c>
      <c r="AG2823">
        <v>0</v>
      </c>
      <c r="AH2823">
        <v>1</v>
      </c>
      <c r="AI2823">
        <v>0</v>
      </c>
      <c r="AW2823">
        <v>0</v>
      </c>
      <c r="AX2823">
        <v>16</v>
      </c>
      <c r="AY2823">
        <v>446</v>
      </c>
      <c r="AZ2823">
        <v>446</v>
      </c>
      <c r="BA2823">
        <v>608</v>
      </c>
      <c r="BB2823">
        <v>44</v>
      </c>
      <c r="BD2823">
        <v>1</v>
      </c>
      <c r="BF2823" t="s">
        <v>3026</v>
      </c>
      <c r="BG2823" s="1">
        <v>44354.107638888891</v>
      </c>
      <c r="BH2823" s="1">
        <v>44354.113900462966</v>
      </c>
      <c r="BI2823" s="1">
        <v>44354.114594907405</v>
      </c>
      <c r="BJ2823" t="s">
        <v>85</v>
      </c>
      <c r="BK2823" t="s">
        <v>86</v>
      </c>
      <c r="BL2823" t="s">
        <v>87</v>
      </c>
    </row>
    <row r="2824" spans="1:64" x14ac:dyDescent="0.3">
      <c r="A2824" t="str">
        <f>"201863B0000"</f>
        <v>201863B0000</v>
      </c>
      <c r="B2824" t="str">
        <f>"201863B00003"</f>
        <v>201863B00003</v>
      </c>
      <c r="C2824" t="str">
        <f t="shared" si="197"/>
        <v>20</v>
      </c>
      <c r="D2824" t="s">
        <v>81</v>
      </c>
      <c r="E2824" t="str">
        <f t="shared" si="196"/>
        <v>418</v>
      </c>
      <c r="F2824" t="s">
        <v>3017</v>
      </c>
      <c r="G2824" t="str">
        <f>"1863"</f>
        <v>1863</v>
      </c>
      <c r="H2824" t="str">
        <f>"0000"</f>
        <v>0000</v>
      </c>
      <c r="I2824" t="s">
        <v>83</v>
      </c>
      <c r="J2824">
        <v>0</v>
      </c>
      <c r="K2824">
        <v>1</v>
      </c>
      <c r="L2824">
        <v>3</v>
      </c>
      <c r="M2824">
        <v>125</v>
      </c>
      <c r="N2824">
        <v>290</v>
      </c>
      <c r="O2824">
        <v>13</v>
      </c>
      <c r="P2824">
        <v>290</v>
      </c>
      <c r="Q2824">
        <v>7</v>
      </c>
      <c r="R2824">
        <v>31</v>
      </c>
      <c r="S2824">
        <v>15</v>
      </c>
      <c r="T2824">
        <v>1</v>
      </c>
      <c r="U2824">
        <v>1</v>
      </c>
      <c r="V2824">
        <v>4</v>
      </c>
      <c r="X2824">
        <v>8</v>
      </c>
      <c r="Y2824">
        <v>37</v>
      </c>
      <c r="Z2824">
        <v>155</v>
      </c>
      <c r="AA2824">
        <v>14</v>
      </c>
      <c r="AB2824">
        <v>0</v>
      </c>
      <c r="AF2824">
        <v>8</v>
      </c>
      <c r="AG2824">
        <v>0</v>
      </c>
      <c r="AH2824">
        <v>0</v>
      </c>
      <c r="AI2824">
        <v>1</v>
      </c>
      <c r="AW2824">
        <v>0</v>
      </c>
      <c r="AX2824">
        <v>8</v>
      </c>
      <c r="AY2824">
        <v>290</v>
      </c>
      <c r="AZ2824">
        <v>290</v>
      </c>
      <c r="BA2824">
        <v>371</v>
      </c>
      <c r="BB2824">
        <v>44</v>
      </c>
      <c r="BD2824">
        <v>1</v>
      </c>
      <c r="BF2824" t="s">
        <v>3027</v>
      </c>
      <c r="BG2824" s="1">
        <v>44354.152083333334</v>
      </c>
      <c r="BH2824" s="1">
        <v>44354.157048611109</v>
      </c>
      <c r="BI2824" s="1">
        <v>44354.15761574074</v>
      </c>
      <c r="BJ2824" t="s">
        <v>85</v>
      </c>
      <c r="BK2824" t="s">
        <v>86</v>
      </c>
      <c r="BL2824" t="s">
        <v>87</v>
      </c>
    </row>
    <row r="2825" spans="1:64" x14ac:dyDescent="0.3">
      <c r="A2825" t="str">
        <f>"201864B0000"</f>
        <v>201864B0000</v>
      </c>
      <c r="B2825" t="str">
        <f>"201864B00003"</f>
        <v>201864B00003</v>
      </c>
      <c r="C2825" t="str">
        <f t="shared" si="197"/>
        <v>20</v>
      </c>
      <c r="D2825" t="s">
        <v>81</v>
      </c>
      <c r="E2825" t="str">
        <f t="shared" si="196"/>
        <v>418</v>
      </c>
      <c r="F2825" t="s">
        <v>3017</v>
      </c>
      <c r="G2825" t="str">
        <f>"1864"</f>
        <v>1864</v>
      </c>
      <c r="H2825" t="str">
        <f>"0000"</f>
        <v>0000</v>
      </c>
      <c r="I2825" t="s">
        <v>83</v>
      </c>
      <c r="J2825">
        <v>0</v>
      </c>
      <c r="K2825">
        <v>1</v>
      </c>
      <c r="L2825">
        <v>3</v>
      </c>
      <c r="M2825">
        <v>160</v>
      </c>
      <c r="N2825">
        <v>458</v>
      </c>
      <c r="O2825">
        <v>5</v>
      </c>
      <c r="P2825">
        <v>458</v>
      </c>
      <c r="Q2825">
        <v>10</v>
      </c>
      <c r="R2825">
        <v>17</v>
      </c>
      <c r="S2825">
        <v>29</v>
      </c>
      <c r="T2825">
        <v>1</v>
      </c>
      <c r="U2825">
        <v>0</v>
      </c>
      <c r="V2825">
        <v>3</v>
      </c>
      <c r="X2825">
        <v>26</v>
      </c>
      <c r="Y2825">
        <v>131</v>
      </c>
      <c r="Z2825">
        <v>221</v>
      </c>
      <c r="AA2825">
        <v>1</v>
      </c>
      <c r="AB2825">
        <v>0</v>
      </c>
      <c r="AF2825">
        <v>5</v>
      </c>
      <c r="AG2825">
        <v>0</v>
      </c>
      <c r="AH2825">
        <v>0</v>
      </c>
      <c r="AI2825">
        <v>0</v>
      </c>
      <c r="AW2825">
        <v>0</v>
      </c>
      <c r="AX2825">
        <v>8</v>
      </c>
      <c r="AY2825">
        <v>458</v>
      </c>
      <c r="AZ2825">
        <v>452</v>
      </c>
      <c r="BA2825">
        <v>574</v>
      </c>
      <c r="BB2825">
        <v>44</v>
      </c>
      <c r="BD2825">
        <v>1</v>
      </c>
      <c r="BF2825" t="s">
        <v>3028</v>
      </c>
      <c r="BG2825" s="1">
        <v>44354.152777777781</v>
      </c>
      <c r="BH2825" s="1">
        <v>44354.157557870371</v>
      </c>
      <c r="BI2825" s="1">
        <v>44354.158078703702</v>
      </c>
      <c r="BJ2825" t="s">
        <v>85</v>
      </c>
      <c r="BK2825" t="s">
        <v>86</v>
      </c>
      <c r="BL2825" t="s">
        <v>87</v>
      </c>
    </row>
    <row r="2826" spans="1:64" x14ac:dyDescent="0.3">
      <c r="A2826" t="str">
        <f>"201864C0100"</f>
        <v>201864C0100</v>
      </c>
      <c r="B2826" t="str">
        <f>"201864C01003"</f>
        <v>201864C01003</v>
      </c>
      <c r="C2826" t="str">
        <f t="shared" si="197"/>
        <v>20</v>
      </c>
      <c r="D2826" t="s">
        <v>81</v>
      </c>
      <c r="E2826" t="str">
        <f t="shared" si="196"/>
        <v>418</v>
      </c>
      <c r="F2826" t="s">
        <v>3017</v>
      </c>
      <c r="G2826" t="str">
        <f>"1864"</f>
        <v>1864</v>
      </c>
      <c r="H2826" t="str">
        <f>"0001"</f>
        <v>0001</v>
      </c>
      <c r="I2826" t="s">
        <v>89</v>
      </c>
      <c r="J2826">
        <v>0</v>
      </c>
      <c r="K2826">
        <v>1</v>
      </c>
      <c r="L2826">
        <v>3</v>
      </c>
      <c r="M2826">
        <v>161</v>
      </c>
      <c r="N2826">
        <v>457</v>
      </c>
      <c r="O2826">
        <v>9</v>
      </c>
      <c r="P2826">
        <v>457</v>
      </c>
      <c r="Q2826">
        <v>13</v>
      </c>
      <c r="R2826">
        <v>18</v>
      </c>
      <c r="S2826">
        <v>56</v>
      </c>
      <c r="T2826">
        <v>2</v>
      </c>
      <c r="U2826">
        <v>1</v>
      </c>
      <c r="V2826">
        <v>2</v>
      </c>
      <c r="X2826">
        <v>36</v>
      </c>
      <c r="Y2826">
        <v>144</v>
      </c>
      <c r="Z2826">
        <v>160</v>
      </c>
      <c r="AA2826">
        <v>10</v>
      </c>
      <c r="AB2826">
        <v>0</v>
      </c>
      <c r="AF2826">
        <v>3</v>
      </c>
      <c r="AG2826">
        <v>0</v>
      </c>
      <c r="AH2826">
        <v>0</v>
      </c>
      <c r="AI2826">
        <v>2</v>
      </c>
      <c r="AW2826">
        <v>0</v>
      </c>
      <c r="AX2826">
        <v>10</v>
      </c>
      <c r="AY2826">
        <v>457</v>
      </c>
      <c r="AZ2826">
        <v>457</v>
      </c>
      <c r="BA2826">
        <v>574</v>
      </c>
      <c r="BB2826">
        <v>44</v>
      </c>
      <c r="BD2826">
        <v>1</v>
      </c>
      <c r="BF2826" t="s">
        <v>3029</v>
      </c>
      <c r="BG2826" s="1">
        <v>44354.15347222222</v>
      </c>
      <c r="BH2826" s="1">
        <v>44354.15766203704</v>
      </c>
      <c r="BI2826" s="1">
        <v>44354.158206018517</v>
      </c>
      <c r="BJ2826" t="s">
        <v>85</v>
      </c>
      <c r="BK2826" t="s">
        <v>86</v>
      </c>
      <c r="BL2826" t="s">
        <v>87</v>
      </c>
    </row>
    <row r="2827" spans="1:64" x14ac:dyDescent="0.3">
      <c r="A2827" t="str">
        <f>"201865B0000"</f>
        <v>201865B0000</v>
      </c>
      <c r="B2827" t="str">
        <f>"201865B00003"</f>
        <v>201865B00003</v>
      </c>
      <c r="C2827" t="str">
        <f t="shared" si="197"/>
        <v>20</v>
      </c>
      <c r="D2827" t="s">
        <v>81</v>
      </c>
      <c r="E2827" t="str">
        <f t="shared" si="196"/>
        <v>418</v>
      </c>
      <c r="F2827" t="s">
        <v>3017</v>
      </c>
      <c r="G2827" t="str">
        <f>"1865"</f>
        <v>1865</v>
      </c>
      <c r="H2827" t="str">
        <f>"0000"</f>
        <v>0000</v>
      </c>
      <c r="I2827" t="s">
        <v>83</v>
      </c>
      <c r="J2827">
        <v>0</v>
      </c>
      <c r="K2827">
        <v>1</v>
      </c>
      <c r="L2827">
        <v>3</v>
      </c>
      <c r="M2827">
        <v>146</v>
      </c>
      <c r="N2827">
        <v>300</v>
      </c>
      <c r="O2827">
        <v>0</v>
      </c>
      <c r="P2827">
        <v>300</v>
      </c>
      <c r="Q2827">
        <v>4</v>
      </c>
      <c r="R2827">
        <v>48</v>
      </c>
      <c r="S2827">
        <v>2</v>
      </c>
      <c r="T2827">
        <v>0</v>
      </c>
      <c r="U2827">
        <v>0</v>
      </c>
      <c r="V2827">
        <v>27</v>
      </c>
      <c r="X2827">
        <v>10</v>
      </c>
      <c r="Y2827">
        <v>20</v>
      </c>
      <c r="Z2827">
        <v>156</v>
      </c>
      <c r="AA2827">
        <v>19</v>
      </c>
      <c r="AB2827">
        <v>0</v>
      </c>
      <c r="AF2827">
        <v>2</v>
      </c>
      <c r="AG2827">
        <v>0</v>
      </c>
      <c r="AH2827">
        <v>0</v>
      </c>
      <c r="AI2827">
        <v>0</v>
      </c>
      <c r="AW2827">
        <v>0</v>
      </c>
      <c r="AX2827">
        <v>12</v>
      </c>
      <c r="AY2827">
        <v>300</v>
      </c>
      <c r="AZ2827">
        <v>300</v>
      </c>
      <c r="BA2827">
        <v>402</v>
      </c>
      <c r="BB2827">
        <v>44</v>
      </c>
      <c r="BD2827">
        <v>1</v>
      </c>
      <c r="BF2827" t="s">
        <v>3030</v>
      </c>
      <c r="BG2827" s="1">
        <v>44354.109722222223</v>
      </c>
      <c r="BH2827" s="1">
        <v>44354.115590277775</v>
      </c>
      <c r="BI2827" s="1">
        <v>44354.115983796299</v>
      </c>
      <c r="BJ2827" t="s">
        <v>85</v>
      </c>
      <c r="BK2827" t="s">
        <v>86</v>
      </c>
      <c r="BL2827" t="s">
        <v>87</v>
      </c>
    </row>
    <row r="2828" spans="1:64" x14ac:dyDescent="0.3">
      <c r="A2828" t="str">
        <f>"201865C0100"</f>
        <v>201865C0100</v>
      </c>
      <c r="B2828" t="str">
        <f>"201865C01003"</f>
        <v>201865C01003</v>
      </c>
      <c r="C2828" t="str">
        <f t="shared" si="197"/>
        <v>20</v>
      </c>
      <c r="D2828" t="s">
        <v>81</v>
      </c>
      <c r="E2828" t="str">
        <f t="shared" si="196"/>
        <v>418</v>
      </c>
      <c r="F2828" t="s">
        <v>3017</v>
      </c>
      <c r="G2828" t="str">
        <f>"1865"</f>
        <v>1865</v>
      </c>
      <c r="H2828" t="str">
        <f>"0001"</f>
        <v>0001</v>
      </c>
      <c r="I2828" t="s">
        <v>89</v>
      </c>
      <c r="J2828">
        <v>0</v>
      </c>
      <c r="K2828">
        <v>1</v>
      </c>
      <c r="L2828">
        <v>3</v>
      </c>
      <c r="M2828">
        <v>167</v>
      </c>
      <c r="N2828">
        <v>279</v>
      </c>
      <c r="O2828">
        <v>0</v>
      </c>
      <c r="P2828">
        <v>279</v>
      </c>
      <c r="Q2828">
        <v>4</v>
      </c>
      <c r="R2828">
        <v>64</v>
      </c>
      <c r="S2828">
        <v>12</v>
      </c>
      <c r="T2828">
        <v>0</v>
      </c>
      <c r="U2828">
        <v>0</v>
      </c>
      <c r="V2828">
        <v>22</v>
      </c>
      <c r="X2828">
        <v>15</v>
      </c>
      <c r="Y2828">
        <v>6</v>
      </c>
      <c r="Z2828">
        <v>121</v>
      </c>
      <c r="AA2828">
        <v>19</v>
      </c>
      <c r="AB2828">
        <v>0</v>
      </c>
      <c r="AF2828">
        <v>4</v>
      </c>
      <c r="AG2828">
        <v>0</v>
      </c>
      <c r="AH2828">
        <v>0</v>
      </c>
      <c r="AI2828">
        <v>0</v>
      </c>
      <c r="AW2828">
        <v>0</v>
      </c>
      <c r="AX2828">
        <v>12</v>
      </c>
      <c r="AY2828">
        <v>279</v>
      </c>
      <c r="AZ2828">
        <v>279</v>
      </c>
      <c r="BA2828">
        <v>402</v>
      </c>
      <c r="BB2828">
        <v>44</v>
      </c>
      <c r="BD2828">
        <v>1</v>
      </c>
      <c r="BF2828" t="s">
        <v>3031</v>
      </c>
      <c r="BG2828" s="1">
        <v>44354.109027777777</v>
      </c>
      <c r="BH2828" s="1">
        <v>44354.114907407406</v>
      </c>
      <c r="BI2828" s="1">
        <v>44354.115335648145</v>
      </c>
      <c r="BJ2828" t="s">
        <v>85</v>
      </c>
      <c r="BK2828" t="s">
        <v>86</v>
      </c>
      <c r="BL2828" t="s">
        <v>87</v>
      </c>
    </row>
    <row r="2829" spans="1:64" x14ac:dyDescent="0.3">
      <c r="A2829" t="str">
        <f>"201866B0000"</f>
        <v>201866B0000</v>
      </c>
      <c r="B2829" t="str">
        <f>"201866B00003"</f>
        <v>201866B00003</v>
      </c>
      <c r="C2829" t="str">
        <f t="shared" si="197"/>
        <v>20</v>
      </c>
      <c r="D2829" t="s">
        <v>81</v>
      </c>
      <c r="E2829" t="str">
        <f t="shared" ref="E2829:E2845" si="198">"419"</f>
        <v>419</v>
      </c>
      <c r="F2829" t="s">
        <v>3032</v>
      </c>
      <c r="G2829" t="str">
        <f>"1866"</f>
        <v>1866</v>
      </c>
      <c r="H2829" t="str">
        <f>"0000"</f>
        <v>0000</v>
      </c>
      <c r="I2829" t="s">
        <v>83</v>
      </c>
      <c r="J2829">
        <v>0</v>
      </c>
      <c r="K2829">
        <v>1</v>
      </c>
      <c r="L2829">
        <v>3</v>
      </c>
      <c r="M2829">
        <v>182</v>
      </c>
      <c r="N2829">
        <v>377</v>
      </c>
      <c r="O2829">
        <v>5</v>
      </c>
      <c r="P2829">
        <v>377</v>
      </c>
      <c r="Q2829">
        <v>0</v>
      </c>
      <c r="R2829">
        <v>95</v>
      </c>
      <c r="S2829">
        <v>0</v>
      </c>
      <c r="T2829">
        <v>37</v>
      </c>
      <c r="U2829">
        <v>9</v>
      </c>
      <c r="V2829">
        <v>0</v>
      </c>
      <c r="W2829">
        <v>2</v>
      </c>
      <c r="X2829">
        <v>127</v>
      </c>
      <c r="Y2829">
        <v>0</v>
      </c>
      <c r="Z2829">
        <v>16</v>
      </c>
      <c r="AA2829">
        <v>6</v>
      </c>
      <c r="AC2829">
        <v>77</v>
      </c>
      <c r="AF2829">
        <v>0</v>
      </c>
      <c r="AG2829">
        <v>0</v>
      </c>
      <c r="AH2829">
        <v>0</v>
      </c>
      <c r="AI2829">
        <v>0</v>
      </c>
      <c r="AW2829">
        <v>0</v>
      </c>
      <c r="AX2829">
        <v>8</v>
      </c>
      <c r="AY2829">
        <v>377</v>
      </c>
      <c r="AZ2829">
        <v>377</v>
      </c>
      <c r="BA2829">
        <v>513</v>
      </c>
      <c r="BB2829">
        <v>46</v>
      </c>
      <c r="BD2829">
        <v>1</v>
      </c>
      <c r="BF2829" t="s">
        <v>3033</v>
      </c>
      <c r="BG2829" s="1">
        <v>44354.01458333333</v>
      </c>
      <c r="BH2829" s="1">
        <v>44354.021805555552</v>
      </c>
      <c r="BI2829" s="1">
        <v>44354.022407407407</v>
      </c>
      <c r="BJ2829" t="s">
        <v>85</v>
      </c>
      <c r="BK2829" t="s">
        <v>86</v>
      </c>
      <c r="BL2829" t="s">
        <v>87</v>
      </c>
    </row>
    <row r="2830" spans="1:64" x14ac:dyDescent="0.3">
      <c r="A2830" t="str">
        <f>"201866C0100"</f>
        <v>201866C0100</v>
      </c>
      <c r="B2830" t="str">
        <f>"201866C01003"</f>
        <v>201866C01003</v>
      </c>
      <c r="C2830" t="str">
        <f t="shared" si="197"/>
        <v>20</v>
      </c>
      <c r="D2830" t="s">
        <v>81</v>
      </c>
      <c r="E2830" t="str">
        <f t="shared" si="198"/>
        <v>419</v>
      </c>
      <c r="F2830" t="s">
        <v>3032</v>
      </c>
      <c r="G2830" t="str">
        <f>"1866"</f>
        <v>1866</v>
      </c>
      <c r="H2830" t="str">
        <f>"0001"</f>
        <v>0001</v>
      </c>
      <c r="I2830" t="s">
        <v>89</v>
      </c>
      <c r="J2830">
        <v>0</v>
      </c>
      <c r="K2830">
        <v>1</v>
      </c>
      <c r="L2830">
        <v>3</v>
      </c>
      <c r="M2830">
        <v>192</v>
      </c>
      <c r="N2830">
        <v>367</v>
      </c>
      <c r="O2830">
        <v>7</v>
      </c>
      <c r="P2830">
        <v>367</v>
      </c>
      <c r="Q2830">
        <v>0</v>
      </c>
      <c r="R2830">
        <v>92</v>
      </c>
      <c r="S2830">
        <v>1</v>
      </c>
      <c r="T2830">
        <v>53</v>
      </c>
      <c r="U2830">
        <v>13</v>
      </c>
      <c r="V2830">
        <v>1</v>
      </c>
      <c r="W2830">
        <v>2</v>
      </c>
      <c r="X2830">
        <v>88</v>
      </c>
      <c r="Y2830">
        <v>0</v>
      </c>
      <c r="Z2830">
        <v>22</v>
      </c>
      <c r="AA2830">
        <v>7</v>
      </c>
      <c r="AC2830">
        <v>73</v>
      </c>
      <c r="AF2830">
        <v>0</v>
      </c>
      <c r="AG2830">
        <v>0</v>
      </c>
      <c r="AH2830">
        <v>0</v>
      </c>
      <c r="AI2830">
        <v>0</v>
      </c>
      <c r="AW2830">
        <v>0</v>
      </c>
      <c r="AX2830">
        <v>15</v>
      </c>
      <c r="AY2830">
        <v>367</v>
      </c>
      <c r="AZ2830">
        <v>367</v>
      </c>
      <c r="BA2830">
        <v>513</v>
      </c>
      <c r="BB2830">
        <v>46</v>
      </c>
      <c r="BD2830">
        <v>1</v>
      </c>
      <c r="BF2830" t="s">
        <v>3034</v>
      </c>
      <c r="BG2830" s="1">
        <v>44354.009027777778</v>
      </c>
      <c r="BH2830" s="1">
        <v>44354.019884259258</v>
      </c>
      <c r="BI2830" s="1">
        <v>44354.020381944443</v>
      </c>
      <c r="BJ2830" t="s">
        <v>85</v>
      </c>
      <c r="BK2830" t="s">
        <v>86</v>
      </c>
      <c r="BL2830" t="s">
        <v>87</v>
      </c>
    </row>
    <row r="2831" spans="1:64" x14ac:dyDescent="0.3">
      <c r="A2831" t="str">
        <f>"201866C0200"</f>
        <v>201866C0200</v>
      </c>
      <c r="B2831" t="str">
        <f>"201866C02003"</f>
        <v>201866C02003</v>
      </c>
      <c r="C2831" t="str">
        <f t="shared" si="197"/>
        <v>20</v>
      </c>
      <c r="D2831" t="s">
        <v>81</v>
      </c>
      <c r="E2831" t="str">
        <f t="shared" si="198"/>
        <v>419</v>
      </c>
      <c r="F2831" t="s">
        <v>3032</v>
      </c>
      <c r="G2831" t="str">
        <f>"1866"</f>
        <v>1866</v>
      </c>
      <c r="H2831" t="str">
        <f>"0002"</f>
        <v>0002</v>
      </c>
      <c r="I2831" t="s">
        <v>89</v>
      </c>
      <c r="J2831">
        <v>0</v>
      </c>
      <c r="K2831">
        <v>1</v>
      </c>
      <c r="L2831">
        <v>3</v>
      </c>
      <c r="M2831">
        <v>165</v>
      </c>
      <c r="N2831">
        <v>393</v>
      </c>
      <c r="O2831">
        <v>7</v>
      </c>
      <c r="P2831">
        <v>393</v>
      </c>
      <c r="Q2831">
        <v>0</v>
      </c>
      <c r="R2831">
        <v>92</v>
      </c>
      <c r="S2831">
        <v>0</v>
      </c>
      <c r="T2831">
        <v>48</v>
      </c>
      <c r="U2831">
        <v>7</v>
      </c>
      <c r="V2831">
        <v>1</v>
      </c>
      <c r="W2831">
        <v>2</v>
      </c>
      <c r="X2831">
        <v>112</v>
      </c>
      <c r="Y2831">
        <v>1</v>
      </c>
      <c r="Z2831">
        <v>21</v>
      </c>
      <c r="AA2831">
        <v>16</v>
      </c>
      <c r="AC2831">
        <v>80</v>
      </c>
      <c r="AF2831">
        <v>0</v>
      </c>
      <c r="AG2831">
        <v>0</v>
      </c>
      <c r="AH2831">
        <v>0</v>
      </c>
      <c r="AI2831">
        <v>0</v>
      </c>
      <c r="AW2831">
        <v>0</v>
      </c>
      <c r="AX2831">
        <v>13</v>
      </c>
      <c r="AY2831">
        <v>393</v>
      </c>
      <c r="AZ2831">
        <v>393</v>
      </c>
      <c r="BA2831">
        <v>512</v>
      </c>
      <c r="BB2831">
        <v>46</v>
      </c>
      <c r="BD2831">
        <v>1</v>
      </c>
      <c r="BF2831" t="s">
        <v>3035</v>
      </c>
      <c r="BG2831" s="1">
        <v>44354.008333333331</v>
      </c>
      <c r="BH2831" s="1">
        <v>44354.018414351849</v>
      </c>
      <c r="BI2831" s="1">
        <v>44354.019166666665</v>
      </c>
      <c r="BJ2831" t="s">
        <v>85</v>
      </c>
      <c r="BK2831" t="s">
        <v>86</v>
      </c>
      <c r="BL2831" t="s">
        <v>87</v>
      </c>
    </row>
    <row r="2832" spans="1:64" x14ac:dyDescent="0.3">
      <c r="A2832" t="str">
        <f>"201867B0000"</f>
        <v>201867B0000</v>
      </c>
      <c r="B2832" t="str">
        <f>"201867B00003"</f>
        <v>201867B00003</v>
      </c>
      <c r="C2832" t="str">
        <f t="shared" si="197"/>
        <v>20</v>
      </c>
      <c r="D2832" t="s">
        <v>81</v>
      </c>
      <c r="E2832" t="str">
        <f t="shared" si="198"/>
        <v>419</v>
      </c>
      <c r="F2832" t="s">
        <v>3032</v>
      </c>
      <c r="G2832" t="str">
        <f>"1867"</f>
        <v>1867</v>
      </c>
      <c r="H2832" t="str">
        <f>"0000"</f>
        <v>0000</v>
      </c>
      <c r="I2832" t="s">
        <v>83</v>
      </c>
      <c r="J2832">
        <v>0</v>
      </c>
      <c r="K2832">
        <v>1</v>
      </c>
      <c r="L2832">
        <v>3</v>
      </c>
      <c r="M2832">
        <v>188</v>
      </c>
      <c r="N2832">
        <v>444</v>
      </c>
      <c r="O2832">
        <v>9</v>
      </c>
      <c r="P2832">
        <v>444</v>
      </c>
      <c r="Q2832">
        <v>0</v>
      </c>
      <c r="R2832">
        <v>94</v>
      </c>
      <c r="S2832">
        <v>0</v>
      </c>
      <c r="T2832">
        <v>89</v>
      </c>
      <c r="U2832">
        <v>15</v>
      </c>
      <c r="V2832">
        <v>0</v>
      </c>
      <c r="W2832">
        <v>5</v>
      </c>
      <c r="X2832">
        <v>121</v>
      </c>
      <c r="Y2832">
        <v>0</v>
      </c>
      <c r="Z2832">
        <v>23</v>
      </c>
      <c r="AA2832">
        <v>11</v>
      </c>
      <c r="AC2832">
        <v>79</v>
      </c>
      <c r="AF2832">
        <v>1</v>
      </c>
      <c r="AG2832">
        <v>0</v>
      </c>
      <c r="AH2832">
        <v>0</v>
      </c>
      <c r="AI2832">
        <v>0</v>
      </c>
      <c r="AW2832">
        <v>0</v>
      </c>
      <c r="AX2832">
        <v>6</v>
      </c>
      <c r="AY2832">
        <v>444</v>
      </c>
      <c r="AZ2832">
        <v>444</v>
      </c>
      <c r="BA2832">
        <v>587</v>
      </c>
      <c r="BB2832">
        <v>46</v>
      </c>
      <c r="BD2832">
        <v>1</v>
      </c>
      <c r="BF2832" t="s">
        <v>3036</v>
      </c>
      <c r="BG2832" s="1">
        <v>44354.086111111108</v>
      </c>
      <c r="BH2832" s="1">
        <v>44354.094317129631</v>
      </c>
      <c r="BI2832" s="1">
        <v>44354.09474537037</v>
      </c>
      <c r="BJ2832" t="s">
        <v>85</v>
      </c>
      <c r="BK2832" t="s">
        <v>86</v>
      </c>
      <c r="BL2832" t="s">
        <v>87</v>
      </c>
    </row>
    <row r="2833" spans="1:64" x14ac:dyDescent="0.3">
      <c r="A2833" t="str">
        <f>"201867C0100"</f>
        <v>201867C0100</v>
      </c>
      <c r="B2833" t="str">
        <f>"201867C01003"</f>
        <v>201867C01003</v>
      </c>
      <c r="C2833" t="str">
        <f t="shared" si="197"/>
        <v>20</v>
      </c>
      <c r="D2833" t="s">
        <v>81</v>
      </c>
      <c r="E2833" t="str">
        <f t="shared" si="198"/>
        <v>419</v>
      </c>
      <c r="F2833" t="s">
        <v>3032</v>
      </c>
      <c r="G2833" t="str">
        <f>"1867"</f>
        <v>1867</v>
      </c>
      <c r="H2833" t="str">
        <f>"0001"</f>
        <v>0001</v>
      </c>
      <c r="I2833" t="s">
        <v>89</v>
      </c>
      <c r="J2833">
        <v>0</v>
      </c>
      <c r="K2833">
        <v>1</v>
      </c>
      <c r="L2833">
        <v>3</v>
      </c>
      <c r="M2833">
        <v>197</v>
      </c>
      <c r="N2833">
        <v>435</v>
      </c>
      <c r="O2833">
        <v>7</v>
      </c>
      <c r="P2833">
        <v>437</v>
      </c>
      <c r="Q2833">
        <v>0</v>
      </c>
      <c r="R2833">
        <v>92</v>
      </c>
      <c r="S2833">
        <v>1</v>
      </c>
      <c r="T2833">
        <v>81</v>
      </c>
      <c r="U2833">
        <v>18</v>
      </c>
      <c r="V2833">
        <v>0</v>
      </c>
      <c r="W2833">
        <v>4</v>
      </c>
      <c r="X2833">
        <v>125</v>
      </c>
      <c r="Y2833">
        <v>0</v>
      </c>
      <c r="Z2833">
        <v>20</v>
      </c>
      <c r="AA2833">
        <v>13</v>
      </c>
      <c r="AC2833">
        <v>73</v>
      </c>
      <c r="AF2833">
        <v>0</v>
      </c>
      <c r="AG2833">
        <v>0</v>
      </c>
      <c r="AH2833">
        <v>0</v>
      </c>
      <c r="AI2833">
        <v>0</v>
      </c>
      <c r="AW2833">
        <v>0</v>
      </c>
      <c r="AX2833">
        <v>10</v>
      </c>
      <c r="AY2833">
        <v>437</v>
      </c>
      <c r="AZ2833">
        <v>437</v>
      </c>
      <c r="BA2833">
        <v>587</v>
      </c>
      <c r="BB2833">
        <v>46</v>
      </c>
      <c r="BD2833">
        <v>1</v>
      </c>
      <c r="BF2833" t="s">
        <v>3037</v>
      </c>
      <c r="BG2833" s="1">
        <v>44354.081250000003</v>
      </c>
      <c r="BH2833" s="1">
        <v>44354.089571759258</v>
      </c>
      <c r="BI2833" s="1">
        <v>44354.091273148151</v>
      </c>
      <c r="BJ2833" t="s">
        <v>85</v>
      </c>
      <c r="BK2833" t="s">
        <v>86</v>
      </c>
      <c r="BL2833" t="s">
        <v>87</v>
      </c>
    </row>
    <row r="2834" spans="1:64" x14ac:dyDescent="0.3">
      <c r="A2834" t="str">
        <f>"201868B0000"</f>
        <v>201868B0000</v>
      </c>
      <c r="B2834" t="str">
        <f>"201868B00003"</f>
        <v>201868B00003</v>
      </c>
      <c r="C2834" t="str">
        <f t="shared" si="197"/>
        <v>20</v>
      </c>
      <c r="D2834" t="s">
        <v>81</v>
      </c>
      <c r="E2834" t="str">
        <f t="shared" si="198"/>
        <v>419</v>
      </c>
      <c r="F2834" t="s">
        <v>3032</v>
      </c>
      <c r="G2834" t="str">
        <f>"1868"</f>
        <v>1868</v>
      </c>
      <c r="H2834" t="str">
        <f>"0000"</f>
        <v>0000</v>
      </c>
      <c r="I2834" t="s">
        <v>83</v>
      </c>
      <c r="J2834">
        <v>0</v>
      </c>
      <c r="K2834">
        <v>1</v>
      </c>
      <c r="L2834">
        <v>3</v>
      </c>
      <c r="M2834">
        <v>178</v>
      </c>
      <c r="N2834">
        <v>425</v>
      </c>
      <c r="O2834">
        <v>2</v>
      </c>
      <c r="P2834">
        <v>425</v>
      </c>
      <c r="Q2834">
        <v>1</v>
      </c>
      <c r="R2834">
        <v>114</v>
      </c>
      <c r="S2834">
        <v>3</v>
      </c>
      <c r="T2834">
        <v>74</v>
      </c>
      <c r="U2834">
        <v>16</v>
      </c>
      <c r="V2834">
        <v>0</v>
      </c>
      <c r="W2834">
        <v>5</v>
      </c>
      <c r="X2834">
        <v>97</v>
      </c>
      <c r="Y2834">
        <v>0</v>
      </c>
      <c r="Z2834">
        <v>23</v>
      </c>
      <c r="AA2834">
        <v>6</v>
      </c>
      <c r="AC2834">
        <v>76</v>
      </c>
      <c r="AF2834">
        <v>0</v>
      </c>
      <c r="AG2834">
        <v>0</v>
      </c>
      <c r="AH2834">
        <v>0</v>
      </c>
      <c r="AI2834">
        <v>0</v>
      </c>
      <c r="AW2834">
        <v>0</v>
      </c>
      <c r="AX2834">
        <v>10</v>
      </c>
      <c r="AY2834">
        <v>425</v>
      </c>
      <c r="AZ2834">
        <v>425</v>
      </c>
      <c r="BA2834">
        <v>557</v>
      </c>
      <c r="BB2834">
        <v>46</v>
      </c>
      <c r="BD2834">
        <v>1</v>
      </c>
      <c r="BF2834" t="s">
        <v>3038</v>
      </c>
      <c r="BG2834" s="1">
        <v>44354.065972222219</v>
      </c>
      <c r="BH2834" s="1">
        <v>44354.074537037035</v>
      </c>
      <c r="BI2834" s="1">
        <v>44354.075462962966</v>
      </c>
      <c r="BJ2834" t="s">
        <v>85</v>
      </c>
      <c r="BK2834" t="s">
        <v>86</v>
      </c>
      <c r="BL2834" t="s">
        <v>87</v>
      </c>
    </row>
    <row r="2835" spans="1:64" x14ac:dyDescent="0.3">
      <c r="A2835" t="str">
        <f>"201868C0100"</f>
        <v>201868C0100</v>
      </c>
      <c r="B2835" t="str">
        <f>"201868C01003"</f>
        <v>201868C01003</v>
      </c>
      <c r="C2835" t="str">
        <f t="shared" si="197"/>
        <v>20</v>
      </c>
      <c r="D2835" t="s">
        <v>81</v>
      </c>
      <c r="E2835" t="str">
        <f t="shared" si="198"/>
        <v>419</v>
      </c>
      <c r="F2835" t="s">
        <v>3032</v>
      </c>
      <c r="G2835" t="str">
        <f>"1868"</f>
        <v>1868</v>
      </c>
      <c r="H2835" t="str">
        <f>"0001"</f>
        <v>0001</v>
      </c>
      <c r="I2835" t="s">
        <v>89</v>
      </c>
      <c r="J2835">
        <v>0</v>
      </c>
      <c r="K2835">
        <v>1</v>
      </c>
      <c r="L2835">
        <v>3</v>
      </c>
      <c r="M2835">
        <v>196</v>
      </c>
      <c r="N2835">
        <v>405</v>
      </c>
      <c r="O2835">
        <v>3</v>
      </c>
      <c r="P2835">
        <v>405</v>
      </c>
      <c r="Q2835">
        <v>1</v>
      </c>
      <c r="R2835">
        <v>112</v>
      </c>
      <c r="S2835">
        <v>3</v>
      </c>
      <c r="T2835">
        <v>71</v>
      </c>
      <c r="U2835">
        <v>9</v>
      </c>
      <c r="V2835">
        <v>2</v>
      </c>
      <c r="W2835">
        <v>3</v>
      </c>
      <c r="X2835">
        <v>89</v>
      </c>
      <c r="Y2835">
        <v>0</v>
      </c>
      <c r="Z2835">
        <v>14</v>
      </c>
      <c r="AA2835">
        <v>10</v>
      </c>
      <c r="AC2835">
        <v>81</v>
      </c>
      <c r="AF2835">
        <v>0</v>
      </c>
      <c r="AG2835">
        <v>0</v>
      </c>
      <c r="AH2835">
        <v>0</v>
      </c>
      <c r="AI2835">
        <v>0</v>
      </c>
      <c r="AW2835">
        <v>0</v>
      </c>
      <c r="AX2835">
        <v>10</v>
      </c>
      <c r="AY2835">
        <v>405</v>
      </c>
      <c r="AZ2835">
        <v>405</v>
      </c>
      <c r="BA2835">
        <v>557</v>
      </c>
      <c r="BB2835">
        <v>46</v>
      </c>
      <c r="BD2835">
        <v>1</v>
      </c>
      <c r="BF2835" t="s">
        <v>3039</v>
      </c>
      <c r="BG2835" s="1">
        <v>44354.068055555559</v>
      </c>
      <c r="BH2835" s="1">
        <v>44354.074999999997</v>
      </c>
      <c r="BI2835" s="1">
        <v>44354.075590277775</v>
      </c>
      <c r="BJ2835" t="s">
        <v>85</v>
      </c>
      <c r="BK2835" t="s">
        <v>86</v>
      </c>
      <c r="BL2835" t="s">
        <v>87</v>
      </c>
    </row>
    <row r="2836" spans="1:64" x14ac:dyDescent="0.3">
      <c r="A2836" t="str">
        <f>"201868C0200"</f>
        <v>201868C0200</v>
      </c>
      <c r="B2836" t="str">
        <f>"201868C02003"</f>
        <v>201868C02003</v>
      </c>
      <c r="C2836" t="str">
        <f t="shared" si="197"/>
        <v>20</v>
      </c>
      <c r="D2836" t="s">
        <v>81</v>
      </c>
      <c r="E2836" t="str">
        <f t="shared" si="198"/>
        <v>419</v>
      </c>
      <c r="F2836" t="s">
        <v>3032</v>
      </c>
      <c r="G2836" t="str">
        <f>"1868"</f>
        <v>1868</v>
      </c>
      <c r="H2836" t="str">
        <f>"0002"</f>
        <v>0002</v>
      </c>
      <c r="I2836" t="s">
        <v>89</v>
      </c>
      <c r="J2836">
        <v>0</v>
      </c>
      <c r="K2836">
        <v>1</v>
      </c>
      <c r="L2836">
        <v>3</v>
      </c>
      <c r="M2836">
        <v>201</v>
      </c>
      <c r="N2836">
        <v>401</v>
      </c>
      <c r="O2836">
        <v>3</v>
      </c>
      <c r="P2836">
        <v>401</v>
      </c>
      <c r="Q2836">
        <v>0</v>
      </c>
      <c r="R2836">
        <v>101</v>
      </c>
      <c r="S2836">
        <v>0</v>
      </c>
      <c r="T2836">
        <v>76</v>
      </c>
      <c r="U2836">
        <v>12</v>
      </c>
      <c r="V2836">
        <v>0</v>
      </c>
      <c r="W2836">
        <v>5</v>
      </c>
      <c r="X2836">
        <v>82</v>
      </c>
      <c r="Y2836">
        <v>0</v>
      </c>
      <c r="Z2836">
        <v>23</v>
      </c>
      <c r="AA2836">
        <v>10</v>
      </c>
      <c r="AC2836">
        <v>78</v>
      </c>
      <c r="AF2836">
        <v>0</v>
      </c>
      <c r="AG2836">
        <v>0</v>
      </c>
      <c r="AH2836">
        <v>0</v>
      </c>
      <c r="AI2836">
        <v>0</v>
      </c>
      <c r="AW2836">
        <v>0</v>
      </c>
      <c r="AX2836">
        <v>0</v>
      </c>
      <c r="AY2836">
        <v>0</v>
      </c>
      <c r="AZ2836">
        <v>387</v>
      </c>
      <c r="BA2836">
        <v>556</v>
      </c>
      <c r="BB2836">
        <v>46</v>
      </c>
      <c r="BD2836">
        <v>1</v>
      </c>
      <c r="BF2836" t="s">
        <v>3040</v>
      </c>
      <c r="BG2836" s="1">
        <v>44354.070138888892</v>
      </c>
      <c r="BH2836" s="1">
        <v>44354.077685185184</v>
      </c>
      <c r="BI2836" s="1">
        <v>44354.078333333331</v>
      </c>
      <c r="BJ2836" t="s">
        <v>85</v>
      </c>
      <c r="BK2836" t="s">
        <v>86</v>
      </c>
      <c r="BL2836" t="s">
        <v>87</v>
      </c>
    </row>
    <row r="2837" spans="1:64" x14ac:dyDescent="0.3">
      <c r="A2837" t="str">
        <f>"201869B0000"</f>
        <v>201869B0000</v>
      </c>
      <c r="B2837" t="str">
        <f>"201869B00003"</f>
        <v>201869B00003</v>
      </c>
      <c r="C2837" t="str">
        <f t="shared" si="197"/>
        <v>20</v>
      </c>
      <c r="D2837" t="s">
        <v>81</v>
      </c>
      <c r="E2837" t="str">
        <f t="shared" si="198"/>
        <v>419</v>
      </c>
      <c r="F2837" t="s">
        <v>3032</v>
      </c>
      <c r="G2837" t="str">
        <f>"1869"</f>
        <v>1869</v>
      </c>
      <c r="H2837" t="str">
        <f>"0000"</f>
        <v>0000</v>
      </c>
      <c r="I2837" t="s">
        <v>83</v>
      </c>
      <c r="J2837">
        <v>0</v>
      </c>
      <c r="K2837">
        <v>1</v>
      </c>
      <c r="L2837">
        <v>3</v>
      </c>
      <c r="M2837">
        <v>266</v>
      </c>
      <c r="N2837">
        <v>518</v>
      </c>
      <c r="O2837">
        <v>8</v>
      </c>
      <c r="P2837">
        <v>519</v>
      </c>
      <c r="Q2837">
        <v>0</v>
      </c>
      <c r="R2837">
        <v>120</v>
      </c>
      <c r="S2837">
        <v>0</v>
      </c>
      <c r="T2837">
        <v>90</v>
      </c>
      <c r="U2837">
        <v>27</v>
      </c>
      <c r="V2837">
        <v>0</v>
      </c>
      <c r="W2837">
        <v>5</v>
      </c>
      <c r="X2837">
        <v>138</v>
      </c>
      <c r="Y2837">
        <v>0</v>
      </c>
      <c r="Z2837">
        <v>28</v>
      </c>
      <c r="AA2837">
        <v>6</v>
      </c>
      <c r="AC2837">
        <v>80</v>
      </c>
      <c r="AF2837">
        <v>1</v>
      </c>
      <c r="AG2837">
        <v>1</v>
      </c>
      <c r="AH2837">
        <v>0</v>
      </c>
      <c r="AI2837">
        <v>0</v>
      </c>
      <c r="AW2837">
        <v>0</v>
      </c>
      <c r="AX2837">
        <v>23</v>
      </c>
      <c r="AY2837">
        <v>519</v>
      </c>
      <c r="AZ2837">
        <v>519</v>
      </c>
      <c r="BA2837">
        <v>741</v>
      </c>
      <c r="BB2837">
        <v>46</v>
      </c>
      <c r="BD2837">
        <v>1</v>
      </c>
      <c r="BF2837" t="s">
        <v>3041</v>
      </c>
      <c r="BG2837" s="1">
        <v>44354.038888888892</v>
      </c>
      <c r="BH2837" s="1">
        <v>44354.066319444442</v>
      </c>
      <c r="BI2837" s="1">
        <v>44354.067511574074</v>
      </c>
      <c r="BJ2837" t="s">
        <v>85</v>
      </c>
      <c r="BK2837" t="s">
        <v>86</v>
      </c>
      <c r="BL2837" t="s">
        <v>87</v>
      </c>
    </row>
    <row r="2838" spans="1:64" x14ac:dyDescent="0.3">
      <c r="A2838" t="str">
        <f>"201869C0100"</f>
        <v>201869C0100</v>
      </c>
      <c r="B2838" t="str">
        <f>"201869C01003"</f>
        <v>201869C01003</v>
      </c>
      <c r="C2838" t="str">
        <f t="shared" si="197"/>
        <v>20</v>
      </c>
      <c r="D2838" t="s">
        <v>81</v>
      </c>
      <c r="E2838" t="str">
        <f t="shared" si="198"/>
        <v>419</v>
      </c>
      <c r="F2838" t="s">
        <v>3032</v>
      </c>
      <c r="G2838" t="str">
        <f>"1869"</f>
        <v>1869</v>
      </c>
      <c r="H2838" t="str">
        <f>"0001"</f>
        <v>0001</v>
      </c>
      <c r="I2838" t="s">
        <v>89</v>
      </c>
      <c r="J2838">
        <v>0</v>
      </c>
      <c r="K2838">
        <v>1</v>
      </c>
      <c r="L2838">
        <v>3</v>
      </c>
      <c r="M2838">
        <v>260</v>
      </c>
      <c r="N2838">
        <v>527</v>
      </c>
      <c r="O2838">
        <v>5</v>
      </c>
      <c r="P2838">
        <v>528</v>
      </c>
      <c r="Q2838">
        <v>2</v>
      </c>
      <c r="R2838">
        <v>134</v>
      </c>
      <c r="S2838">
        <v>2</v>
      </c>
      <c r="T2838">
        <v>91</v>
      </c>
      <c r="U2838">
        <v>22</v>
      </c>
      <c r="V2838">
        <v>3</v>
      </c>
      <c r="W2838">
        <v>3</v>
      </c>
      <c r="X2838">
        <v>146</v>
      </c>
      <c r="Y2838">
        <v>0</v>
      </c>
      <c r="Z2838">
        <v>18</v>
      </c>
      <c r="AA2838">
        <v>4</v>
      </c>
      <c r="AC2838">
        <v>83</v>
      </c>
      <c r="AF2838">
        <v>1</v>
      </c>
      <c r="AG2838">
        <v>1</v>
      </c>
      <c r="AH2838">
        <v>0</v>
      </c>
      <c r="AI2838">
        <v>0</v>
      </c>
      <c r="AW2838" t="s">
        <v>95</v>
      </c>
      <c r="AX2838">
        <v>18</v>
      </c>
      <c r="AY2838">
        <v>528</v>
      </c>
      <c r="AZ2838">
        <v>528</v>
      </c>
      <c r="BA2838">
        <v>740</v>
      </c>
      <c r="BB2838">
        <v>46</v>
      </c>
      <c r="BC2838" t="s">
        <v>96</v>
      </c>
      <c r="BD2838">
        <v>1</v>
      </c>
      <c r="BF2838" t="s">
        <v>3042</v>
      </c>
      <c r="BG2838" s="1">
        <v>44354.04791666667</v>
      </c>
      <c r="BH2838" s="1">
        <v>44354.31486111111</v>
      </c>
      <c r="BI2838" s="1">
        <v>44354.315636574072</v>
      </c>
      <c r="BJ2838" t="s">
        <v>85</v>
      </c>
      <c r="BK2838" t="s">
        <v>86</v>
      </c>
      <c r="BL2838" t="s">
        <v>87</v>
      </c>
    </row>
    <row r="2839" spans="1:64" x14ac:dyDescent="0.3">
      <c r="A2839" t="str">
        <f>"201870B0000"</f>
        <v>201870B0000</v>
      </c>
      <c r="B2839" t="str">
        <f>"201870B00003"</f>
        <v>201870B00003</v>
      </c>
      <c r="C2839" t="str">
        <f t="shared" si="197"/>
        <v>20</v>
      </c>
      <c r="D2839" t="s">
        <v>81</v>
      </c>
      <c r="E2839" t="str">
        <f t="shared" si="198"/>
        <v>419</v>
      </c>
      <c r="F2839" t="s">
        <v>3032</v>
      </c>
      <c r="G2839" t="str">
        <f>"1870"</f>
        <v>1870</v>
      </c>
      <c r="H2839" t="str">
        <f>"0000"</f>
        <v>0000</v>
      </c>
      <c r="I2839" t="s">
        <v>83</v>
      </c>
      <c r="J2839">
        <v>0</v>
      </c>
      <c r="K2839">
        <v>1</v>
      </c>
      <c r="L2839">
        <v>3</v>
      </c>
      <c r="M2839">
        <v>216</v>
      </c>
      <c r="N2839">
        <v>434</v>
      </c>
      <c r="O2839">
        <v>5</v>
      </c>
      <c r="P2839">
        <v>434</v>
      </c>
      <c r="Q2839">
        <v>0</v>
      </c>
      <c r="R2839">
        <v>114</v>
      </c>
      <c r="S2839">
        <v>0</v>
      </c>
      <c r="T2839">
        <v>91</v>
      </c>
      <c r="U2839">
        <v>14</v>
      </c>
      <c r="V2839">
        <v>4</v>
      </c>
      <c r="W2839">
        <v>2</v>
      </c>
      <c r="X2839">
        <v>111</v>
      </c>
      <c r="Y2839">
        <v>0</v>
      </c>
      <c r="Z2839">
        <v>9</v>
      </c>
      <c r="AA2839">
        <v>15</v>
      </c>
      <c r="AC2839">
        <v>58</v>
      </c>
      <c r="AF2839">
        <v>0</v>
      </c>
      <c r="AG2839">
        <v>0</v>
      </c>
      <c r="AH2839">
        <v>0</v>
      </c>
      <c r="AI2839">
        <v>0</v>
      </c>
      <c r="AW2839">
        <v>0</v>
      </c>
      <c r="AX2839">
        <v>16</v>
      </c>
      <c r="AY2839">
        <v>434</v>
      </c>
      <c r="AZ2839">
        <v>434</v>
      </c>
      <c r="BA2839">
        <v>604</v>
      </c>
      <c r="BB2839">
        <v>46</v>
      </c>
      <c r="BD2839">
        <v>1</v>
      </c>
      <c r="BF2839" t="s">
        <v>3043</v>
      </c>
      <c r="BG2839" s="1">
        <v>44354.027777777781</v>
      </c>
      <c r="BH2839" s="1">
        <v>44354.036435185182</v>
      </c>
      <c r="BI2839" s="1">
        <v>44354.03702546296</v>
      </c>
      <c r="BJ2839" t="s">
        <v>85</v>
      </c>
      <c r="BK2839" t="s">
        <v>86</v>
      </c>
      <c r="BL2839" t="s">
        <v>87</v>
      </c>
    </row>
    <row r="2840" spans="1:64" x14ac:dyDescent="0.3">
      <c r="A2840" t="str">
        <f>"201870C0100"</f>
        <v>201870C0100</v>
      </c>
      <c r="B2840" t="str">
        <f>"201870C01003"</f>
        <v>201870C01003</v>
      </c>
      <c r="C2840" t="str">
        <f t="shared" si="197"/>
        <v>20</v>
      </c>
      <c r="D2840" t="s">
        <v>81</v>
      </c>
      <c r="E2840" t="str">
        <f t="shared" si="198"/>
        <v>419</v>
      </c>
      <c r="F2840" t="s">
        <v>3032</v>
      </c>
      <c r="G2840" t="str">
        <f>"1870"</f>
        <v>1870</v>
      </c>
      <c r="H2840" t="str">
        <f>"0001"</f>
        <v>0001</v>
      </c>
      <c r="I2840" t="s">
        <v>89</v>
      </c>
      <c r="J2840">
        <v>0</v>
      </c>
      <c r="K2840">
        <v>1</v>
      </c>
      <c r="L2840">
        <v>3</v>
      </c>
      <c r="M2840">
        <v>202</v>
      </c>
      <c r="N2840">
        <v>448</v>
      </c>
      <c r="O2840">
        <v>7</v>
      </c>
      <c r="P2840">
        <v>448</v>
      </c>
      <c r="Q2840">
        <v>0</v>
      </c>
      <c r="R2840">
        <v>116</v>
      </c>
      <c r="S2840">
        <v>0</v>
      </c>
      <c r="T2840">
        <v>73</v>
      </c>
      <c r="U2840">
        <v>11</v>
      </c>
      <c r="V2840">
        <v>3</v>
      </c>
      <c r="W2840">
        <v>6</v>
      </c>
      <c r="X2840">
        <v>155</v>
      </c>
      <c r="Y2840">
        <v>1</v>
      </c>
      <c r="Z2840">
        <v>9</v>
      </c>
      <c r="AA2840">
        <v>11</v>
      </c>
      <c r="AC2840">
        <v>56</v>
      </c>
      <c r="AF2840">
        <v>1</v>
      </c>
      <c r="AG2840">
        <v>0</v>
      </c>
      <c r="AH2840">
        <v>0</v>
      </c>
      <c r="AI2840">
        <v>0</v>
      </c>
      <c r="AW2840">
        <v>0</v>
      </c>
      <c r="AX2840">
        <v>6</v>
      </c>
      <c r="AY2840">
        <v>448</v>
      </c>
      <c r="AZ2840">
        <v>448</v>
      </c>
      <c r="BA2840">
        <v>604</v>
      </c>
      <c r="BB2840">
        <v>46</v>
      </c>
      <c r="BD2840">
        <v>1</v>
      </c>
      <c r="BF2840" t="s">
        <v>3044</v>
      </c>
      <c r="BG2840" s="1">
        <v>44354.026388888888</v>
      </c>
      <c r="BH2840" s="1">
        <v>44354.032916666663</v>
      </c>
      <c r="BI2840" s="1">
        <v>44354.03365740741</v>
      </c>
      <c r="BJ2840" t="s">
        <v>85</v>
      </c>
      <c r="BK2840" t="s">
        <v>86</v>
      </c>
      <c r="BL2840" t="s">
        <v>87</v>
      </c>
    </row>
    <row r="2841" spans="1:64" x14ac:dyDescent="0.3">
      <c r="A2841" t="str">
        <f>"201870C0200"</f>
        <v>201870C0200</v>
      </c>
      <c r="B2841" t="str">
        <f>"201870C02003"</f>
        <v>201870C02003</v>
      </c>
      <c r="C2841" t="str">
        <f t="shared" si="197"/>
        <v>20</v>
      </c>
      <c r="D2841" t="s">
        <v>81</v>
      </c>
      <c r="E2841" t="str">
        <f t="shared" si="198"/>
        <v>419</v>
      </c>
      <c r="F2841" t="s">
        <v>3032</v>
      </c>
      <c r="G2841" t="str">
        <f>"1870"</f>
        <v>1870</v>
      </c>
      <c r="H2841" t="str">
        <f>"0002"</f>
        <v>0002</v>
      </c>
      <c r="I2841" t="s">
        <v>89</v>
      </c>
      <c r="J2841">
        <v>0</v>
      </c>
      <c r="K2841">
        <v>1</v>
      </c>
      <c r="L2841">
        <v>3</v>
      </c>
      <c r="M2841">
        <v>207</v>
      </c>
      <c r="N2841">
        <v>442</v>
      </c>
      <c r="O2841">
        <v>6</v>
      </c>
      <c r="P2841">
        <v>433</v>
      </c>
      <c r="Q2841" t="s">
        <v>95</v>
      </c>
      <c r="R2841">
        <v>120</v>
      </c>
      <c r="S2841">
        <v>2</v>
      </c>
      <c r="T2841">
        <v>54</v>
      </c>
      <c r="U2841">
        <v>29</v>
      </c>
      <c r="V2841">
        <v>1</v>
      </c>
      <c r="W2841">
        <v>1</v>
      </c>
      <c r="X2841">
        <v>134</v>
      </c>
      <c r="Y2841" t="s">
        <v>95</v>
      </c>
      <c r="Z2841">
        <v>10</v>
      </c>
      <c r="AA2841">
        <v>6</v>
      </c>
      <c r="AC2841">
        <v>75</v>
      </c>
      <c r="AF2841" t="s">
        <v>95</v>
      </c>
      <c r="AG2841" t="s">
        <v>95</v>
      </c>
      <c r="AH2841" t="s">
        <v>95</v>
      </c>
      <c r="AI2841">
        <v>1</v>
      </c>
      <c r="AW2841" t="s">
        <v>95</v>
      </c>
      <c r="AX2841">
        <v>8</v>
      </c>
      <c r="AY2841">
        <v>433</v>
      </c>
      <c r="AZ2841">
        <v>441</v>
      </c>
      <c r="BA2841">
        <v>603</v>
      </c>
      <c r="BB2841">
        <v>46</v>
      </c>
      <c r="BC2841" t="s">
        <v>96</v>
      </c>
      <c r="BD2841">
        <v>1</v>
      </c>
      <c r="BF2841" t="s">
        <v>3045</v>
      </c>
      <c r="BG2841" s="1">
        <v>44354.033333333333</v>
      </c>
      <c r="BH2841" s="1">
        <v>44354.041435185187</v>
      </c>
      <c r="BI2841" s="1">
        <v>44354.041921296295</v>
      </c>
      <c r="BJ2841" t="s">
        <v>85</v>
      </c>
      <c r="BK2841" t="s">
        <v>86</v>
      </c>
      <c r="BL2841" t="s">
        <v>87</v>
      </c>
    </row>
    <row r="2842" spans="1:64" x14ac:dyDescent="0.3">
      <c r="A2842" t="str">
        <f>"201871B0000"</f>
        <v>201871B0000</v>
      </c>
      <c r="B2842" t="str">
        <f>"201871B00003"</f>
        <v>201871B00003</v>
      </c>
      <c r="C2842" t="str">
        <f t="shared" si="197"/>
        <v>20</v>
      </c>
      <c r="D2842" t="s">
        <v>81</v>
      </c>
      <c r="E2842" t="str">
        <f t="shared" si="198"/>
        <v>419</v>
      </c>
      <c r="F2842" t="s">
        <v>3032</v>
      </c>
      <c r="G2842" t="str">
        <f>"1871"</f>
        <v>1871</v>
      </c>
      <c r="H2842" t="str">
        <f>"0000"</f>
        <v>0000</v>
      </c>
      <c r="I2842" t="s">
        <v>83</v>
      </c>
      <c r="J2842">
        <v>0</v>
      </c>
      <c r="K2842">
        <v>1</v>
      </c>
      <c r="L2842">
        <v>3</v>
      </c>
      <c r="M2842">
        <v>69</v>
      </c>
      <c r="N2842">
        <v>116</v>
      </c>
      <c r="O2842">
        <v>9</v>
      </c>
      <c r="P2842">
        <v>116</v>
      </c>
      <c r="Q2842">
        <v>0</v>
      </c>
      <c r="R2842">
        <v>50</v>
      </c>
      <c r="S2842">
        <v>0</v>
      </c>
      <c r="T2842">
        <v>27</v>
      </c>
      <c r="U2842">
        <v>1</v>
      </c>
      <c r="V2842">
        <v>0</v>
      </c>
      <c r="W2842">
        <v>0</v>
      </c>
      <c r="X2842">
        <v>26</v>
      </c>
      <c r="Y2842">
        <v>0</v>
      </c>
      <c r="Z2842">
        <v>3</v>
      </c>
      <c r="AA2842">
        <v>2</v>
      </c>
      <c r="AC2842">
        <v>6</v>
      </c>
      <c r="AF2842">
        <v>0</v>
      </c>
      <c r="AG2842">
        <v>0</v>
      </c>
      <c r="AH2842">
        <v>0</v>
      </c>
      <c r="AI2842">
        <v>0</v>
      </c>
      <c r="AW2842">
        <v>0</v>
      </c>
      <c r="AX2842">
        <v>1</v>
      </c>
      <c r="AY2842">
        <v>116</v>
      </c>
      <c r="AZ2842">
        <v>116</v>
      </c>
      <c r="BA2842">
        <v>139</v>
      </c>
      <c r="BB2842">
        <v>46</v>
      </c>
      <c r="BD2842">
        <v>1</v>
      </c>
      <c r="BF2842" t="s">
        <v>3046</v>
      </c>
      <c r="BG2842" s="1">
        <v>44354.015972222223</v>
      </c>
      <c r="BH2842" s="1">
        <v>44354.024085648147</v>
      </c>
      <c r="BI2842" s="1">
        <v>44354.024722222224</v>
      </c>
      <c r="BJ2842" t="s">
        <v>85</v>
      </c>
      <c r="BK2842" t="s">
        <v>86</v>
      </c>
      <c r="BL2842" t="s">
        <v>87</v>
      </c>
    </row>
    <row r="2843" spans="1:64" x14ac:dyDescent="0.3">
      <c r="A2843" t="str">
        <f>"201871E0100"</f>
        <v>201871E0100</v>
      </c>
      <c r="B2843" t="str">
        <f>"201871E01003"</f>
        <v>201871E01003</v>
      </c>
      <c r="C2843" t="str">
        <f t="shared" si="197"/>
        <v>20</v>
      </c>
      <c r="D2843" t="s">
        <v>81</v>
      </c>
      <c r="E2843" t="str">
        <f t="shared" si="198"/>
        <v>419</v>
      </c>
      <c r="F2843" t="s">
        <v>3032</v>
      </c>
      <c r="G2843" t="str">
        <f>"1871"</f>
        <v>1871</v>
      </c>
      <c r="H2843" t="str">
        <f>"0001"</f>
        <v>0001</v>
      </c>
      <c r="I2843" t="s">
        <v>122</v>
      </c>
      <c r="J2843">
        <v>0</v>
      </c>
      <c r="K2843">
        <v>1</v>
      </c>
      <c r="L2843">
        <v>3</v>
      </c>
      <c r="M2843">
        <v>183</v>
      </c>
      <c r="N2843">
        <v>453</v>
      </c>
      <c r="O2843">
        <v>5</v>
      </c>
      <c r="P2843">
        <v>453</v>
      </c>
      <c r="Q2843">
        <v>1</v>
      </c>
      <c r="R2843">
        <v>171</v>
      </c>
      <c r="S2843">
        <v>2</v>
      </c>
      <c r="T2843">
        <v>110</v>
      </c>
      <c r="U2843">
        <v>9</v>
      </c>
      <c r="V2843">
        <v>1</v>
      </c>
      <c r="W2843">
        <v>3</v>
      </c>
      <c r="X2843">
        <v>76</v>
      </c>
      <c r="Y2843">
        <v>1</v>
      </c>
      <c r="Z2843">
        <v>6</v>
      </c>
      <c r="AA2843">
        <v>14</v>
      </c>
      <c r="AC2843">
        <v>40</v>
      </c>
      <c r="AF2843">
        <v>0</v>
      </c>
      <c r="AG2843">
        <v>0</v>
      </c>
      <c r="AH2843">
        <v>0</v>
      </c>
      <c r="AI2843">
        <v>1</v>
      </c>
      <c r="AW2843">
        <v>0</v>
      </c>
      <c r="AX2843">
        <v>18</v>
      </c>
      <c r="AY2843">
        <v>453</v>
      </c>
      <c r="AZ2843">
        <v>453</v>
      </c>
      <c r="BA2843">
        <v>590</v>
      </c>
      <c r="BB2843">
        <v>46</v>
      </c>
      <c r="BD2843">
        <v>1</v>
      </c>
      <c r="BF2843" t="s">
        <v>3047</v>
      </c>
      <c r="BG2843" s="1">
        <v>44354.017361111109</v>
      </c>
      <c r="BH2843" s="1">
        <v>44354.027013888888</v>
      </c>
      <c r="BI2843" s="1">
        <v>44354.027939814812</v>
      </c>
      <c r="BJ2843" t="s">
        <v>85</v>
      </c>
      <c r="BK2843" t="s">
        <v>86</v>
      </c>
      <c r="BL2843" t="s">
        <v>87</v>
      </c>
    </row>
    <row r="2844" spans="1:64" x14ac:dyDescent="0.3">
      <c r="A2844" t="str">
        <f>"201872B0000"</f>
        <v>201872B0000</v>
      </c>
      <c r="B2844" t="str">
        <f>"201872B00003"</f>
        <v>201872B00003</v>
      </c>
      <c r="C2844" t="str">
        <f t="shared" si="197"/>
        <v>20</v>
      </c>
      <c r="D2844" t="s">
        <v>81</v>
      </c>
      <c r="E2844" t="str">
        <f t="shared" si="198"/>
        <v>419</v>
      </c>
      <c r="F2844" t="s">
        <v>3032</v>
      </c>
      <c r="G2844" t="str">
        <f>"1872"</f>
        <v>1872</v>
      </c>
      <c r="H2844" t="str">
        <f>"0000"</f>
        <v>0000</v>
      </c>
      <c r="I2844" t="s">
        <v>83</v>
      </c>
      <c r="J2844">
        <v>0</v>
      </c>
      <c r="K2844">
        <v>1</v>
      </c>
      <c r="L2844">
        <v>3</v>
      </c>
      <c r="M2844">
        <v>181</v>
      </c>
      <c r="N2844">
        <v>527</v>
      </c>
      <c r="O2844">
        <v>1</v>
      </c>
      <c r="P2844">
        <v>527</v>
      </c>
      <c r="Q2844">
        <v>0</v>
      </c>
      <c r="R2844">
        <v>280</v>
      </c>
      <c r="S2844">
        <v>1</v>
      </c>
      <c r="T2844">
        <v>114</v>
      </c>
      <c r="U2844">
        <v>9</v>
      </c>
      <c r="V2844">
        <v>1</v>
      </c>
      <c r="W2844">
        <v>3</v>
      </c>
      <c r="X2844">
        <v>90</v>
      </c>
      <c r="Y2844">
        <v>0</v>
      </c>
      <c r="Z2844">
        <v>0</v>
      </c>
      <c r="AA2844">
        <v>7</v>
      </c>
      <c r="AC2844">
        <v>10</v>
      </c>
      <c r="AF2844" t="s">
        <v>95</v>
      </c>
      <c r="AG2844" t="s">
        <v>95</v>
      </c>
      <c r="AH2844" t="s">
        <v>95</v>
      </c>
      <c r="AI2844" t="s">
        <v>95</v>
      </c>
      <c r="AW2844" t="s">
        <v>95</v>
      </c>
      <c r="AX2844">
        <v>12</v>
      </c>
      <c r="AY2844">
        <v>527</v>
      </c>
      <c r="AZ2844">
        <v>527</v>
      </c>
      <c r="BA2844">
        <v>663</v>
      </c>
      <c r="BB2844">
        <v>46</v>
      </c>
      <c r="BC2844" t="s">
        <v>96</v>
      </c>
      <c r="BD2844">
        <v>1</v>
      </c>
      <c r="BF2844" t="s">
        <v>3048</v>
      </c>
      <c r="BG2844" s="1">
        <v>44354.05</v>
      </c>
      <c r="BH2844" s="1">
        <v>44354.057337962964</v>
      </c>
      <c r="BI2844" s="1">
        <v>44354.058645833335</v>
      </c>
      <c r="BJ2844" t="s">
        <v>85</v>
      </c>
      <c r="BK2844" t="s">
        <v>86</v>
      </c>
      <c r="BL2844" t="s">
        <v>87</v>
      </c>
    </row>
    <row r="2845" spans="1:64" x14ac:dyDescent="0.3">
      <c r="A2845" t="str">
        <f>"201872E0100"</f>
        <v>201872E0100</v>
      </c>
      <c r="B2845" t="str">
        <f>"201872E01003"</f>
        <v>201872E01003</v>
      </c>
      <c r="C2845" t="str">
        <f t="shared" si="197"/>
        <v>20</v>
      </c>
      <c r="D2845" t="s">
        <v>81</v>
      </c>
      <c r="E2845" t="str">
        <f t="shared" si="198"/>
        <v>419</v>
      </c>
      <c r="F2845" t="s">
        <v>3032</v>
      </c>
      <c r="G2845" t="str">
        <f>"1872"</f>
        <v>1872</v>
      </c>
      <c r="H2845" t="str">
        <f>"0001"</f>
        <v>0001</v>
      </c>
      <c r="I2845" t="s">
        <v>122</v>
      </c>
      <c r="J2845">
        <v>0</v>
      </c>
      <c r="K2845">
        <v>1</v>
      </c>
      <c r="L2845">
        <v>3</v>
      </c>
      <c r="M2845">
        <v>154</v>
      </c>
      <c r="N2845">
        <v>1</v>
      </c>
      <c r="O2845">
        <v>0</v>
      </c>
      <c r="P2845">
        <v>307</v>
      </c>
      <c r="Q2845">
        <v>0</v>
      </c>
      <c r="R2845">
        <v>138</v>
      </c>
      <c r="S2845">
        <v>0</v>
      </c>
      <c r="T2845">
        <v>21</v>
      </c>
      <c r="U2845">
        <v>15</v>
      </c>
      <c r="V2845">
        <v>2</v>
      </c>
      <c r="W2845">
        <v>0</v>
      </c>
      <c r="X2845">
        <v>72</v>
      </c>
      <c r="Y2845">
        <v>0</v>
      </c>
      <c r="Z2845">
        <v>4</v>
      </c>
      <c r="AA2845">
        <v>4</v>
      </c>
      <c r="AC2845">
        <v>42</v>
      </c>
      <c r="AF2845">
        <v>0</v>
      </c>
      <c r="AG2845">
        <v>0</v>
      </c>
      <c r="AH2845">
        <v>0</v>
      </c>
      <c r="AI2845">
        <v>0</v>
      </c>
      <c r="AW2845">
        <v>0</v>
      </c>
      <c r="AX2845">
        <v>9</v>
      </c>
      <c r="AY2845">
        <v>307</v>
      </c>
      <c r="AZ2845">
        <v>307</v>
      </c>
      <c r="BA2845">
        <v>415</v>
      </c>
      <c r="BB2845">
        <v>46</v>
      </c>
      <c r="BD2845">
        <v>1</v>
      </c>
      <c r="BF2845" t="s">
        <v>3049</v>
      </c>
      <c r="BG2845" s="1">
        <v>44354.052083333336</v>
      </c>
      <c r="BH2845" s="1">
        <v>44354.058078703703</v>
      </c>
      <c r="BI2845" s="1">
        <v>44354.059490740743</v>
      </c>
      <c r="BJ2845" t="s">
        <v>85</v>
      </c>
      <c r="BK2845" t="s">
        <v>86</v>
      </c>
      <c r="BL2845" t="s">
        <v>87</v>
      </c>
    </row>
    <row r="2846" spans="1:64" x14ac:dyDescent="0.3">
      <c r="A2846" t="str">
        <f>"201875B0000"</f>
        <v>201875B0000</v>
      </c>
      <c r="B2846" t="str">
        <f>"201875B00003"</f>
        <v>201875B00003</v>
      </c>
      <c r="C2846" t="str">
        <f t="shared" si="197"/>
        <v>20</v>
      </c>
      <c r="D2846" t="s">
        <v>81</v>
      </c>
      <c r="E2846" t="str">
        <f t="shared" ref="E2846:E2851" si="199">"422"</f>
        <v>422</v>
      </c>
      <c r="F2846" t="s">
        <v>3050</v>
      </c>
      <c r="G2846" t="str">
        <f>"1875"</f>
        <v>1875</v>
      </c>
      <c r="H2846" t="str">
        <f>"0000"</f>
        <v>0000</v>
      </c>
      <c r="I2846" t="s">
        <v>83</v>
      </c>
      <c r="J2846">
        <v>0</v>
      </c>
      <c r="K2846">
        <v>1</v>
      </c>
      <c r="L2846">
        <v>3</v>
      </c>
      <c r="BA2846">
        <v>491</v>
      </c>
      <c r="BB2846">
        <v>44</v>
      </c>
      <c r="BC2846" t="s">
        <v>161</v>
      </c>
      <c r="BD2846">
        <v>0</v>
      </c>
      <c r="BF2846" t="s">
        <v>3051</v>
      </c>
      <c r="BG2846" s="1">
        <v>44354.450694444444</v>
      </c>
      <c r="BH2846" s="1">
        <v>44354.472766203704</v>
      </c>
      <c r="BI2846" s="1">
        <v>44354.472766203704</v>
      </c>
      <c r="BJ2846" t="s">
        <v>85</v>
      </c>
      <c r="BK2846" t="s">
        <v>86</v>
      </c>
      <c r="BL2846" t="s">
        <v>87</v>
      </c>
    </row>
    <row r="2847" spans="1:64" x14ac:dyDescent="0.3">
      <c r="A2847" t="str">
        <f>"201875C0100"</f>
        <v>201875C0100</v>
      </c>
      <c r="B2847" t="str">
        <f>"201875C01003"</f>
        <v>201875C01003</v>
      </c>
      <c r="C2847" t="str">
        <f t="shared" si="197"/>
        <v>20</v>
      </c>
      <c r="D2847" t="s">
        <v>81</v>
      </c>
      <c r="E2847" t="str">
        <f t="shared" si="199"/>
        <v>422</v>
      </c>
      <c r="F2847" t="s">
        <v>3050</v>
      </c>
      <c r="G2847" t="str">
        <f>"1875"</f>
        <v>1875</v>
      </c>
      <c r="H2847" t="str">
        <f>"0001"</f>
        <v>0001</v>
      </c>
      <c r="I2847" t="s">
        <v>89</v>
      </c>
      <c r="J2847">
        <v>0</v>
      </c>
      <c r="K2847">
        <v>1</v>
      </c>
      <c r="L2847">
        <v>3</v>
      </c>
      <c r="BA2847">
        <v>491</v>
      </c>
      <c r="BB2847">
        <v>44</v>
      </c>
      <c r="BC2847" t="s">
        <v>161</v>
      </c>
      <c r="BD2847">
        <v>0</v>
      </c>
      <c r="BF2847" t="s">
        <v>3052</v>
      </c>
      <c r="BG2847" s="1">
        <v>44354.452777777777</v>
      </c>
      <c r="BH2847" s="1">
        <v>44354.474849537037</v>
      </c>
      <c r="BI2847" s="1">
        <v>44354.474849537037</v>
      </c>
      <c r="BJ2847" t="s">
        <v>85</v>
      </c>
      <c r="BK2847" t="s">
        <v>86</v>
      </c>
      <c r="BL2847" t="s">
        <v>87</v>
      </c>
    </row>
    <row r="2848" spans="1:64" x14ac:dyDescent="0.3">
      <c r="A2848" t="str">
        <f>"201876B0000"</f>
        <v>201876B0000</v>
      </c>
      <c r="B2848" t="str">
        <f>"201876B00003"</f>
        <v>201876B00003</v>
      </c>
      <c r="C2848" t="str">
        <f t="shared" si="197"/>
        <v>20</v>
      </c>
      <c r="D2848" t="s">
        <v>81</v>
      </c>
      <c r="E2848" t="str">
        <f t="shared" si="199"/>
        <v>422</v>
      </c>
      <c r="F2848" t="s">
        <v>3050</v>
      </c>
      <c r="G2848" t="str">
        <f>"1876"</f>
        <v>1876</v>
      </c>
      <c r="H2848" t="str">
        <f>"0000"</f>
        <v>0000</v>
      </c>
      <c r="I2848" t="s">
        <v>83</v>
      </c>
      <c r="J2848">
        <v>0</v>
      </c>
      <c r="K2848">
        <v>1</v>
      </c>
      <c r="L2848">
        <v>3</v>
      </c>
      <c r="BA2848">
        <v>720</v>
      </c>
      <c r="BB2848">
        <v>44</v>
      </c>
      <c r="BC2848" t="s">
        <v>161</v>
      </c>
      <c r="BD2848">
        <v>0</v>
      </c>
      <c r="BF2848" t="s">
        <v>3053</v>
      </c>
      <c r="BG2848" s="1">
        <v>44354.45</v>
      </c>
      <c r="BH2848" s="1">
        <v>44354.472557870373</v>
      </c>
      <c r="BI2848" s="1">
        <v>44354.472557870373</v>
      </c>
      <c r="BJ2848" t="s">
        <v>85</v>
      </c>
      <c r="BK2848" t="s">
        <v>86</v>
      </c>
      <c r="BL2848" t="s">
        <v>87</v>
      </c>
    </row>
    <row r="2849" spans="1:64" x14ac:dyDescent="0.3">
      <c r="A2849" t="str">
        <f>"201876C0100"</f>
        <v>201876C0100</v>
      </c>
      <c r="B2849" t="str">
        <f>"201876C01003"</f>
        <v>201876C01003</v>
      </c>
      <c r="C2849" t="str">
        <f t="shared" si="197"/>
        <v>20</v>
      </c>
      <c r="D2849" t="s">
        <v>81</v>
      </c>
      <c r="E2849" t="str">
        <f t="shared" si="199"/>
        <v>422</v>
      </c>
      <c r="F2849" t="s">
        <v>3050</v>
      </c>
      <c r="G2849" t="str">
        <f>"1876"</f>
        <v>1876</v>
      </c>
      <c r="H2849" t="str">
        <f>"0001"</f>
        <v>0001</v>
      </c>
      <c r="I2849" t="s">
        <v>89</v>
      </c>
      <c r="J2849">
        <v>0</v>
      </c>
      <c r="K2849">
        <v>1</v>
      </c>
      <c r="L2849">
        <v>3</v>
      </c>
      <c r="BA2849">
        <v>720</v>
      </c>
      <c r="BB2849">
        <v>44</v>
      </c>
      <c r="BC2849" t="s">
        <v>161</v>
      </c>
      <c r="BD2849">
        <v>0</v>
      </c>
      <c r="BF2849" t="s">
        <v>3054</v>
      </c>
      <c r="BG2849" s="1">
        <v>44354.45</v>
      </c>
      <c r="BH2849" s="1">
        <v>44354.472372685188</v>
      </c>
      <c r="BI2849" s="1">
        <v>44354.472372685188</v>
      </c>
      <c r="BJ2849" t="s">
        <v>85</v>
      </c>
      <c r="BK2849" t="s">
        <v>86</v>
      </c>
      <c r="BL2849" t="s">
        <v>87</v>
      </c>
    </row>
    <row r="2850" spans="1:64" x14ac:dyDescent="0.3">
      <c r="A2850" t="str">
        <f>"201877B0000"</f>
        <v>201877B0000</v>
      </c>
      <c r="B2850" t="str">
        <f>"201877B00003"</f>
        <v>201877B00003</v>
      </c>
      <c r="C2850" t="str">
        <f t="shared" si="197"/>
        <v>20</v>
      </c>
      <c r="D2850" t="s">
        <v>81</v>
      </c>
      <c r="E2850" t="str">
        <f t="shared" si="199"/>
        <v>422</v>
      </c>
      <c r="F2850" t="s">
        <v>3050</v>
      </c>
      <c r="G2850" t="str">
        <f>"1877"</f>
        <v>1877</v>
      </c>
      <c r="H2850" t="str">
        <f>"0000"</f>
        <v>0000</v>
      </c>
      <c r="I2850" t="s">
        <v>83</v>
      </c>
      <c r="J2850">
        <v>0</v>
      </c>
      <c r="K2850">
        <v>1</v>
      </c>
      <c r="L2850">
        <v>3</v>
      </c>
      <c r="BA2850">
        <v>574</v>
      </c>
      <c r="BB2850">
        <v>44</v>
      </c>
      <c r="BC2850" t="s">
        <v>161</v>
      </c>
      <c r="BD2850">
        <v>0</v>
      </c>
      <c r="BF2850" t="s">
        <v>3055</v>
      </c>
      <c r="BG2850" s="1">
        <v>44354.452777777777</v>
      </c>
      <c r="BH2850" s="1">
        <v>44354.474374999998</v>
      </c>
      <c r="BI2850" s="1">
        <v>44354.474374999998</v>
      </c>
      <c r="BJ2850" t="s">
        <v>85</v>
      </c>
      <c r="BK2850" t="s">
        <v>86</v>
      </c>
      <c r="BL2850" t="s">
        <v>87</v>
      </c>
    </row>
    <row r="2851" spans="1:64" x14ac:dyDescent="0.3">
      <c r="A2851" t="str">
        <f>"201877C0100"</f>
        <v>201877C0100</v>
      </c>
      <c r="B2851" t="str">
        <f>"201877C01003"</f>
        <v>201877C01003</v>
      </c>
      <c r="C2851" t="str">
        <f t="shared" si="197"/>
        <v>20</v>
      </c>
      <c r="D2851" t="s">
        <v>81</v>
      </c>
      <c r="E2851" t="str">
        <f t="shared" si="199"/>
        <v>422</v>
      </c>
      <c r="F2851" t="s">
        <v>3050</v>
      </c>
      <c r="G2851" t="str">
        <f>"1877"</f>
        <v>1877</v>
      </c>
      <c r="H2851" t="str">
        <f>"0001"</f>
        <v>0001</v>
      </c>
      <c r="I2851" t="s">
        <v>89</v>
      </c>
      <c r="J2851">
        <v>0</v>
      </c>
      <c r="K2851">
        <v>1</v>
      </c>
      <c r="L2851">
        <v>3</v>
      </c>
      <c r="BA2851">
        <v>574</v>
      </c>
      <c r="BB2851">
        <v>44</v>
      </c>
      <c r="BC2851" t="s">
        <v>161</v>
      </c>
      <c r="BD2851">
        <v>0</v>
      </c>
      <c r="BF2851" t="s">
        <v>3056</v>
      </c>
      <c r="BG2851" s="1">
        <v>44354.452777777777</v>
      </c>
      <c r="BH2851" s="1">
        <v>44354.474606481483</v>
      </c>
      <c r="BI2851" s="1">
        <v>44354.474606481483</v>
      </c>
      <c r="BJ2851" t="s">
        <v>85</v>
      </c>
      <c r="BK2851" t="s">
        <v>86</v>
      </c>
      <c r="BL2851" t="s">
        <v>87</v>
      </c>
    </row>
    <row r="2852" spans="1:64" x14ac:dyDescent="0.3">
      <c r="A2852" t="str">
        <f>"201888B0000"</f>
        <v>201888B0000</v>
      </c>
      <c r="B2852" t="str">
        <f>"201888B00003"</f>
        <v>201888B00003</v>
      </c>
      <c r="C2852" t="str">
        <f t="shared" si="197"/>
        <v>20</v>
      </c>
      <c r="D2852" t="s">
        <v>81</v>
      </c>
      <c r="E2852" t="str">
        <f t="shared" ref="E2852:E2872" si="200">"427"</f>
        <v>427</v>
      </c>
      <c r="F2852" t="s">
        <v>3057</v>
      </c>
      <c r="G2852" t="str">
        <f>"1888"</f>
        <v>1888</v>
      </c>
      <c r="H2852" t="str">
        <f>"0000"</f>
        <v>0000</v>
      </c>
      <c r="I2852" t="s">
        <v>83</v>
      </c>
      <c r="J2852">
        <v>0</v>
      </c>
      <c r="K2852">
        <v>1</v>
      </c>
      <c r="L2852">
        <v>3</v>
      </c>
      <c r="M2852">
        <v>174</v>
      </c>
      <c r="N2852">
        <v>592</v>
      </c>
      <c r="O2852">
        <v>1</v>
      </c>
      <c r="P2852">
        <v>592</v>
      </c>
      <c r="Q2852">
        <v>1</v>
      </c>
      <c r="R2852">
        <v>129</v>
      </c>
      <c r="S2852">
        <v>9</v>
      </c>
      <c r="T2852">
        <v>39</v>
      </c>
      <c r="U2852">
        <v>9</v>
      </c>
      <c r="V2852">
        <v>0</v>
      </c>
      <c r="X2852">
        <v>384</v>
      </c>
      <c r="Y2852">
        <v>1</v>
      </c>
      <c r="Z2852">
        <v>3</v>
      </c>
      <c r="AF2852" t="s">
        <v>95</v>
      </c>
      <c r="AG2852" t="s">
        <v>95</v>
      </c>
      <c r="AH2852" t="s">
        <v>95</v>
      </c>
      <c r="AI2852" t="s">
        <v>95</v>
      </c>
      <c r="AV2852" t="s">
        <v>95</v>
      </c>
      <c r="AW2852" t="s">
        <v>95</v>
      </c>
      <c r="AX2852">
        <v>17</v>
      </c>
      <c r="AY2852">
        <v>592</v>
      </c>
      <c r="AZ2852">
        <v>592</v>
      </c>
      <c r="BA2852">
        <v>722</v>
      </c>
      <c r="BB2852">
        <v>44</v>
      </c>
      <c r="BC2852" t="s">
        <v>96</v>
      </c>
      <c r="BD2852">
        <v>1</v>
      </c>
      <c r="BF2852" t="s">
        <v>3058</v>
      </c>
      <c r="BG2852" s="1">
        <v>44354.134027777778</v>
      </c>
      <c r="BH2852" s="1">
        <v>44354.138865740744</v>
      </c>
      <c r="BI2852" s="1">
        <v>44354.139537037037</v>
      </c>
      <c r="BJ2852" t="s">
        <v>85</v>
      </c>
      <c r="BK2852" t="s">
        <v>86</v>
      </c>
      <c r="BL2852" t="s">
        <v>87</v>
      </c>
    </row>
    <row r="2853" spans="1:64" x14ac:dyDescent="0.3">
      <c r="A2853" t="str">
        <f>"201889B0000"</f>
        <v>201889B0000</v>
      </c>
      <c r="B2853" t="str">
        <f>"201889B00003"</f>
        <v>201889B00003</v>
      </c>
      <c r="C2853" t="str">
        <f t="shared" si="197"/>
        <v>20</v>
      </c>
      <c r="D2853" t="s">
        <v>81</v>
      </c>
      <c r="E2853" t="str">
        <f t="shared" si="200"/>
        <v>427</v>
      </c>
      <c r="F2853" t="s">
        <v>3057</v>
      </c>
      <c r="G2853" t="str">
        <f>"1889"</f>
        <v>1889</v>
      </c>
      <c r="H2853" t="str">
        <f>"0000"</f>
        <v>0000</v>
      </c>
      <c r="I2853" t="s">
        <v>83</v>
      </c>
      <c r="J2853">
        <v>0</v>
      </c>
      <c r="K2853">
        <v>1</v>
      </c>
      <c r="L2853">
        <v>3</v>
      </c>
      <c r="M2853" t="s">
        <v>131</v>
      </c>
      <c r="N2853" t="s">
        <v>131</v>
      </c>
      <c r="O2853" t="s">
        <v>131</v>
      </c>
      <c r="P2853" t="s">
        <v>131</v>
      </c>
      <c r="Q2853">
        <v>2</v>
      </c>
      <c r="R2853">
        <v>105</v>
      </c>
      <c r="S2853">
        <v>7</v>
      </c>
      <c r="T2853">
        <v>14</v>
      </c>
      <c r="U2853">
        <v>4</v>
      </c>
      <c r="V2853">
        <v>2</v>
      </c>
      <c r="X2853">
        <v>292</v>
      </c>
      <c r="Y2853">
        <v>1</v>
      </c>
      <c r="Z2853">
        <v>5</v>
      </c>
      <c r="AF2853">
        <v>3</v>
      </c>
      <c r="AG2853" t="s">
        <v>95</v>
      </c>
      <c r="AH2853" t="s">
        <v>95</v>
      </c>
      <c r="AI2853" t="s">
        <v>95</v>
      </c>
      <c r="AV2853" t="s">
        <v>95</v>
      </c>
      <c r="AW2853" t="s">
        <v>95</v>
      </c>
      <c r="AX2853">
        <v>7</v>
      </c>
      <c r="AY2853">
        <v>442</v>
      </c>
      <c r="AZ2853">
        <v>442</v>
      </c>
      <c r="BA2853">
        <v>544</v>
      </c>
      <c r="BB2853">
        <v>44</v>
      </c>
      <c r="BC2853" t="s">
        <v>96</v>
      </c>
      <c r="BD2853">
        <v>1</v>
      </c>
      <c r="BF2853" t="s">
        <v>3059</v>
      </c>
      <c r="BG2853" s="1">
        <v>44354.107638888891</v>
      </c>
      <c r="BH2853" s="1">
        <v>44354.120787037034</v>
      </c>
      <c r="BI2853" s="1">
        <v>44354.127314814818</v>
      </c>
      <c r="BJ2853" t="s">
        <v>85</v>
      </c>
      <c r="BK2853" t="s">
        <v>86</v>
      </c>
      <c r="BL2853" t="s">
        <v>87</v>
      </c>
    </row>
    <row r="2854" spans="1:64" x14ac:dyDescent="0.3">
      <c r="A2854" t="str">
        <f>"201889C0100"</f>
        <v>201889C0100</v>
      </c>
      <c r="B2854" t="str">
        <f>"201889C01003"</f>
        <v>201889C01003</v>
      </c>
      <c r="C2854" t="str">
        <f t="shared" si="197"/>
        <v>20</v>
      </c>
      <c r="D2854" t="s">
        <v>81</v>
      </c>
      <c r="E2854" t="str">
        <f t="shared" si="200"/>
        <v>427</v>
      </c>
      <c r="F2854" t="s">
        <v>3057</v>
      </c>
      <c r="G2854" t="str">
        <f>"1889"</f>
        <v>1889</v>
      </c>
      <c r="H2854" t="str">
        <f>"0001"</f>
        <v>0001</v>
      </c>
      <c r="I2854" t="s">
        <v>89</v>
      </c>
      <c r="J2854">
        <v>0</v>
      </c>
      <c r="K2854">
        <v>1</v>
      </c>
      <c r="L2854">
        <v>3</v>
      </c>
      <c r="M2854">
        <v>139</v>
      </c>
      <c r="N2854">
        <v>449</v>
      </c>
      <c r="O2854">
        <v>4</v>
      </c>
      <c r="P2854">
        <v>449</v>
      </c>
      <c r="Q2854">
        <v>1</v>
      </c>
      <c r="R2854">
        <v>98</v>
      </c>
      <c r="S2854">
        <v>3</v>
      </c>
      <c r="T2854">
        <v>8</v>
      </c>
      <c r="U2854">
        <v>2</v>
      </c>
      <c r="V2854">
        <v>0</v>
      </c>
      <c r="X2854">
        <v>324</v>
      </c>
      <c r="Y2854">
        <v>0</v>
      </c>
      <c r="Z2854">
        <v>3</v>
      </c>
      <c r="AF2854">
        <v>1</v>
      </c>
      <c r="AG2854" t="s">
        <v>95</v>
      </c>
      <c r="AH2854" t="s">
        <v>95</v>
      </c>
      <c r="AI2854" t="s">
        <v>95</v>
      </c>
      <c r="AV2854" t="s">
        <v>95</v>
      </c>
      <c r="AW2854" t="s">
        <v>95</v>
      </c>
      <c r="AX2854">
        <v>9</v>
      </c>
      <c r="AY2854" t="s">
        <v>95</v>
      </c>
      <c r="AZ2854">
        <v>449</v>
      </c>
      <c r="BA2854">
        <v>544</v>
      </c>
      <c r="BB2854">
        <v>44</v>
      </c>
      <c r="BC2854" t="s">
        <v>96</v>
      </c>
      <c r="BD2854">
        <v>1</v>
      </c>
      <c r="BF2854" t="s">
        <v>3060</v>
      </c>
      <c r="BG2854" s="1">
        <v>44354.043749999997</v>
      </c>
      <c r="BH2854" s="1">
        <v>44354.052222222221</v>
      </c>
      <c r="BI2854" s="1">
        <v>44354.052847222221</v>
      </c>
      <c r="BJ2854" t="s">
        <v>85</v>
      </c>
      <c r="BK2854" t="s">
        <v>86</v>
      </c>
      <c r="BL2854" t="s">
        <v>87</v>
      </c>
    </row>
    <row r="2855" spans="1:64" x14ac:dyDescent="0.3">
      <c r="A2855" t="str">
        <f>"201890B0000"</f>
        <v>201890B0000</v>
      </c>
      <c r="B2855" t="str">
        <f>"201890B00003"</f>
        <v>201890B00003</v>
      </c>
      <c r="C2855" t="str">
        <f t="shared" si="197"/>
        <v>20</v>
      </c>
      <c r="D2855" t="s">
        <v>81</v>
      </c>
      <c r="E2855" t="str">
        <f t="shared" si="200"/>
        <v>427</v>
      </c>
      <c r="F2855" t="s">
        <v>3057</v>
      </c>
      <c r="G2855" t="str">
        <f>"1890"</f>
        <v>1890</v>
      </c>
      <c r="H2855" t="str">
        <f>"0000"</f>
        <v>0000</v>
      </c>
      <c r="I2855" t="s">
        <v>83</v>
      </c>
      <c r="J2855">
        <v>0</v>
      </c>
      <c r="K2855">
        <v>1</v>
      </c>
      <c r="L2855">
        <v>3</v>
      </c>
      <c r="M2855">
        <v>247</v>
      </c>
      <c r="N2855">
        <v>305</v>
      </c>
      <c r="O2855">
        <v>1</v>
      </c>
      <c r="P2855">
        <v>305</v>
      </c>
      <c r="Q2855">
        <v>3</v>
      </c>
      <c r="R2855">
        <v>88</v>
      </c>
      <c r="S2855">
        <v>3</v>
      </c>
      <c r="T2855">
        <v>6</v>
      </c>
      <c r="U2855">
        <v>12</v>
      </c>
      <c r="V2855">
        <v>3</v>
      </c>
      <c r="X2855">
        <v>176</v>
      </c>
      <c r="Y2855">
        <v>1</v>
      </c>
      <c r="Z2855">
        <v>5</v>
      </c>
      <c r="AF2855">
        <v>2</v>
      </c>
      <c r="AG2855">
        <v>0</v>
      </c>
      <c r="AH2855">
        <v>0</v>
      </c>
      <c r="AI2855">
        <v>0</v>
      </c>
      <c r="AV2855">
        <v>0</v>
      </c>
      <c r="AW2855">
        <v>0</v>
      </c>
      <c r="AX2855">
        <v>6</v>
      </c>
      <c r="AY2855">
        <v>305</v>
      </c>
      <c r="AZ2855">
        <v>305</v>
      </c>
      <c r="BA2855">
        <v>508</v>
      </c>
      <c r="BB2855">
        <v>44</v>
      </c>
      <c r="BD2855">
        <v>1</v>
      </c>
      <c r="BF2855" t="s">
        <v>3061</v>
      </c>
      <c r="BG2855" s="1">
        <v>44354.083333333336</v>
      </c>
      <c r="BH2855" s="1">
        <v>44354.090949074074</v>
      </c>
      <c r="BI2855" s="1">
        <v>44354.091689814813</v>
      </c>
      <c r="BJ2855" t="s">
        <v>85</v>
      </c>
      <c r="BK2855" t="s">
        <v>86</v>
      </c>
      <c r="BL2855" t="s">
        <v>87</v>
      </c>
    </row>
    <row r="2856" spans="1:64" x14ac:dyDescent="0.3">
      <c r="A2856" t="str">
        <f>"201890C0100"</f>
        <v>201890C0100</v>
      </c>
      <c r="B2856" t="str">
        <f>"201890C01003"</f>
        <v>201890C01003</v>
      </c>
      <c r="C2856" t="str">
        <f t="shared" si="197"/>
        <v>20</v>
      </c>
      <c r="D2856" t="s">
        <v>81</v>
      </c>
      <c r="E2856" t="str">
        <f t="shared" si="200"/>
        <v>427</v>
      </c>
      <c r="F2856" t="s">
        <v>3057</v>
      </c>
      <c r="G2856" t="str">
        <f>"1890"</f>
        <v>1890</v>
      </c>
      <c r="H2856" t="str">
        <f>"0001"</f>
        <v>0001</v>
      </c>
      <c r="I2856" t="s">
        <v>89</v>
      </c>
      <c r="J2856">
        <v>0</v>
      </c>
      <c r="K2856">
        <v>1</v>
      </c>
      <c r="L2856">
        <v>3</v>
      </c>
      <c r="M2856">
        <v>218</v>
      </c>
      <c r="N2856">
        <v>334</v>
      </c>
      <c r="O2856">
        <v>1</v>
      </c>
      <c r="P2856">
        <v>334</v>
      </c>
      <c r="Q2856">
        <v>3</v>
      </c>
      <c r="R2856">
        <v>94</v>
      </c>
      <c r="S2856">
        <v>0</v>
      </c>
      <c r="T2856">
        <v>4</v>
      </c>
      <c r="U2856">
        <v>13</v>
      </c>
      <c r="V2856">
        <v>2</v>
      </c>
      <c r="X2856">
        <v>203</v>
      </c>
      <c r="Y2856">
        <v>1</v>
      </c>
      <c r="Z2856">
        <v>5</v>
      </c>
      <c r="AF2856">
        <v>3</v>
      </c>
      <c r="AG2856">
        <v>0</v>
      </c>
      <c r="AH2856">
        <v>0</v>
      </c>
      <c r="AI2856">
        <v>0</v>
      </c>
      <c r="AV2856">
        <v>0</v>
      </c>
      <c r="AW2856">
        <v>0</v>
      </c>
      <c r="AX2856">
        <v>6</v>
      </c>
      <c r="AY2856">
        <v>334</v>
      </c>
      <c r="AZ2856">
        <v>334</v>
      </c>
      <c r="BA2856">
        <v>508</v>
      </c>
      <c r="BB2856">
        <v>44</v>
      </c>
      <c r="BD2856">
        <v>1</v>
      </c>
      <c r="BF2856" t="s">
        <v>3062</v>
      </c>
      <c r="BG2856" s="1">
        <v>44354.070833333331</v>
      </c>
      <c r="BH2856" s="1">
        <v>44354.086111111108</v>
      </c>
      <c r="BI2856" s="1">
        <v>44354.086504629631</v>
      </c>
      <c r="BJ2856" t="s">
        <v>85</v>
      </c>
      <c r="BK2856" t="s">
        <v>86</v>
      </c>
      <c r="BL2856" t="s">
        <v>87</v>
      </c>
    </row>
    <row r="2857" spans="1:64" x14ac:dyDescent="0.3">
      <c r="A2857" t="str">
        <f>"201890C0200"</f>
        <v>201890C0200</v>
      </c>
      <c r="B2857" t="str">
        <f>"201890C02003"</f>
        <v>201890C02003</v>
      </c>
      <c r="C2857" t="str">
        <f t="shared" si="197"/>
        <v>20</v>
      </c>
      <c r="D2857" t="s">
        <v>81</v>
      </c>
      <c r="E2857" t="str">
        <f t="shared" si="200"/>
        <v>427</v>
      </c>
      <c r="F2857" t="s">
        <v>3057</v>
      </c>
      <c r="G2857" t="str">
        <f>"1890"</f>
        <v>1890</v>
      </c>
      <c r="H2857" t="str">
        <f>"0002"</f>
        <v>0002</v>
      </c>
      <c r="I2857" t="s">
        <v>89</v>
      </c>
      <c r="J2857">
        <v>0</v>
      </c>
      <c r="K2857">
        <v>1</v>
      </c>
      <c r="L2857">
        <v>3</v>
      </c>
      <c r="M2857">
        <v>233</v>
      </c>
      <c r="N2857">
        <v>317</v>
      </c>
      <c r="O2857">
        <v>2</v>
      </c>
      <c r="P2857">
        <v>317</v>
      </c>
      <c r="Q2857">
        <v>3</v>
      </c>
      <c r="R2857">
        <v>74</v>
      </c>
      <c r="S2857">
        <v>2</v>
      </c>
      <c r="T2857">
        <v>4</v>
      </c>
      <c r="U2857">
        <v>8</v>
      </c>
      <c r="V2857">
        <v>0</v>
      </c>
      <c r="X2857">
        <v>213</v>
      </c>
      <c r="Y2857">
        <v>1</v>
      </c>
      <c r="Z2857">
        <v>5</v>
      </c>
      <c r="AF2857">
        <v>3</v>
      </c>
      <c r="AG2857">
        <v>0</v>
      </c>
      <c r="AH2857">
        <v>0</v>
      </c>
      <c r="AI2857">
        <v>0</v>
      </c>
      <c r="AV2857">
        <v>0</v>
      </c>
      <c r="AW2857">
        <v>0</v>
      </c>
      <c r="AX2857">
        <v>4</v>
      </c>
      <c r="AY2857">
        <v>317</v>
      </c>
      <c r="AZ2857">
        <v>317</v>
      </c>
      <c r="BA2857">
        <v>507</v>
      </c>
      <c r="BB2857">
        <v>44</v>
      </c>
      <c r="BD2857">
        <v>1</v>
      </c>
      <c r="BF2857" t="s">
        <v>3063</v>
      </c>
      <c r="BG2857" s="1">
        <v>44354.15625</v>
      </c>
      <c r="BH2857" s="1">
        <v>44354.159050925926</v>
      </c>
      <c r="BI2857" s="1">
        <v>44354.159363425926</v>
      </c>
      <c r="BJ2857" t="s">
        <v>85</v>
      </c>
      <c r="BK2857" t="s">
        <v>86</v>
      </c>
      <c r="BL2857" t="s">
        <v>87</v>
      </c>
    </row>
    <row r="2858" spans="1:64" x14ac:dyDescent="0.3">
      <c r="A2858" t="str">
        <f>"201891B0000"</f>
        <v>201891B0000</v>
      </c>
      <c r="B2858" t="str">
        <f>"201891B00003"</f>
        <v>201891B00003</v>
      </c>
      <c r="C2858" t="str">
        <f t="shared" si="197"/>
        <v>20</v>
      </c>
      <c r="D2858" t="s">
        <v>81</v>
      </c>
      <c r="E2858" t="str">
        <f t="shared" si="200"/>
        <v>427</v>
      </c>
      <c r="F2858" t="s">
        <v>3057</v>
      </c>
      <c r="G2858" t="str">
        <f>"1891"</f>
        <v>1891</v>
      </c>
      <c r="H2858" t="str">
        <f>"0000"</f>
        <v>0000</v>
      </c>
      <c r="I2858" t="s">
        <v>83</v>
      </c>
      <c r="J2858">
        <v>0</v>
      </c>
      <c r="K2858">
        <v>1</v>
      </c>
      <c r="L2858">
        <v>3</v>
      </c>
      <c r="M2858">
        <v>328</v>
      </c>
      <c r="N2858">
        <v>428</v>
      </c>
      <c r="O2858">
        <v>2</v>
      </c>
      <c r="P2858">
        <v>428</v>
      </c>
      <c r="Q2858">
        <v>10</v>
      </c>
      <c r="R2858">
        <v>91</v>
      </c>
      <c r="S2858">
        <v>2</v>
      </c>
      <c r="T2858">
        <v>4</v>
      </c>
      <c r="U2858">
        <v>12</v>
      </c>
      <c r="V2858">
        <v>2</v>
      </c>
      <c r="X2858">
        <v>296</v>
      </c>
      <c r="Y2858">
        <v>3</v>
      </c>
      <c r="Z2858">
        <v>6</v>
      </c>
      <c r="AF2858">
        <v>1</v>
      </c>
      <c r="AG2858">
        <v>0</v>
      </c>
      <c r="AH2858">
        <v>0</v>
      </c>
      <c r="AI2858">
        <v>0</v>
      </c>
      <c r="AV2858">
        <v>0</v>
      </c>
      <c r="AW2858">
        <v>0</v>
      </c>
      <c r="AX2858">
        <v>1</v>
      </c>
      <c r="AY2858">
        <v>428</v>
      </c>
      <c r="AZ2858">
        <v>428</v>
      </c>
      <c r="BA2858">
        <v>712</v>
      </c>
      <c r="BB2858">
        <v>44</v>
      </c>
      <c r="BD2858">
        <v>1</v>
      </c>
      <c r="BF2858" t="s">
        <v>3064</v>
      </c>
      <c r="BG2858" s="1">
        <v>44354.094444444447</v>
      </c>
      <c r="BH2858" s="1">
        <v>44354.098796296297</v>
      </c>
      <c r="BI2858" s="1">
        <v>44354.099131944444</v>
      </c>
      <c r="BJ2858" t="s">
        <v>85</v>
      </c>
      <c r="BK2858" t="s">
        <v>86</v>
      </c>
      <c r="BL2858" t="s">
        <v>87</v>
      </c>
    </row>
    <row r="2859" spans="1:64" x14ac:dyDescent="0.3">
      <c r="A2859" t="str">
        <f>"201891C0100"</f>
        <v>201891C0100</v>
      </c>
      <c r="B2859" t="str">
        <f>"201891C01003"</f>
        <v>201891C01003</v>
      </c>
      <c r="C2859" t="str">
        <f t="shared" si="197"/>
        <v>20</v>
      </c>
      <c r="D2859" t="s">
        <v>81</v>
      </c>
      <c r="E2859" t="str">
        <f t="shared" si="200"/>
        <v>427</v>
      </c>
      <c r="F2859" t="s">
        <v>3057</v>
      </c>
      <c r="G2859" t="str">
        <f>"1891"</f>
        <v>1891</v>
      </c>
      <c r="H2859" t="str">
        <f>"0001"</f>
        <v>0001</v>
      </c>
      <c r="I2859" t="s">
        <v>89</v>
      </c>
      <c r="J2859">
        <v>0</v>
      </c>
      <c r="K2859">
        <v>1</v>
      </c>
      <c r="L2859">
        <v>3</v>
      </c>
      <c r="M2859">
        <v>288</v>
      </c>
      <c r="N2859">
        <v>468</v>
      </c>
      <c r="O2859">
        <v>0</v>
      </c>
      <c r="P2859">
        <v>468</v>
      </c>
      <c r="Q2859">
        <v>1</v>
      </c>
      <c r="R2859">
        <v>107</v>
      </c>
      <c r="S2859">
        <v>6</v>
      </c>
      <c r="T2859">
        <v>5</v>
      </c>
      <c r="U2859">
        <v>7</v>
      </c>
      <c r="V2859">
        <v>2</v>
      </c>
      <c r="X2859">
        <v>331</v>
      </c>
      <c r="Y2859">
        <v>1</v>
      </c>
      <c r="Z2859">
        <v>1</v>
      </c>
      <c r="AF2859">
        <v>4</v>
      </c>
      <c r="AG2859">
        <v>0</v>
      </c>
      <c r="AH2859">
        <v>0</v>
      </c>
      <c r="AI2859">
        <v>0</v>
      </c>
      <c r="AV2859">
        <v>0</v>
      </c>
      <c r="AW2859">
        <v>0</v>
      </c>
      <c r="AX2859">
        <v>3</v>
      </c>
      <c r="AY2859">
        <v>468</v>
      </c>
      <c r="AZ2859">
        <v>468</v>
      </c>
      <c r="BA2859">
        <v>712</v>
      </c>
      <c r="BB2859">
        <v>44</v>
      </c>
      <c r="BD2859">
        <v>1</v>
      </c>
      <c r="BF2859" t="s">
        <v>3065</v>
      </c>
      <c r="BG2859" s="1">
        <v>44354.086111111108</v>
      </c>
      <c r="BH2859" s="1">
        <v>44354.094675925924</v>
      </c>
      <c r="BI2859" s="1">
        <v>44354.095173611109</v>
      </c>
      <c r="BJ2859" t="s">
        <v>85</v>
      </c>
      <c r="BK2859" t="s">
        <v>86</v>
      </c>
      <c r="BL2859" t="s">
        <v>87</v>
      </c>
    </row>
    <row r="2860" spans="1:64" x14ac:dyDescent="0.3">
      <c r="A2860" t="str">
        <f>"201892B0000"</f>
        <v>201892B0000</v>
      </c>
      <c r="B2860" t="str">
        <f>"201892B00003"</f>
        <v>201892B00003</v>
      </c>
      <c r="C2860" t="str">
        <f t="shared" si="197"/>
        <v>20</v>
      </c>
      <c r="D2860" t="s">
        <v>81</v>
      </c>
      <c r="E2860" t="str">
        <f t="shared" si="200"/>
        <v>427</v>
      </c>
      <c r="F2860" t="s">
        <v>3057</v>
      </c>
      <c r="G2860" t="str">
        <f>"1892"</f>
        <v>1892</v>
      </c>
      <c r="H2860" t="str">
        <f>"0000"</f>
        <v>0000</v>
      </c>
      <c r="I2860" t="s">
        <v>83</v>
      </c>
      <c r="J2860">
        <v>0</v>
      </c>
      <c r="K2860">
        <v>1</v>
      </c>
      <c r="L2860">
        <v>3</v>
      </c>
      <c r="M2860">
        <v>235</v>
      </c>
      <c r="N2860">
        <v>358</v>
      </c>
      <c r="O2860">
        <v>1</v>
      </c>
      <c r="P2860">
        <v>358</v>
      </c>
      <c r="Q2860">
        <v>2</v>
      </c>
      <c r="R2860">
        <v>71</v>
      </c>
      <c r="S2860">
        <v>1</v>
      </c>
      <c r="T2860">
        <v>5</v>
      </c>
      <c r="U2860">
        <v>5</v>
      </c>
      <c r="V2860">
        <v>1</v>
      </c>
      <c r="X2860">
        <v>255</v>
      </c>
      <c r="Y2860">
        <v>0</v>
      </c>
      <c r="Z2860">
        <v>0</v>
      </c>
      <c r="AF2860">
        <v>1</v>
      </c>
      <c r="AG2860">
        <v>2</v>
      </c>
      <c r="AH2860">
        <v>0</v>
      </c>
      <c r="AI2860">
        <v>0</v>
      </c>
      <c r="AV2860">
        <v>0</v>
      </c>
      <c r="AW2860">
        <v>0</v>
      </c>
      <c r="AX2860">
        <v>15</v>
      </c>
      <c r="AY2860">
        <v>358</v>
      </c>
      <c r="AZ2860">
        <v>358</v>
      </c>
      <c r="BA2860">
        <v>549</v>
      </c>
      <c r="BB2860">
        <v>44</v>
      </c>
      <c r="BD2860">
        <v>1</v>
      </c>
      <c r="BF2860" t="s">
        <v>3066</v>
      </c>
      <c r="BG2860" s="1">
        <v>44354.080555555556</v>
      </c>
      <c r="BH2860" s="1">
        <v>44354.08834490741</v>
      </c>
      <c r="BI2860" s="1">
        <v>44354.088807870372</v>
      </c>
      <c r="BJ2860" t="s">
        <v>85</v>
      </c>
      <c r="BK2860" t="s">
        <v>86</v>
      </c>
      <c r="BL2860" t="s">
        <v>87</v>
      </c>
    </row>
    <row r="2861" spans="1:64" x14ac:dyDescent="0.3">
      <c r="A2861" t="str">
        <f>"201892C0100"</f>
        <v>201892C0100</v>
      </c>
      <c r="B2861" t="str">
        <f>"201892C01003"</f>
        <v>201892C01003</v>
      </c>
      <c r="C2861" t="str">
        <f t="shared" si="197"/>
        <v>20</v>
      </c>
      <c r="D2861" t="s">
        <v>81</v>
      </c>
      <c r="E2861" t="str">
        <f t="shared" si="200"/>
        <v>427</v>
      </c>
      <c r="F2861" t="s">
        <v>3057</v>
      </c>
      <c r="G2861" t="str">
        <f>"1892"</f>
        <v>1892</v>
      </c>
      <c r="H2861" t="str">
        <f>"0001"</f>
        <v>0001</v>
      </c>
      <c r="I2861" t="s">
        <v>89</v>
      </c>
      <c r="J2861">
        <v>0</v>
      </c>
      <c r="K2861">
        <v>1</v>
      </c>
      <c r="L2861">
        <v>3</v>
      </c>
      <c r="M2861">
        <v>254</v>
      </c>
      <c r="N2861">
        <v>339</v>
      </c>
      <c r="O2861">
        <v>0</v>
      </c>
      <c r="P2861">
        <v>339</v>
      </c>
      <c r="Q2861">
        <v>2</v>
      </c>
      <c r="R2861">
        <v>71</v>
      </c>
      <c r="S2861">
        <v>1</v>
      </c>
      <c r="T2861">
        <v>4</v>
      </c>
      <c r="U2861">
        <v>6</v>
      </c>
      <c r="V2861">
        <v>1</v>
      </c>
      <c r="X2861">
        <v>242</v>
      </c>
      <c r="Y2861">
        <v>1</v>
      </c>
      <c r="Z2861">
        <v>2</v>
      </c>
      <c r="AF2861">
        <v>2</v>
      </c>
      <c r="AG2861">
        <v>0</v>
      </c>
      <c r="AH2861">
        <v>0</v>
      </c>
      <c r="AI2861">
        <v>0</v>
      </c>
      <c r="AV2861">
        <v>0</v>
      </c>
      <c r="AW2861">
        <v>1</v>
      </c>
      <c r="AX2861">
        <v>6</v>
      </c>
      <c r="AY2861">
        <v>339</v>
      </c>
      <c r="AZ2861">
        <v>339</v>
      </c>
      <c r="BA2861">
        <v>549</v>
      </c>
      <c r="BB2861">
        <v>44</v>
      </c>
      <c r="BD2861">
        <v>1</v>
      </c>
      <c r="BF2861" t="s">
        <v>3067</v>
      </c>
      <c r="BG2861" s="1">
        <v>44354.075694444444</v>
      </c>
      <c r="BH2861" s="1">
        <v>44354.087696759256</v>
      </c>
      <c r="BI2861" s="1">
        <v>44354.089178240742</v>
      </c>
      <c r="BJ2861" t="s">
        <v>85</v>
      </c>
      <c r="BK2861" t="s">
        <v>86</v>
      </c>
      <c r="BL2861" t="s">
        <v>87</v>
      </c>
    </row>
    <row r="2862" spans="1:64" x14ac:dyDescent="0.3">
      <c r="A2862" t="str">
        <f>"201893B0000"</f>
        <v>201893B0000</v>
      </c>
      <c r="B2862" t="str">
        <f>"201893B00003"</f>
        <v>201893B00003</v>
      </c>
      <c r="C2862" t="str">
        <f t="shared" si="197"/>
        <v>20</v>
      </c>
      <c r="D2862" t="s">
        <v>81</v>
      </c>
      <c r="E2862" t="str">
        <f t="shared" si="200"/>
        <v>427</v>
      </c>
      <c r="F2862" t="s">
        <v>3057</v>
      </c>
      <c r="G2862" t="str">
        <f>"1893"</f>
        <v>1893</v>
      </c>
      <c r="H2862" t="str">
        <f>"0000"</f>
        <v>0000</v>
      </c>
      <c r="I2862" t="s">
        <v>83</v>
      </c>
      <c r="J2862">
        <v>0</v>
      </c>
      <c r="K2862">
        <v>1</v>
      </c>
      <c r="L2862">
        <v>3</v>
      </c>
      <c r="M2862">
        <v>329</v>
      </c>
      <c r="N2862">
        <v>317</v>
      </c>
      <c r="O2862">
        <v>0</v>
      </c>
      <c r="P2862">
        <v>317</v>
      </c>
      <c r="Q2862">
        <v>6</v>
      </c>
      <c r="R2862">
        <v>75</v>
      </c>
      <c r="S2862">
        <v>4</v>
      </c>
      <c r="T2862">
        <v>6</v>
      </c>
      <c r="U2862">
        <v>8</v>
      </c>
      <c r="V2862">
        <v>5</v>
      </c>
      <c r="X2862">
        <v>191</v>
      </c>
      <c r="Y2862">
        <v>0</v>
      </c>
      <c r="Z2862">
        <v>7</v>
      </c>
      <c r="AF2862">
        <v>1</v>
      </c>
      <c r="AG2862">
        <v>2</v>
      </c>
      <c r="AH2862">
        <v>0</v>
      </c>
      <c r="AI2862">
        <v>0</v>
      </c>
      <c r="AV2862">
        <v>1</v>
      </c>
      <c r="AW2862">
        <v>0</v>
      </c>
      <c r="AX2862">
        <v>12</v>
      </c>
      <c r="AY2862">
        <v>317</v>
      </c>
      <c r="AZ2862">
        <v>318</v>
      </c>
      <c r="BA2862">
        <v>602</v>
      </c>
      <c r="BB2862">
        <v>44</v>
      </c>
      <c r="BD2862">
        <v>1</v>
      </c>
      <c r="BF2862" t="s">
        <v>3068</v>
      </c>
      <c r="BG2862" s="1">
        <v>44353.897569444445</v>
      </c>
      <c r="BH2862" s="1">
        <v>44353.903194444443</v>
      </c>
      <c r="BI2862" s="1">
        <v>44353.904236111113</v>
      </c>
      <c r="BJ2862" t="s">
        <v>197</v>
      </c>
      <c r="BK2862" t="s">
        <v>198</v>
      </c>
      <c r="BL2862" t="s">
        <v>87</v>
      </c>
    </row>
    <row r="2863" spans="1:64" x14ac:dyDescent="0.3">
      <c r="A2863" t="str">
        <f>"201893C0100"</f>
        <v>201893C0100</v>
      </c>
      <c r="B2863" t="str">
        <f>"201893C01003"</f>
        <v>201893C01003</v>
      </c>
      <c r="C2863" t="str">
        <f t="shared" si="197"/>
        <v>20</v>
      </c>
      <c r="D2863" t="s">
        <v>81</v>
      </c>
      <c r="E2863" t="str">
        <f t="shared" si="200"/>
        <v>427</v>
      </c>
      <c r="F2863" t="s">
        <v>3057</v>
      </c>
      <c r="G2863" t="str">
        <f>"1893"</f>
        <v>1893</v>
      </c>
      <c r="H2863" t="str">
        <f>"0001"</f>
        <v>0001</v>
      </c>
      <c r="I2863" t="s">
        <v>89</v>
      </c>
      <c r="J2863">
        <v>0</v>
      </c>
      <c r="K2863">
        <v>1</v>
      </c>
      <c r="L2863">
        <v>3</v>
      </c>
      <c r="M2863">
        <v>333</v>
      </c>
      <c r="N2863">
        <v>317</v>
      </c>
      <c r="O2863">
        <v>0</v>
      </c>
      <c r="P2863">
        <v>315</v>
      </c>
      <c r="Q2863">
        <v>6</v>
      </c>
      <c r="R2863">
        <v>82</v>
      </c>
      <c r="S2863">
        <v>3</v>
      </c>
      <c r="T2863">
        <v>11</v>
      </c>
      <c r="U2863">
        <v>6</v>
      </c>
      <c r="V2863">
        <v>3</v>
      </c>
      <c r="X2863">
        <v>191</v>
      </c>
      <c r="Y2863">
        <v>0</v>
      </c>
      <c r="Z2863">
        <v>2</v>
      </c>
      <c r="AF2863">
        <v>2</v>
      </c>
      <c r="AG2863">
        <v>0</v>
      </c>
      <c r="AH2863">
        <v>0</v>
      </c>
      <c r="AI2863">
        <v>0</v>
      </c>
      <c r="AV2863">
        <v>0</v>
      </c>
      <c r="AW2863">
        <v>0</v>
      </c>
      <c r="AX2863">
        <v>9</v>
      </c>
      <c r="AY2863">
        <v>315</v>
      </c>
      <c r="AZ2863">
        <v>315</v>
      </c>
      <c r="BA2863">
        <v>602</v>
      </c>
      <c r="BB2863">
        <v>44</v>
      </c>
      <c r="BD2863">
        <v>1</v>
      </c>
      <c r="BF2863" t="s">
        <v>3069</v>
      </c>
      <c r="BG2863" s="1">
        <v>44353.919247685182</v>
      </c>
      <c r="BH2863" s="1">
        <v>44353.925358796296</v>
      </c>
      <c r="BI2863" s="1">
        <v>44353.926400462966</v>
      </c>
      <c r="BJ2863" t="s">
        <v>197</v>
      </c>
      <c r="BK2863" t="s">
        <v>198</v>
      </c>
      <c r="BL2863" t="s">
        <v>87</v>
      </c>
    </row>
    <row r="2864" spans="1:64" x14ac:dyDescent="0.3">
      <c r="A2864" t="str">
        <f>"201893C0200"</f>
        <v>201893C0200</v>
      </c>
      <c r="B2864" t="str">
        <f>"201893C02003"</f>
        <v>201893C02003</v>
      </c>
      <c r="C2864" t="str">
        <f t="shared" si="197"/>
        <v>20</v>
      </c>
      <c r="D2864" t="s">
        <v>81</v>
      </c>
      <c r="E2864" t="str">
        <f t="shared" si="200"/>
        <v>427</v>
      </c>
      <c r="F2864" t="s">
        <v>3057</v>
      </c>
      <c r="G2864" t="str">
        <f>"1893"</f>
        <v>1893</v>
      </c>
      <c r="H2864" t="str">
        <f>"0002"</f>
        <v>0002</v>
      </c>
      <c r="I2864" t="s">
        <v>89</v>
      </c>
      <c r="J2864">
        <v>0</v>
      </c>
      <c r="K2864">
        <v>1</v>
      </c>
      <c r="L2864">
        <v>3</v>
      </c>
      <c r="M2864">
        <v>305</v>
      </c>
      <c r="N2864">
        <v>340</v>
      </c>
      <c r="O2864">
        <v>2</v>
      </c>
      <c r="P2864">
        <v>339</v>
      </c>
      <c r="Q2864">
        <v>6</v>
      </c>
      <c r="R2864">
        <v>76</v>
      </c>
      <c r="S2864">
        <v>2</v>
      </c>
      <c r="T2864">
        <v>7</v>
      </c>
      <c r="U2864">
        <v>14</v>
      </c>
      <c r="V2864">
        <v>3</v>
      </c>
      <c r="X2864">
        <v>212</v>
      </c>
      <c r="Y2864">
        <v>0</v>
      </c>
      <c r="Z2864">
        <v>4</v>
      </c>
      <c r="AF2864">
        <v>1</v>
      </c>
      <c r="AG2864">
        <v>0</v>
      </c>
      <c r="AH2864">
        <v>0</v>
      </c>
      <c r="AI2864">
        <v>0</v>
      </c>
      <c r="AV2864">
        <v>0</v>
      </c>
      <c r="AW2864">
        <v>0</v>
      </c>
      <c r="AX2864">
        <v>14</v>
      </c>
      <c r="AY2864">
        <v>339</v>
      </c>
      <c r="AZ2864">
        <v>339</v>
      </c>
      <c r="BA2864">
        <v>602</v>
      </c>
      <c r="BB2864">
        <v>44</v>
      </c>
      <c r="BD2864">
        <v>1</v>
      </c>
      <c r="BF2864" t="s">
        <v>3070</v>
      </c>
      <c r="BG2864" s="1">
        <v>44353.908425925925</v>
      </c>
      <c r="BH2864" s="1">
        <v>44353.909837962965</v>
      </c>
      <c r="BI2864" s="1">
        <v>44353.910740740743</v>
      </c>
      <c r="BJ2864" t="s">
        <v>197</v>
      </c>
      <c r="BK2864" t="s">
        <v>198</v>
      </c>
      <c r="BL2864" t="s">
        <v>87</v>
      </c>
    </row>
    <row r="2865" spans="1:64" x14ac:dyDescent="0.3">
      <c r="A2865" t="str">
        <f>"201894B0000"</f>
        <v>201894B0000</v>
      </c>
      <c r="B2865" t="str">
        <f>"201894B00003"</f>
        <v>201894B00003</v>
      </c>
      <c r="C2865" t="str">
        <f t="shared" si="197"/>
        <v>20</v>
      </c>
      <c r="D2865" t="s">
        <v>81</v>
      </c>
      <c r="E2865" t="str">
        <f t="shared" si="200"/>
        <v>427</v>
      </c>
      <c r="F2865" t="s">
        <v>3057</v>
      </c>
      <c r="G2865" t="str">
        <f>"1894"</f>
        <v>1894</v>
      </c>
      <c r="H2865" t="str">
        <f>"0000"</f>
        <v>0000</v>
      </c>
      <c r="I2865" t="s">
        <v>83</v>
      </c>
      <c r="J2865">
        <v>0</v>
      </c>
      <c r="K2865">
        <v>1</v>
      </c>
      <c r="L2865">
        <v>3</v>
      </c>
      <c r="M2865">
        <v>197</v>
      </c>
      <c r="N2865">
        <v>386</v>
      </c>
      <c r="O2865">
        <v>0</v>
      </c>
      <c r="P2865" t="s">
        <v>92</v>
      </c>
      <c r="Q2865">
        <v>1</v>
      </c>
      <c r="R2865">
        <v>103</v>
      </c>
      <c r="S2865">
        <v>3</v>
      </c>
      <c r="T2865">
        <v>6</v>
      </c>
      <c r="U2865">
        <v>19</v>
      </c>
      <c r="V2865">
        <v>4</v>
      </c>
      <c r="X2865">
        <v>228</v>
      </c>
      <c r="Y2865">
        <v>3</v>
      </c>
      <c r="Z2865">
        <v>6</v>
      </c>
      <c r="AF2865">
        <v>1</v>
      </c>
      <c r="AG2865">
        <v>0</v>
      </c>
      <c r="AH2865">
        <v>0</v>
      </c>
      <c r="AI2865">
        <v>0</v>
      </c>
      <c r="AV2865">
        <v>0</v>
      </c>
      <c r="AW2865">
        <v>0</v>
      </c>
      <c r="AX2865">
        <v>11</v>
      </c>
      <c r="AY2865">
        <v>385</v>
      </c>
      <c r="AZ2865">
        <v>385</v>
      </c>
      <c r="BA2865">
        <v>539</v>
      </c>
      <c r="BB2865">
        <v>44</v>
      </c>
      <c r="BD2865">
        <v>1</v>
      </c>
      <c r="BF2865" t="s">
        <v>3071</v>
      </c>
      <c r="BG2865" s="1">
        <v>44354.029166666667</v>
      </c>
      <c r="BH2865" s="1">
        <v>44354.037974537037</v>
      </c>
      <c r="BI2865" s="1">
        <v>44354.038553240738</v>
      </c>
      <c r="BJ2865" t="s">
        <v>85</v>
      </c>
      <c r="BK2865" t="s">
        <v>86</v>
      </c>
      <c r="BL2865" t="s">
        <v>87</v>
      </c>
    </row>
    <row r="2866" spans="1:64" x14ac:dyDescent="0.3">
      <c r="A2866" t="str">
        <f>"201894C0100"</f>
        <v>201894C0100</v>
      </c>
      <c r="B2866" t="str">
        <f>"201894C01003"</f>
        <v>201894C01003</v>
      </c>
      <c r="C2866" t="str">
        <f t="shared" si="197"/>
        <v>20</v>
      </c>
      <c r="D2866" t="s">
        <v>81</v>
      </c>
      <c r="E2866" t="str">
        <f t="shared" si="200"/>
        <v>427</v>
      </c>
      <c r="F2866" t="s">
        <v>3057</v>
      </c>
      <c r="G2866" t="str">
        <f>"1894"</f>
        <v>1894</v>
      </c>
      <c r="H2866" t="str">
        <f>"0001"</f>
        <v>0001</v>
      </c>
      <c r="I2866" t="s">
        <v>89</v>
      </c>
      <c r="J2866">
        <v>0</v>
      </c>
      <c r="K2866">
        <v>1</v>
      </c>
      <c r="L2866">
        <v>3</v>
      </c>
      <c r="M2866">
        <v>224</v>
      </c>
      <c r="N2866">
        <v>358</v>
      </c>
      <c r="O2866">
        <v>2</v>
      </c>
      <c r="P2866">
        <v>356</v>
      </c>
      <c r="Q2866">
        <v>3</v>
      </c>
      <c r="R2866">
        <v>88</v>
      </c>
      <c r="S2866">
        <v>7</v>
      </c>
      <c r="T2866">
        <v>3</v>
      </c>
      <c r="U2866">
        <v>23</v>
      </c>
      <c r="V2866">
        <v>0</v>
      </c>
      <c r="X2866">
        <v>204</v>
      </c>
      <c r="Y2866">
        <v>5</v>
      </c>
      <c r="Z2866">
        <v>5</v>
      </c>
      <c r="AF2866">
        <v>0</v>
      </c>
      <c r="AG2866">
        <v>0</v>
      </c>
      <c r="AH2866">
        <v>0</v>
      </c>
      <c r="AI2866">
        <v>0</v>
      </c>
      <c r="AV2866">
        <v>0</v>
      </c>
      <c r="AW2866">
        <v>0</v>
      </c>
      <c r="AX2866">
        <v>18</v>
      </c>
      <c r="AY2866">
        <v>356</v>
      </c>
      <c r="AZ2866">
        <v>356</v>
      </c>
      <c r="BA2866">
        <v>538</v>
      </c>
      <c r="BB2866">
        <v>44</v>
      </c>
      <c r="BD2866">
        <v>1</v>
      </c>
      <c r="BF2866" t="s">
        <v>3072</v>
      </c>
      <c r="BG2866" s="1">
        <v>44354.032638888886</v>
      </c>
      <c r="BH2866" s="1">
        <v>44354.041365740741</v>
      </c>
      <c r="BI2866" s="1">
        <v>44354.042511574073</v>
      </c>
      <c r="BJ2866" t="s">
        <v>85</v>
      </c>
      <c r="BK2866" t="s">
        <v>86</v>
      </c>
      <c r="BL2866" t="s">
        <v>87</v>
      </c>
    </row>
    <row r="2867" spans="1:64" x14ac:dyDescent="0.3">
      <c r="A2867" t="str">
        <f>"201894E0100"</f>
        <v>201894E0100</v>
      </c>
      <c r="B2867" t="str">
        <f>"201894E01003"</f>
        <v>201894E01003</v>
      </c>
      <c r="C2867" t="str">
        <f t="shared" si="197"/>
        <v>20</v>
      </c>
      <c r="D2867" t="s">
        <v>81</v>
      </c>
      <c r="E2867" t="str">
        <f t="shared" si="200"/>
        <v>427</v>
      </c>
      <c r="F2867" t="s">
        <v>3057</v>
      </c>
      <c r="G2867" t="str">
        <f>"1894"</f>
        <v>1894</v>
      </c>
      <c r="H2867" t="str">
        <f>"0001"</f>
        <v>0001</v>
      </c>
      <c r="I2867" t="s">
        <v>122</v>
      </c>
      <c r="J2867">
        <v>0</v>
      </c>
      <c r="K2867">
        <v>1</v>
      </c>
      <c r="L2867">
        <v>3</v>
      </c>
      <c r="M2867">
        <v>122</v>
      </c>
      <c r="N2867">
        <v>298</v>
      </c>
      <c r="O2867">
        <v>0</v>
      </c>
      <c r="P2867">
        <v>298</v>
      </c>
      <c r="Q2867">
        <v>0</v>
      </c>
      <c r="R2867">
        <v>78</v>
      </c>
      <c r="S2867">
        <v>1</v>
      </c>
      <c r="T2867">
        <v>2</v>
      </c>
      <c r="U2867">
        <v>12</v>
      </c>
      <c r="V2867">
        <v>1</v>
      </c>
      <c r="X2867">
        <v>195</v>
      </c>
      <c r="Y2867">
        <v>2</v>
      </c>
      <c r="Z2867">
        <v>0</v>
      </c>
      <c r="AF2867">
        <v>2</v>
      </c>
      <c r="AG2867">
        <v>0</v>
      </c>
      <c r="AH2867">
        <v>0</v>
      </c>
      <c r="AI2867">
        <v>0</v>
      </c>
      <c r="AV2867">
        <v>0</v>
      </c>
      <c r="AW2867">
        <v>0</v>
      </c>
      <c r="AX2867">
        <v>5</v>
      </c>
      <c r="AY2867">
        <v>298</v>
      </c>
      <c r="AZ2867">
        <v>298</v>
      </c>
      <c r="BA2867">
        <v>376</v>
      </c>
      <c r="BB2867">
        <v>44</v>
      </c>
      <c r="BD2867">
        <v>1</v>
      </c>
      <c r="BF2867" t="s">
        <v>3073</v>
      </c>
      <c r="BG2867" s="1">
        <v>44354.035416666666</v>
      </c>
      <c r="BH2867" s="1">
        <v>44354.044953703706</v>
      </c>
      <c r="BI2867" s="1">
        <v>44354.045451388891</v>
      </c>
      <c r="BJ2867" t="s">
        <v>85</v>
      </c>
      <c r="BK2867" t="s">
        <v>86</v>
      </c>
      <c r="BL2867" t="s">
        <v>87</v>
      </c>
    </row>
    <row r="2868" spans="1:64" x14ac:dyDescent="0.3">
      <c r="A2868" t="str">
        <f>"201895B0000"</f>
        <v>201895B0000</v>
      </c>
      <c r="B2868" t="str">
        <f>"201895B00003"</f>
        <v>201895B00003</v>
      </c>
      <c r="C2868" t="str">
        <f t="shared" si="197"/>
        <v>20</v>
      </c>
      <c r="D2868" t="s">
        <v>81</v>
      </c>
      <c r="E2868" t="str">
        <f t="shared" si="200"/>
        <v>427</v>
      </c>
      <c r="F2868" t="s">
        <v>3057</v>
      </c>
      <c r="G2868" t="str">
        <f>"1895"</f>
        <v>1895</v>
      </c>
      <c r="H2868" t="str">
        <f>"0000"</f>
        <v>0000</v>
      </c>
      <c r="I2868" t="s">
        <v>83</v>
      </c>
      <c r="J2868">
        <v>0</v>
      </c>
      <c r="K2868">
        <v>1</v>
      </c>
      <c r="L2868">
        <v>3</v>
      </c>
      <c r="M2868">
        <v>147</v>
      </c>
      <c r="N2868">
        <v>402</v>
      </c>
      <c r="O2868">
        <v>2</v>
      </c>
      <c r="P2868">
        <v>402</v>
      </c>
      <c r="Q2868">
        <v>2</v>
      </c>
      <c r="R2868">
        <v>162</v>
      </c>
      <c r="S2868">
        <v>1</v>
      </c>
      <c r="T2868">
        <v>4</v>
      </c>
      <c r="U2868">
        <v>1</v>
      </c>
      <c r="V2868">
        <v>0</v>
      </c>
      <c r="X2868">
        <v>225</v>
      </c>
      <c r="Y2868">
        <v>0</v>
      </c>
      <c r="Z2868">
        <v>1</v>
      </c>
      <c r="AF2868">
        <v>1</v>
      </c>
      <c r="AG2868">
        <v>1</v>
      </c>
      <c r="AH2868">
        <v>0</v>
      </c>
      <c r="AI2868">
        <v>1</v>
      </c>
      <c r="AV2868">
        <v>0</v>
      </c>
      <c r="AW2868">
        <v>0</v>
      </c>
      <c r="AX2868">
        <v>3</v>
      </c>
      <c r="AY2868">
        <v>402</v>
      </c>
      <c r="AZ2868">
        <v>402</v>
      </c>
      <c r="BA2868">
        <v>505</v>
      </c>
      <c r="BB2868">
        <v>44</v>
      </c>
      <c r="BD2868">
        <v>1</v>
      </c>
      <c r="BF2868" t="s">
        <v>3074</v>
      </c>
      <c r="BG2868" s="1">
        <v>44353.982152777775</v>
      </c>
      <c r="BH2868" s="1">
        <v>44354.039236111108</v>
      </c>
      <c r="BI2868" s="1">
        <v>44354.039918981478</v>
      </c>
      <c r="BJ2868" t="s">
        <v>197</v>
      </c>
      <c r="BK2868" t="s">
        <v>198</v>
      </c>
      <c r="BL2868" t="s">
        <v>87</v>
      </c>
    </row>
    <row r="2869" spans="1:64" x14ac:dyDescent="0.3">
      <c r="A2869" t="str">
        <f>"201895C0100"</f>
        <v>201895C0100</v>
      </c>
      <c r="B2869" t="str">
        <f>"201895C01003"</f>
        <v>201895C01003</v>
      </c>
      <c r="C2869" t="str">
        <f t="shared" si="197"/>
        <v>20</v>
      </c>
      <c r="D2869" t="s">
        <v>81</v>
      </c>
      <c r="E2869" t="str">
        <f t="shared" si="200"/>
        <v>427</v>
      </c>
      <c r="F2869" t="s">
        <v>3057</v>
      </c>
      <c r="G2869" t="str">
        <f>"1895"</f>
        <v>1895</v>
      </c>
      <c r="H2869" t="str">
        <f>"0001"</f>
        <v>0001</v>
      </c>
      <c r="I2869" t="s">
        <v>89</v>
      </c>
      <c r="J2869">
        <v>0</v>
      </c>
      <c r="K2869">
        <v>1</v>
      </c>
      <c r="L2869">
        <v>3</v>
      </c>
      <c r="M2869">
        <v>153</v>
      </c>
      <c r="N2869">
        <v>393</v>
      </c>
      <c r="O2869">
        <v>2</v>
      </c>
      <c r="P2869">
        <v>395</v>
      </c>
      <c r="Q2869">
        <v>0</v>
      </c>
      <c r="R2869">
        <v>144</v>
      </c>
      <c r="S2869">
        <v>4</v>
      </c>
      <c r="T2869">
        <v>3</v>
      </c>
      <c r="U2869">
        <v>1</v>
      </c>
      <c r="V2869">
        <v>0</v>
      </c>
      <c r="X2869">
        <v>235</v>
      </c>
      <c r="Y2869">
        <v>2</v>
      </c>
      <c r="Z2869">
        <v>1</v>
      </c>
      <c r="AF2869">
        <v>1</v>
      </c>
      <c r="AG2869">
        <v>0</v>
      </c>
      <c r="AH2869">
        <v>0</v>
      </c>
      <c r="AI2869">
        <v>0</v>
      </c>
      <c r="AV2869">
        <v>0</v>
      </c>
      <c r="AW2869">
        <v>0</v>
      </c>
      <c r="AX2869">
        <v>3</v>
      </c>
      <c r="AY2869">
        <v>395</v>
      </c>
      <c r="AZ2869">
        <v>394</v>
      </c>
      <c r="BA2869">
        <v>504</v>
      </c>
      <c r="BB2869">
        <v>44</v>
      </c>
      <c r="BD2869">
        <v>1</v>
      </c>
      <c r="BF2869" t="s">
        <v>3075</v>
      </c>
      <c r="BG2869" s="1">
        <v>44353.973356481481</v>
      </c>
      <c r="BH2869" s="1">
        <v>44354.039606481485</v>
      </c>
      <c r="BI2869" s="1">
        <v>44354.040324074071</v>
      </c>
      <c r="BJ2869" t="s">
        <v>197</v>
      </c>
      <c r="BK2869" t="s">
        <v>198</v>
      </c>
      <c r="BL2869" t="s">
        <v>87</v>
      </c>
    </row>
    <row r="2870" spans="1:64" x14ac:dyDescent="0.3">
      <c r="A2870" t="str">
        <f>"201895E0100"</f>
        <v>201895E0100</v>
      </c>
      <c r="B2870" t="str">
        <f>"201895E01003"</f>
        <v>201895E01003</v>
      </c>
      <c r="C2870" t="str">
        <f t="shared" si="197"/>
        <v>20</v>
      </c>
      <c r="D2870" t="s">
        <v>81</v>
      </c>
      <c r="E2870" t="str">
        <f t="shared" si="200"/>
        <v>427</v>
      </c>
      <c r="F2870" t="s">
        <v>3057</v>
      </c>
      <c r="G2870" t="str">
        <f>"1895"</f>
        <v>1895</v>
      </c>
      <c r="H2870" t="str">
        <f>"0001"</f>
        <v>0001</v>
      </c>
      <c r="I2870" t="s">
        <v>122</v>
      </c>
      <c r="J2870">
        <v>0</v>
      </c>
      <c r="K2870">
        <v>1</v>
      </c>
      <c r="L2870">
        <v>3</v>
      </c>
      <c r="M2870">
        <v>105</v>
      </c>
      <c r="N2870">
        <v>343</v>
      </c>
      <c r="O2870">
        <v>1</v>
      </c>
      <c r="P2870">
        <v>343</v>
      </c>
      <c r="Q2870">
        <v>1</v>
      </c>
      <c r="R2870">
        <v>122</v>
      </c>
      <c r="S2870">
        <v>7</v>
      </c>
      <c r="T2870">
        <v>1</v>
      </c>
      <c r="U2870">
        <v>1</v>
      </c>
      <c r="V2870">
        <v>5</v>
      </c>
      <c r="X2870">
        <v>197</v>
      </c>
      <c r="Y2870">
        <v>2</v>
      </c>
      <c r="Z2870">
        <v>3</v>
      </c>
      <c r="AF2870">
        <v>0</v>
      </c>
      <c r="AG2870">
        <v>0</v>
      </c>
      <c r="AH2870">
        <v>0</v>
      </c>
      <c r="AI2870">
        <v>0</v>
      </c>
      <c r="AV2870">
        <v>0</v>
      </c>
      <c r="AW2870">
        <v>0</v>
      </c>
      <c r="AX2870">
        <v>4</v>
      </c>
      <c r="AY2870">
        <v>343</v>
      </c>
      <c r="AZ2870">
        <v>343</v>
      </c>
      <c r="BA2870">
        <v>404</v>
      </c>
      <c r="BB2870">
        <v>44</v>
      </c>
      <c r="BD2870">
        <v>1</v>
      </c>
      <c r="BF2870" t="s">
        <v>3076</v>
      </c>
      <c r="BG2870" s="1">
        <v>44354.128472222219</v>
      </c>
      <c r="BH2870" s="1">
        <v>44354.13212962963</v>
      </c>
      <c r="BI2870" s="1">
        <v>44354.132615740738</v>
      </c>
      <c r="BJ2870" t="s">
        <v>85</v>
      </c>
      <c r="BK2870" t="s">
        <v>86</v>
      </c>
      <c r="BL2870" t="s">
        <v>87</v>
      </c>
    </row>
    <row r="2871" spans="1:64" x14ac:dyDescent="0.3">
      <c r="A2871" t="str">
        <f>"201896B0000"</f>
        <v>201896B0000</v>
      </c>
      <c r="B2871" t="str">
        <f>"201896B00003"</f>
        <v>201896B00003</v>
      </c>
      <c r="C2871" t="str">
        <f t="shared" si="197"/>
        <v>20</v>
      </c>
      <c r="D2871" t="s">
        <v>81</v>
      </c>
      <c r="E2871" t="str">
        <f t="shared" si="200"/>
        <v>427</v>
      </c>
      <c r="F2871" t="s">
        <v>3057</v>
      </c>
      <c r="G2871" t="str">
        <f>"1896"</f>
        <v>1896</v>
      </c>
      <c r="H2871" t="str">
        <f>"0000"</f>
        <v>0000</v>
      </c>
      <c r="I2871" t="s">
        <v>83</v>
      </c>
      <c r="J2871">
        <v>0</v>
      </c>
      <c r="K2871">
        <v>1</v>
      </c>
      <c r="L2871">
        <v>3</v>
      </c>
      <c r="M2871">
        <v>157</v>
      </c>
      <c r="N2871">
        <v>0</v>
      </c>
      <c r="O2871">
        <v>0</v>
      </c>
      <c r="P2871">
        <v>600</v>
      </c>
      <c r="Q2871">
        <v>0</v>
      </c>
      <c r="R2871">
        <v>262</v>
      </c>
      <c r="S2871">
        <v>1</v>
      </c>
      <c r="T2871">
        <v>5</v>
      </c>
      <c r="U2871">
        <v>1</v>
      </c>
      <c r="V2871">
        <v>0</v>
      </c>
      <c r="X2871">
        <v>325</v>
      </c>
      <c r="Y2871">
        <v>0</v>
      </c>
      <c r="Z2871">
        <v>2</v>
      </c>
      <c r="AF2871">
        <v>2</v>
      </c>
      <c r="AG2871">
        <v>0</v>
      </c>
      <c r="AH2871">
        <v>0</v>
      </c>
      <c r="AI2871">
        <v>0</v>
      </c>
      <c r="AV2871">
        <v>0</v>
      </c>
      <c r="AW2871">
        <v>0</v>
      </c>
      <c r="AX2871">
        <v>2</v>
      </c>
      <c r="AY2871">
        <v>600</v>
      </c>
      <c r="AZ2871">
        <v>600</v>
      </c>
      <c r="BA2871">
        <v>713</v>
      </c>
      <c r="BB2871">
        <v>44</v>
      </c>
      <c r="BD2871">
        <v>1</v>
      </c>
      <c r="BF2871" t="s">
        <v>3077</v>
      </c>
      <c r="BG2871" s="1">
        <v>44354.042361111111</v>
      </c>
      <c r="BH2871" s="1">
        <v>44354.052743055552</v>
      </c>
      <c r="BI2871" s="1">
        <v>44354.053564814814</v>
      </c>
      <c r="BJ2871" t="s">
        <v>85</v>
      </c>
      <c r="BK2871" t="s">
        <v>86</v>
      </c>
      <c r="BL2871" t="s">
        <v>87</v>
      </c>
    </row>
    <row r="2872" spans="1:64" x14ac:dyDescent="0.3">
      <c r="A2872" t="str">
        <f>"201897B0000"</f>
        <v>201897B0000</v>
      </c>
      <c r="B2872" t="str">
        <f>"201897B00003"</f>
        <v>201897B00003</v>
      </c>
      <c r="C2872" t="str">
        <f t="shared" si="197"/>
        <v>20</v>
      </c>
      <c r="D2872" t="s">
        <v>81</v>
      </c>
      <c r="E2872" t="str">
        <f t="shared" si="200"/>
        <v>427</v>
      </c>
      <c r="F2872" t="s">
        <v>3057</v>
      </c>
      <c r="G2872" t="str">
        <f>"1897"</f>
        <v>1897</v>
      </c>
      <c r="H2872" t="str">
        <f>"0000"</f>
        <v>0000</v>
      </c>
      <c r="I2872" t="s">
        <v>83</v>
      </c>
      <c r="J2872">
        <v>0</v>
      </c>
      <c r="K2872">
        <v>1</v>
      </c>
      <c r="L2872">
        <v>3</v>
      </c>
      <c r="M2872">
        <v>168</v>
      </c>
      <c r="N2872">
        <v>511</v>
      </c>
      <c r="O2872">
        <v>0</v>
      </c>
      <c r="P2872">
        <v>511</v>
      </c>
      <c r="Q2872">
        <v>5</v>
      </c>
      <c r="R2872">
        <v>78</v>
      </c>
      <c r="S2872">
        <v>4</v>
      </c>
      <c r="T2872">
        <v>13</v>
      </c>
      <c r="U2872">
        <v>7</v>
      </c>
      <c r="V2872">
        <v>1</v>
      </c>
      <c r="X2872">
        <v>393</v>
      </c>
      <c r="Y2872">
        <v>1</v>
      </c>
      <c r="Z2872">
        <v>3</v>
      </c>
      <c r="AF2872">
        <v>1</v>
      </c>
      <c r="AG2872">
        <v>0</v>
      </c>
      <c r="AH2872">
        <v>0</v>
      </c>
      <c r="AI2872">
        <v>0</v>
      </c>
      <c r="AV2872">
        <v>0</v>
      </c>
      <c r="AW2872">
        <v>0</v>
      </c>
      <c r="AX2872">
        <v>5</v>
      </c>
      <c r="AY2872">
        <v>511</v>
      </c>
      <c r="AZ2872">
        <v>511</v>
      </c>
      <c r="BA2872">
        <v>635</v>
      </c>
      <c r="BB2872">
        <v>44</v>
      </c>
      <c r="BD2872">
        <v>1</v>
      </c>
      <c r="BF2872" t="s">
        <v>3078</v>
      </c>
      <c r="BG2872" s="1">
        <v>44353.961805555555</v>
      </c>
      <c r="BH2872" s="1">
        <v>44353.964375000003</v>
      </c>
      <c r="BI2872" s="1">
        <v>44353.964803240742</v>
      </c>
      <c r="BJ2872" t="s">
        <v>85</v>
      </c>
      <c r="BK2872" t="s">
        <v>86</v>
      </c>
      <c r="BL2872" t="s">
        <v>87</v>
      </c>
    </row>
    <row r="2873" spans="1:64" x14ac:dyDescent="0.3">
      <c r="A2873" t="str">
        <f>"201906B0000"</f>
        <v>201906B0000</v>
      </c>
      <c r="B2873" t="str">
        <f>"201906B00003"</f>
        <v>201906B00003</v>
      </c>
      <c r="C2873" t="str">
        <f t="shared" si="197"/>
        <v>20</v>
      </c>
      <c r="D2873" t="s">
        <v>81</v>
      </c>
      <c r="E2873" t="str">
        <f>"432"</f>
        <v>432</v>
      </c>
      <c r="F2873" t="s">
        <v>3079</v>
      </c>
      <c r="G2873" t="str">
        <f>"1906"</f>
        <v>1906</v>
      </c>
      <c r="H2873" t="str">
        <f>"0000"</f>
        <v>0000</v>
      </c>
      <c r="I2873" t="s">
        <v>83</v>
      </c>
      <c r="J2873">
        <v>0</v>
      </c>
      <c r="K2873">
        <v>1</v>
      </c>
      <c r="L2873">
        <v>3</v>
      </c>
      <c r="M2873">
        <v>154</v>
      </c>
      <c r="N2873">
        <v>398</v>
      </c>
      <c r="O2873">
        <v>0</v>
      </c>
      <c r="P2873">
        <v>398</v>
      </c>
      <c r="Q2873">
        <v>1</v>
      </c>
      <c r="R2873">
        <v>137</v>
      </c>
      <c r="S2873">
        <v>1</v>
      </c>
      <c r="T2873">
        <v>0</v>
      </c>
      <c r="U2873">
        <v>1</v>
      </c>
      <c r="W2873">
        <v>131</v>
      </c>
      <c r="X2873">
        <v>120</v>
      </c>
      <c r="Y2873">
        <v>0</v>
      </c>
      <c r="Z2873">
        <v>0</v>
      </c>
      <c r="AA2873">
        <v>0</v>
      </c>
      <c r="AF2873">
        <v>4</v>
      </c>
      <c r="AG2873">
        <v>0</v>
      </c>
      <c r="AH2873">
        <v>0</v>
      </c>
      <c r="AI2873">
        <v>0</v>
      </c>
      <c r="AW2873">
        <v>0</v>
      </c>
      <c r="AX2873">
        <v>3</v>
      </c>
      <c r="AY2873">
        <v>398</v>
      </c>
      <c r="AZ2873">
        <v>398</v>
      </c>
      <c r="BA2873">
        <v>508</v>
      </c>
      <c r="BB2873">
        <v>44</v>
      </c>
      <c r="BD2873">
        <v>1</v>
      </c>
      <c r="BF2873" t="s">
        <v>3080</v>
      </c>
      <c r="BG2873" s="1">
        <v>44354.118750000001</v>
      </c>
      <c r="BH2873" s="1">
        <v>44354.128900462965</v>
      </c>
      <c r="BI2873" s="1">
        <v>44354.129618055558</v>
      </c>
      <c r="BJ2873" t="s">
        <v>85</v>
      </c>
      <c r="BK2873" t="s">
        <v>86</v>
      </c>
      <c r="BL2873" t="s">
        <v>87</v>
      </c>
    </row>
    <row r="2874" spans="1:64" x14ac:dyDescent="0.3">
      <c r="A2874" t="str">
        <f>"201906C0100"</f>
        <v>201906C0100</v>
      </c>
      <c r="B2874" t="str">
        <f>"201906C01003"</f>
        <v>201906C01003</v>
      </c>
      <c r="C2874" t="str">
        <f t="shared" si="197"/>
        <v>20</v>
      </c>
      <c r="D2874" t="s">
        <v>81</v>
      </c>
      <c r="E2874" t="str">
        <f>"432"</f>
        <v>432</v>
      </c>
      <c r="F2874" t="s">
        <v>3079</v>
      </c>
      <c r="G2874" t="str">
        <f>"1906"</f>
        <v>1906</v>
      </c>
      <c r="H2874" t="str">
        <f>"0001"</f>
        <v>0001</v>
      </c>
      <c r="I2874" t="s">
        <v>89</v>
      </c>
      <c r="J2874">
        <v>0</v>
      </c>
      <c r="K2874">
        <v>1</v>
      </c>
      <c r="L2874">
        <v>3</v>
      </c>
      <c r="M2874">
        <v>148</v>
      </c>
      <c r="N2874">
        <v>405</v>
      </c>
      <c r="O2874">
        <v>1</v>
      </c>
      <c r="P2874">
        <v>405</v>
      </c>
      <c r="Q2874">
        <v>0</v>
      </c>
      <c r="R2874">
        <v>138</v>
      </c>
      <c r="S2874">
        <v>1</v>
      </c>
      <c r="T2874">
        <v>2</v>
      </c>
      <c r="U2874">
        <v>2</v>
      </c>
      <c r="W2874">
        <v>119</v>
      </c>
      <c r="X2874">
        <v>131</v>
      </c>
      <c r="Y2874">
        <v>1</v>
      </c>
      <c r="Z2874">
        <v>0</v>
      </c>
      <c r="AA2874">
        <v>0</v>
      </c>
      <c r="AF2874">
        <v>6</v>
      </c>
      <c r="AG2874">
        <v>0</v>
      </c>
      <c r="AH2874">
        <v>0</v>
      </c>
      <c r="AI2874">
        <v>0</v>
      </c>
      <c r="AW2874">
        <v>0</v>
      </c>
      <c r="AX2874">
        <v>4</v>
      </c>
      <c r="AY2874">
        <v>404</v>
      </c>
      <c r="AZ2874">
        <v>404</v>
      </c>
      <c r="BA2874">
        <v>508</v>
      </c>
      <c r="BB2874">
        <v>44</v>
      </c>
      <c r="BD2874">
        <v>1</v>
      </c>
      <c r="BF2874" t="s">
        <v>3081</v>
      </c>
      <c r="BG2874" s="1">
        <v>44354.129861111112</v>
      </c>
      <c r="BH2874" s="1">
        <v>44354.666770833333</v>
      </c>
      <c r="BI2874" s="1">
        <v>44354.667303240742</v>
      </c>
      <c r="BJ2874" t="s">
        <v>85</v>
      </c>
      <c r="BK2874" t="s">
        <v>86</v>
      </c>
      <c r="BL2874" t="s">
        <v>87</v>
      </c>
    </row>
    <row r="2875" spans="1:64" x14ac:dyDescent="0.3">
      <c r="A2875" t="str">
        <f>"201906C0200"</f>
        <v>201906C0200</v>
      </c>
      <c r="B2875" t="str">
        <f>"201906C02003"</f>
        <v>201906C02003</v>
      </c>
      <c r="C2875" t="str">
        <f t="shared" si="197"/>
        <v>20</v>
      </c>
      <c r="D2875" t="s">
        <v>81</v>
      </c>
      <c r="E2875" t="str">
        <f>"432"</f>
        <v>432</v>
      </c>
      <c r="F2875" t="s">
        <v>3079</v>
      </c>
      <c r="G2875" t="str">
        <f>"1906"</f>
        <v>1906</v>
      </c>
      <c r="H2875" t="str">
        <f>"0002"</f>
        <v>0002</v>
      </c>
      <c r="I2875" t="s">
        <v>89</v>
      </c>
      <c r="J2875">
        <v>0</v>
      </c>
      <c r="K2875">
        <v>1</v>
      </c>
      <c r="L2875">
        <v>3</v>
      </c>
      <c r="M2875">
        <v>153</v>
      </c>
      <c r="N2875">
        <v>398</v>
      </c>
      <c r="O2875">
        <v>0</v>
      </c>
      <c r="P2875">
        <v>398</v>
      </c>
      <c r="Q2875">
        <v>0</v>
      </c>
      <c r="R2875">
        <v>114</v>
      </c>
      <c r="S2875">
        <v>1</v>
      </c>
      <c r="T2875">
        <v>2</v>
      </c>
      <c r="U2875">
        <v>0</v>
      </c>
      <c r="W2875">
        <v>115</v>
      </c>
      <c r="X2875">
        <v>150</v>
      </c>
      <c r="Y2875">
        <v>2</v>
      </c>
      <c r="Z2875">
        <v>0</v>
      </c>
      <c r="AA2875">
        <v>2</v>
      </c>
      <c r="AF2875">
        <v>4</v>
      </c>
      <c r="AG2875">
        <v>0</v>
      </c>
      <c r="AH2875">
        <v>0</v>
      </c>
      <c r="AI2875">
        <v>0</v>
      </c>
      <c r="AW2875">
        <v>0</v>
      </c>
      <c r="AX2875">
        <v>8</v>
      </c>
      <c r="AY2875">
        <v>398</v>
      </c>
      <c r="AZ2875">
        <v>398</v>
      </c>
      <c r="BA2875">
        <v>507</v>
      </c>
      <c r="BB2875">
        <v>44</v>
      </c>
      <c r="BD2875">
        <v>1</v>
      </c>
      <c r="BF2875" t="s">
        <v>3082</v>
      </c>
      <c r="BG2875" s="1">
        <v>44354.129861111112</v>
      </c>
      <c r="BH2875" s="1">
        <v>44354.133125</v>
      </c>
      <c r="BI2875" s="1">
        <v>44354.13385416667</v>
      </c>
      <c r="BJ2875" t="s">
        <v>85</v>
      </c>
      <c r="BK2875" t="s">
        <v>86</v>
      </c>
      <c r="BL2875" t="s">
        <v>87</v>
      </c>
    </row>
    <row r="2876" spans="1:64" x14ac:dyDescent="0.3">
      <c r="A2876" t="str">
        <f>"201909B0000"</f>
        <v>201909B0000</v>
      </c>
      <c r="B2876" t="str">
        <f>"201909B00003"</f>
        <v>201909B00003</v>
      </c>
      <c r="C2876" t="str">
        <f t="shared" si="197"/>
        <v>20</v>
      </c>
      <c r="D2876" t="s">
        <v>81</v>
      </c>
      <c r="E2876" t="str">
        <f t="shared" ref="E2876:E2881" si="201">"435"</f>
        <v>435</v>
      </c>
      <c r="F2876" t="s">
        <v>3083</v>
      </c>
      <c r="G2876" t="str">
        <f>"1909"</f>
        <v>1909</v>
      </c>
      <c r="H2876" t="str">
        <f>"0000"</f>
        <v>0000</v>
      </c>
      <c r="I2876" t="s">
        <v>83</v>
      </c>
      <c r="J2876">
        <v>0</v>
      </c>
      <c r="K2876">
        <v>1</v>
      </c>
      <c r="L2876">
        <v>3</v>
      </c>
      <c r="M2876">
        <v>275</v>
      </c>
      <c r="N2876">
        <v>512</v>
      </c>
      <c r="O2876">
        <v>3</v>
      </c>
      <c r="P2876">
        <v>512</v>
      </c>
      <c r="Q2876">
        <v>1</v>
      </c>
      <c r="R2876">
        <v>233</v>
      </c>
      <c r="S2876">
        <v>6</v>
      </c>
      <c r="U2876">
        <v>1</v>
      </c>
      <c r="X2876">
        <v>176</v>
      </c>
      <c r="Y2876">
        <v>3</v>
      </c>
      <c r="Z2876">
        <v>57</v>
      </c>
      <c r="AF2876">
        <v>15</v>
      </c>
      <c r="AG2876">
        <v>0</v>
      </c>
      <c r="AH2876">
        <v>0</v>
      </c>
      <c r="AI2876">
        <v>0</v>
      </c>
      <c r="AW2876" t="s">
        <v>95</v>
      </c>
      <c r="AX2876">
        <v>20</v>
      </c>
      <c r="AY2876">
        <v>512</v>
      </c>
      <c r="AZ2876">
        <v>512</v>
      </c>
      <c r="BA2876">
        <v>743</v>
      </c>
      <c r="BB2876">
        <v>44</v>
      </c>
      <c r="BC2876" t="s">
        <v>96</v>
      </c>
      <c r="BD2876">
        <v>1</v>
      </c>
      <c r="BF2876" t="s">
        <v>3084</v>
      </c>
      <c r="BG2876" s="1">
        <v>44354.112326388888</v>
      </c>
      <c r="BH2876" s="1">
        <v>44354.115601851852</v>
      </c>
      <c r="BI2876" s="1">
        <v>44354.117025462961</v>
      </c>
      <c r="BJ2876" t="s">
        <v>197</v>
      </c>
      <c r="BK2876" t="s">
        <v>198</v>
      </c>
      <c r="BL2876" t="s">
        <v>87</v>
      </c>
    </row>
    <row r="2877" spans="1:64" x14ac:dyDescent="0.3">
      <c r="A2877" t="str">
        <f>"201909C0100"</f>
        <v>201909C0100</v>
      </c>
      <c r="B2877" t="str">
        <f>"201909C01003"</f>
        <v>201909C01003</v>
      </c>
      <c r="C2877" t="str">
        <f t="shared" si="197"/>
        <v>20</v>
      </c>
      <c r="D2877" t="s">
        <v>81</v>
      </c>
      <c r="E2877" t="str">
        <f t="shared" si="201"/>
        <v>435</v>
      </c>
      <c r="F2877" t="s">
        <v>3083</v>
      </c>
      <c r="G2877" t="str">
        <f>"1909"</f>
        <v>1909</v>
      </c>
      <c r="H2877" t="str">
        <f>"0001"</f>
        <v>0001</v>
      </c>
      <c r="I2877" t="s">
        <v>89</v>
      </c>
      <c r="J2877">
        <v>0</v>
      </c>
      <c r="K2877">
        <v>1</v>
      </c>
      <c r="L2877">
        <v>3</v>
      </c>
      <c r="M2877">
        <v>296</v>
      </c>
      <c r="N2877">
        <v>480</v>
      </c>
      <c r="O2877">
        <v>0</v>
      </c>
      <c r="P2877">
        <v>480</v>
      </c>
      <c r="Q2877">
        <v>2</v>
      </c>
      <c r="R2877">
        <v>198</v>
      </c>
      <c r="S2877">
        <v>3</v>
      </c>
      <c r="U2877">
        <v>3</v>
      </c>
      <c r="X2877">
        <v>178</v>
      </c>
      <c r="Y2877" t="s">
        <v>95</v>
      </c>
      <c r="Z2877">
        <v>69</v>
      </c>
      <c r="AF2877">
        <v>22</v>
      </c>
      <c r="AG2877">
        <v>1</v>
      </c>
      <c r="AH2877" t="s">
        <v>95</v>
      </c>
      <c r="AI2877">
        <v>4</v>
      </c>
      <c r="AW2877" t="s">
        <v>95</v>
      </c>
      <c r="AX2877">
        <v>11</v>
      </c>
      <c r="AY2877" t="s">
        <v>131</v>
      </c>
      <c r="AZ2877">
        <v>491</v>
      </c>
      <c r="BA2877">
        <v>743</v>
      </c>
      <c r="BB2877">
        <v>44</v>
      </c>
      <c r="BC2877" t="s">
        <v>96</v>
      </c>
      <c r="BD2877">
        <v>1</v>
      </c>
      <c r="BF2877" t="s">
        <v>3085</v>
      </c>
      <c r="BG2877" s="1">
        <v>44354.237500000003</v>
      </c>
      <c r="BH2877" s="1">
        <v>44354.663842592592</v>
      </c>
      <c r="BI2877" s="1">
        <v>44354.664918981478</v>
      </c>
      <c r="BJ2877" t="s">
        <v>85</v>
      </c>
      <c r="BK2877" t="s">
        <v>86</v>
      </c>
      <c r="BL2877" t="s">
        <v>87</v>
      </c>
    </row>
    <row r="2878" spans="1:64" x14ac:dyDescent="0.3">
      <c r="A2878" t="str">
        <f>"201910B0000"</f>
        <v>201910B0000</v>
      </c>
      <c r="B2878" t="str">
        <f>"201910B00003"</f>
        <v>201910B00003</v>
      </c>
      <c r="C2878" t="str">
        <f t="shared" si="197"/>
        <v>20</v>
      </c>
      <c r="D2878" t="s">
        <v>81</v>
      </c>
      <c r="E2878" t="str">
        <f t="shared" si="201"/>
        <v>435</v>
      </c>
      <c r="F2878" t="s">
        <v>3083</v>
      </c>
      <c r="G2878" t="str">
        <f>"1910"</f>
        <v>1910</v>
      </c>
      <c r="H2878" t="str">
        <f>"0000"</f>
        <v>0000</v>
      </c>
      <c r="I2878" t="s">
        <v>83</v>
      </c>
      <c r="J2878">
        <v>0</v>
      </c>
      <c r="K2878">
        <v>1</v>
      </c>
      <c r="L2878">
        <v>3</v>
      </c>
      <c r="M2878">
        <v>199</v>
      </c>
      <c r="N2878">
        <v>266</v>
      </c>
      <c r="O2878">
        <v>4</v>
      </c>
      <c r="P2878">
        <v>266</v>
      </c>
      <c r="Q2878">
        <v>0</v>
      </c>
      <c r="R2878">
        <v>75</v>
      </c>
      <c r="S2878">
        <v>1</v>
      </c>
      <c r="U2878">
        <v>4</v>
      </c>
      <c r="X2878">
        <v>161</v>
      </c>
      <c r="Y2878">
        <v>5</v>
      </c>
      <c r="Z2878">
        <v>10</v>
      </c>
      <c r="AF2878">
        <v>5</v>
      </c>
      <c r="AG2878">
        <v>0</v>
      </c>
      <c r="AH2878">
        <v>0</v>
      </c>
      <c r="AI2878">
        <v>0</v>
      </c>
      <c r="AW2878">
        <v>0</v>
      </c>
      <c r="AX2878">
        <v>5</v>
      </c>
      <c r="AY2878">
        <v>266</v>
      </c>
      <c r="AZ2878">
        <v>266</v>
      </c>
      <c r="BA2878">
        <v>421</v>
      </c>
      <c r="BB2878">
        <v>44</v>
      </c>
      <c r="BD2878">
        <v>1</v>
      </c>
      <c r="BF2878" t="s">
        <v>3086</v>
      </c>
      <c r="BG2878" s="1">
        <v>44353.991168981483</v>
      </c>
      <c r="BH2878" s="1">
        <v>44353.994618055556</v>
      </c>
      <c r="BI2878" s="1">
        <v>44353.994849537034</v>
      </c>
      <c r="BJ2878" t="s">
        <v>197</v>
      </c>
      <c r="BK2878" t="s">
        <v>198</v>
      </c>
      <c r="BL2878" t="s">
        <v>87</v>
      </c>
    </row>
    <row r="2879" spans="1:64" x14ac:dyDescent="0.3">
      <c r="A2879" t="str">
        <f>"201910C0100"</f>
        <v>201910C0100</v>
      </c>
      <c r="B2879" t="str">
        <f>"201910C01003"</f>
        <v>201910C01003</v>
      </c>
      <c r="C2879" t="str">
        <f t="shared" si="197"/>
        <v>20</v>
      </c>
      <c r="D2879" t="s">
        <v>81</v>
      </c>
      <c r="E2879" t="str">
        <f t="shared" si="201"/>
        <v>435</v>
      </c>
      <c r="F2879" t="s">
        <v>3083</v>
      </c>
      <c r="G2879" t="str">
        <f>"1910"</f>
        <v>1910</v>
      </c>
      <c r="H2879" t="str">
        <f>"0001"</f>
        <v>0001</v>
      </c>
      <c r="I2879" t="s">
        <v>89</v>
      </c>
      <c r="J2879">
        <v>0</v>
      </c>
      <c r="K2879">
        <v>1</v>
      </c>
      <c r="L2879">
        <v>3</v>
      </c>
      <c r="M2879">
        <v>171</v>
      </c>
      <c r="N2879">
        <v>293</v>
      </c>
      <c r="O2879">
        <v>6</v>
      </c>
      <c r="P2879">
        <v>293</v>
      </c>
      <c r="Q2879">
        <v>0</v>
      </c>
      <c r="R2879">
        <v>66</v>
      </c>
      <c r="S2879">
        <v>2</v>
      </c>
      <c r="U2879">
        <v>1</v>
      </c>
      <c r="X2879">
        <v>190</v>
      </c>
      <c r="Y2879">
        <v>2</v>
      </c>
      <c r="Z2879">
        <v>20</v>
      </c>
      <c r="AF2879">
        <v>4</v>
      </c>
      <c r="AG2879">
        <v>0</v>
      </c>
      <c r="AH2879">
        <v>0</v>
      </c>
      <c r="AI2879">
        <v>0</v>
      </c>
      <c r="AW2879">
        <v>0</v>
      </c>
      <c r="AX2879">
        <v>8</v>
      </c>
      <c r="AY2879">
        <v>293</v>
      </c>
      <c r="AZ2879">
        <v>293</v>
      </c>
      <c r="BA2879">
        <v>420</v>
      </c>
      <c r="BB2879">
        <v>44</v>
      </c>
      <c r="BD2879">
        <v>1</v>
      </c>
      <c r="BF2879" t="s">
        <v>3087</v>
      </c>
      <c r="BG2879" s="1">
        <v>44354.037986111114</v>
      </c>
      <c r="BH2879" s="1">
        <v>44354.045914351853</v>
      </c>
      <c r="BI2879" s="1">
        <v>44354.046516203707</v>
      </c>
      <c r="BJ2879" t="s">
        <v>197</v>
      </c>
      <c r="BK2879" t="s">
        <v>198</v>
      </c>
      <c r="BL2879" t="s">
        <v>87</v>
      </c>
    </row>
    <row r="2880" spans="1:64" x14ac:dyDescent="0.3">
      <c r="A2880" t="str">
        <f>"201910E0100"</f>
        <v>201910E0100</v>
      </c>
      <c r="B2880" t="str">
        <f>"201910E01003"</f>
        <v>201910E01003</v>
      </c>
      <c r="C2880" t="str">
        <f t="shared" si="197"/>
        <v>20</v>
      </c>
      <c r="D2880" t="s">
        <v>81</v>
      </c>
      <c r="E2880" t="str">
        <f t="shared" si="201"/>
        <v>435</v>
      </c>
      <c r="F2880" t="s">
        <v>3083</v>
      </c>
      <c r="G2880" t="str">
        <f>"1910"</f>
        <v>1910</v>
      </c>
      <c r="H2880" t="str">
        <f>"0001"</f>
        <v>0001</v>
      </c>
      <c r="I2880" t="s">
        <v>122</v>
      </c>
      <c r="J2880">
        <v>0</v>
      </c>
      <c r="K2880">
        <v>1</v>
      </c>
      <c r="L2880">
        <v>3</v>
      </c>
      <c r="M2880">
        <v>152</v>
      </c>
      <c r="N2880">
        <v>247</v>
      </c>
      <c r="O2880">
        <v>1</v>
      </c>
      <c r="P2880">
        <v>247</v>
      </c>
      <c r="Q2880">
        <v>4</v>
      </c>
      <c r="R2880">
        <v>97</v>
      </c>
      <c r="S2880">
        <v>5</v>
      </c>
      <c r="U2880">
        <v>3</v>
      </c>
      <c r="X2880">
        <v>98</v>
      </c>
      <c r="Y2880">
        <v>5</v>
      </c>
      <c r="Z2880">
        <v>19</v>
      </c>
      <c r="AF2880">
        <v>3</v>
      </c>
      <c r="AG2880">
        <v>1</v>
      </c>
      <c r="AH2880">
        <v>0</v>
      </c>
      <c r="AI2880">
        <v>0</v>
      </c>
      <c r="AW2880">
        <v>0</v>
      </c>
      <c r="AX2880">
        <v>12</v>
      </c>
      <c r="AY2880">
        <v>247</v>
      </c>
      <c r="AZ2880">
        <v>247</v>
      </c>
      <c r="BA2880">
        <v>355</v>
      </c>
      <c r="BB2880">
        <v>44</v>
      </c>
      <c r="BD2880">
        <v>1</v>
      </c>
      <c r="BF2880" t="s">
        <v>3088</v>
      </c>
      <c r="BG2880" s="1">
        <v>44354.251388888886</v>
      </c>
      <c r="BH2880" s="1">
        <v>44354.66547453704</v>
      </c>
      <c r="BI2880" s="1">
        <v>44354.665879629632</v>
      </c>
      <c r="BJ2880" t="s">
        <v>85</v>
      </c>
      <c r="BK2880" t="s">
        <v>86</v>
      </c>
      <c r="BL2880" t="s">
        <v>87</v>
      </c>
    </row>
    <row r="2881" spans="1:64" x14ac:dyDescent="0.3">
      <c r="A2881" t="str">
        <f>"201910E0200"</f>
        <v>201910E0200</v>
      </c>
      <c r="B2881" t="str">
        <f>"201910E02003"</f>
        <v>201910E02003</v>
      </c>
      <c r="C2881" t="str">
        <f t="shared" si="197"/>
        <v>20</v>
      </c>
      <c r="D2881" t="s">
        <v>81</v>
      </c>
      <c r="E2881" t="str">
        <f t="shared" si="201"/>
        <v>435</v>
      </c>
      <c r="F2881" t="s">
        <v>3083</v>
      </c>
      <c r="G2881" t="str">
        <f>"1910"</f>
        <v>1910</v>
      </c>
      <c r="H2881" t="str">
        <f>"0002"</f>
        <v>0002</v>
      </c>
      <c r="I2881" t="s">
        <v>122</v>
      </c>
      <c r="J2881">
        <v>0</v>
      </c>
      <c r="K2881">
        <v>1</v>
      </c>
      <c r="L2881">
        <v>3</v>
      </c>
      <c r="M2881">
        <v>171</v>
      </c>
      <c r="N2881">
        <v>210</v>
      </c>
      <c r="O2881">
        <v>3</v>
      </c>
      <c r="P2881">
        <v>210</v>
      </c>
      <c r="Q2881">
        <v>1</v>
      </c>
      <c r="R2881">
        <v>69</v>
      </c>
      <c r="S2881">
        <v>1</v>
      </c>
      <c r="U2881">
        <v>1</v>
      </c>
      <c r="X2881">
        <v>108</v>
      </c>
      <c r="Y2881">
        <v>1</v>
      </c>
      <c r="Z2881">
        <v>16</v>
      </c>
      <c r="AF2881">
        <v>2</v>
      </c>
      <c r="AG2881">
        <v>2</v>
      </c>
      <c r="AH2881">
        <v>0</v>
      </c>
      <c r="AI2881">
        <v>1</v>
      </c>
      <c r="AW2881">
        <v>0</v>
      </c>
      <c r="AX2881">
        <v>8</v>
      </c>
      <c r="AY2881">
        <v>210</v>
      </c>
      <c r="AZ2881">
        <v>210</v>
      </c>
      <c r="BA2881">
        <v>337</v>
      </c>
      <c r="BB2881">
        <v>44</v>
      </c>
      <c r="BD2881">
        <v>1</v>
      </c>
      <c r="BF2881" t="s">
        <v>3089</v>
      </c>
      <c r="BG2881" s="1">
        <v>44354.079039351855</v>
      </c>
      <c r="BH2881" s="1">
        <v>44354.085451388892</v>
      </c>
      <c r="BI2881" s="1">
        <v>44354.085717592592</v>
      </c>
      <c r="BJ2881" t="s">
        <v>197</v>
      </c>
      <c r="BK2881" t="s">
        <v>198</v>
      </c>
      <c r="BL2881" t="s">
        <v>87</v>
      </c>
    </row>
    <row r="2882" spans="1:64" x14ac:dyDescent="0.3">
      <c r="A2882" t="str">
        <f>"201913B0000"</f>
        <v>201913B0000</v>
      </c>
      <c r="B2882" t="str">
        <f>"201913B00003"</f>
        <v>201913B00003</v>
      </c>
      <c r="C2882" t="str">
        <f t="shared" si="197"/>
        <v>20</v>
      </c>
      <c r="D2882" t="s">
        <v>81</v>
      </c>
      <c r="E2882" t="str">
        <f>"437"</f>
        <v>437</v>
      </c>
      <c r="F2882" t="s">
        <v>3090</v>
      </c>
      <c r="G2882" t="str">
        <f>"1913"</f>
        <v>1913</v>
      </c>
      <c r="H2882" t="str">
        <f>"0000"</f>
        <v>0000</v>
      </c>
      <c r="I2882" t="s">
        <v>83</v>
      </c>
      <c r="J2882">
        <v>0</v>
      </c>
      <c r="K2882">
        <v>1</v>
      </c>
      <c r="L2882">
        <v>3</v>
      </c>
      <c r="M2882">
        <v>277</v>
      </c>
      <c r="N2882">
        <v>510</v>
      </c>
      <c r="O2882">
        <v>4</v>
      </c>
      <c r="P2882">
        <v>507</v>
      </c>
      <c r="Q2882">
        <v>3</v>
      </c>
      <c r="R2882">
        <v>238</v>
      </c>
      <c r="S2882">
        <v>1</v>
      </c>
      <c r="U2882">
        <v>3</v>
      </c>
      <c r="X2882">
        <v>256</v>
      </c>
      <c r="Z2882">
        <v>1</v>
      </c>
      <c r="AF2882">
        <v>0</v>
      </c>
      <c r="AG2882">
        <v>0</v>
      </c>
      <c r="AH2882">
        <v>0</v>
      </c>
      <c r="AI2882">
        <v>0</v>
      </c>
      <c r="AW2882">
        <v>0</v>
      </c>
      <c r="AX2882">
        <v>5</v>
      </c>
      <c r="AY2882">
        <v>507</v>
      </c>
      <c r="AZ2882">
        <v>507</v>
      </c>
      <c r="BA2882">
        <v>742</v>
      </c>
      <c r="BB2882">
        <v>44</v>
      </c>
      <c r="BD2882">
        <v>1</v>
      </c>
      <c r="BF2882" t="s">
        <v>3091</v>
      </c>
      <c r="BG2882" s="1">
        <v>44354.251388888886</v>
      </c>
      <c r="BH2882" s="1">
        <v>44354.253518518519</v>
      </c>
      <c r="BI2882" s="1">
        <v>44354.254016203704</v>
      </c>
      <c r="BJ2882" t="s">
        <v>85</v>
      </c>
      <c r="BK2882" t="s">
        <v>86</v>
      </c>
      <c r="BL2882" t="s">
        <v>87</v>
      </c>
    </row>
    <row r="2883" spans="1:64" x14ac:dyDescent="0.3">
      <c r="A2883" t="str">
        <f>"201919B0000"</f>
        <v>201919B0000</v>
      </c>
      <c r="B2883" t="str">
        <f>"201919B00003"</f>
        <v>201919B00003</v>
      </c>
      <c r="C2883" t="str">
        <f t="shared" si="197"/>
        <v>20</v>
      </c>
      <c r="D2883" t="s">
        <v>81</v>
      </c>
      <c r="E2883" t="str">
        <f t="shared" ref="E2883:E2916" si="202">"440"</f>
        <v>440</v>
      </c>
      <c r="F2883" t="s">
        <v>3092</v>
      </c>
      <c r="G2883" t="str">
        <f>"1919"</f>
        <v>1919</v>
      </c>
      <c r="H2883" t="str">
        <f>"0000"</f>
        <v>0000</v>
      </c>
      <c r="I2883" t="s">
        <v>83</v>
      </c>
      <c r="J2883">
        <v>0</v>
      </c>
      <c r="K2883">
        <v>1</v>
      </c>
      <c r="L2883">
        <v>3</v>
      </c>
      <c r="M2883">
        <v>222</v>
      </c>
      <c r="N2883">
        <v>469</v>
      </c>
      <c r="O2883">
        <v>2</v>
      </c>
      <c r="P2883">
        <v>469</v>
      </c>
      <c r="Q2883">
        <v>96</v>
      </c>
      <c r="R2883">
        <v>88</v>
      </c>
      <c r="S2883">
        <v>12</v>
      </c>
      <c r="T2883">
        <v>29</v>
      </c>
      <c r="U2883">
        <v>10</v>
      </c>
      <c r="W2883">
        <v>57</v>
      </c>
      <c r="X2883">
        <v>128</v>
      </c>
      <c r="Y2883">
        <v>8</v>
      </c>
      <c r="Z2883">
        <v>0</v>
      </c>
      <c r="AA2883">
        <v>6</v>
      </c>
      <c r="AB2883">
        <v>12</v>
      </c>
      <c r="AF2883">
        <v>13</v>
      </c>
      <c r="AG2883">
        <v>1</v>
      </c>
      <c r="AH2883">
        <v>0</v>
      </c>
      <c r="AI2883">
        <v>1</v>
      </c>
      <c r="AW2883">
        <v>0</v>
      </c>
      <c r="AX2883">
        <v>8</v>
      </c>
      <c r="AY2883">
        <v>469</v>
      </c>
      <c r="AZ2883">
        <v>469</v>
      </c>
      <c r="BA2883">
        <v>647</v>
      </c>
      <c r="BB2883">
        <v>44</v>
      </c>
      <c r="BD2883">
        <v>1</v>
      </c>
      <c r="BF2883" t="s">
        <v>3093</v>
      </c>
      <c r="BG2883" s="1">
        <v>44354.177083333336</v>
      </c>
      <c r="BH2883" s="1">
        <v>44354.180833333332</v>
      </c>
      <c r="BI2883" s="1">
        <v>44354.181620370371</v>
      </c>
      <c r="BJ2883" t="s">
        <v>85</v>
      </c>
      <c r="BK2883" t="s">
        <v>86</v>
      </c>
      <c r="BL2883" t="s">
        <v>87</v>
      </c>
    </row>
    <row r="2884" spans="1:64" x14ac:dyDescent="0.3">
      <c r="A2884" t="str">
        <f>"201919C0100"</f>
        <v>201919C0100</v>
      </c>
      <c r="B2884" t="str">
        <f>"201919C01003"</f>
        <v>201919C01003</v>
      </c>
      <c r="C2884" t="str">
        <f t="shared" si="197"/>
        <v>20</v>
      </c>
      <c r="D2884" t="s">
        <v>81</v>
      </c>
      <c r="E2884" t="str">
        <f t="shared" si="202"/>
        <v>440</v>
      </c>
      <c r="F2884" t="s">
        <v>3092</v>
      </c>
      <c r="G2884" t="str">
        <f>"1919"</f>
        <v>1919</v>
      </c>
      <c r="H2884" t="str">
        <f>"0001"</f>
        <v>0001</v>
      </c>
      <c r="I2884" t="s">
        <v>89</v>
      </c>
      <c r="J2884">
        <v>0</v>
      </c>
      <c r="K2884">
        <v>1</v>
      </c>
      <c r="L2884">
        <v>3</v>
      </c>
      <c r="M2884">
        <v>218</v>
      </c>
      <c r="N2884">
        <v>473</v>
      </c>
      <c r="O2884">
        <v>1</v>
      </c>
      <c r="P2884">
        <v>473</v>
      </c>
      <c r="Q2884">
        <v>102</v>
      </c>
      <c r="R2884">
        <v>73</v>
      </c>
      <c r="S2884">
        <v>10</v>
      </c>
      <c r="T2884">
        <v>27</v>
      </c>
      <c r="U2884">
        <v>15</v>
      </c>
      <c r="W2884">
        <v>76</v>
      </c>
      <c r="X2884">
        <v>122</v>
      </c>
      <c r="Y2884">
        <v>4</v>
      </c>
      <c r="Z2884">
        <v>0</v>
      </c>
      <c r="AA2884">
        <v>8</v>
      </c>
      <c r="AB2884">
        <v>6</v>
      </c>
      <c r="AF2884">
        <v>15</v>
      </c>
      <c r="AG2884">
        <v>4</v>
      </c>
      <c r="AH2884">
        <v>1</v>
      </c>
      <c r="AI2884">
        <v>0</v>
      </c>
      <c r="AW2884">
        <v>0</v>
      </c>
      <c r="AX2884">
        <v>11</v>
      </c>
      <c r="AY2884">
        <v>473</v>
      </c>
      <c r="AZ2884">
        <v>474</v>
      </c>
      <c r="BA2884">
        <v>647</v>
      </c>
      <c r="BB2884">
        <v>44</v>
      </c>
      <c r="BD2884">
        <v>1</v>
      </c>
      <c r="BF2884" t="s">
        <v>3094</v>
      </c>
      <c r="BG2884" s="1">
        <v>44354.166666666664</v>
      </c>
      <c r="BH2884" s="1">
        <v>44354.168738425928</v>
      </c>
      <c r="BI2884" s="1">
        <v>44354.169398148151</v>
      </c>
      <c r="BJ2884" t="s">
        <v>85</v>
      </c>
      <c r="BK2884" t="s">
        <v>86</v>
      </c>
      <c r="BL2884" t="s">
        <v>87</v>
      </c>
    </row>
    <row r="2885" spans="1:64" x14ac:dyDescent="0.3">
      <c r="A2885" t="str">
        <f>"201919C0200"</f>
        <v>201919C0200</v>
      </c>
      <c r="B2885" t="str">
        <f>"201919C02003"</f>
        <v>201919C02003</v>
      </c>
      <c r="C2885" t="str">
        <f t="shared" si="197"/>
        <v>20</v>
      </c>
      <c r="D2885" t="s">
        <v>81</v>
      </c>
      <c r="E2885" t="str">
        <f t="shared" si="202"/>
        <v>440</v>
      </c>
      <c r="F2885" t="s">
        <v>3092</v>
      </c>
      <c r="G2885" t="str">
        <f>"1919"</f>
        <v>1919</v>
      </c>
      <c r="H2885" t="str">
        <f>"0002"</f>
        <v>0002</v>
      </c>
      <c r="I2885" t="s">
        <v>89</v>
      </c>
      <c r="J2885">
        <v>0</v>
      </c>
      <c r="K2885">
        <v>1</v>
      </c>
      <c r="L2885">
        <v>3</v>
      </c>
      <c r="M2885">
        <v>211</v>
      </c>
      <c r="N2885">
        <v>480</v>
      </c>
      <c r="O2885">
        <v>3</v>
      </c>
      <c r="P2885">
        <v>480</v>
      </c>
      <c r="Q2885">
        <v>87</v>
      </c>
      <c r="R2885">
        <v>67</v>
      </c>
      <c r="S2885">
        <v>10</v>
      </c>
      <c r="T2885">
        <v>34</v>
      </c>
      <c r="U2885">
        <v>23</v>
      </c>
      <c r="W2885">
        <v>81</v>
      </c>
      <c r="X2885">
        <v>127</v>
      </c>
      <c r="Y2885">
        <v>4</v>
      </c>
      <c r="Z2885">
        <v>3</v>
      </c>
      <c r="AA2885">
        <v>5</v>
      </c>
      <c r="AB2885">
        <v>7</v>
      </c>
      <c r="AF2885">
        <v>5</v>
      </c>
      <c r="AG2885">
        <v>5</v>
      </c>
      <c r="AH2885">
        <v>1</v>
      </c>
      <c r="AI2885">
        <v>2</v>
      </c>
      <c r="AW2885">
        <v>0</v>
      </c>
      <c r="AX2885">
        <v>19</v>
      </c>
      <c r="AY2885">
        <v>480</v>
      </c>
      <c r="AZ2885">
        <v>480</v>
      </c>
      <c r="BA2885">
        <v>647</v>
      </c>
      <c r="BB2885">
        <v>44</v>
      </c>
      <c r="BD2885">
        <v>1</v>
      </c>
      <c r="BF2885" t="s">
        <v>3095</v>
      </c>
      <c r="BG2885" s="1">
        <v>44354.161805555559</v>
      </c>
      <c r="BH2885" s="1">
        <v>44354.164247685185</v>
      </c>
      <c r="BI2885" s="1">
        <v>44354.164768518516</v>
      </c>
      <c r="BJ2885" t="s">
        <v>85</v>
      </c>
      <c r="BK2885" t="s">
        <v>86</v>
      </c>
      <c r="BL2885" t="s">
        <v>87</v>
      </c>
    </row>
    <row r="2886" spans="1:64" x14ac:dyDescent="0.3">
      <c r="A2886" t="str">
        <f>"201919E0100"</f>
        <v>201919E0100</v>
      </c>
      <c r="B2886" t="str">
        <f>"201919E01003"</f>
        <v>201919E01003</v>
      </c>
      <c r="C2886" t="str">
        <f t="shared" si="197"/>
        <v>20</v>
      </c>
      <c r="D2886" t="s">
        <v>81</v>
      </c>
      <c r="E2886" t="str">
        <f t="shared" si="202"/>
        <v>440</v>
      </c>
      <c r="F2886" t="s">
        <v>3092</v>
      </c>
      <c r="G2886" t="str">
        <f>"1919"</f>
        <v>1919</v>
      </c>
      <c r="H2886" t="str">
        <f>"0001"</f>
        <v>0001</v>
      </c>
      <c r="I2886" t="s">
        <v>122</v>
      </c>
      <c r="J2886">
        <v>0</v>
      </c>
      <c r="K2886">
        <v>1</v>
      </c>
      <c r="L2886">
        <v>3</v>
      </c>
      <c r="M2886">
        <v>159</v>
      </c>
      <c r="N2886">
        <v>351</v>
      </c>
      <c r="O2886">
        <v>6</v>
      </c>
      <c r="P2886">
        <v>351</v>
      </c>
      <c r="Q2886">
        <v>43</v>
      </c>
      <c r="R2886">
        <v>62</v>
      </c>
      <c r="S2886">
        <v>13</v>
      </c>
      <c r="T2886">
        <v>48</v>
      </c>
      <c r="U2886">
        <v>12</v>
      </c>
      <c r="W2886">
        <v>41</v>
      </c>
      <c r="X2886">
        <v>92</v>
      </c>
      <c r="Y2886">
        <v>4</v>
      </c>
      <c r="Z2886">
        <v>0</v>
      </c>
      <c r="AA2886">
        <v>0</v>
      </c>
      <c r="AB2886">
        <v>19</v>
      </c>
      <c r="AF2886">
        <v>5</v>
      </c>
      <c r="AG2886">
        <v>1</v>
      </c>
      <c r="AH2886">
        <v>0</v>
      </c>
      <c r="AI2886">
        <v>0</v>
      </c>
      <c r="AW2886">
        <v>3</v>
      </c>
      <c r="AX2886">
        <v>8</v>
      </c>
      <c r="AY2886">
        <v>351</v>
      </c>
      <c r="AZ2886">
        <v>351</v>
      </c>
      <c r="BA2886">
        <v>467</v>
      </c>
      <c r="BB2886">
        <v>44</v>
      </c>
      <c r="BD2886">
        <v>1</v>
      </c>
      <c r="BF2886" t="s">
        <v>3096</v>
      </c>
      <c r="BG2886" s="1">
        <v>44354.290972222225</v>
      </c>
      <c r="BH2886" s="1">
        <v>44354.295706018522</v>
      </c>
      <c r="BI2886" s="1">
        <v>44354.296307870369</v>
      </c>
      <c r="BJ2886" t="s">
        <v>85</v>
      </c>
      <c r="BK2886" t="s">
        <v>86</v>
      </c>
      <c r="BL2886" t="s">
        <v>87</v>
      </c>
    </row>
    <row r="2887" spans="1:64" x14ac:dyDescent="0.3">
      <c r="A2887" t="str">
        <f>"201919E0101"</f>
        <v>201919E0101</v>
      </c>
      <c r="B2887" t="str">
        <f>"201919E01013"</f>
        <v>201919E01013</v>
      </c>
      <c r="C2887" t="str">
        <f t="shared" ref="C2887:C2950" si="203">"20"</f>
        <v>20</v>
      </c>
      <c r="D2887" t="s">
        <v>81</v>
      </c>
      <c r="E2887" t="str">
        <f t="shared" si="202"/>
        <v>440</v>
      </c>
      <c r="F2887" t="s">
        <v>3092</v>
      </c>
      <c r="G2887" t="str">
        <f>"1919"</f>
        <v>1919</v>
      </c>
      <c r="H2887" t="str">
        <f>"0001"</f>
        <v>0001</v>
      </c>
      <c r="I2887" t="s">
        <v>122</v>
      </c>
      <c r="J2887">
        <v>1</v>
      </c>
      <c r="K2887">
        <v>1</v>
      </c>
      <c r="L2887">
        <v>3</v>
      </c>
      <c r="M2887">
        <v>151</v>
      </c>
      <c r="N2887">
        <v>360</v>
      </c>
      <c r="O2887">
        <v>5</v>
      </c>
      <c r="P2887">
        <v>360</v>
      </c>
      <c r="Q2887">
        <v>38</v>
      </c>
      <c r="R2887">
        <v>61</v>
      </c>
      <c r="S2887">
        <v>6</v>
      </c>
      <c r="T2887">
        <v>87</v>
      </c>
      <c r="U2887">
        <v>7</v>
      </c>
      <c r="W2887">
        <v>38</v>
      </c>
      <c r="X2887">
        <v>69</v>
      </c>
      <c r="Y2887">
        <v>17</v>
      </c>
      <c r="Z2887">
        <v>3</v>
      </c>
      <c r="AA2887">
        <v>0</v>
      </c>
      <c r="AB2887">
        <v>20</v>
      </c>
      <c r="AF2887">
        <v>0</v>
      </c>
      <c r="AG2887">
        <v>0</v>
      </c>
      <c r="AH2887">
        <v>1</v>
      </c>
      <c r="AI2887">
        <v>0</v>
      </c>
      <c r="AW2887">
        <v>6</v>
      </c>
      <c r="AX2887">
        <v>6</v>
      </c>
      <c r="AY2887">
        <v>360</v>
      </c>
      <c r="AZ2887">
        <v>359</v>
      </c>
      <c r="BA2887">
        <v>466</v>
      </c>
      <c r="BB2887">
        <v>44</v>
      </c>
      <c r="BD2887">
        <v>1</v>
      </c>
      <c r="BF2887" t="s">
        <v>3097</v>
      </c>
      <c r="BG2887" s="1">
        <v>44353.994444444441</v>
      </c>
      <c r="BH2887" s="1">
        <v>44354.004236111112</v>
      </c>
      <c r="BI2887" s="1">
        <v>44354.004953703705</v>
      </c>
      <c r="BJ2887" t="s">
        <v>85</v>
      </c>
      <c r="BK2887" t="s">
        <v>86</v>
      </c>
      <c r="BL2887" t="s">
        <v>87</v>
      </c>
    </row>
    <row r="2888" spans="1:64" x14ac:dyDescent="0.3">
      <c r="A2888" t="str">
        <f>"201920B0000"</f>
        <v>201920B0000</v>
      </c>
      <c r="B2888" t="str">
        <f>"201920B00003"</f>
        <v>201920B00003</v>
      </c>
      <c r="C2888" t="str">
        <f t="shared" si="203"/>
        <v>20</v>
      </c>
      <c r="D2888" t="s">
        <v>81</v>
      </c>
      <c r="E2888" t="str">
        <f t="shared" si="202"/>
        <v>440</v>
      </c>
      <c r="F2888" t="s">
        <v>3092</v>
      </c>
      <c r="G2888" t="str">
        <f>"1920"</f>
        <v>1920</v>
      </c>
      <c r="H2888" t="str">
        <f>"0000"</f>
        <v>0000</v>
      </c>
      <c r="I2888" t="s">
        <v>83</v>
      </c>
      <c r="J2888">
        <v>0</v>
      </c>
      <c r="K2888">
        <v>1</v>
      </c>
      <c r="L2888">
        <v>3</v>
      </c>
      <c r="M2888">
        <v>292</v>
      </c>
      <c r="N2888">
        <v>462</v>
      </c>
      <c r="O2888">
        <v>1</v>
      </c>
      <c r="P2888">
        <v>462</v>
      </c>
      <c r="Q2888">
        <v>18</v>
      </c>
      <c r="R2888">
        <v>78</v>
      </c>
      <c r="S2888">
        <v>5</v>
      </c>
      <c r="T2888">
        <v>88</v>
      </c>
      <c r="U2888">
        <v>14</v>
      </c>
      <c r="W2888">
        <v>47</v>
      </c>
      <c r="X2888">
        <v>127</v>
      </c>
      <c r="Y2888">
        <v>12</v>
      </c>
      <c r="Z2888">
        <v>4</v>
      </c>
      <c r="AA2888">
        <v>6</v>
      </c>
      <c r="AB2888">
        <v>53</v>
      </c>
      <c r="AF2888">
        <v>1</v>
      </c>
      <c r="AG2888">
        <v>0</v>
      </c>
      <c r="AH2888">
        <v>0</v>
      </c>
      <c r="AI2888">
        <v>0</v>
      </c>
      <c r="AW2888">
        <v>0</v>
      </c>
      <c r="AX2888">
        <v>9</v>
      </c>
      <c r="AY2888">
        <v>462</v>
      </c>
      <c r="AZ2888">
        <v>462</v>
      </c>
      <c r="BA2888">
        <v>710</v>
      </c>
      <c r="BB2888">
        <v>44</v>
      </c>
      <c r="BD2888">
        <v>1</v>
      </c>
      <c r="BF2888" t="s">
        <v>3098</v>
      </c>
      <c r="BG2888" s="1">
        <v>44354.254166666666</v>
      </c>
      <c r="BH2888" s="1">
        <v>44354.257314814815</v>
      </c>
      <c r="BI2888" s="1">
        <v>44354.257916666669</v>
      </c>
      <c r="BJ2888" t="s">
        <v>85</v>
      </c>
      <c r="BK2888" t="s">
        <v>86</v>
      </c>
      <c r="BL2888" t="s">
        <v>87</v>
      </c>
    </row>
    <row r="2889" spans="1:64" x14ac:dyDescent="0.3">
      <c r="A2889" t="str">
        <f>"201920C0100"</f>
        <v>201920C0100</v>
      </c>
      <c r="B2889" t="str">
        <f>"201920C01003"</f>
        <v>201920C01003</v>
      </c>
      <c r="C2889" t="str">
        <f t="shared" si="203"/>
        <v>20</v>
      </c>
      <c r="D2889" t="s">
        <v>81</v>
      </c>
      <c r="E2889" t="str">
        <f t="shared" si="202"/>
        <v>440</v>
      </c>
      <c r="F2889" t="s">
        <v>3092</v>
      </c>
      <c r="G2889" t="str">
        <f>"1920"</f>
        <v>1920</v>
      </c>
      <c r="H2889" t="str">
        <f>"0001"</f>
        <v>0001</v>
      </c>
      <c r="I2889" t="s">
        <v>89</v>
      </c>
      <c r="J2889">
        <v>0</v>
      </c>
      <c r="K2889">
        <v>1</v>
      </c>
      <c r="L2889">
        <v>3</v>
      </c>
      <c r="M2889">
        <v>254</v>
      </c>
      <c r="N2889">
        <v>500</v>
      </c>
      <c r="O2889">
        <v>4</v>
      </c>
      <c r="P2889">
        <v>500</v>
      </c>
      <c r="Q2889">
        <v>17</v>
      </c>
      <c r="R2889">
        <v>61</v>
      </c>
      <c r="S2889">
        <v>7</v>
      </c>
      <c r="T2889">
        <v>143</v>
      </c>
      <c r="U2889">
        <v>16</v>
      </c>
      <c r="W2889">
        <v>41</v>
      </c>
      <c r="X2889">
        <v>119</v>
      </c>
      <c r="Y2889">
        <v>10</v>
      </c>
      <c r="Z2889">
        <v>2</v>
      </c>
      <c r="AA2889">
        <v>12</v>
      </c>
      <c r="AB2889">
        <v>57</v>
      </c>
      <c r="AF2889">
        <v>1</v>
      </c>
      <c r="AG2889">
        <v>0</v>
      </c>
      <c r="AH2889">
        <v>0</v>
      </c>
      <c r="AI2889">
        <v>2</v>
      </c>
      <c r="AW2889">
        <v>0</v>
      </c>
      <c r="AX2889">
        <v>12</v>
      </c>
      <c r="AY2889">
        <v>500</v>
      </c>
      <c r="AZ2889">
        <v>500</v>
      </c>
      <c r="BA2889">
        <v>710</v>
      </c>
      <c r="BB2889">
        <v>44</v>
      </c>
      <c r="BD2889">
        <v>1</v>
      </c>
      <c r="BF2889" t="s">
        <v>3099</v>
      </c>
      <c r="BG2889" s="1">
        <v>44354.259722222225</v>
      </c>
      <c r="BH2889" s="1">
        <v>44354.263206018521</v>
      </c>
      <c r="BI2889" s="1">
        <v>44354.263865740744</v>
      </c>
      <c r="BJ2889" t="s">
        <v>85</v>
      </c>
      <c r="BK2889" t="s">
        <v>86</v>
      </c>
      <c r="BL2889" t="s">
        <v>87</v>
      </c>
    </row>
    <row r="2890" spans="1:64" x14ac:dyDescent="0.3">
      <c r="A2890" t="str">
        <f>"201921B0000"</f>
        <v>201921B0000</v>
      </c>
      <c r="B2890" t="str">
        <f>"201921B00003"</f>
        <v>201921B00003</v>
      </c>
      <c r="C2890" t="str">
        <f t="shared" si="203"/>
        <v>20</v>
      </c>
      <c r="D2890" t="s">
        <v>81</v>
      </c>
      <c r="E2890" t="str">
        <f t="shared" si="202"/>
        <v>440</v>
      </c>
      <c r="F2890" t="s">
        <v>3092</v>
      </c>
      <c r="G2890" t="str">
        <f>"1921"</f>
        <v>1921</v>
      </c>
      <c r="H2890" t="str">
        <f>"0000"</f>
        <v>0000</v>
      </c>
      <c r="I2890" t="s">
        <v>83</v>
      </c>
      <c r="J2890">
        <v>0</v>
      </c>
      <c r="K2890">
        <v>1</v>
      </c>
      <c r="L2890">
        <v>3</v>
      </c>
      <c r="M2890">
        <v>242</v>
      </c>
      <c r="N2890">
        <v>299</v>
      </c>
      <c r="O2890">
        <v>6</v>
      </c>
      <c r="P2890">
        <v>299</v>
      </c>
      <c r="Q2890">
        <v>11</v>
      </c>
      <c r="R2890">
        <v>15</v>
      </c>
      <c r="S2890">
        <v>4</v>
      </c>
      <c r="T2890">
        <v>69</v>
      </c>
      <c r="U2890">
        <v>10</v>
      </c>
      <c r="W2890">
        <v>53</v>
      </c>
      <c r="X2890">
        <v>75</v>
      </c>
      <c r="Y2890">
        <v>9</v>
      </c>
      <c r="Z2890">
        <v>0</v>
      </c>
      <c r="AA2890">
        <v>12</v>
      </c>
      <c r="AB2890">
        <v>29</v>
      </c>
      <c r="AF2890">
        <v>0</v>
      </c>
      <c r="AG2890">
        <v>0</v>
      </c>
      <c r="AH2890">
        <v>0</v>
      </c>
      <c r="AI2890">
        <v>0</v>
      </c>
      <c r="AW2890">
        <v>0</v>
      </c>
      <c r="AX2890">
        <v>12</v>
      </c>
      <c r="AY2890">
        <v>299</v>
      </c>
      <c r="AZ2890">
        <v>299</v>
      </c>
      <c r="BA2890">
        <v>497</v>
      </c>
      <c r="BB2890">
        <v>44</v>
      </c>
      <c r="BD2890">
        <v>1</v>
      </c>
      <c r="BF2890" t="s">
        <v>3100</v>
      </c>
      <c r="BG2890" s="1">
        <v>44354.263888888891</v>
      </c>
      <c r="BH2890" s="1">
        <v>44354.267013888886</v>
      </c>
      <c r="BI2890" s="1">
        <v>44354.267650462964</v>
      </c>
      <c r="BJ2890" t="s">
        <v>85</v>
      </c>
      <c r="BK2890" t="s">
        <v>86</v>
      </c>
      <c r="BL2890" t="s">
        <v>87</v>
      </c>
    </row>
    <row r="2891" spans="1:64" x14ac:dyDescent="0.3">
      <c r="A2891" t="str">
        <f>"201921C0100"</f>
        <v>201921C0100</v>
      </c>
      <c r="B2891" t="str">
        <f>"201921C01003"</f>
        <v>201921C01003</v>
      </c>
      <c r="C2891" t="str">
        <f t="shared" si="203"/>
        <v>20</v>
      </c>
      <c r="D2891" t="s">
        <v>81</v>
      </c>
      <c r="E2891" t="str">
        <f t="shared" si="202"/>
        <v>440</v>
      </c>
      <c r="F2891" t="s">
        <v>3092</v>
      </c>
      <c r="G2891" t="str">
        <f>"1921"</f>
        <v>1921</v>
      </c>
      <c r="H2891" t="str">
        <f>"0001"</f>
        <v>0001</v>
      </c>
      <c r="I2891" t="s">
        <v>89</v>
      </c>
      <c r="J2891">
        <v>0</v>
      </c>
      <c r="K2891">
        <v>1</v>
      </c>
      <c r="L2891">
        <v>3</v>
      </c>
      <c r="M2891">
        <v>239</v>
      </c>
      <c r="N2891">
        <v>300</v>
      </c>
      <c r="O2891">
        <v>7</v>
      </c>
      <c r="P2891">
        <v>301</v>
      </c>
      <c r="Q2891">
        <v>7</v>
      </c>
      <c r="R2891" t="s">
        <v>131</v>
      </c>
      <c r="S2891">
        <v>0</v>
      </c>
      <c r="T2891">
        <v>87</v>
      </c>
      <c r="U2891">
        <v>8</v>
      </c>
      <c r="W2891">
        <v>35</v>
      </c>
      <c r="X2891">
        <v>97</v>
      </c>
      <c r="Y2891">
        <v>8</v>
      </c>
      <c r="Z2891">
        <v>3</v>
      </c>
      <c r="AA2891">
        <v>11</v>
      </c>
      <c r="AB2891">
        <v>25</v>
      </c>
      <c r="AF2891" t="s">
        <v>95</v>
      </c>
      <c r="AG2891" t="s">
        <v>95</v>
      </c>
      <c r="AH2891" t="s">
        <v>95</v>
      </c>
      <c r="AI2891" t="s">
        <v>95</v>
      </c>
      <c r="AW2891" t="s">
        <v>95</v>
      </c>
      <c r="AX2891">
        <v>9</v>
      </c>
      <c r="AY2891" t="s">
        <v>95</v>
      </c>
      <c r="AZ2891">
        <v>290</v>
      </c>
      <c r="BA2891">
        <v>497</v>
      </c>
      <c r="BB2891">
        <v>44</v>
      </c>
      <c r="BC2891" t="s">
        <v>96</v>
      </c>
      <c r="BD2891">
        <v>1</v>
      </c>
      <c r="BF2891" t="s">
        <v>3101</v>
      </c>
      <c r="BG2891" s="1">
        <v>44354.271527777775</v>
      </c>
      <c r="BH2891" s="1">
        <v>44354.275358796294</v>
      </c>
      <c r="BI2891" s="1">
        <v>44354.27615740741</v>
      </c>
      <c r="BJ2891" t="s">
        <v>85</v>
      </c>
      <c r="BK2891" t="s">
        <v>86</v>
      </c>
      <c r="BL2891" t="s">
        <v>87</v>
      </c>
    </row>
    <row r="2892" spans="1:64" x14ac:dyDescent="0.3">
      <c r="A2892" t="str">
        <f>"201922B0000"</f>
        <v>201922B0000</v>
      </c>
      <c r="B2892" t="str">
        <f>"201922B00003"</f>
        <v>201922B00003</v>
      </c>
      <c r="C2892" t="str">
        <f t="shared" si="203"/>
        <v>20</v>
      </c>
      <c r="D2892" t="s">
        <v>81</v>
      </c>
      <c r="E2892" t="str">
        <f t="shared" si="202"/>
        <v>440</v>
      </c>
      <c r="F2892" t="s">
        <v>3092</v>
      </c>
      <c r="G2892" t="str">
        <f>"1922"</f>
        <v>1922</v>
      </c>
      <c r="H2892" t="str">
        <f>"0000"</f>
        <v>0000</v>
      </c>
      <c r="I2892" t="s">
        <v>83</v>
      </c>
      <c r="J2892">
        <v>0</v>
      </c>
      <c r="K2892">
        <v>1</v>
      </c>
      <c r="L2892">
        <v>3</v>
      </c>
      <c r="M2892" t="s">
        <v>92</v>
      </c>
      <c r="N2892" t="s">
        <v>92</v>
      </c>
      <c r="O2892" t="s">
        <v>92</v>
      </c>
      <c r="P2892">
        <v>406</v>
      </c>
      <c r="Q2892">
        <v>37</v>
      </c>
      <c r="R2892">
        <v>26</v>
      </c>
      <c r="S2892">
        <v>4</v>
      </c>
      <c r="T2892">
        <v>129</v>
      </c>
      <c r="U2892">
        <v>8</v>
      </c>
      <c r="W2892">
        <v>61</v>
      </c>
      <c r="X2892">
        <v>92</v>
      </c>
      <c r="Y2892">
        <v>8</v>
      </c>
      <c r="Z2892">
        <v>0</v>
      </c>
      <c r="AA2892">
        <v>7</v>
      </c>
      <c r="AB2892">
        <v>18</v>
      </c>
      <c r="AF2892">
        <v>0</v>
      </c>
      <c r="AG2892">
        <v>0</v>
      </c>
      <c r="AH2892">
        <v>0</v>
      </c>
      <c r="AI2892">
        <v>0</v>
      </c>
      <c r="AW2892">
        <v>0</v>
      </c>
      <c r="AX2892">
        <v>16</v>
      </c>
      <c r="AY2892">
        <v>406</v>
      </c>
      <c r="AZ2892">
        <v>406</v>
      </c>
      <c r="BA2892">
        <v>655</v>
      </c>
      <c r="BB2892">
        <v>44</v>
      </c>
      <c r="BD2892">
        <v>1</v>
      </c>
      <c r="BF2892" t="s">
        <v>3102</v>
      </c>
      <c r="BG2892" s="1">
        <v>44354.130555555559</v>
      </c>
      <c r="BH2892" s="1">
        <v>44354.135254629633</v>
      </c>
      <c r="BI2892" s="1">
        <v>44354.135706018518</v>
      </c>
      <c r="BJ2892" t="s">
        <v>85</v>
      </c>
      <c r="BK2892" t="s">
        <v>86</v>
      </c>
      <c r="BL2892" t="s">
        <v>87</v>
      </c>
    </row>
    <row r="2893" spans="1:64" x14ac:dyDescent="0.3">
      <c r="A2893" t="str">
        <f>"201922C0100"</f>
        <v>201922C0100</v>
      </c>
      <c r="B2893" t="str">
        <f>"201922C01003"</f>
        <v>201922C01003</v>
      </c>
      <c r="C2893" t="str">
        <f t="shared" si="203"/>
        <v>20</v>
      </c>
      <c r="D2893" t="s">
        <v>81</v>
      </c>
      <c r="E2893" t="str">
        <f t="shared" si="202"/>
        <v>440</v>
      </c>
      <c r="F2893" t="s">
        <v>3092</v>
      </c>
      <c r="G2893" t="str">
        <f>"1922"</f>
        <v>1922</v>
      </c>
      <c r="H2893" t="str">
        <f>"0001"</f>
        <v>0001</v>
      </c>
      <c r="I2893" t="s">
        <v>89</v>
      </c>
      <c r="J2893">
        <v>0</v>
      </c>
      <c r="K2893">
        <v>1</v>
      </c>
      <c r="L2893">
        <v>3</v>
      </c>
      <c r="M2893">
        <v>299</v>
      </c>
      <c r="N2893">
        <v>400</v>
      </c>
      <c r="O2893">
        <v>2</v>
      </c>
      <c r="P2893">
        <v>400</v>
      </c>
      <c r="Q2893">
        <v>29</v>
      </c>
      <c r="R2893">
        <v>32</v>
      </c>
      <c r="S2893">
        <v>5</v>
      </c>
      <c r="T2893">
        <v>121</v>
      </c>
      <c r="U2893">
        <v>11</v>
      </c>
      <c r="W2893">
        <v>66</v>
      </c>
      <c r="X2893">
        <v>92</v>
      </c>
      <c r="Y2893">
        <v>5</v>
      </c>
      <c r="Z2893">
        <v>1</v>
      </c>
      <c r="AA2893">
        <v>3</v>
      </c>
      <c r="AB2893">
        <v>20</v>
      </c>
      <c r="AF2893">
        <v>1</v>
      </c>
      <c r="AG2893">
        <v>0</v>
      </c>
      <c r="AH2893">
        <v>0</v>
      </c>
      <c r="AI2893">
        <v>0</v>
      </c>
      <c r="AW2893">
        <v>0</v>
      </c>
      <c r="AX2893">
        <v>0</v>
      </c>
      <c r="AY2893">
        <v>400</v>
      </c>
      <c r="AZ2893">
        <v>386</v>
      </c>
      <c r="BA2893">
        <v>655</v>
      </c>
      <c r="BB2893">
        <v>44</v>
      </c>
      <c r="BD2893">
        <v>1</v>
      </c>
      <c r="BF2893" t="s">
        <v>3103</v>
      </c>
      <c r="BG2893" s="1">
        <v>44354.124305555553</v>
      </c>
      <c r="BH2893" s="1">
        <v>44354.126805555556</v>
      </c>
      <c r="BI2893" s="1">
        <v>44354.127546296295</v>
      </c>
      <c r="BJ2893" t="s">
        <v>85</v>
      </c>
      <c r="BK2893" t="s">
        <v>86</v>
      </c>
      <c r="BL2893" t="s">
        <v>87</v>
      </c>
    </row>
    <row r="2894" spans="1:64" x14ac:dyDescent="0.3">
      <c r="A2894" t="str">
        <f>"201922C0200"</f>
        <v>201922C0200</v>
      </c>
      <c r="B2894" t="str">
        <f>"201922C02003"</f>
        <v>201922C02003</v>
      </c>
      <c r="C2894" t="str">
        <f t="shared" si="203"/>
        <v>20</v>
      </c>
      <c r="D2894" t="s">
        <v>81</v>
      </c>
      <c r="E2894" t="str">
        <f t="shared" si="202"/>
        <v>440</v>
      </c>
      <c r="F2894" t="s">
        <v>3092</v>
      </c>
      <c r="G2894" t="str">
        <f>"1922"</f>
        <v>1922</v>
      </c>
      <c r="H2894" t="str">
        <f>"0002"</f>
        <v>0002</v>
      </c>
      <c r="I2894" t="s">
        <v>89</v>
      </c>
      <c r="J2894">
        <v>0</v>
      </c>
      <c r="K2894">
        <v>1</v>
      </c>
      <c r="L2894">
        <v>3</v>
      </c>
      <c r="M2894">
        <v>284</v>
      </c>
      <c r="N2894">
        <v>414</v>
      </c>
      <c r="O2894">
        <v>4</v>
      </c>
      <c r="P2894">
        <v>414</v>
      </c>
      <c r="Q2894">
        <v>28</v>
      </c>
      <c r="R2894">
        <v>28</v>
      </c>
      <c r="S2894">
        <v>2</v>
      </c>
      <c r="T2894">
        <v>130</v>
      </c>
      <c r="U2894">
        <v>12</v>
      </c>
      <c r="W2894">
        <v>98</v>
      </c>
      <c r="X2894">
        <v>80</v>
      </c>
      <c r="Y2894">
        <v>6</v>
      </c>
      <c r="Z2894">
        <v>0</v>
      </c>
      <c r="AA2894">
        <v>2</v>
      </c>
      <c r="AB2894">
        <v>12</v>
      </c>
      <c r="AF2894">
        <v>0</v>
      </c>
      <c r="AG2894">
        <v>1</v>
      </c>
      <c r="AH2894">
        <v>0</v>
      </c>
      <c r="AI2894">
        <v>0</v>
      </c>
      <c r="AW2894">
        <v>0</v>
      </c>
      <c r="AX2894">
        <v>15</v>
      </c>
      <c r="AY2894">
        <v>414</v>
      </c>
      <c r="AZ2894">
        <v>414</v>
      </c>
      <c r="BA2894">
        <v>655</v>
      </c>
      <c r="BB2894">
        <v>44</v>
      </c>
      <c r="BD2894">
        <v>1</v>
      </c>
      <c r="BF2894" t="s">
        <v>3104</v>
      </c>
      <c r="BG2894" s="1">
        <v>44354.148611111108</v>
      </c>
      <c r="BH2894" s="1">
        <v>44354.151180555556</v>
      </c>
      <c r="BI2894" s="1">
        <v>44354.151585648149</v>
      </c>
      <c r="BJ2894" t="s">
        <v>85</v>
      </c>
      <c r="BK2894" t="s">
        <v>86</v>
      </c>
      <c r="BL2894" t="s">
        <v>87</v>
      </c>
    </row>
    <row r="2895" spans="1:64" x14ac:dyDescent="0.3">
      <c r="A2895" t="str">
        <f>"201922C0300"</f>
        <v>201922C0300</v>
      </c>
      <c r="B2895" t="str">
        <f>"201922C03003"</f>
        <v>201922C03003</v>
      </c>
      <c r="C2895" t="str">
        <f t="shared" si="203"/>
        <v>20</v>
      </c>
      <c r="D2895" t="s">
        <v>81</v>
      </c>
      <c r="E2895" t="str">
        <f t="shared" si="202"/>
        <v>440</v>
      </c>
      <c r="F2895" t="s">
        <v>3092</v>
      </c>
      <c r="G2895" t="str">
        <f>"1922"</f>
        <v>1922</v>
      </c>
      <c r="H2895" t="str">
        <f>"0003"</f>
        <v>0003</v>
      </c>
      <c r="I2895" t="s">
        <v>89</v>
      </c>
      <c r="J2895">
        <v>0</v>
      </c>
      <c r="K2895">
        <v>1</v>
      </c>
      <c r="L2895">
        <v>3</v>
      </c>
      <c r="M2895" t="s">
        <v>131</v>
      </c>
      <c r="N2895" t="s">
        <v>131</v>
      </c>
      <c r="O2895" t="s">
        <v>131</v>
      </c>
      <c r="P2895" t="s">
        <v>131</v>
      </c>
      <c r="Q2895" t="s">
        <v>131</v>
      </c>
      <c r="R2895" t="s">
        <v>131</v>
      </c>
      <c r="S2895" t="s">
        <v>131</v>
      </c>
      <c r="T2895" t="s">
        <v>131</v>
      </c>
      <c r="U2895" t="s">
        <v>131</v>
      </c>
      <c r="W2895" t="s">
        <v>131</v>
      </c>
      <c r="X2895" t="s">
        <v>131</v>
      </c>
      <c r="Y2895" t="s">
        <v>131</v>
      </c>
      <c r="Z2895" t="s">
        <v>131</v>
      </c>
      <c r="AA2895" t="s">
        <v>131</v>
      </c>
      <c r="AB2895" t="s">
        <v>131</v>
      </c>
      <c r="AF2895" t="s">
        <v>131</v>
      </c>
      <c r="AG2895" t="s">
        <v>131</v>
      </c>
      <c r="AH2895" t="s">
        <v>131</v>
      </c>
      <c r="AI2895" t="s">
        <v>131</v>
      </c>
      <c r="AW2895" t="s">
        <v>131</v>
      </c>
      <c r="AX2895" t="s">
        <v>131</v>
      </c>
      <c r="BA2895">
        <v>654</v>
      </c>
      <c r="BB2895">
        <v>44</v>
      </c>
      <c r="BC2895" t="s">
        <v>712</v>
      </c>
      <c r="BD2895">
        <v>0</v>
      </c>
      <c r="BF2895" s="2" t="s">
        <v>3105</v>
      </c>
      <c r="BG2895" s="1">
        <v>44354.156944444447</v>
      </c>
      <c r="BH2895" s="1">
        <v>44354.184502314813</v>
      </c>
      <c r="BI2895" s="1">
        <v>44354.184502314813</v>
      </c>
      <c r="BJ2895" t="s">
        <v>85</v>
      </c>
      <c r="BK2895" t="s">
        <v>86</v>
      </c>
      <c r="BL2895" t="s">
        <v>1390</v>
      </c>
    </row>
    <row r="2896" spans="1:64" x14ac:dyDescent="0.3">
      <c r="A2896" t="str">
        <f>"201923B0000"</f>
        <v>201923B0000</v>
      </c>
      <c r="B2896" t="str">
        <f>"201923B00003"</f>
        <v>201923B00003</v>
      </c>
      <c r="C2896" t="str">
        <f t="shared" si="203"/>
        <v>20</v>
      </c>
      <c r="D2896" t="s">
        <v>81</v>
      </c>
      <c r="E2896" t="str">
        <f t="shared" si="202"/>
        <v>440</v>
      </c>
      <c r="F2896" t="s">
        <v>3092</v>
      </c>
      <c r="G2896" t="str">
        <f>"1923"</f>
        <v>1923</v>
      </c>
      <c r="H2896" t="str">
        <f>"0000"</f>
        <v>0000</v>
      </c>
      <c r="I2896" t="s">
        <v>83</v>
      </c>
      <c r="J2896">
        <v>0</v>
      </c>
      <c r="K2896">
        <v>1</v>
      </c>
      <c r="L2896">
        <v>3</v>
      </c>
      <c r="M2896">
        <v>275</v>
      </c>
      <c r="N2896">
        <v>380</v>
      </c>
      <c r="O2896">
        <v>7</v>
      </c>
      <c r="P2896">
        <v>380</v>
      </c>
      <c r="Q2896">
        <v>21</v>
      </c>
      <c r="R2896">
        <v>26</v>
      </c>
      <c r="S2896" t="s">
        <v>95</v>
      </c>
      <c r="T2896">
        <v>96</v>
      </c>
      <c r="U2896">
        <v>26</v>
      </c>
      <c r="W2896">
        <v>33</v>
      </c>
      <c r="X2896">
        <v>43</v>
      </c>
      <c r="Y2896">
        <v>11</v>
      </c>
      <c r="Z2896">
        <v>2</v>
      </c>
      <c r="AA2896">
        <v>3</v>
      </c>
      <c r="AB2896">
        <v>103</v>
      </c>
      <c r="AF2896">
        <v>1</v>
      </c>
      <c r="AG2896">
        <v>1</v>
      </c>
      <c r="AH2896">
        <v>1</v>
      </c>
      <c r="AI2896" t="s">
        <v>95</v>
      </c>
      <c r="AW2896" t="s">
        <v>95</v>
      </c>
      <c r="AX2896">
        <v>12</v>
      </c>
      <c r="AY2896">
        <v>380</v>
      </c>
      <c r="AZ2896">
        <v>379</v>
      </c>
      <c r="BA2896">
        <v>612</v>
      </c>
      <c r="BB2896">
        <v>44</v>
      </c>
      <c r="BC2896" t="s">
        <v>96</v>
      </c>
      <c r="BD2896">
        <v>1</v>
      </c>
      <c r="BF2896" t="s">
        <v>3106</v>
      </c>
      <c r="BG2896" s="1">
        <v>44354.102083333331</v>
      </c>
      <c r="BH2896" s="1">
        <v>44354.106469907405</v>
      </c>
      <c r="BI2896" s="1">
        <v>44354.106909722221</v>
      </c>
      <c r="BJ2896" t="s">
        <v>85</v>
      </c>
      <c r="BK2896" t="s">
        <v>86</v>
      </c>
      <c r="BL2896" t="s">
        <v>87</v>
      </c>
    </row>
    <row r="2897" spans="1:64" x14ac:dyDescent="0.3">
      <c r="A2897" t="str">
        <f>"201923C0100"</f>
        <v>201923C0100</v>
      </c>
      <c r="B2897" t="str">
        <f>"201923C01003"</f>
        <v>201923C01003</v>
      </c>
      <c r="C2897" t="str">
        <f t="shared" si="203"/>
        <v>20</v>
      </c>
      <c r="D2897" t="s">
        <v>81</v>
      </c>
      <c r="E2897" t="str">
        <f t="shared" si="202"/>
        <v>440</v>
      </c>
      <c r="F2897" t="s">
        <v>3092</v>
      </c>
      <c r="G2897" t="str">
        <f>"1923"</f>
        <v>1923</v>
      </c>
      <c r="H2897" t="str">
        <f>"0001"</f>
        <v>0001</v>
      </c>
      <c r="I2897" t="s">
        <v>89</v>
      </c>
      <c r="J2897">
        <v>0</v>
      </c>
      <c r="K2897">
        <v>1</v>
      </c>
      <c r="L2897">
        <v>3</v>
      </c>
      <c r="M2897">
        <v>314</v>
      </c>
      <c r="N2897">
        <v>350</v>
      </c>
      <c r="O2897">
        <v>1</v>
      </c>
      <c r="P2897" t="s">
        <v>92</v>
      </c>
      <c r="Q2897">
        <v>22</v>
      </c>
      <c r="R2897">
        <v>21</v>
      </c>
      <c r="S2897">
        <v>5</v>
      </c>
      <c r="T2897">
        <v>89</v>
      </c>
      <c r="U2897">
        <v>18</v>
      </c>
      <c r="W2897">
        <v>42</v>
      </c>
      <c r="X2897">
        <v>45</v>
      </c>
      <c r="Y2897">
        <v>21</v>
      </c>
      <c r="Z2897">
        <v>1</v>
      </c>
      <c r="AA2897">
        <v>2</v>
      </c>
      <c r="AB2897">
        <v>67</v>
      </c>
      <c r="AF2897" t="s">
        <v>95</v>
      </c>
      <c r="AG2897" t="s">
        <v>95</v>
      </c>
      <c r="AH2897" t="s">
        <v>95</v>
      </c>
      <c r="AI2897" t="s">
        <v>95</v>
      </c>
      <c r="AW2897" t="s">
        <v>95</v>
      </c>
      <c r="AX2897">
        <v>17</v>
      </c>
      <c r="AY2897" t="s">
        <v>95</v>
      </c>
      <c r="AZ2897">
        <v>350</v>
      </c>
      <c r="BA2897">
        <v>612</v>
      </c>
      <c r="BB2897">
        <v>44</v>
      </c>
      <c r="BC2897" t="s">
        <v>96</v>
      </c>
      <c r="BD2897">
        <v>1</v>
      </c>
      <c r="BF2897" t="s">
        <v>3107</v>
      </c>
      <c r="BG2897" s="1">
        <v>44354.113888888889</v>
      </c>
      <c r="BH2897" s="1">
        <v>44354.119837962964</v>
      </c>
      <c r="BI2897" s="1">
        <v>44354.121249999997</v>
      </c>
      <c r="BJ2897" t="s">
        <v>85</v>
      </c>
      <c r="BK2897" t="s">
        <v>86</v>
      </c>
      <c r="BL2897" t="s">
        <v>87</v>
      </c>
    </row>
    <row r="2898" spans="1:64" x14ac:dyDescent="0.3">
      <c r="A2898" t="str">
        <f>"201923E0100"</f>
        <v>201923E0100</v>
      </c>
      <c r="B2898" t="str">
        <f>"201923E01003"</f>
        <v>201923E01003</v>
      </c>
      <c r="C2898" t="str">
        <f t="shared" si="203"/>
        <v>20</v>
      </c>
      <c r="D2898" t="s">
        <v>81</v>
      </c>
      <c r="E2898" t="str">
        <f t="shared" si="202"/>
        <v>440</v>
      </c>
      <c r="F2898" t="s">
        <v>3092</v>
      </c>
      <c r="G2898" t="str">
        <f>"1923"</f>
        <v>1923</v>
      </c>
      <c r="H2898" t="str">
        <f>"0001"</f>
        <v>0001</v>
      </c>
      <c r="I2898" t="s">
        <v>122</v>
      </c>
      <c r="J2898">
        <v>0</v>
      </c>
      <c r="K2898">
        <v>1</v>
      </c>
      <c r="L2898">
        <v>3</v>
      </c>
      <c r="M2898">
        <v>168</v>
      </c>
      <c r="N2898">
        <v>255</v>
      </c>
      <c r="O2898">
        <v>5</v>
      </c>
      <c r="P2898">
        <v>255</v>
      </c>
      <c r="Q2898">
        <v>6</v>
      </c>
      <c r="R2898">
        <v>23</v>
      </c>
      <c r="S2898">
        <v>0</v>
      </c>
      <c r="T2898">
        <v>62</v>
      </c>
      <c r="U2898">
        <v>7</v>
      </c>
      <c r="W2898">
        <v>48</v>
      </c>
      <c r="X2898">
        <v>49</v>
      </c>
      <c r="Y2898">
        <v>9</v>
      </c>
      <c r="Z2898">
        <v>0</v>
      </c>
      <c r="AA2898">
        <v>1</v>
      </c>
      <c r="AB2898">
        <v>36</v>
      </c>
      <c r="AF2898">
        <v>0</v>
      </c>
      <c r="AG2898">
        <v>0</v>
      </c>
      <c r="AH2898">
        <v>0</v>
      </c>
      <c r="AI2898">
        <v>0</v>
      </c>
      <c r="AW2898">
        <v>0</v>
      </c>
      <c r="AX2898">
        <v>14</v>
      </c>
      <c r="AY2898">
        <v>255</v>
      </c>
      <c r="AZ2898">
        <v>255</v>
      </c>
      <c r="BA2898">
        <v>379</v>
      </c>
      <c r="BB2898">
        <v>44</v>
      </c>
      <c r="BD2898">
        <v>1</v>
      </c>
      <c r="BF2898" t="s">
        <v>3108</v>
      </c>
      <c r="BG2898" s="1">
        <v>44354.106944444444</v>
      </c>
      <c r="BH2898" s="1">
        <v>44354.112175925926</v>
      </c>
      <c r="BI2898" s="1">
        <v>44354.112696759257</v>
      </c>
      <c r="BJ2898" t="s">
        <v>85</v>
      </c>
      <c r="BK2898" t="s">
        <v>86</v>
      </c>
      <c r="BL2898" t="s">
        <v>87</v>
      </c>
    </row>
    <row r="2899" spans="1:64" x14ac:dyDescent="0.3">
      <c r="A2899" t="str">
        <f>"201923E0101"</f>
        <v>201923E0101</v>
      </c>
      <c r="B2899" t="str">
        <f>"201923E01013"</f>
        <v>201923E01013</v>
      </c>
      <c r="C2899" t="str">
        <f t="shared" si="203"/>
        <v>20</v>
      </c>
      <c r="D2899" t="s">
        <v>81</v>
      </c>
      <c r="E2899" t="str">
        <f t="shared" si="202"/>
        <v>440</v>
      </c>
      <c r="F2899" t="s">
        <v>3092</v>
      </c>
      <c r="G2899" t="str">
        <f>"1923"</f>
        <v>1923</v>
      </c>
      <c r="H2899" t="str">
        <f>"0001"</f>
        <v>0001</v>
      </c>
      <c r="I2899" t="s">
        <v>122</v>
      </c>
      <c r="J2899">
        <v>1</v>
      </c>
      <c r="K2899">
        <v>1</v>
      </c>
      <c r="L2899">
        <v>3</v>
      </c>
      <c r="M2899">
        <v>193</v>
      </c>
      <c r="N2899">
        <v>229</v>
      </c>
      <c r="O2899">
        <v>1</v>
      </c>
      <c r="P2899">
        <v>0</v>
      </c>
      <c r="Q2899">
        <v>10</v>
      </c>
      <c r="R2899">
        <v>20</v>
      </c>
      <c r="S2899">
        <v>2</v>
      </c>
      <c r="T2899">
        <v>55</v>
      </c>
      <c r="U2899">
        <v>12</v>
      </c>
      <c r="W2899">
        <v>33</v>
      </c>
      <c r="X2899">
        <v>32</v>
      </c>
      <c r="Y2899">
        <v>10</v>
      </c>
      <c r="Z2899">
        <v>0</v>
      </c>
      <c r="AA2899">
        <v>1</v>
      </c>
      <c r="AB2899">
        <v>41</v>
      </c>
      <c r="AF2899">
        <v>32</v>
      </c>
      <c r="AG2899">
        <v>0</v>
      </c>
      <c r="AH2899">
        <v>0</v>
      </c>
      <c r="AI2899">
        <v>1</v>
      </c>
      <c r="AW2899" t="s">
        <v>95</v>
      </c>
      <c r="AX2899">
        <v>13</v>
      </c>
      <c r="AY2899">
        <v>230</v>
      </c>
      <c r="AZ2899">
        <v>262</v>
      </c>
      <c r="BA2899">
        <v>378</v>
      </c>
      <c r="BB2899">
        <v>44</v>
      </c>
      <c r="BC2899" t="s">
        <v>96</v>
      </c>
      <c r="BD2899">
        <v>1</v>
      </c>
      <c r="BF2899" t="s">
        <v>3109</v>
      </c>
      <c r="BG2899" s="1">
        <v>44354.140277777777</v>
      </c>
      <c r="BH2899" s="1">
        <v>44354.142442129632</v>
      </c>
      <c r="BI2899" s="1">
        <v>44354.14329861111</v>
      </c>
      <c r="BJ2899" t="s">
        <v>85</v>
      </c>
      <c r="BK2899" t="s">
        <v>86</v>
      </c>
      <c r="BL2899" t="s">
        <v>87</v>
      </c>
    </row>
    <row r="2900" spans="1:64" x14ac:dyDescent="0.3">
      <c r="A2900" t="str">
        <f>"201924B0000"</f>
        <v>201924B0000</v>
      </c>
      <c r="B2900" t="str">
        <f>"201924B00003"</f>
        <v>201924B00003</v>
      </c>
      <c r="C2900" t="str">
        <f t="shared" si="203"/>
        <v>20</v>
      </c>
      <c r="D2900" t="s">
        <v>81</v>
      </c>
      <c r="E2900" t="str">
        <f t="shared" si="202"/>
        <v>440</v>
      </c>
      <c r="F2900" t="s">
        <v>3092</v>
      </c>
      <c r="G2900" t="str">
        <f>"1924"</f>
        <v>1924</v>
      </c>
      <c r="H2900" t="str">
        <f>"0000"</f>
        <v>0000</v>
      </c>
      <c r="I2900" t="s">
        <v>83</v>
      </c>
      <c r="J2900">
        <v>0</v>
      </c>
      <c r="K2900">
        <v>1</v>
      </c>
      <c r="L2900">
        <v>3</v>
      </c>
      <c r="M2900">
        <v>267</v>
      </c>
      <c r="N2900">
        <v>315</v>
      </c>
      <c r="O2900">
        <v>4</v>
      </c>
      <c r="P2900">
        <v>315</v>
      </c>
      <c r="Q2900">
        <v>19</v>
      </c>
      <c r="R2900">
        <v>13</v>
      </c>
      <c r="S2900">
        <v>2</v>
      </c>
      <c r="T2900">
        <v>74</v>
      </c>
      <c r="U2900">
        <v>25</v>
      </c>
      <c r="W2900">
        <v>30</v>
      </c>
      <c r="X2900">
        <v>98</v>
      </c>
      <c r="Y2900">
        <v>22</v>
      </c>
      <c r="Z2900">
        <v>1</v>
      </c>
      <c r="AA2900">
        <v>0</v>
      </c>
      <c r="AB2900">
        <v>17</v>
      </c>
      <c r="AF2900">
        <v>0</v>
      </c>
      <c r="AG2900">
        <v>0</v>
      </c>
      <c r="AH2900">
        <v>0</v>
      </c>
      <c r="AI2900">
        <v>0</v>
      </c>
      <c r="AW2900">
        <v>0</v>
      </c>
      <c r="AX2900">
        <v>6</v>
      </c>
      <c r="AY2900">
        <v>315</v>
      </c>
      <c r="AZ2900">
        <v>307</v>
      </c>
      <c r="BA2900">
        <v>538</v>
      </c>
      <c r="BB2900">
        <v>44</v>
      </c>
      <c r="BD2900">
        <v>1</v>
      </c>
      <c r="BF2900" t="s">
        <v>3110</v>
      </c>
      <c r="BG2900" s="1">
        <v>44354.054861111108</v>
      </c>
      <c r="BH2900" s="1">
        <v>44354.064942129633</v>
      </c>
      <c r="BI2900" s="1">
        <v>44354.065682870372</v>
      </c>
      <c r="BJ2900" t="s">
        <v>85</v>
      </c>
      <c r="BK2900" t="s">
        <v>86</v>
      </c>
      <c r="BL2900" t="s">
        <v>87</v>
      </c>
    </row>
    <row r="2901" spans="1:64" x14ac:dyDescent="0.3">
      <c r="A2901" t="str">
        <f>"201924C0100"</f>
        <v>201924C0100</v>
      </c>
      <c r="B2901" t="str">
        <f>"201924C01003"</f>
        <v>201924C01003</v>
      </c>
      <c r="C2901" t="str">
        <f t="shared" si="203"/>
        <v>20</v>
      </c>
      <c r="D2901" t="s">
        <v>81</v>
      </c>
      <c r="E2901" t="str">
        <f t="shared" si="202"/>
        <v>440</v>
      </c>
      <c r="F2901" t="s">
        <v>3092</v>
      </c>
      <c r="G2901" t="str">
        <f>"1924"</f>
        <v>1924</v>
      </c>
      <c r="H2901" t="str">
        <f>"0001"</f>
        <v>0001</v>
      </c>
      <c r="I2901" t="s">
        <v>89</v>
      </c>
      <c r="J2901">
        <v>0</v>
      </c>
      <c r="K2901">
        <v>1</v>
      </c>
      <c r="L2901">
        <v>3</v>
      </c>
      <c r="M2901">
        <v>236</v>
      </c>
      <c r="N2901">
        <v>346</v>
      </c>
      <c r="O2901">
        <v>3</v>
      </c>
      <c r="P2901">
        <v>346</v>
      </c>
      <c r="Q2901">
        <v>38</v>
      </c>
      <c r="R2901">
        <v>24</v>
      </c>
      <c r="S2901">
        <v>1</v>
      </c>
      <c r="T2901">
        <v>48</v>
      </c>
      <c r="U2901">
        <v>36</v>
      </c>
      <c r="W2901">
        <v>37</v>
      </c>
      <c r="X2901">
        <v>93</v>
      </c>
      <c r="Y2901">
        <v>31</v>
      </c>
      <c r="Z2901">
        <v>2</v>
      </c>
      <c r="AA2901">
        <v>2</v>
      </c>
      <c r="AB2901">
        <v>19</v>
      </c>
      <c r="AF2901">
        <v>1</v>
      </c>
      <c r="AG2901">
        <v>0</v>
      </c>
      <c r="AH2901">
        <v>1</v>
      </c>
      <c r="AI2901">
        <v>0</v>
      </c>
      <c r="AW2901">
        <v>0</v>
      </c>
      <c r="AX2901">
        <v>13</v>
      </c>
      <c r="AY2901">
        <v>346</v>
      </c>
      <c r="AZ2901">
        <v>346</v>
      </c>
      <c r="BA2901">
        <v>538</v>
      </c>
      <c r="BB2901">
        <v>44</v>
      </c>
      <c r="BD2901">
        <v>1</v>
      </c>
      <c r="BF2901" t="s">
        <v>3111</v>
      </c>
      <c r="BG2901" s="1">
        <v>44354.039583333331</v>
      </c>
      <c r="BH2901" s="1">
        <v>44354.067303240743</v>
      </c>
      <c r="BI2901" s="1">
        <v>44354.067939814813</v>
      </c>
      <c r="BJ2901" t="s">
        <v>85</v>
      </c>
      <c r="BK2901" t="s">
        <v>86</v>
      </c>
      <c r="BL2901" t="s">
        <v>87</v>
      </c>
    </row>
    <row r="2902" spans="1:64" x14ac:dyDescent="0.3">
      <c r="A2902" t="str">
        <f>"201924E0100"</f>
        <v>201924E0100</v>
      </c>
      <c r="B2902" t="str">
        <f>"201924E01003"</f>
        <v>201924E01003</v>
      </c>
      <c r="C2902" t="str">
        <f t="shared" si="203"/>
        <v>20</v>
      </c>
      <c r="D2902" t="s">
        <v>81</v>
      </c>
      <c r="E2902" t="str">
        <f t="shared" si="202"/>
        <v>440</v>
      </c>
      <c r="F2902" t="s">
        <v>3092</v>
      </c>
      <c r="G2902" t="str">
        <f>"1924"</f>
        <v>1924</v>
      </c>
      <c r="H2902" t="str">
        <f>"0001"</f>
        <v>0001</v>
      </c>
      <c r="I2902" t="s">
        <v>122</v>
      </c>
      <c r="J2902">
        <v>0</v>
      </c>
      <c r="K2902">
        <v>1</v>
      </c>
      <c r="L2902">
        <v>3</v>
      </c>
      <c r="M2902">
        <v>172</v>
      </c>
      <c r="N2902">
        <v>262</v>
      </c>
      <c r="O2902">
        <v>5</v>
      </c>
      <c r="P2902">
        <v>262</v>
      </c>
      <c r="Q2902">
        <v>26</v>
      </c>
      <c r="R2902">
        <v>46</v>
      </c>
      <c r="S2902">
        <v>1</v>
      </c>
      <c r="T2902">
        <v>23</v>
      </c>
      <c r="U2902">
        <v>9</v>
      </c>
      <c r="W2902">
        <v>22</v>
      </c>
      <c r="X2902">
        <v>74</v>
      </c>
      <c r="Y2902">
        <v>12</v>
      </c>
      <c r="Z2902">
        <v>2</v>
      </c>
      <c r="AA2902">
        <v>2</v>
      </c>
      <c r="AB2902">
        <v>27</v>
      </c>
      <c r="AF2902">
        <v>1</v>
      </c>
      <c r="AG2902">
        <v>0</v>
      </c>
      <c r="AH2902">
        <v>0</v>
      </c>
      <c r="AI2902">
        <v>0</v>
      </c>
      <c r="AW2902">
        <v>0</v>
      </c>
      <c r="AX2902">
        <v>17</v>
      </c>
      <c r="AY2902">
        <v>262</v>
      </c>
      <c r="AZ2902">
        <v>262</v>
      </c>
      <c r="BA2902">
        <v>390</v>
      </c>
      <c r="BB2902">
        <v>44</v>
      </c>
      <c r="BD2902">
        <v>1</v>
      </c>
      <c r="BF2902" t="s">
        <v>3112</v>
      </c>
      <c r="BG2902" s="1">
        <v>44354.031944444447</v>
      </c>
      <c r="BH2902" s="1">
        <v>44354.042673611111</v>
      </c>
      <c r="BI2902" s="1">
        <v>44354.043437499997</v>
      </c>
      <c r="BJ2902" t="s">
        <v>85</v>
      </c>
      <c r="BK2902" t="s">
        <v>86</v>
      </c>
      <c r="BL2902" t="s">
        <v>87</v>
      </c>
    </row>
    <row r="2903" spans="1:64" x14ac:dyDescent="0.3">
      <c r="A2903" t="str">
        <f>"201924E0101"</f>
        <v>201924E0101</v>
      </c>
      <c r="B2903" t="str">
        <f>"201924E01013"</f>
        <v>201924E01013</v>
      </c>
      <c r="C2903" t="str">
        <f t="shared" si="203"/>
        <v>20</v>
      </c>
      <c r="D2903" t="s">
        <v>81</v>
      </c>
      <c r="E2903" t="str">
        <f t="shared" si="202"/>
        <v>440</v>
      </c>
      <c r="F2903" t="s">
        <v>3092</v>
      </c>
      <c r="G2903" t="str">
        <f>"1924"</f>
        <v>1924</v>
      </c>
      <c r="H2903" t="str">
        <f>"0001"</f>
        <v>0001</v>
      </c>
      <c r="I2903" t="s">
        <v>122</v>
      </c>
      <c r="J2903">
        <v>1</v>
      </c>
      <c r="K2903">
        <v>1</v>
      </c>
      <c r="L2903">
        <v>3</v>
      </c>
      <c r="M2903">
        <v>192</v>
      </c>
      <c r="N2903">
        <v>241</v>
      </c>
      <c r="O2903">
        <v>6</v>
      </c>
      <c r="P2903">
        <v>241</v>
      </c>
      <c r="Q2903">
        <v>24</v>
      </c>
      <c r="R2903">
        <v>36</v>
      </c>
      <c r="S2903">
        <v>0</v>
      </c>
      <c r="T2903">
        <v>27</v>
      </c>
      <c r="U2903">
        <v>4</v>
      </c>
      <c r="W2903">
        <v>35</v>
      </c>
      <c r="X2903">
        <v>64</v>
      </c>
      <c r="Y2903">
        <v>9</v>
      </c>
      <c r="Z2903">
        <v>1</v>
      </c>
      <c r="AA2903">
        <v>5</v>
      </c>
      <c r="AB2903">
        <v>30</v>
      </c>
      <c r="AF2903">
        <v>0</v>
      </c>
      <c r="AG2903">
        <v>0</v>
      </c>
      <c r="AH2903">
        <v>0</v>
      </c>
      <c r="AI2903">
        <v>0</v>
      </c>
      <c r="AW2903">
        <v>0</v>
      </c>
      <c r="AX2903">
        <v>6</v>
      </c>
      <c r="AY2903">
        <v>241</v>
      </c>
      <c r="AZ2903">
        <v>241</v>
      </c>
      <c r="BA2903">
        <v>389</v>
      </c>
      <c r="BB2903">
        <v>44</v>
      </c>
      <c r="BD2903">
        <v>1</v>
      </c>
      <c r="BF2903" t="s">
        <v>3113</v>
      </c>
      <c r="BG2903" s="1">
        <v>44354.020138888889</v>
      </c>
      <c r="BH2903" s="1">
        <v>44354.029618055552</v>
      </c>
      <c r="BI2903" s="1">
        <v>44354.030185185184</v>
      </c>
      <c r="BJ2903" t="s">
        <v>85</v>
      </c>
      <c r="BK2903" t="s">
        <v>86</v>
      </c>
      <c r="BL2903" t="s">
        <v>87</v>
      </c>
    </row>
    <row r="2904" spans="1:64" x14ac:dyDescent="0.3">
      <c r="A2904" t="str">
        <f>"201925B0000"</f>
        <v>201925B0000</v>
      </c>
      <c r="B2904" t="str">
        <f>"201925B00003"</f>
        <v>201925B00003</v>
      </c>
      <c r="C2904" t="str">
        <f t="shared" si="203"/>
        <v>20</v>
      </c>
      <c r="D2904" t="s">
        <v>81</v>
      </c>
      <c r="E2904" t="str">
        <f t="shared" si="202"/>
        <v>440</v>
      </c>
      <c r="F2904" t="s">
        <v>3092</v>
      </c>
      <c r="G2904" t="str">
        <f>"1925"</f>
        <v>1925</v>
      </c>
      <c r="H2904" t="str">
        <f>"0000"</f>
        <v>0000</v>
      </c>
      <c r="I2904" t="s">
        <v>83</v>
      </c>
      <c r="J2904">
        <v>0</v>
      </c>
      <c r="K2904">
        <v>1</v>
      </c>
      <c r="L2904">
        <v>3</v>
      </c>
      <c r="M2904">
        <v>325</v>
      </c>
      <c r="N2904">
        <v>435</v>
      </c>
      <c r="O2904">
        <v>1</v>
      </c>
      <c r="P2904" t="s">
        <v>92</v>
      </c>
      <c r="Q2904">
        <v>59</v>
      </c>
      <c r="R2904">
        <v>69</v>
      </c>
      <c r="S2904">
        <v>7</v>
      </c>
      <c r="T2904">
        <v>41</v>
      </c>
      <c r="U2904">
        <v>20</v>
      </c>
      <c r="W2904">
        <v>65</v>
      </c>
      <c r="X2904">
        <v>83</v>
      </c>
      <c r="Y2904">
        <v>30</v>
      </c>
      <c r="Z2904" t="s">
        <v>95</v>
      </c>
      <c r="AA2904">
        <v>6</v>
      </c>
      <c r="AB2904">
        <v>30</v>
      </c>
      <c r="AF2904">
        <v>6</v>
      </c>
      <c r="AG2904">
        <v>6</v>
      </c>
      <c r="AH2904">
        <v>1</v>
      </c>
      <c r="AI2904" t="s">
        <v>95</v>
      </c>
      <c r="AW2904" t="s">
        <v>95</v>
      </c>
      <c r="AX2904">
        <v>12</v>
      </c>
      <c r="AY2904">
        <v>435</v>
      </c>
      <c r="AZ2904">
        <v>435</v>
      </c>
      <c r="BA2904">
        <v>716</v>
      </c>
      <c r="BB2904">
        <v>44</v>
      </c>
      <c r="BC2904" t="s">
        <v>96</v>
      </c>
      <c r="BD2904">
        <v>1</v>
      </c>
      <c r="BF2904" t="s">
        <v>3114</v>
      </c>
      <c r="BG2904" s="1">
        <v>44354.240972222222</v>
      </c>
      <c r="BH2904" s="1">
        <v>44354.24324074074</v>
      </c>
      <c r="BI2904" s="1">
        <v>44354.244074074071</v>
      </c>
      <c r="BJ2904" t="s">
        <v>85</v>
      </c>
      <c r="BK2904" t="s">
        <v>86</v>
      </c>
      <c r="BL2904" t="s">
        <v>87</v>
      </c>
    </row>
    <row r="2905" spans="1:64" x14ac:dyDescent="0.3">
      <c r="A2905" t="str">
        <f>"201925C0100"</f>
        <v>201925C0100</v>
      </c>
      <c r="B2905" t="str">
        <f>"201925C01003"</f>
        <v>201925C01003</v>
      </c>
      <c r="C2905" t="str">
        <f t="shared" si="203"/>
        <v>20</v>
      </c>
      <c r="D2905" t="s">
        <v>81</v>
      </c>
      <c r="E2905" t="str">
        <f t="shared" si="202"/>
        <v>440</v>
      </c>
      <c r="F2905" t="s">
        <v>3092</v>
      </c>
      <c r="G2905" t="str">
        <f>"1925"</f>
        <v>1925</v>
      </c>
      <c r="H2905" t="str">
        <f>"0001"</f>
        <v>0001</v>
      </c>
      <c r="I2905" t="s">
        <v>89</v>
      </c>
      <c r="J2905">
        <v>0</v>
      </c>
      <c r="K2905">
        <v>1</v>
      </c>
      <c r="L2905">
        <v>3</v>
      </c>
      <c r="M2905">
        <v>336</v>
      </c>
      <c r="N2905">
        <v>423</v>
      </c>
      <c r="O2905">
        <v>2</v>
      </c>
      <c r="P2905">
        <v>423</v>
      </c>
      <c r="Q2905">
        <v>55</v>
      </c>
      <c r="R2905">
        <v>53</v>
      </c>
      <c r="S2905">
        <v>5</v>
      </c>
      <c r="T2905">
        <v>40</v>
      </c>
      <c r="U2905">
        <v>18</v>
      </c>
      <c r="W2905">
        <v>80</v>
      </c>
      <c r="X2905">
        <v>97</v>
      </c>
      <c r="Y2905">
        <v>10</v>
      </c>
      <c r="Z2905">
        <v>2</v>
      </c>
      <c r="AA2905">
        <v>6</v>
      </c>
      <c r="AB2905">
        <v>39</v>
      </c>
      <c r="AF2905">
        <v>4</v>
      </c>
      <c r="AG2905">
        <v>3</v>
      </c>
      <c r="AH2905">
        <v>2</v>
      </c>
      <c r="AI2905">
        <v>0</v>
      </c>
      <c r="AW2905">
        <v>0</v>
      </c>
      <c r="AX2905">
        <v>9</v>
      </c>
      <c r="AY2905">
        <v>423</v>
      </c>
      <c r="AZ2905">
        <v>423</v>
      </c>
      <c r="BA2905">
        <v>715</v>
      </c>
      <c r="BB2905">
        <v>44</v>
      </c>
      <c r="BD2905">
        <v>1</v>
      </c>
      <c r="BF2905" t="s">
        <v>3115</v>
      </c>
      <c r="BG2905" s="1">
        <v>44354.234027777777</v>
      </c>
      <c r="BH2905" s="1">
        <v>44354.237060185187</v>
      </c>
      <c r="BI2905" s="1">
        <v>44354.238807870373</v>
      </c>
      <c r="BJ2905" t="s">
        <v>85</v>
      </c>
      <c r="BK2905" t="s">
        <v>86</v>
      </c>
      <c r="BL2905" t="s">
        <v>87</v>
      </c>
    </row>
    <row r="2906" spans="1:64" x14ac:dyDescent="0.3">
      <c r="A2906" t="str">
        <f>"201925E0100"</f>
        <v>201925E0100</v>
      </c>
      <c r="B2906" t="str">
        <f>"201925E01003"</f>
        <v>201925E01003</v>
      </c>
      <c r="C2906" t="str">
        <f t="shared" si="203"/>
        <v>20</v>
      </c>
      <c r="D2906" t="s">
        <v>81</v>
      </c>
      <c r="E2906" t="str">
        <f t="shared" si="202"/>
        <v>440</v>
      </c>
      <c r="F2906" t="s">
        <v>3092</v>
      </c>
      <c r="G2906" t="str">
        <f>"1925"</f>
        <v>1925</v>
      </c>
      <c r="H2906" t="str">
        <f>"0001"</f>
        <v>0001</v>
      </c>
      <c r="I2906" t="s">
        <v>122</v>
      </c>
      <c r="J2906">
        <v>0</v>
      </c>
      <c r="K2906">
        <v>1</v>
      </c>
      <c r="L2906">
        <v>3</v>
      </c>
      <c r="M2906">
        <v>281</v>
      </c>
      <c r="N2906">
        <v>468</v>
      </c>
      <c r="O2906">
        <v>8</v>
      </c>
      <c r="P2906">
        <v>468</v>
      </c>
      <c r="Q2906">
        <v>87</v>
      </c>
      <c r="R2906">
        <v>50</v>
      </c>
      <c r="S2906">
        <v>8</v>
      </c>
      <c r="T2906">
        <v>75</v>
      </c>
      <c r="U2906">
        <v>8</v>
      </c>
      <c r="W2906">
        <v>75</v>
      </c>
      <c r="X2906">
        <v>104</v>
      </c>
      <c r="Y2906">
        <v>8</v>
      </c>
      <c r="Z2906">
        <v>0</v>
      </c>
      <c r="AA2906">
        <v>4</v>
      </c>
      <c r="AB2906">
        <v>28</v>
      </c>
      <c r="AF2906">
        <v>5</v>
      </c>
      <c r="AG2906">
        <v>2</v>
      </c>
      <c r="AH2906">
        <v>2</v>
      </c>
      <c r="AI2906">
        <v>1</v>
      </c>
      <c r="AW2906">
        <v>0</v>
      </c>
      <c r="AX2906">
        <v>11</v>
      </c>
      <c r="AY2906">
        <v>468</v>
      </c>
      <c r="AZ2906">
        <v>468</v>
      </c>
      <c r="BA2906">
        <v>705</v>
      </c>
      <c r="BB2906">
        <v>44</v>
      </c>
      <c r="BD2906">
        <v>1</v>
      </c>
      <c r="BF2906" t="s">
        <v>3116</v>
      </c>
      <c r="BG2906" s="1">
        <v>44354.220833333333</v>
      </c>
      <c r="BH2906" s="1">
        <v>44354.224085648151</v>
      </c>
      <c r="BI2906" s="1">
        <v>44354.224675925929</v>
      </c>
      <c r="BJ2906" t="s">
        <v>85</v>
      </c>
      <c r="BK2906" t="s">
        <v>86</v>
      </c>
      <c r="BL2906" t="s">
        <v>87</v>
      </c>
    </row>
    <row r="2907" spans="1:64" x14ac:dyDescent="0.3">
      <c r="A2907" t="str">
        <f>"201925E0200"</f>
        <v>201925E0200</v>
      </c>
      <c r="B2907" t="str">
        <f>"201925E02003"</f>
        <v>201925E02003</v>
      </c>
      <c r="C2907" t="str">
        <f t="shared" si="203"/>
        <v>20</v>
      </c>
      <c r="D2907" t="s">
        <v>81</v>
      </c>
      <c r="E2907" t="str">
        <f t="shared" si="202"/>
        <v>440</v>
      </c>
      <c r="F2907" t="s">
        <v>3092</v>
      </c>
      <c r="G2907" t="str">
        <f>"1925"</f>
        <v>1925</v>
      </c>
      <c r="H2907" t="str">
        <f>"0002"</f>
        <v>0002</v>
      </c>
      <c r="I2907" t="s">
        <v>122</v>
      </c>
      <c r="J2907">
        <v>0</v>
      </c>
      <c r="K2907">
        <v>1</v>
      </c>
      <c r="L2907">
        <v>3</v>
      </c>
      <c r="M2907">
        <v>108</v>
      </c>
      <c r="N2907">
        <v>234</v>
      </c>
      <c r="O2907">
        <v>5</v>
      </c>
      <c r="P2907">
        <v>234</v>
      </c>
      <c r="Q2907">
        <v>10</v>
      </c>
      <c r="R2907">
        <v>14</v>
      </c>
      <c r="S2907">
        <v>3</v>
      </c>
      <c r="T2907">
        <v>65</v>
      </c>
      <c r="U2907">
        <v>23</v>
      </c>
      <c r="W2907">
        <v>54</v>
      </c>
      <c r="X2907">
        <v>21</v>
      </c>
      <c r="Y2907">
        <v>21</v>
      </c>
      <c r="Z2907">
        <v>0</v>
      </c>
      <c r="AA2907">
        <v>2</v>
      </c>
      <c r="AB2907">
        <v>1</v>
      </c>
      <c r="AF2907">
        <v>0</v>
      </c>
      <c r="AG2907">
        <v>0</v>
      </c>
      <c r="AH2907">
        <v>0</v>
      </c>
      <c r="AI2907">
        <v>0</v>
      </c>
      <c r="AW2907">
        <v>0</v>
      </c>
      <c r="AX2907">
        <v>20</v>
      </c>
      <c r="AY2907">
        <v>234</v>
      </c>
      <c r="AZ2907">
        <v>234</v>
      </c>
      <c r="BA2907">
        <v>298</v>
      </c>
      <c r="BB2907">
        <v>44</v>
      </c>
      <c r="BD2907">
        <v>1</v>
      </c>
      <c r="BF2907" s="2" t="s">
        <v>3117</v>
      </c>
      <c r="BG2907" s="1">
        <v>44354.229166666664</v>
      </c>
      <c r="BH2907" s="1">
        <v>44354.231828703705</v>
      </c>
      <c r="BI2907" s="1">
        <v>44354.232488425929</v>
      </c>
      <c r="BJ2907" t="s">
        <v>85</v>
      </c>
      <c r="BK2907" t="s">
        <v>86</v>
      </c>
      <c r="BL2907" t="s">
        <v>87</v>
      </c>
    </row>
    <row r="2908" spans="1:64" x14ac:dyDescent="0.3">
      <c r="A2908" t="str">
        <f>"201926B0000"</f>
        <v>201926B0000</v>
      </c>
      <c r="B2908" t="str">
        <f>"201926B00003"</f>
        <v>201926B00003</v>
      </c>
      <c r="C2908" t="str">
        <f t="shared" si="203"/>
        <v>20</v>
      </c>
      <c r="D2908" t="s">
        <v>81</v>
      </c>
      <c r="E2908" t="str">
        <f t="shared" si="202"/>
        <v>440</v>
      </c>
      <c r="F2908" t="s">
        <v>3092</v>
      </c>
      <c r="G2908" t="str">
        <f>"1926"</f>
        <v>1926</v>
      </c>
      <c r="H2908" t="str">
        <f>"0000"</f>
        <v>0000</v>
      </c>
      <c r="I2908" t="s">
        <v>83</v>
      </c>
      <c r="J2908">
        <v>0</v>
      </c>
      <c r="K2908">
        <v>1</v>
      </c>
      <c r="L2908">
        <v>3</v>
      </c>
      <c r="M2908">
        <v>173</v>
      </c>
      <c r="N2908">
        <v>378</v>
      </c>
      <c r="O2908">
        <v>4</v>
      </c>
      <c r="P2908">
        <v>378</v>
      </c>
      <c r="Q2908">
        <v>77</v>
      </c>
      <c r="R2908">
        <v>37</v>
      </c>
      <c r="S2908">
        <v>4</v>
      </c>
      <c r="T2908">
        <v>47</v>
      </c>
      <c r="U2908">
        <v>6</v>
      </c>
      <c r="W2908">
        <v>63</v>
      </c>
      <c r="X2908">
        <v>106</v>
      </c>
      <c r="Y2908">
        <v>4</v>
      </c>
      <c r="Z2908">
        <v>1</v>
      </c>
      <c r="AA2908">
        <v>6</v>
      </c>
      <c r="AB2908">
        <v>7</v>
      </c>
      <c r="AF2908">
        <v>8</v>
      </c>
      <c r="AG2908">
        <v>3</v>
      </c>
      <c r="AH2908">
        <v>0</v>
      </c>
      <c r="AI2908">
        <v>0</v>
      </c>
      <c r="AW2908">
        <v>0</v>
      </c>
      <c r="AX2908">
        <v>9</v>
      </c>
      <c r="AY2908">
        <v>378</v>
      </c>
      <c r="AZ2908">
        <v>378</v>
      </c>
      <c r="BA2908">
        <v>507</v>
      </c>
      <c r="BB2908">
        <v>44</v>
      </c>
      <c r="BD2908">
        <v>1</v>
      </c>
      <c r="BF2908" t="s">
        <v>3118</v>
      </c>
      <c r="BG2908" s="1">
        <v>44354.068749999999</v>
      </c>
      <c r="BH2908" s="1">
        <v>44354.077349537038</v>
      </c>
      <c r="BI2908" s="1">
        <v>44354.077800925923</v>
      </c>
      <c r="BJ2908" t="s">
        <v>85</v>
      </c>
      <c r="BK2908" t="s">
        <v>86</v>
      </c>
      <c r="BL2908" t="s">
        <v>87</v>
      </c>
    </row>
    <row r="2909" spans="1:64" x14ac:dyDescent="0.3">
      <c r="A2909" t="str">
        <f>"201926C0100"</f>
        <v>201926C0100</v>
      </c>
      <c r="B2909" t="str">
        <f>"201926C01003"</f>
        <v>201926C01003</v>
      </c>
      <c r="C2909" t="str">
        <f t="shared" si="203"/>
        <v>20</v>
      </c>
      <c r="D2909" t="s">
        <v>81</v>
      </c>
      <c r="E2909" t="str">
        <f t="shared" si="202"/>
        <v>440</v>
      </c>
      <c r="F2909" t="s">
        <v>3092</v>
      </c>
      <c r="G2909" t="str">
        <f>"1926"</f>
        <v>1926</v>
      </c>
      <c r="H2909" t="str">
        <f>"0001"</f>
        <v>0001</v>
      </c>
      <c r="I2909" t="s">
        <v>89</v>
      </c>
      <c r="J2909">
        <v>0</v>
      </c>
      <c r="K2909">
        <v>1</v>
      </c>
      <c r="L2909">
        <v>3</v>
      </c>
      <c r="M2909" t="s">
        <v>92</v>
      </c>
      <c r="N2909" t="s">
        <v>92</v>
      </c>
      <c r="O2909" t="s">
        <v>92</v>
      </c>
      <c r="P2909" t="s">
        <v>92</v>
      </c>
      <c r="Q2909">
        <v>98</v>
      </c>
      <c r="R2909">
        <v>57</v>
      </c>
      <c r="S2909">
        <v>8</v>
      </c>
      <c r="T2909">
        <v>34</v>
      </c>
      <c r="U2909">
        <v>7</v>
      </c>
      <c r="W2909">
        <v>52</v>
      </c>
      <c r="X2909">
        <v>90</v>
      </c>
      <c r="Y2909">
        <v>1</v>
      </c>
      <c r="Z2909">
        <v>0</v>
      </c>
      <c r="AA2909">
        <v>2</v>
      </c>
      <c r="AB2909">
        <v>5</v>
      </c>
      <c r="AF2909">
        <v>16</v>
      </c>
      <c r="AG2909">
        <v>6</v>
      </c>
      <c r="AH2909">
        <v>0</v>
      </c>
      <c r="AI2909">
        <v>0</v>
      </c>
      <c r="AW2909">
        <v>0</v>
      </c>
      <c r="AX2909">
        <v>6</v>
      </c>
      <c r="AY2909">
        <v>382</v>
      </c>
      <c r="AZ2909">
        <v>382</v>
      </c>
      <c r="BA2909">
        <v>507</v>
      </c>
      <c r="BB2909">
        <v>44</v>
      </c>
      <c r="BD2909">
        <v>1</v>
      </c>
      <c r="BF2909" t="s">
        <v>3119</v>
      </c>
      <c r="BG2909" s="1">
        <v>44354.076388888891</v>
      </c>
      <c r="BH2909" s="1">
        <v>44354.087442129632</v>
      </c>
      <c r="BI2909" s="1">
        <v>44354.089490740742</v>
      </c>
      <c r="BJ2909" t="s">
        <v>85</v>
      </c>
      <c r="BK2909" t="s">
        <v>86</v>
      </c>
      <c r="BL2909" t="s">
        <v>87</v>
      </c>
    </row>
    <row r="2910" spans="1:64" x14ac:dyDescent="0.3">
      <c r="A2910" t="str">
        <f>"201926C0200"</f>
        <v>201926C0200</v>
      </c>
      <c r="B2910" t="str">
        <f>"201926C02003"</f>
        <v>201926C02003</v>
      </c>
      <c r="C2910" t="str">
        <f t="shared" si="203"/>
        <v>20</v>
      </c>
      <c r="D2910" t="s">
        <v>81</v>
      </c>
      <c r="E2910" t="str">
        <f t="shared" si="202"/>
        <v>440</v>
      </c>
      <c r="F2910" t="s">
        <v>3092</v>
      </c>
      <c r="G2910" t="str">
        <f>"1926"</f>
        <v>1926</v>
      </c>
      <c r="H2910" t="str">
        <f>"0002"</f>
        <v>0002</v>
      </c>
      <c r="I2910" t="s">
        <v>89</v>
      </c>
      <c r="J2910">
        <v>0</v>
      </c>
      <c r="K2910">
        <v>1</v>
      </c>
      <c r="L2910">
        <v>3</v>
      </c>
      <c r="M2910">
        <v>198</v>
      </c>
      <c r="N2910">
        <v>352</v>
      </c>
      <c r="O2910">
        <v>1</v>
      </c>
      <c r="P2910">
        <v>352</v>
      </c>
      <c r="Q2910">
        <v>96</v>
      </c>
      <c r="R2910">
        <v>31</v>
      </c>
      <c r="S2910">
        <v>2</v>
      </c>
      <c r="T2910">
        <v>36</v>
      </c>
      <c r="U2910">
        <v>8</v>
      </c>
      <c r="W2910">
        <v>76</v>
      </c>
      <c r="X2910">
        <v>76</v>
      </c>
      <c r="Y2910">
        <v>2</v>
      </c>
      <c r="Z2910">
        <v>1</v>
      </c>
      <c r="AA2910">
        <v>3</v>
      </c>
      <c r="AB2910">
        <v>1</v>
      </c>
      <c r="AF2910">
        <v>7</v>
      </c>
      <c r="AG2910">
        <v>5</v>
      </c>
      <c r="AH2910">
        <v>0</v>
      </c>
      <c r="AI2910">
        <v>1</v>
      </c>
      <c r="AW2910">
        <v>0</v>
      </c>
      <c r="AX2910">
        <v>7</v>
      </c>
      <c r="AY2910">
        <v>352</v>
      </c>
      <c r="AZ2910">
        <v>352</v>
      </c>
      <c r="BA2910">
        <v>506</v>
      </c>
      <c r="BB2910">
        <v>44</v>
      </c>
      <c r="BD2910">
        <v>1</v>
      </c>
      <c r="BF2910" t="s">
        <v>3120</v>
      </c>
      <c r="BG2910" s="1">
        <v>44354.09097222222</v>
      </c>
      <c r="BH2910" s="1">
        <v>44354.09611111111</v>
      </c>
      <c r="BI2910" s="1">
        <v>44354.096770833334</v>
      </c>
      <c r="BJ2910" t="s">
        <v>85</v>
      </c>
      <c r="BK2910" t="s">
        <v>86</v>
      </c>
      <c r="BL2910" t="s">
        <v>87</v>
      </c>
    </row>
    <row r="2911" spans="1:64" x14ac:dyDescent="0.3">
      <c r="A2911" t="str">
        <f>"202498B0000"</f>
        <v>202498B0000</v>
      </c>
      <c r="B2911" t="str">
        <f>"202498B00003"</f>
        <v>202498B00003</v>
      </c>
      <c r="C2911" t="str">
        <f t="shared" si="203"/>
        <v>20</v>
      </c>
      <c r="D2911" t="s">
        <v>81</v>
      </c>
      <c r="E2911" t="str">
        <f t="shared" si="202"/>
        <v>440</v>
      </c>
      <c r="F2911" t="s">
        <v>3092</v>
      </c>
      <c r="G2911" t="str">
        <f>"2498"</f>
        <v>2498</v>
      </c>
      <c r="H2911" t="str">
        <f>"0000"</f>
        <v>0000</v>
      </c>
      <c r="I2911" t="s">
        <v>83</v>
      </c>
      <c r="J2911">
        <v>0</v>
      </c>
      <c r="K2911">
        <v>1</v>
      </c>
      <c r="L2911">
        <v>3</v>
      </c>
      <c r="M2911">
        <v>267</v>
      </c>
      <c r="N2911">
        <v>516</v>
      </c>
      <c r="O2911">
        <v>4</v>
      </c>
      <c r="P2911" t="s">
        <v>92</v>
      </c>
      <c r="Q2911">
        <v>83</v>
      </c>
      <c r="R2911">
        <v>87</v>
      </c>
      <c r="S2911">
        <v>14</v>
      </c>
      <c r="T2911">
        <v>43</v>
      </c>
      <c r="U2911">
        <v>12</v>
      </c>
      <c r="W2911">
        <v>91</v>
      </c>
      <c r="X2911">
        <v>138</v>
      </c>
      <c r="Y2911">
        <v>9</v>
      </c>
      <c r="Z2911">
        <v>0</v>
      </c>
      <c r="AA2911">
        <v>5</v>
      </c>
      <c r="AB2911">
        <v>13</v>
      </c>
      <c r="AF2911">
        <v>6</v>
      </c>
      <c r="AG2911">
        <v>0</v>
      </c>
      <c r="AH2911">
        <v>1</v>
      </c>
      <c r="AI2911">
        <v>0</v>
      </c>
      <c r="AW2911">
        <v>0</v>
      </c>
      <c r="AX2911">
        <v>14</v>
      </c>
      <c r="AY2911">
        <v>516</v>
      </c>
      <c r="AZ2911">
        <v>516</v>
      </c>
      <c r="BA2911">
        <v>740</v>
      </c>
      <c r="BB2911">
        <v>44</v>
      </c>
      <c r="BD2911">
        <v>1</v>
      </c>
      <c r="BF2911" t="s">
        <v>3121</v>
      </c>
      <c r="BG2911" s="1">
        <v>44354.18472222222</v>
      </c>
      <c r="BH2911" s="1">
        <v>44354.186550925922</v>
      </c>
      <c r="BI2911" s="1">
        <v>44354.1872337963</v>
      </c>
      <c r="BJ2911" t="s">
        <v>85</v>
      </c>
      <c r="BK2911" t="s">
        <v>86</v>
      </c>
      <c r="BL2911" t="s">
        <v>87</v>
      </c>
    </row>
    <row r="2912" spans="1:64" x14ac:dyDescent="0.3">
      <c r="A2912" t="str">
        <f>"202498C0100"</f>
        <v>202498C0100</v>
      </c>
      <c r="B2912" t="str">
        <f>"202498C01003"</f>
        <v>202498C01003</v>
      </c>
      <c r="C2912" t="str">
        <f t="shared" si="203"/>
        <v>20</v>
      </c>
      <c r="D2912" t="s">
        <v>81</v>
      </c>
      <c r="E2912" t="str">
        <f t="shared" si="202"/>
        <v>440</v>
      </c>
      <c r="F2912" t="s">
        <v>3092</v>
      </c>
      <c r="G2912" t="str">
        <f>"2498"</f>
        <v>2498</v>
      </c>
      <c r="H2912" t="str">
        <f>"0001"</f>
        <v>0001</v>
      </c>
      <c r="I2912" t="s">
        <v>89</v>
      </c>
      <c r="J2912">
        <v>0</v>
      </c>
      <c r="K2912">
        <v>1</v>
      </c>
      <c r="L2912">
        <v>3</v>
      </c>
      <c r="M2912">
        <v>268</v>
      </c>
      <c r="N2912">
        <v>515</v>
      </c>
      <c r="O2912">
        <v>1</v>
      </c>
      <c r="P2912">
        <v>515</v>
      </c>
      <c r="Q2912">
        <v>73</v>
      </c>
      <c r="R2912">
        <v>83</v>
      </c>
      <c r="S2912">
        <v>10</v>
      </c>
      <c r="T2912">
        <v>26</v>
      </c>
      <c r="U2912">
        <v>12</v>
      </c>
      <c r="W2912">
        <v>142</v>
      </c>
      <c r="X2912">
        <v>117</v>
      </c>
      <c r="Y2912">
        <v>6</v>
      </c>
      <c r="Z2912">
        <v>2</v>
      </c>
      <c r="AA2912">
        <v>5</v>
      </c>
      <c r="AB2912">
        <v>10</v>
      </c>
      <c r="AF2912">
        <v>11</v>
      </c>
      <c r="AG2912">
        <v>3</v>
      </c>
      <c r="AH2912">
        <v>0</v>
      </c>
      <c r="AI2912">
        <v>0</v>
      </c>
      <c r="AW2912">
        <v>0</v>
      </c>
      <c r="AX2912">
        <v>15</v>
      </c>
      <c r="AY2912">
        <v>515</v>
      </c>
      <c r="AZ2912">
        <v>515</v>
      </c>
      <c r="BA2912">
        <v>739</v>
      </c>
      <c r="BB2912">
        <v>44</v>
      </c>
      <c r="BD2912">
        <v>1</v>
      </c>
      <c r="BF2912" t="s">
        <v>3122</v>
      </c>
      <c r="BG2912" s="1">
        <v>44354.193055555559</v>
      </c>
      <c r="BH2912" s="1">
        <v>44354.196423611109</v>
      </c>
      <c r="BI2912" s="1">
        <v>44354.197048611109</v>
      </c>
      <c r="BJ2912" t="s">
        <v>85</v>
      </c>
      <c r="BK2912" t="s">
        <v>86</v>
      </c>
      <c r="BL2912" t="s">
        <v>87</v>
      </c>
    </row>
    <row r="2913" spans="1:64" x14ac:dyDescent="0.3">
      <c r="A2913" t="str">
        <f>"202498C0200"</f>
        <v>202498C0200</v>
      </c>
      <c r="B2913" t="str">
        <f>"202498C02003"</f>
        <v>202498C02003</v>
      </c>
      <c r="C2913" t="str">
        <f t="shared" si="203"/>
        <v>20</v>
      </c>
      <c r="D2913" t="s">
        <v>81</v>
      </c>
      <c r="E2913" t="str">
        <f t="shared" si="202"/>
        <v>440</v>
      </c>
      <c r="F2913" t="s">
        <v>3092</v>
      </c>
      <c r="G2913" t="str">
        <f>"2498"</f>
        <v>2498</v>
      </c>
      <c r="H2913" t="str">
        <f>"0002"</f>
        <v>0002</v>
      </c>
      <c r="I2913" t="s">
        <v>89</v>
      </c>
      <c r="J2913">
        <v>0</v>
      </c>
      <c r="K2913">
        <v>1</v>
      </c>
      <c r="L2913">
        <v>3</v>
      </c>
      <c r="M2913">
        <v>260</v>
      </c>
      <c r="N2913">
        <v>523</v>
      </c>
      <c r="O2913">
        <v>2</v>
      </c>
      <c r="P2913">
        <v>523</v>
      </c>
      <c r="Q2913">
        <v>108</v>
      </c>
      <c r="R2913">
        <v>69</v>
      </c>
      <c r="S2913">
        <v>14</v>
      </c>
      <c r="T2913">
        <v>27</v>
      </c>
      <c r="U2913">
        <v>7</v>
      </c>
      <c r="W2913">
        <v>112</v>
      </c>
      <c r="X2913">
        <v>139</v>
      </c>
      <c r="Y2913">
        <v>11</v>
      </c>
      <c r="Z2913">
        <v>2</v>
      </c>
      <c r="AA2913">
        <v>5</v>
      </c>
      <c r="AB2913">
        <v>4</v>
      </c>
      <c r="AF2913">
        <v>6</v>
      </c>
      <c r="AG2913">
        <v>3</v>
      </c>
      <c r="AH2913">
        <v>2</v>
      </c>
      <c r="AI2913">
        <v>0</v>
      </c>
      <c r="AW2913" t="s">
        <v>95</v>
      </c>
      <c r="AX2913">
        <v>14</v>
      </c>
      <c r="AY2913">
        <v>523</v>
      </c>
      <c r="AZ2913">
        <v>523</v>
      </c>
      <c r="BA2913">
        <v>739</v>
      </c>
      <c r="BB2913">
        <v>44</v>
      </c>
      <c r="BC2913" t="s">
        <v>96</v>
      </c>
      <c r="BD2913">
        <v>1</v>
      </c>
      <c r="BF2913" t="s">
        <v>3123</v>
      </c>
      <c r="BG2913" s="1">
        <v>44354.199305555558</v>
      </c>
      <c r="BH2913" s="1">
        <v>44354.201516203706</v>
      </c>
      <c r="BI2913" s="1">
        <v>44354.202245370368</v>
      </c>
      <c r="BJ2913" t="s">
        <v>85</v>
      </c>
      <c r="BK2913" t="s">
        <v>86</v>
      </c>
      <c r="BL2913" t="s">
        <v>87</v>
      </c>
    </row>
    <row r="2914" spans="1:64" x14ac:dyDescent="0.3">
      <c r="A2914" t="str">
        <f>"202499B0000"</f>
        <v>202499B0000</v>
      </c>
      <c r="B2914" t="str">
        <f>"202499B00003"</f>
        <v>202499B00003</v>
      </c>
      <c r="C2914" t="str">
        <f t="shared" si="203"/>
        <v>20</v>
      </c>
      <c r="D2914" t="s">
        <v>81</v>
      </c>
      <c r="E2914" t="str">
        <f t="shared" si="202"/>
        <v>440</v>
      </c>
      <c r="F2914" t="s">
        <v>3092</v>
      </c>
      <c r="G2914" t="str">
        <f>"2499"</f>
        <v>2499</v>
      </c>
      <c r="H2914" t="str">
        <f>"0000"</f>
        <v>0000</v>
      </c>
      <c r="I2914" t="s">
        <v>83</v>
      </c>
      <c r="J2914">
        <v>0</v>
      </c>
      <c r="K2914">
        <v>1</v>
      </c>
      <c r="L2914">
        <v>3</v>
      </c>
      <c r="M2914">
        <v>252</v>
      </c>
      <c r="N2914">
        <v>311</v>
      </c>
      <c r="O2914">
        <v>6</v>
      </c>
      <c r="P2914" t="s">
        <v>92</v>
      </c>
      <c r="Q2914">
        <v>40</v>
      </c>
      <c r="R2914">
        <v>25</v>
      </c>
      <c r="S2914">
        <v>11</v>
      </c>
      <c r="T2914">
        <v>30</v>
      </c>
      <c r="U2914">
        <v>22</v>
      </c>
      <c r="W2914">
        <v>58</v>
      </c>
      <c r="X2914">
        <v>92</v>
      </c>
      <c r="Y2914">
        <v>4</v>
      </c>
      <c r="Z2914">
        <v>4</v>
      </c>
      <c r="AA2914">
        <v>6</v>
      </c>
      <c r="AB2914">
        <v>1</v>
      </c>
      <c r="AF2914">
        <v>7</v>
      </c>
      <c r="AG2914">
        <v>0</v>
      </c>
      <c r="AH2914">
        <v>0</v>
      </c>
      <c r="AI2914">
        <v>0</v>
      </c>
      <c r="AW2914">
        <v>0</v>
      </c>
      <c r="AX2914">
        <v>11</v>
      </c>
      <c r="AY2914">
        <v>311</v>
      </c>
      <c r="AZ2914">
        <v>311</v>
      </c>
      <c r="BA2914">
        <v>519</v>
      </c>
      <c r="BB2914">
        <v>44</v>
      </c>
      <c r="BD2914">
        <v>1</v>
      </c>
      <c r="BF2914" t="s">
        <v>3124</v>
      </c>
      <c r="BG2914" s="1">
        <v>44354.20416666667</v>
      </c>
      <c r="BH2914" s="1">
        <v>44354.206446759257</v>
      </c>
      <c r="BI2914" s="1">
        <v>44354.207245370373</v>
      </c>
      <c r="BJ2914" t="s">
        <v>85</v>
      </c>
      <c r="BK2914" t="s">
        <v>86</v>
      </c>
      <c r="BL2914" t="s">
        <v>87</v>
      </c>
    </row>
    <row r="2915" spans="1:64" x14ac:dyDescent="0.3">
      <c r="A2915" t="str">
        <f>"202499C0100"</f>
        <v>202499C0100</v>
      </c>
      <c r="B2915" t="str">
        <f>"202499C01003"</f>
        <v>202499C01003</v>
      </c>
      <c r="C2915" t="str">
        <f t="shared" si="203"/>
        <v>20</v>
      </c>
      <c r="D2915" t="s">
        <v>81</v>
      </c>
      <c r="E2915" t="str">
        <f t="shared" si="202"/>
        <v>440</v>
      </c>
      <c r="F2915" t="s">
        <v>3092</v>
      </c>
      <c r="G2915" t="str">
        <f>"2499"</f>
        <v>2499</v>
      </c>
      <c r="H2915" t="str">
        <f>"0001"</f>
        <v>0001</v>
      </c>
      <c r="I2915" t="s">
        <v>89</v>
      </c>
      <c r="J2915">
        <v>0</v>
      </c>
      <c r="K2915">
        <v>1</v>
      </c>
      <c r="L2915">
        <v>3</v>
      </c>
      <c r="M2915">
        <v>236</v>
      </c>
      <c r="N2915">
        <v>327</v>
      </c>
      <c r="O2915">
        <v>4</v>
      </c>
      <c r="P2915" t="s">
        <v>92</v>
      </c>
      <c r="Q2915">
        <v>48</v>
      </c>
      <c r="R2915">
        <v>38</v>
      </c>
      <c r="S2915">
        <v>9</v>
      </c>
      <c r="T2915">
        <v>15</v>
      </c>
      <c r="U2915">
        <v>32</v>
      </c>
      <c r="W2915">
        <v>60</v>
      </c>
      <c r="X2915">
        <v>92</v>
      </c>
      <c r="Y2915">
        <v>2</v>
      </c>
      <c r="Z2915">
        <v>0</v>
      </c>
      <c r="AA2915">
        <v>4</v>
      </c>
      <c r="AB2915">
        <v>5</v>
      </c>
      <c r="AF2915">
        <v>4</v>
      </c>
      <c r="AG2915">
        <v>1</v>
      </c>
      <c r="AH2915">
        <v>1</v>
      </c>
      <c r="AI2915">
        <v>0</v>
      </c>
      <c r="AW2915" t="s">
        <v>95</v>
      </c>
      <c r="AX2915">
        <v>15</v>
      </c>
      <c r="AY2915">
        <v>326</v>
      </c>
      <c r="AZ2915">
        <v>326</v>
      </c>
      <c r="BA2915">
        <v>519</v>
      </c>
      <c r="BB2915">
        <v>44</v>
      </c>
      <c r="BC2915" t="s">
        <v>96</v>
      </c>
      <c r="BD2915">
        <v>1</v>
      </c>
      <c r="BF2915" t="s">
        <v>3125</v>
      </c>
      <c r="BG2915" s="1">
        <v>44354.209722222222</v>
      </c>
      <c r="BH2915" s="1">
        <v>44354.215937499997</v>
      </c>
      <c r="BI2915" s="1">
        <v>44354.216516203705</v>
      </c>
      <c r="BJ2915" t="s">
        <v>85</v>
      </c>
      <c r="BK2915" t="s">
        <v>86</v>
      </c>
      <c r="BL2915" t="s">
        <v>87</v>
      </c>
    </row>
    <row r="2916" spans="1:64" x14ac:dyDescent="0.3">
      <c r="A2916" t="str">
        <f>"202499C0200"</f>
        <v>202499C0200</v>
      </c>
      <c r="B2916" t="str">
        <f>"202499C02003"</f>
        <v>202499C02003</v>
      </c>
      <c r="C2916" t="str">
        <f t="shared" si="203"/>
        <v>20</v>
      </c>
      <c r="D2916" t="s">
        <v>81</v>
      </c>
      <c r="E2916" t="str">
        <f t="shared" si="202"/>
        <v>440</v>
      </c>
      <c r="F2916" t="s">
        <v>3092</v>
      </c>
      <c r="G2916" t="str">
        <f>"2499"</f>
        <v>2499</v>
      </c>
      <c r="H2916" t="str">
        <f>"0002"</f>
        <v>0002</v>
      </c>
      <c r="I2916" t="s">
        <v>89</v>
      </c>
      <c r="J2916">
        <v>0</v>
      </c>
      <c r="K2916">
        <v>1</v>
      </c>
      <c r="L2916">
        <v>3</v>
      </c>
      <c r="M2916">
        <v>221</v>
      </c>
      <c r="N2916">
        <v>341</v>
      </c>
      <c r="O2916">
        <v>4</v>
      </c>
      <c r="P2916">
        <v>341</v>
      </c>
      <c r="Q2916">
        <v>63</v>
      </c>
      <c r="R2916">
        <v>30</v>
      </c>
      <c r="S2916">
        <v>13</v>
      </c>
      <c r="T2916">
        <v>14</v>
      </c>
      <c r="U2916">
        <v>12</v>
      </c>
      <c r="W2916">
        <v>98</v>
      </c>
      <c r="X2916">
        <v>82</v>
      </c>
      <c r="Y2916">
        <v>3</v>
      </c>
      <c r="Z2916">
        <v>0</v>
      </c>
      <c r="AA2916">
        <v>4</v>
      </c>
      <c r="AB2916">
        <v>6</v>
      </c>
      <c r="AF2916">
        <v>6</v>
      </c>
      <c r="AG2916">
        <v>2</v>
      </c>
      <c r="AH2916">
        <v>0</v>
      </c>
      <c r="AI2916">
        <v>0</v>
      </c>
      <c r="AW2916">
        <v>0</v>
      </c>
      <c r="AX2916">
        <v>7</v>
      </c>
      <c r="AY2916">
        <v>341</v>
      </c>
      <c r="AZ2916">
        <v>340</v>
      </c>
      <c r="BA2916">
        <v>518</v>
      </c>
      <c r="BB2916">
        <v>44</v>
      </c>
      <c r="BD2916">
        <v>1</v>
      </c>
      <c r="BF2916" t="s">
        <v>3126</v>
      </c>
      <c r="BG2916" s="1">
        <v>44354.21597222222</v>
      </c>
      <c r="BH2916" s="1">
        <v>44354.218518518515</v>
      </c>
      <c r="BI2916" s="1">
        <v>44354.21947916667</v>
      </c>
      <c r="BJ2916" t="s">
        <v>85</v>
      </c>
      <c r="BK2916" t="s">
        <v>86</v>
      </c>
      <c r="BL2916" t="s">
        <v>87</v>
      </c>
    </row>
    <row r="2917" spans="1:64" x14ac:dyDescent="0.3">
      <c r="A2917" t="str">
        <f>"201929B0000"</f>
        <v>201929B0000</v>
      </c>
      <c r="B2917" t="str">
        <f>"201929B00003"</f>
        <v>201929B00003</v>
      </c>
      <c r="C2917" t="str">
        <f t="shared" si="203"/>
        <v>20</v>
      </c>
      <c r="D2917" t="s">
        <v>81</v>
      </c>
      <c r="E2917" t="str">
        <f t="shared" ref="E2917:E2927" si="204">"442"</f>
        <v>442</v>
      </c>
      <c r="F2917" t="s">
        <v>3127</v>
      </c>
      <c r="G2917" t="str">
        <f>"1929"</f>
        <v>1929</v>
      </c>
      <c r="H2917" t="str">
        <f>"0000"</f>
        <v>0000</v>
      </c>
      <c r="I2917" t="s">
        <v>83</v>
      </c>
      <c r="J2917">
        <v>0</v>
      </c>
      <c r="K2917">
        <v>1</v>
      </c>
      <c r="L2917">
        <v>3</v>
      </c>
      <c r="BA2917">
        <v>525</v>
      </c>
      <c r="BB2917">
        <v>44</v>
      </c>
      <c r="BC2917" t="s">
        <v>161</v>
      </c>
      <c r="BD2917">
        <v>0</v>
      </c>
      <c r="BF2917" t="s">
        <v>3128</v>
      </c>
      <c r="BG2917" s="1">
        <v>44353.85833333333</v>
      </c>
      <c r="BH2917" s="1">
        <v>44353.860219907408</v>
      </c>
      <c r="BI2917" s="1">
        <v>44353.860219907408</v>
      </c>
      <c r="BJ2917" t="s">
        <v>85</v>
      </c>
      <c r="BK2917" t="s">
        <v>86</v>
      </c>
      <c r="BL2917" t="s">
        <v>87</v>
      </c>
    </row>
    <row r="2918" spans="1:64" x14ac:dyDescent="0.3">
      <c r="A2918" t="str">
        <f>"201929C0100"</f>
        <v>201929C0100</v>
      </c>
      <c r="B2918" t="str">
        <f>"201929C01003"</f>
        <v>201929C01003</v>
      </c>
      <c r="C2918" t="str">
        <f t="shared" si="203"/>
        <v>20</v>
      </c>
      <c r="D2918" t="s">
        <v>81</v>
      </c>
      <c r="E2918" t="str">
        <f t="shared" si="204"/>
        <v>442</v>
      </c>
      <c r="F2918" t="s">
        <v>3127</v>
      </c>
      <c r="G2918" t="str">
        <f>"1929"</f>
        <v>1929</v>
      </c>
      <c r="H2918" t="str">
        <f>"0001"</f>
        <v>0001</v>
      </c>
      <c r="I2918" t="s">
        <v>89</v>
      </c>
      <c r="J2918">
        <v>0</v>
      </c>
      <c r="K2918">
        <v>1</v>
      </c>
      <c r="L2918">
        <v>3</v>
      </c>
      <c r="BA2918">
        <v>524</v>
      </c>
      <c r="BB2918">
        <v>44</v>
      </c>
      <c r="BC2918" t="s">
        <v>161</v>
      </c>
      <c r="BD2918">
        <v>0</v>
      </c>
      <c r="BF2918" t="s">
        <v>3129</v>
      </c>
      <c r="BG2918" s="1">
        <v>44353.859027777777</v>
      </c>
      <c r="BH2918" s="1">
        <v>44353.860960648148</v>
      </c>
      <c r="BI2918" s="1">
        <v>44353.860960648148</v>
      </c>
      <c r="BJ2918" t="s">
        <v>85</v>
      </c>
      <c r="BK2918" t="s">
        <v>86</v>
      </c>
      <c r="BL2918" t="s">
        <v>87</v>
      </c>
    </row>
    <row r="2919" spans="1:64" x14ac:dyDescent="0.3">
      <c r="A2919" t="str">
        <f>"201929C0200"</f>
        <v>201929C0200</v>
      </c>
      <c r="B2919" t="str">
        <f>"201929C02003"</f>
        <v>201929C02003</v>
      </c>
      <c r="C2919" t="str">
        <f t="shared" si="203"/>
        <v>20</v>
      </c>
      <c r="D2919" t="s">
        <v>81</v>
      </c>
      <c r="E2919" t="str">
        <f t="shared" si="204"/>
        <v>442</v>
      </c>
      <c r="F2919" t="s">
        <v>3127</v>
      </c>
      <c r="G2919" t="str">
        <f>"1929"</f>
        <v>1929</v>
      </c>
      <c r="H2919" t="str">
        <f>"0002"</f>
        <v>0002</v>
      </c>
      <c r="I2919" t="s">
        <v>89</v>
      </c>
      <c r="J2919">
        <v>0</v>
      </c>
      <c r="K2919">
        <v>1</v>
      </c>
      <c r="L2919">
        <v>3</v>
      </c>
      <c r="BA2919">
        <v>524</v>
      </c>
      <c r="BB2919">
        <v>44</v>
      </c>
      <c r="BC2919" t="s">
        <v>161</v>
      </c>
      <c r="BD2919">
        <v>0</v>
      </c>
      <c r="BF2919" t="s">
        <v>3130</v>
      </c>
      <c r="BG2919" s="1">
        <v>44353.86041666667</v>
      </c>
      <c r="BH2919" s="1">
        <v>44353.861932870372</v>
      </c>
      <c r="BI2919" s="1">
        <v>44353.861932870372</v>
      </c>
      <c r="BJ2919" t="s">
        <v>85</v>
      </c>
      <c r="BK2919" t="s">
        <v>86</v>
      </c>
      <c r="BL2919" t="s">
        <v>87</v>
      </c>
    </row>
    <row r="2920" spans="1:64" x14ac:dyDescent="0.3">
      <c r="A2920" t="str">
        <f>"201930B0000"</f>
        <v>201930B0000</v>
      </c>
      <c r="B2920" t="str">
        <f>"201930B00003"</f>
        <v>201930B00003</v>
      </c>
      <c r="C2920" t="str">
        <f t="shared" si="203"/>
        <v>20</v>
      </c>
      <c r="D2920" t="s">
        <v>81</v>
      </c>
      <c r="E2920" t="str">
        <f t="shared" si="204"/>
        <v>442</v>
      </c>
      <c r="F2920" t="s">
        <v>3127</v>
      </c>
      <c r="G2920" t="str">
        <f>"1930"</f>
        <v>1930</v>
      </c>
      <c r="H2920" t="str">
        <f>"0000"</f>
        <v>0000</v>
      </c>
      <c r="I2920" t="s">
        <v>83</v>
      </c>
      <c r="J2920">
        <v>0</v>
      </c>
      <c r="K2920">
        <v>1</v>
      </c>
      <c r="L2920">
        <v>3</v>
      </c>
      <c r="BA2920">
        <v>663</v>
      </c>
      <c r="BB2920">
        <v>44</v>
      </c>
      <c r="BC2920" t="s">
        <v>161</v>
      </c>
      <c r="BD2920">
        <v>0</v>
      </c>
      <c r="BF2920" t="s">
        <v>3131</v>
      </c>
      <c r="BG2920" s="1">
        <v>44353.861805555556</v>
      </c>
      <c r="BH2920" s="1">
        <v>44353.86277777778</v>
      </c>
      <c r="BI2920" s="1">
        <v>44353.86277777778</v>
      </c>
      <c r="BJ2920" t="s">
        <v>85</v>
      </c>
      <c r="BK2920" t="s">
        <v>86</v>
      </c>
      <c r="BL2920" t="s">
        <v>87</v>
      </c>
    </row>
    <row r="2921" spans="1:64" x14ac:dyDescent="0.3">
      <c r="A2921" t="str">
        <f>"201930C0100"</f>
        <v>201930C0100</v>
      </c>
      <c r="B2921" t="str">
        <f>"201930C01003"</f>
        <v>201930C01003</v>
      </c>
      <c r="C2921" t="str">
        <f t="shared" si="203"/>
        <v>20</v>
      </c>
      <c r="D2921" t="s">
        <v>81</v>
      </c>
      <c r="E2921" t="str">
        <f t="shared" si="204"/>
        <v>442</v>
      </c>
      <c r="F2921" t="s">
        <v>3127</v>
      </c>
      <c r="G2921" t="str">
        <f>"1930"</f>
        <v>1930</v>
      </c>
      <c r="H2921" t="str">
        <f>"0001"</f>
        <v>0001</v>
      </c>
      <c r="I2921" t="s">
        <v>89</v>
      </c>
      <c r="J2921">
        <v>0</v>
      </c>
      <c r="K2921">
        <v>1</v>
      </c>
      <c r="L2921">
        <v>3</v>
      </c>
      <c r="BA2921">
        <v>663</v>
      </c>
      <c r="BB2921">
        <v>44</v>
      </c>
      <c r="BC2921" t="s">
        <v>161</v>
      </c>
      <c r="BD2921">
        <v>0</v>
      </c>
      <c r="BF2921" t="s">
        <v>3132</v>
      </c>
      <c r="BG2921" s="1">
        <v>44353.862500000003</v>
      </c>
      <c r="BH2921" s="1">
        <v>44353.863298611112</v>
      </c>
      <c r="BI2921" s="1">
        <v>44353.863298611112</v>
      </c>
      <c r="BJ2921" t="s">
        <v>85</v>
      </c>
      <c r="BK2921" t="s">
        <v>86</v>
      </c>
      <c r="BL2921" t="s">
        <v>87</v>
      </c>
    </row>
    <row r="2922" spans="1:64" x14ac:dyDescent="0.3">
      <c r="A2922" t="str">
        <f>"201930C0200"</f>
        <v>201930C0200</v>
      </c>
      <c r="B2922" t="str">
        <f>"201930C02003"</f>
        <v>201930C02003</v>
      </c>
      <c r="C2922" t="str">
        <f t="shared" si="203"/>
        <v>20</v>
      </c>
      <c r="D2922" t="s">
        <v>81</v>
      </c>
      <c r="E2922" t="str">
        <f t="shared" si="204"/>
        <v>442</v>
      </c>
      <c r="F2922" t="s">
        <v>3127</v>
      </c>
      <c r="G2922" t="str">
        <f>"1930"</f>
        <v>1930</v>
      </c>
      <c r="H2922" t="str">
        <f>"0002"</f>
        <v>0002</v>
      </c>
      <c r="I2922" t="s">
        <v>89</v>
      </c>
      <c r="J2922">
        <v>0</v>
      </c>
      <c r="K2922">
        <v>1</v>
      </c>
      <c r="L2922">
        <v>3</v>
      </c>
      <c r="BA2922">
        <v>663</v>
      </c>
      <c r="BB2922">
        <v>44</v>
      </c>
      <c r="BC2922" t="s">
        <v>161</v>
      </c>
      <c r="BD2922">
        <v>0</v>
      </c>
      <c r="BF2922" t="s">
        <v>3133</v>
      </c>
      <c r="BG2922" s="1">
        <v>44353.862500000003</v>
      </c>
      <c r="BH2922" s="1">
        <v>44353.863877314812</v>
      </c>
      <c r="BI2922" s="1">
        <v>44353.863877314812</v>
      </c>
      <c r="BJ2922" t="s">
        <v>85</v>
      </c>
      <c r="BK2922" t="s">
        <v>86</v>
      </c>
      <c r="BL2922" t="s">
        <v>87</v>
      </c>
    </row>
    <row r="2923" spans="1:64" x14ac:dyDescent="0.3">
      <c r="A2923" t="str">
        <f>"201931B0000"</f>
        <v>201931B0000</v>
      </c>
      <c r="B2923" t="str">
        <f>"201931B00003"</f>
        <v>201931B00003</v>
      </c>
      <c r="C2923" t="str">
        <f t="shared" si="203"/>
        <v>20</v>
      </c>
      <c r="D2923" t="s">
        <v>81</v>
      </c>
      <c r="E2923" t="str">
        <f t="shared" si="204"/>
        <v>442</v>
      </c>
      <c r="F2923" t="s">
        <v>3127</v>
      </c>
      <c r="G2923" t="str">
        <f>"1931"</f>
        <v>1931</v>
      </c>
      <c r="H2923" t="str">
        <f>"0000"</f>
        <v>0000</v>
      </c>
      <c r="I2923" t="s">
        <v>83</v>
      </c>
      <c r="J2923">
        <v>0</v>
      </c>
      <c r="K2923">
        <v>1</v>
      </c>
      <c r="L2923">
        <v>3</v>
      </c>
      <c r="BA2923">
        <v>622</v>
      </c>
      <c r="BB2923">
        <v>44</v>
      </c>
      <c r="BC2923" t="s">
        <v>161</v>
      </c>
      <c r="BD2923">
        <v>0</v>
      </c>
      <c r="BF2923" t="s">
        <v>3134</v>
      </c>
      <c r="BG2923" s="1">
        <v>44353.863194444442</v>
      </c>
      <c r="BH2923" s="1">
        <v>44353.864432870374</v>
      </c>
      <c r="BI2923" s="1">
        <v>44353.864432870374</v>
      </c>
      <c r="BJ2923" t="s">
        <v>85</v>
      </c>
      <c r="BK2923" t="s">
        <v>86</v>
      </c>
      <c r="BL2923" t="s">
        <v>87</v>
      </c>
    </row>
    <row r="2924" spans="1:64" x14ac:dyDescent="0.3">
      <c r="A2924" t="str">
        <f>"201931C0100"</f>
        <v>201931C0100</v>
      </c>
      <c r="B2924" t="str">
        <f>"201931C01003"</f>
        <v>201931C01003</v>
      </c>
      <c r="C2924" t="str">
        <f t="shared" si="203"/>
        <v>20</v>
      </c>
      <c r="D2924" t="s">
        <v>81</v>
      </c>
      <c r="E2924" t="str">
        <f t="shared" si="204"/>
        <v>442</v>
      </c>
      <c r="F2924" t="s">
        <v>3127</v>
      </c>
      <c r="G2924" t="str">
        <f>"1931"</f>
        <v>1931</v>
      </c>
      <c r="H2924" t="str">
        <f>"0001"</f>
        <v>0001</v>
      </c>
      <c r="I2924" t="s">
        <v>89</v>
      </c>
      <c r="J2924">
        <v>0</v>
      </c>
      <c r="K2924">
        <v>1</v>
      </c>
      <c r="L2924">
        <v>3</v>
      </c>
      <c r="BA2924">
        <v>621</v>
      </c>
      <c r="BB2924">
        <v>44</v>
      </c>
      <c r="BC2924" t="s">
        <v>161</v>
      </c>
      <c r="BD2924">
        <v>0</v>
      </c>
      <c r="BF2924" t="s">
        <v>3135</v>
      </c>
      <c r="BG2924" s="1">
        <v>44353.864583333336</v>
      </c>
      <c r="BH2924" s="1">
        <v>44353.865613425929</v>
      </c>
      <c r="BI2924" s="1">
        <v>44353.865613425929</v>
      </c>
      <c r="BJ2924" t="s">
        <v>85</v>
      </c>
      <c r="BK2924" t="s">
        <v>86</v>
      </c>
      <c r="BL2924" t="s">
        <v>87</v>
      </c>
    </row>
    <row r="2925" spans="1:64" x14ac:dyDescent="0.3">
      <c r="A2925" t="str">
        <f>"201931C0200"</f>
        <v>201931C0200</v>
      </c>
      <c r="B2925" t="str">
        <f>"201931C02003"</f>
        <v>201931C02003</v>
      </c>
      <c r="C2925" t="str">
        <f t="shared" si="203"/>
        <v>20</v>
      </c>
      <c r="D2925" t="s">
        <v>81</v>
      </c>
      <c r="E2925" t="str">
        <f t="shared" si="204"/>
        <v>442</v>
      </c>
      <c r="F2925" t="s">
        <v>3127</v>
      </c>
      <c r="G2925" t="str">
        <f>"1931"</f>
        <v>1931</v>
      </c>
      <c r="H2925" t="str">
        <f>"0002"</f>
        <v>0002</v>
      </c>
      <c r="I2925" t="s">
        <v>89</v>
      </c>
      <c r="J2925">
        <v>0</v>
      </c>
      <c r="K2925">
        <v>1</v>
      </c>
      <c r="L2925">
        <v>3</v>
      </c>
      <c r="BA2925">
        <v>621</v>
      </c>
      <c r="BB2925">
        <v>44</v>
      </c>
      <c r="BC2925" t="s">
        <v>161</v>
      </c>
      <c r="BD2925">
        <v>0</v>
      </c>
      <c r="BF2925" t="s">
        <v>3136</v>
      </c>
      <c r="BG2925" s="1">
        <v>44353.864583333336</v>
      </c>
      <c r="BH2925" s="1">
        <v>44353.865949074076</v>
      </c>
      <c r="BI2925" s="1">
        <v>44353.865949074076</v>
      </c>
      <c r="BJ2925" t="s">
        <v>85</v>
      </c>
      <c r="BK2925" t="s">
        <v>86</v>
      </c>
      <c r="BL2925" t="s">
        <v>87</v>
      </c>
    </row>
    <row r="2926" spans="1:64" x14ac:dyDescent="0.3">
      <c r="A2926" t="str">
        <f>"201932B0000"</f>
        <v>201932B0000</v>
      </c>
      <c r="B2926" t="str">
        <f>"201932B00003"</f>
        <v>201932B00003</v>
      </c>
      <c r="C2926" t="str">
        <f t="shared" si="203"/>
        <v>20</v>
      </c>
      <c r="D2926" t="s">
        <v>81</v>
      </c>
      <c r="E2926" t="str">
        <f t="shared" si="204"/>
        <v>442</v>
      </c>
      <c r="F2926" t="s">
        <v>3127</v>
      </c>
      <c r="G2926" t="str">
        <f>"1932"</f>
        <v>1932</v>
      </c>
      <c r="H2926" t="str">
        <f>"0000"</f>
        <v>0000</v>
      </c>
      <c r="I2926" t="s">
        <v>83</v>
      </c>
      <c r="J2926">
        <v>0</v>
      </c>
      <c r="K2926">
        <v>1</v>
      </c>
      <c r="L2926">
        <v>3</v>
      </c>
      <c r="BA2926">
        <v>661</v>
      </c>
      <c r="BB2926">
        <v>44</v>
      </c>
      <c r="BC2926" t="s">
        <v>161</v>
      </c>
      <c r="BD2926">
        <v>0</v>
      </c>
      <c r="BF2926" t="s">
        <v>3137</v>
      </c>
      <c r="BG2926" s="1">
        <v>44353.865277777775</v>
      </c>
      <c r="BH2926" s="1">
        <v>44353.86645833333</v>
      </c>
      <c r="BI2926" s="1">
        <v>44353.86645833333</v>
      </c>
      <c r="BJ2926" t="s">
        <v>85</v>
      </c>
      <c r="BK2926" t="s">
        <v>86</v>
      </c>
      <c r="BL2926" t="s">
        <v>87</v>
      </c>
    </row>
    <row r="2927" spans="1:64" x14ac:dyDescent="0.3">
      <c r="A2927" t="str">
        <f>"201932C0100"</f>
        <v>201932C0100</v>
      </c>
      <c r="B2927" t="str">
        <f>"201932C01003"</f>
        <v>201932C01003</v>
      </c>
      <c r="C2927" t="str">
        <f t="shared" si="203"/>
        <v>20</v>
      </c>
      <c r="D2927" t="s">
        <v>81</v>
      </c>
      <c r="E2927" t="str">
        <f t="shared" si="204"/>
        <v>442</v>
      </c>
      <c r="F2927" t="s">
        <v>3127</v>
      </c>
      <c r="G2927" t="str">
        <f>"1932"</f>
        <v>1932</v>
      </c>
      <c r="H2927" t="str">
        <f>"0001"</f>
        <v>0001</v>
      </c>
      <c r="I2927" t="s">
        <v>89</v>
      </c>
      <c r="J2927">
        <v>0</v>
      </c>
      <c r="K2927">
        <v>1</v>
      </c>
      <c r="L2927">
        <v>3</v>
      </c>
      <c r="BA2927">
        <v>661</v>
      </c>
      <c r="BB2927">
        <v>44</v>
      </c>
      <c r="BC2927" t="s">
        <v>161</v>
      </c>
      <c r="BD2927">
        <v>0</v>
      </c>
      <c r="BF2927" t="s">
        <v>3138</v>
      </c>
      <c r="BG2927" s="1">
        <v>44353.865277777775</v>
      </c>
      <c r="BH2927" s="1">
        <v>44353.866840277777</v>
      </c>
      <c r="BI2927" s="1">
        <v>44353.866840277777</v>
      </c>
      <c r="BJ2927" t="s">
        <v>85</v>
      </c>
      <c r="BK2927" t="s">
        <v>86</v>
      </c>
      <c r="BL2927" t="s">
        <v>87</v>
      </c>
    </row>
    <row r="2928" spans="1:64" x14ac:dyDescent="0.3">
      <c r="A2928" t="str">
        <f>"201940B0000"</f>
        <v>201940B0000</v>
      </c>
      <c r="B2928" t="str">
        <f>"201940B00003"</f>
        <v>201940B00003</v>
      </c>
      <c r="C2928" t="str">
        <f t="shared" si="203"/>
        <v>20</v>
      </c>
      <c r="D2928" t="s">
        <v>81</v>
      </c>
      <c r="E2928" t="str">
        <f t="shared" ref="E2928:E2948" si="205">"448"</f>
        <v>448</v>
      </c>
      <c r="F2928" t="s">
        <v>3139</v>
      </c>
      <c r="G2928" t="str">
        <f>"1940"</f>
        <v>1940</v>
      </c>
      <c r="H2928" t="str">
        <f>"0000"</f>
        <v>0000</v>
      </c>
      <c r="I2928" t="s">
        <v>83</v>
      </c>
      <c r="J2928">
        <v>0</v>
      </c>
      <c r="K2928">
        <v>1</v>
      </c>
      <c r="L2928">
        <v>3</v>
      </c>
      <c r="M2928">
        <v>211</v>
      </c>
      <c r="N2928">
        <v>396</v>
      </c>
      <c r="O2928">
        <v>1</v>
      </c>
      <c r="P2928">
        <v>396</v>
      </c>
      <c r="Q2928">
        <v>3</v>
      </c>
      <c r="R2928">
        <v>133</v>
      </c>
      <c r="S2928">
        <v>5</v>
      </c>
      <c r="U2928">
        <v>21</v>
      </c>
      <c r="V2928">
        <v>1</v>
      </c>
      <c r="W2928">
        <v>3</v>
      </c>
      <c r="X2928">
        <v>198</v>
      </c>
      <c r="Z2928">
        <v>8</v>
      </c>
      <c r="AB2928">
        <v>2</v>
      </c>
      <c r="AF2928">
        <v>5</v>
      </c>
      <c r="AG2928">
        <v>0</v>
      </c>
      <c r="AH2928">
        <v>0</v>
      </c>
      <c r="AI2928">
        <v>0</v>
      </c>
      <c r="AW2928">
        <v>0</v>
      </c>
      <c r="AX2928">
        <v>17</v>
      </c>
      <c r="AY2928">
        <v>396</v>
      </c>
      <c r="AZ2928">
        <v>396</v>
      </c>
      <c r="BA2928">
        <v>561</v>
      </c>
      <c r="BB2928">
        <v>46</v>
      </c>
      <c r="BD2928">
        <v>1</v>
      </c>
      <c r="BF2928" t="s">
        <v>3140</v>
      </c>
      <c r="BG2928" s="1">
        <v>44354.246527777781</v>
      </c>
      <c r="BH2928" s="1">
        <v>44354.2502662037</v>
      </c>
      <c r="BI2928" s="1">
        <v>44354.250868055555</v>
      </c>
      <c r="BJ2928" t="s">
        <v>85</v>
      </c>
      <c r="BK2928" t="s">
        <v>86</v>
      </c>
      <c r="BL2928" t="s">
        <v>87</v>
      </c>
    </row>
    <row r="2929" spans="1:64" x14ac:dyDescent="0.3">
      <c r="A2929" t="str">
        <f>"201940C0100"</f>
        <v>201940C0100</v>
      </c>
      <c r="B2929" t="str">
        <f>"201940C01003"</f>
        <v>201940C01003</v>
      </c>
      <c r="C2929" t="str">
        <f t="shared" si="203"/>
        <v>20</v>
      </c>
      <c r="D2929" t="s">
        <v>81</v>
      </c>
      <c r="E2929" t="str">
        <f t="shared" si="205"/>
        <v>448</v>
      </c>
      <c r="F2929" t="s">
        <v>3139</v>
      </c>
      <c r="G2929" t="str">
        <f>"1940"</f>
        <v>1940</v>
      </c>
      <c r="H2929" t="str">
        <f>"0001"</f>
        <v>0001</v>
      </c>
      <c r="I2929" t="s">
        <v>89</v>
      </c>
      <c r="J2929">
        <v>0</v>
      </c>
      <c r="K2929">
        <v>1</v>
      </c>
      <c r="L2929">
        <v>3</v>
      </c>
      <c r="M2929">
        <v>217</v>
      </c>
      <c r="N2929">
        <v>390</v>
      </c>
      <c r="O2929">
        <v>0</v>
      </c>
      <c r="P2929">
        <v>390</v>
      </c>
      <c r="Q2929">
        <v>1</v>
      </c>
      <c r="R2929">
        <v>186</v>
      </c>
      <c r="S2929">
        <v>14</v>
      </c>
      <c r="U2929">
        <v>10</v>
      </c>
      <c r="V2929">
        <v>1</v>
      </c>
      <c r="W2929">
        <v>2</v>
      </c>
      <c r="X2929">
        <v>146</v>
      </c>
      <c r="Z2929">
        <v>8</v>
      </c>
      <c r="AB2929">
        <v>2</v>
      </c>
      <c r="AF2929">
        <v>0</v>
      </c>
      <c r="AG2929">
        <v>0</v>
      </c>
      <c r="AH2929">
        <v>0</v>
      </c>
      <c r="AI2929">
        <v>3</v>
      </c>
      <c r="AW2929">
        <v>0</v>
      </c>
      <c r="AX2929">
        <v>17</v>
      </c>
      <c r="AY2929">
        <v>390</v>
      </c>
      <c r="AZ2929">
        <v>390</v>
      </c>
      <c r="BA2929">
        <v>561</v>
      </c>
      <c r="BB2929">
        <v>46</v>
      </c>
      <c r="BD2929">
        <v>1</v>
      </c>
      <c r="BF2929" t="s">
        <v>3141</v>
      </c>
      <c r="BG2929" s="1">
        <v>44354.249305555553</v>
      </c>
      <c r="BH2929" s="1">
        <v>44354.252557870372</v>
      </c>
      <c r="BI2929" s="1">
        <v>44354.253495370373</v>
      </c>
      <c r="BJ2929" t="s">
        <v>85</v>
      </c>
      <c r="BK2929" t="s">
        <v>86</v>
      </c>
      <c r="BL2929" t="s">
        <v>87</v>
      </c>
    </row>
    <row r="2930" spans="1:64" x14ac:dyDescent="0.3">
      <c r="A2930" t="str">
        <f>"201940C0200"</f>
        <v>201940C0200</v>
      </c>
      <c r="B2930" t="str">
        <f>"201940C02003"</f>
        <v>201940C02003</v>
      </c>
      <c r="C2930" t="str">
        <f t="shared" si="203"/>
        <v>20</v>
      </c>
      <c r="D2930" t="s">
        <v>81</v>
      </c>
      <c r="E2930" t="str">
        <f t="shared" si="205"/>
        <v>448</v>
      </c>
      <c r="F2930" t="s">
        <v>3139</v>
      </c>
      <c r="G2930" t="str">
        <f>"1940"</f>
        <v>1940</v>
      </c>
      <c r="H2930" t="str">
        <f>"0002"</f>
        <v>0002</v>
      </c>
      <c r="I2930" t="s">
        <v>89</v>
      </c>
      <c r="J2930">
        <v>0</v>
      </c>
      <c r="K2930">
        <v>1</v>
      </c>
      <c r="L2930">
        <v>3</v>
      </c>
      <c r="M2930">
        <v>240</v>
      </c>
      <c r="N2930">
        <v>366</v>
      </c>
      <c r="O2930">
        <v>2</v>
      </c>
      <c r="P2930">
        <v>366</v>
      </c>
      <c r="Q2930">
        <v>2</v>
      </c>
      <c r="R2930">
        <v>145</v>
      </c>
      <c r="S2930">
        <v>4</v>
      </c>
      <c r="U2930">
        <v>11</v>
      </c>
      <c r="V2930">
        <v>3</v>
      </c>
      <c r="W2930">
        <v>4</v>
      </c>
      <c r="X2930">
        <v>174</v>
      </c>
      <c r="Z2930">
        <v>2</v>
      </c>
      <c r="AB2930">
        <v>1</v>
      </c>
      <c r="AF2930">
        <v>5</v>
      </c>
      <c r="AG2930">
        <v>1</v>
      </c>
      <c r="AH2930">
        <v>0</v>
      </c>
      <c r="AI2930">
        <v>0</v>
      </c>
      <c r="AW2930">
        <v>0</v>
      </c>
      <c r="AX2930">
        <v>14</v>
      </c>
      <c r="AY2930">
        <v>366</v>
      </c>
      <c r="AZ2930">
        <v>366</v>
      </c>
      <c r="BA2930">
        <v>560</v>
      </c>
      <c r="BB2930">
        <v>46</v>
      </c>
      <c r="BD2930">
        <v>1</v>
      </c>
      <c r="BF2930" t="s">
        <v>3142</v>
      </c>
      <c r="BG2930" s="1">
        <v>44354.243055555555</v>
      </c>
      <c r="BH2930" s="1">
        <v>44354.24895833333</v>
      </c>
      <c r="BI2930" s="1">
        <v>44354.249537037038</v>
      </c>
      <c r="BJ2930" t="s">
        <v>85</v>
      </c>
      <c r="BK2930" t="s">
        <v>86</v>
      </c>
      <c r="BL2930" t="s">
        <v>87</v>
      </c>
    </row>
    <row r="2931" spans="1:64" x14ac:dyDescent="0.3">
      <c r="A2931" t="str">
        <f>"201941B0000"</f>
        <v>201941B0000</v>
      </c>
      <c r="B2931" t="str">
        <f>"201941B00003"</f>
        <v>201941B00003</v>
      </c>
      <c r="C2931" t="str">
        <f t="shared" si="203"/>
        <v>20</v>
      </c>
      <c r="D2931" t="s">
        <v>81</v>
      </c>
      <c r="E2931" t="str">
        <f t="shared" si="205"/>
        <v>448</v>
      </c>
      <c r="F2931" t="s">
        <v>3139</v>
      </c>
      <c r="G2931" t="str">
        <f>"1941"</f>
        <v>1941</v>
      </c>
      <c r="H2931" t="str">
        <f>"0000"</f>
        <v>0000</v>
      </c>
      <c r="I2931" t="s">
        <v>83</v>
      </c>
      <c r="J2931">
        <v>0</v>
      </c>
      <c r="K2931">
        <v>1</v>
      </c>
      <c r="L2931">
        <v>3</v>
      </c>
      <c r="M2931">
        <v>234</v>
      </c>
      <c r="N2931">
        <v>386</v>
      </c>
      <c r="O2931">
        <v>2</v>
      </c>
      <c r="P2931">
        <v>386</v>
      </c>
      <c r="Q2931">
        <v>3</v>
      </c>
      <c r="R2931">
        <v>182</v>
      </c>
      <c r="S2931">
        <v>11</v>
      </c>
      <c r="U2931">
        <v>23</v>
      </c>
      <c r="V2931">
        <v>1</v>
      </c>
      <c r="W2931">
        <v>3</v>
      </c>
      <c r="X2931">
        <v>142</v>
      </c>
      <c r="Z2931">
        <v>2</v>
      </c>
      <c r="AB2931">
        <v>5</v>
      </c>
      <c r="AF2931">
        <v>4</v>
      </c>
      <c r="AG2931">
        <v>0</v>
      </c>
      <c r="AH2931">
        <v>0</v>
      </c>
      <c r="AI2931">
        <v>0</v>
      </c>
      <c r="AW2931">
        <v>0</v>
      </c>
      <c r="AX2931">
        <v>10</v>
      </c>
      <c r="AY2931">
        <v>386</v>
      </c>
      <c r="AZ2931">
        <v>386</v>
      </c>
      <c r="BA2931">
        <v>574</v>
      </c>
      <c r="BB2931">
        <v>46</v>
      </c>
      <c r="BD2931">
        <v>1</v>
      </c>
      <c r="BF2931" t="s">
        <v>3143</v>
      </c>
      <c r="BG2931" s="1">
        <v>44354.236805555556</v>
      </c>
      <c r="BH2931" s="1">
        <v>44354.240613425929</v>
      </c>
      <c r="BI2931" s="1">
        <v>44354.241226851853</v>
      </c>
      <c r="BJ2931" t="s">
        <v>85</v>
      </c>
      <c r="BK2931" t="s">
        <v>86</v>
      </c>
      <c r="BL2931" t="s">
        <v>87</v>
      </c>
    </row>
    <row r="2932" spans="1:64" x14ac:dyDescent="0.3">
      <c r="A2932" t="str">
        <f>"201941C0100"</f>
        <v>201941C0100</v>
      </c>
      <c r="B2932" t="str">
        <f>"201941C01003"</f>
        <v>201941C01003</v>
      </c>
      <c r="C2932" t="str">
        <f t="shared" si="203"/>
        <v>20</v>
      </c>
      <c r="D2932" t="s">
        <v>81</v>
      </c>
      <c r="E2932" t="str">
        <f t="shared" si="205"/>
        <v>448</v>
      </c>
      <c r="F2932" t="s">
        <v>3139</v>
      </c>
      <c r="G2932" t="str">
        <f>"1941"</f>
        <v>1941</v>
      </c>
      <c r="H2932" t="str">
        <f>"0001"</f>
        <v>0001</v>
      </c>
      <c r="I2932" t="s">
        <v>89</v>
      </c>
      <c r="J2932">
        <v>0</v>
      </c>
      <c r="K2932">
        <v>1</v>
      </c>
      <c r="L2932">
        <v>3</v>
      </c>
      <c r="M2932">
        <v>264</v>
      </c>
      <c r="N2932">
        <v>354</v>
      </c>
      <c r="O2932">
        <v>0</v>
      </c>
      <c r="P2932">
        <v>354</v>
      </c>
      <c r="Q2932">
        <v>2</v>
      </c>
      <c r="R2932">
        <v>131</v>
      </c>
      <c r="S2932">
        <v>9</v>
      </c>
      <c r="U2932">
        <v>11</v>
      </c>
      <c r="V2932">
        <v>1</v>
      </c>
      <c r="W2932">
        <v>0</v>
      </c>
      <c r="X2932">
        <v>113</v>
      </c>
      <c r="Z2932">
        <v>4</v>
      </c>
      <c r="AB2932">
        <v>5</v>
      </c>
      <c r="AF2932">
        <v>1</v>
      </c>
      <c r="AG2932">
        <v>0</v>
      </c>
      <c r="AH2932">
        <v>0</v>
      </c>
      <c r="AI2932">
        <v>1</v>
      </c>
      <c r="AW2932">
        <v>0</v>
      </c>
      <c r="AX2932">
        <v>15</v>
      </c>
      <c r="AY2932">
        <v>354</v>
      </c>
      <c r="AZ2932">
        <v>293</v>
      </c>
      <c r="BA2932">
        <v>573</v>
      </c>
      <c r="BB2932">
        <v>46</v>
      </c>
      <c r="BD2932">
        <v>1</v>
      </c>
      <c r="BF2932" t="s">
        <v>3144</v>
      </c>
      <c r="BG2932" s="1">
        <v>44354.241666666669</v>
      </c>
      <c r="BH2932" s="1">
        <v>44354.247847222221</v>
      </c>
      <c r="BI2932" s="1">
        <v>44354.248124999998</v>
      </c>
      <c r="BJ2932" t="s">
        <v>85</v>
      </c>
      <c r="BK2932" t="s">
        <v>86</v>
      </c>
      <c r="BL2932" t="s">
        <v>87</v>
      </c>
    </row>
    <row r="2933" spans="1:64" x14ac:dyDescent="0.3">
      <c r="A2933" t="str">
        <f>"201941C0200"</f>
        <v>201941C0200</v>
      </c>
      <c r="B2933" t="str">
        <f>"201941C02003"</f>
        <v>201941C02003</v>
      </c>
      <c r="C2933" t="str">
        <f t="shared" si="203"/>
        <v>20</v>
      </c>
      <c r="D2933" t="s">
        <v>81</v>
      </c>
      <c r="E2933" t="str">
        <f t="shared" si="205"/>
        <v>448</v>
      </c>
      <c r="F2933" t="s">
        <v>3139</v>
      </c>
      <c r="G2933" t="str">
        <f>"1941"</f>
        <v>1941</v>
      </c>
      <c r="H2933" t="str">
        <f>"0002"</f>
        <v>0002</v>
      </c>
      <c r="I2933" t="s">
        <v>89</v>
      </c>
      <c r="J2933">
        <v>0</v>
      </c>
      <c r="K2933">
        <v>1</v>
      </c>
      <c r="L2933">
        <v>3</v>
      </c>
      <c r="M2933">
        <v>245</v>
      </c>
      <c r="N2933">
        <v>374</v>
      </c>
      <c r="O2933">
        <v>0</v>
      </c>
      <c r="P2933" t="s">
        <v>92</v>
      </c>
      <c r="Q2933">
        <v>2</v>
      </c>
      <c r="R2933">
        <v>182</v>
      </c>
      <c r="S2933">
        <v>6</v>
      </c>
      <c r="U2933">
        <v>18</v>
      </c>
      <c r="V2933">
        <v>2</v>
      </c>
      <c r="W2933">
        <v>2</v>
      </c>
      <c r="X2933">
        <v>140</v>
      </c>
      <c r="Z2933">
        <v>3</v>
      </c>
      <c r="AB2933">
        <v>3</v>
      </c>
      <c r="AF2933">
        <v>3</v>
      </c>
      <c r="AG2933">
        <v>0</v>
      </c>
      <c r="AH2933">
        <v>0</v>
      </c>
      <c r="AI2933">
        <v>2</v>
      </c>
      <c r="AW2933">
        <v>0</v>
      </c>
      <c r="AX2933">
        <v>11</v>
      </c>
      <c r="AY2933">
        <v>374</v>
      </c>
      <c r="AZ2933">
        <v>374</v>
      </c>
      <c r="BA2933">
        <v>573</v>
      </c>
      <c r="BB2933">
        <v>46</v>
      </c>
      <c r="BD2933">
        <v>1</v>
      </c>
      <c r="BF2933" t="s">
        <v>3145</v>
      </c>
      <c r="BG2933" s="1">
        <v>44354.238888888889</v>
      </c>
      <c r="BH2933" s="1">
        <v>44354.246620370373</v>
      </c>
      <c r="BI2933" s="1">
        <v>44354.247175925928</v>
      </c>
      <c r="BJ2933" t="s">
        <v>85</v>
      </c>
      <c r="BK2933" t="s">
        <v>86</v>
      </c>
      <c r="BL2933" t="s">
        <v>87</v>
      </c>
    </row>
    <row r="2934" spans="1:64" x14ac:dyDescent="0.3">
      <c r="A2934" t="str">
        <f>"201942B0000"</f>
        <v>201942B0000</v>
      </c>
      <c r="B2934" t="str">
        <f>"201942B00003"</f>
        <v>201942B00003</v>
      </c>
      <c r="C2934" t="str">
        <f t="shared" si="203"/>
        <v>20</v>
      </c>
      <c r="D2934" t="s">
        <v>81</v>
      </c>
      <c r="E2934" t="str">
        <f t="shared" si="205"/>
        <v>448</v>
      </c>
      <c r="F2934" t="s">
        <v>3139</v>
      </c>
      <c r="G2934" t="str">
        <f>"1942"</f>
        <v>1942</v>
      </c>
      <c r="H2934" t="str">
        <f>"0000"</f>
        <v>0000</v>
      </c>
      <c r="I2934" t="s">
        <v>83</v>
      </c>
      <c r="J2934">
        <v>0</v>
      </c>
      <c r="K2934">
        <v>1</v>
      </c>
      <c r="L2934">
        <v>3</v>
      </c>
      <c r="M2934">
        <v>272</v>
      </c>
      <c r="N2934">
        <v>424</v>
      </c>
      <c r="O2934">
        <v>0</v>
      </c>
      <c r="P2934">
        <v>424</v>
      </c>
      <c r="Q2934">
        <v>1</v>
      </c>
      <c r="R2934">
        <v>192</v>
      </c>
      <c r="S2934">
        <v>6</v>
      </c>
      <c r="U2934">
        <v>16</v>
      </c>
      <c r="V2934">
        <v>3</v>
      </c>
      <c r="W2934">
        <v>2</v>
      </c>
      <c r="X2934">
        <v>181</v>
      </c>
      <c r="Z2934">
        <v>2</v>
      </c>
      <c r="AB2934">
        <v>1</v>
      </c>
      <c r="AF2934">
        <v>1</v>
      </c>
      <c r="AG2934">
        <v>0</v>
      </c>
      <c r="AH2934">
        <v>0</v>
      </c>
      <c r="AI2934">
        <v>0</v>
      </c>
      <c r="AW2934">
        <v>0</v>
      </c>
      <c r="AX2934">
        <v>19</v>
      </c>
      <c r="AY2934">
        <v>424</v>
      </c>
      <c r="AZ2934">
        <v>424</v>
      </c>
      <c r="BA2934">
        <v>650</v>
      </c>
      <c r="BB2934">
        <v>46</v>
      </c>
      <c r="BD2934">
        <v>1</v>
      </c>
      <c r="BF2934" t="s">
        <v>3146</v>
      </c>
      <c r="BG2934" s="1">
        <v>44354.166666666664</v>
      </c>
      <c r="BH2934" s="1">
        <v>44354.169803240744</v>
      </c>
      <c r="BI2934" s="1">
        <v>44354.171307870369</v>
      </c>
      <c r="BJ2934" t="s">
        <v>85</v>
      </c>
      <c r="BK2934" t="s">
        <v>86</v>
      </c>
      <c r="BL2934" t="s">
        <v>87</v>
      </c>
    </row>
    <row r="2935" spans="1:64" x14ac:dyDescent="0.3">
      <c r="A2935" t="str">
        <f>"201942C0100"</f>
        <v>201942C0100</v>
      </c>
      <c r="B2935" t="str">
        <f>"201942C01003"</f>
        <v>201942C01003</v>
      </c>
      <c r="C2935" t="str">
        <f t="shared" si="203"/>
        <v>20</v>
      </c>
      <c r="D2935" t="s">
        <v>81</v>
      </c>
      <c r="E2935" t="str">
        <f t="shared" si="205"/>
        <v>448</v>
      </c>
      <c r="F2935" t="s">
        <v>3139</v>
      </c>
      <c r="G2935" t="str">
        <f>"1942"</f>
        <v>1942</v>
      </c>
      <c r="H2935" t="str">
        <f>"0001"</f>
        <v>0001</v>
      </c>
      <c r="I2935" t="s">
        <v>89</v>
      </c>
      <c r="J2935">
        <v>0</v>
      </c>
      <c r="K2935">
        <v>1</v>
      </c>
      <c r="L2935">
        <v>3</v>
      </c>
      <c r="M2935">
        <v>279</v>
      </c>
      <c r="N2935">
        <v>416</v>
      </c>
      <c r="O2935">
        <v>2</v>
      </c>
      <c r="P2935">
        <v>416</v>
      </c>
      <c r="Q2935">
        <v>2</v>
      </c>
      <c r="R2935">
        <v>201</v>
      </c>
      <c r="S2935">
        <v>4</v>
      </c>
      <c r="U2935">
        <v>20</v>
      </c>
      <c r="V2935">
        <v>2</v>
      </c>
      <c r="W2935">
        <v>0</v>
      </c>
      <c r="X2935">
        <v>165</v>
      </c>
      <c r="Z2935">
        <v>0</v>
      </c>
      <c r="AB2935">
        <v>1</v>
      </c>
      <c r="AF2935">
        <v>6</v>
      </c>
      <c r="AG2935">
        <v>0</v>
      </c>
      <c r="AH2935">
        <v>0</v>
      </c>
      <c r="AI2935">
        <v>3</v>
      </c>
      <c r="AW2935">
        <v>0</v>
      </c>
      <c r="AX2935">
        <v>12</v>
      </c>
      <c r="AY2935">
        <v>416</v>
      </c>
      <c r="AZ2935">
        <v>416</v>
      </c>
      <c r="BA2935">
        <v>649</v>
      </c>
      <c r="BB2935">
        <v>46</v>
      </c>
      <c r="BD2935">
        <v>1</v>
      </c>
      <c r="BF2935" t="s">
        <v>3147</v>
      </c>
      <c r="BG2935" s="1">
        <v>44354.164583333331</v>
      </c>
      <c r="BH2935" s="1">
        <v>44354.168842592589</v>
      </c>
      <c r="BI2935" s="1">
        <v>44354.169490740744</v>
      </c>
      <c r="BJ2935" t="s">
        <v>85</v>
      </c>
      <c r="BK2935" t="s">
        <v>86</v>
      </c>
      <c r="BL2935" t="s">
        <v>87</v>
      </c>
    </row>
    <row r="2936" spans="1:64" x14ac:dyDescent="0.3">
      <c r="A2936" t="str">
        <f>"201942C0200"</f>
        <v>201942C0200</v>
      </c>
      <c r="B2936" t="str">
        <f>"201942C02003"</f>
        <v>201942C02003</v>
      </c>
      <c r="C2936" t="str">
        <f t="shared" si="203"/>
        <v>20</v>
      </c>
      <c r="D2936" t="s">
        <v>81</v>
      </c>
      <c r="E2936" t="str">
        <f t="shared" si="205"/>
        <v>448</v>
      </c>
      <c r="F2936" t="s">
        <v>3139</v>
      </c>
      <c r="G2936" t="str">
        <f>"1942"</f>
        <v>1942</v>
      </c>
      <c r="H2936" t="str">
        <f>"0002"</f>
        <v>0002</v>
      </c>
      <c r="I2936" t="s">
        <v>89</v>
      </c>
      <c r="J2936">
        <v>0</v>
      </c>
      <c r="K2936">
        <v>1</v>
      </c>
      <c r="L2936">
        <v>3</v>
      </c>
      <c r="M2936">
        <v>290</v>
      </c>
      <c r="N2936">
        <v>405</v>
      </c>
      <c r="O2936">
        <v>1</v>
      </c>
      <c r="P2936">
        <v>405</v>
      </c>
      <c r="Q2936">
        <v>0</v>
      </c>
      <c r="R2936">
        <v>190</v>
      </c>
      <c r="S2936">
        <v>10</v>
      </c>
      <c r="U2936">
        <v>16</v>
      </c>
      <c r="V2936">
        <v>2</v>
      </c>
      <c r="W2936">
        <v>4</v>
      </c>
      <c r="X2936">
        <v>163</v>
      </c>
      <c r="Z2936">
        <v>4</v>
      </c>
      <c r="AB2936">
        <v>2</v>
      </c>
      <c r="AF2936">
        <v>5</v>
      </c>
      <c r="AG2936">
        <v>0</v>
      </c>
      <c r="AH2936">
        <v>0</v>
      </c>
      <c r="AI2936">
        <v>1</v>
      </c>
      <c r="AW2936">
        <v>0</v>
      </c>
      <c r="AX2936">
        <v>8</v>
      </c>
      <c r="AY2936">
        <v>405</v>
      </c>
      <c r="AZ2936">
        <v>405</v>
      </c>
      <c r="BA2936">
        <v>649</v>
      </c>
      <c r="BB2936">
        <v>46</v>
      </c>
      <c r="BD2936">
        <v>1</v>
      </c>
      <c r="BF2936" t="s">
        <v>3148</v>
      </c>
      <c r="BG2936" s="1">
        <v>44354.179166666669</v>
      </c>
      <c r="BH2936" s="1">
        <v>44354.183136574073</v>
      </c>
      <c r="BI2936" s="1">
        <v>44354.183587962965</v>
      </c>
      <c r="BJ2936" t="s">
        <v>85</v>
      </c>
      <c r="BK2936" t="s">
        <v>86</v>
      </c>
      <c r="BL2936" t="s">
        <v>87</v>
      </c>
    </row>
    <row r="2937" spans="1:64" x14ac:dyDescent="0.3">
      <c r="A2937" t="str">
        <f>"201943B0000"</f>
        <v>201943B0000</v>
      </c>
      <c r="B2937" t="str">
        <f>"201943B00003"</f>
        <v>201943B00003</v>
      </c>
      <c r="C2937" t="str">
        <f t="shared" si="203"/>
        <v>20</v>
      </c>
      <c r="D2937" t="s">
        <v>81</v>
      </c>
      <c r="E2937" t="str">
        <f t="shared" si="205"/>
        <v>448</v>
      </c>
      <c r="F2937" t="s">
        <v>3139</v>
      </c>
      <c r="G2937" t="str">
        <f>"1943"</f>
        <v>1943</v>
      </c>
      <c r="H2937" t="str">
        <f>"0000"</f>
        <v>0000</v>
      </c>
      <c r="I2937" t="s">
        <v>83</v>
      </c>
      <c r="J2937">
        <v>0</v>
      </c>
      <c r="K2937">
        <v>1</v>
      </c>
      <c r="L2937">
        <v>3</v>
      </c>
      <c r="M2937">
        <v>241</v>
      </c>
      <c r="N2937">
        <v>434</v>
      </c>
      <c r="O2937">
        <v>6</v>
      </c>
      <c r="P2937">
        <v>434</v>
      </c>
      <c r="Q2937">
        <v>2</v>
      </c>
      <c r="R2937">
        <v>225</v>
      </c>
      <c r="S2937">
        <v>28</v>
      </c>
      <c r="U2937">
        <v>19</v>
      </c>
      <c r="V2937">
        <v>0</v>
      </c>
      <c r="W2937">
        <v>3</v>
      </c>
      <c r="X2937">
        <v>162</v>
      </c>
      <c r="Z2937">
        <v>4</v>
      </c>
      <c r="AB2937">
        <v>2</v>
      </c>
      <c r="AF2937">
        <v>3</v>
      </c>
      <c r="AG2937">
        <v>1</v>
      </c>
      <c r="AH2937">
        <v>0</v>
      </c>
      <c r="AI2937">
        <v>0</v>
      </c>
      <c r="AW2937">
        <v>0</v>
      </c>
      <c r="AX2937">
        <v>5</v>
      </c>
      <c r="AY2937">
        <v>434</v>
      </c>
      <c r="AZ2937">
        <v>454</v>
      </c>
      <c r="BA2937">
        <v>629</v>
      </c>
      <c r="BB2937">
        <v>46</v>
      </c>
      <c r="BD2937">
        <v>1</v>
      </c>
      <c r="BF2937" t="s">
        <v>3149</v>
      </c>
      <c r="BG2937" s="1">
        <v>44354.11041666667</v>
      </c>
      <c r="BH2937" s="1">
        <v>44354.114212962966</v>
      </c>
      <c r="BI2937" s="1">
        <v>44354.115937499999</v>
      </c>
      <c r="BJ2937" t="s">
        <v>85</v>
      </c>
      <c r="BK2937" t="s">
        <v>86</v>
      </c>
      <c r="BL2937" t="s">
        <v>87</v>
      </c>
    </row>
    <row r="2938" spans="1:64" x14ac:dyDescent="0.3">
      <c r="A2938" t="str">
        <f>"201943E0100"</f>
        <v>201943E0100</v>
      </c>
      <c r="B2938" t="str">
        <f>"201943E01003"</f>
        <v>201943E01003</v>
      </c>
      <c r="C2938" t="str">
        <f t="shared" si="203"/>
        <v>20</v>
      </c>
      <c r="D2938" t="s">
        <v>81</v>
      </c>
      <c r="E2938" t="str">
        <f t="shared" si="205"/>
        <v>448</v>
      </c>
      <c r="F2938" t="s">
        <v>3139</v>
      </c>
      <c r="G2938" t="str">
        <f>"1943"</f>
        <v>1943</v>
      </c>
      <c r="H2938" t="str">
        <f>"0001"</f>
        <v>0001</v>
      </c>
      <c r="I2938" t="s">
        <v>122</v>
      </c>
      <c r="J2938">
        <v>0</v>
      </c>
      <c r="K2938">
        <v>1</v>
      </c>
      <c r="L2938">
        <v>3</v>
      </c>
      <c r="M2938">
        <v>264</v>
      </c>
      <c r="N2938">
        <v>376</v>
      </c>
      <c r="O2938">
        <v>0</v>
      </c>
      <c r="P2938" t="s">
        <v>92</v>
      </c>
      <c r="Q2938">
        <v>2</v>
      </c>
      <c r="R2938">
        <v>72</v>
      </c>
      <c r="S2938">
        <v>7</v>
      </c>
      <c r="U2938">
        <v>24</v>
      </c>
      <c r="V2938">
        <v>4</v>
      </c>
      <c r="W2938">
        <v>15</v>
      </c>
      <c r="X2938">
        <v>229</v>
      </c>
      <c r="Z2938">
        <v>5</v>
      </c>
      <c r="AB2938">
        <v>4</v>
      </c>
      <c r="AF2938">
        <v>1</v>
      </c>
      <c r="AG2938">
        <v>0</v>
      </c>
      <c r="AH2938">
        <v>0</v>
      </c>
      <c r="AI2938">
        <v>0</v>
      </c>
      <c r="AW2938">
        <v>1</v>
      </c>
      <c r="AX2938">
        <v>12</v>
      </c>
      <c r="AY2938">
        <v>376</v>
      </c>
      <c r="AZ2938">
        <v>376</v>
      </c>
      <c r="BA2938">
        <v>594</v>
      </c>
      <c r="BB2938">
        <v>46</v>
      </c>
      <c r="BD2938">
        <v>1</v>
      </c>
      <c r="BF2938" t="s">
        <v>3150</v>
      </c>
      <c r="BG2938" s="1">
        <v>44354.113194444442</v>
      </c>
      <c r="BH2938" s="1">
        <v>44354.116967592592</v>
      </c>
      <c r="BI2938" s="1">
        <v>44354.117488425924</v>
      </c>
      <c r="BJ2938" t="s">
        <v>85</v>
      </c>
      <c r="BK2938" t="s">
        <v>86</v>
      </c>
      <c r="BL2938" t="s">
        <v>87</v>
      </c>
    </row>
    <row r="2939" spans="1:64" x14ac:dyDescent="0.3">
      <c r="A2939" t="str">
        <f>"201944B0000"</f>
        <v>201944B0000</v>
      </c>
      <c r="B2939" t="str">
        <f>"201944B00003"</f>
        <v>201944B00003</v>
      </c>
      <c r="C2939" t="str">
        <f t="shared" si="203"/>
        <v>20</v>
      </c>
      <c r="D2939" t="s">
        <v>81</v>
      </c>
      <c r="E2939" t="str">
        <f t="shared" si="205"/>
        <v>448</v>
      </c>
      <c r="F2939" t="s">
        <v>3139</v>
      </c>
      <c r="G2939" t="str">
        <f>"1944"</f>
        <v>1944</v>
      </c>
      <c r="H2939" t="str">
        <f>"0000"</f>
        <v>0000</v>
      </c>
      <c r="I2939" t="s">
        <v>83</v>
      </c>
      <c r="J2939">
        <v>0</v>
      </c>
      <c r="K2939">
        <v>1</v>
      </c>
      <c r="L2939">
        <v>3</v>
      </c>
      <c r="M2939">
        <v>248</v>
      </c>
      <c r="N2939">
        <v>372</v>
      </c>
      <c r="O2939">
        <v>1</v>
      </c>
      <c r="P2939">
        <v>372</v>
      </c>
      <c r="Q2939">
        <v>1</v>
      </c>
      <c r="R2939">
        <v>147</v>
      </c>
      <c r="S2939">
        <v>8</v>
      </c>
      <c r="U2939">
        <v>16</v>
      </c>
      <c r="V2939">
        <v>3</v>
      </c>
      <c r="W2939">
        <v>1</v>
      </c>
      <c r="X2939">
        <v>178</v>
      </c>
      <c r="Z2939">
        <v>3</v>
      </c>
      <c r="AB2939">
        <v>3</v>
      </c>
      <c r="AF2939">
        <v>3</v>
      </c>
      <c r="AG2939">
        <v>0</v>
      </c>
      <c r="AH2939">
        <v>0</v>
      </c>
      <c r="AI2939">
        <v>0</v>
      </c>
      <c r="AW2939">
        <v>0</v>
      </c>
      <c r="AX2939">
        <v>9</v>
      </c>
      <c r="AY2939">
        <v>372</v>
      </c>
      <c r="AZ2939">
        <v>372</v>
      </c>
      <c r="BA2939">
        <v>575</v>
      </c>
      <c r="BB2939">
        <v>46</v>
      </c>
      <c r="BD2939">
        <v>1</v>
      </c>
      <c r="BF2939" t="s">
        <v>3151</v>
      </c>
      <c r="BG2939" s="1">
        <v>44354.080555555556</v>
      </c>
      <c r="BH2939" s="1">
        <v>44354.089687500003</v>
      </c>
      <c r="BI2939" s="1">
        <v>44354.090416666666</v>
      </c>
      <c r="BJ2939" t="s">
        <v>85</v>
      </c>
      <c r="BK2939" t="s">
        <v>86</v>
      </c>
      <c r="BL2939" t="s">
        <v>87</v>
      </c>
    </row>
    <row r="2940" spans="1:64" x14ac:dyDescent="0.3">
      <c r="A2940" t="str">
        <f>"201944C0100"</f>
        <v>201944C0100</v>
      </c>
      <c r="B2940" t="str">
        <f>"201944C01003"</f>
        <v>201944C01003</v>
      </c>
      <c r="C2940" t="str">
        <f t="shared" si="203"/>
        <v>20</v>
      </c>
      <c r="D2940" t="s">
        <v>81</v>
      </c>
      <c r="E2940" t="str">
        <f t="shared" si="205"/>
        <v>448</v>
      </c>
      <c r="F2940" t="s">
        <v>3139</v>
      </c>
      <c r="G2940" t="str">
        <f>"1944"</f>
        <v>1944</v>
      </c>
      <c r="H2940" t="str">
        <f>"0001"</f>
        <v>0001</v>
      </c>
      <c r="I2940" t="s">
        <v>89</v>
      </c>
      <c r="J2940">
        <v>0</v>
      </c>
      <c r="K2940">
        <v>1</v>
      </c>
      <c r="L2940">
        <v>3</v>
      </c>
      <c r="M2940">
        <v>262</v>
      </c>
      <c r="N2940">
        <v>358</v>
      </c>
      <c r="O2940">
        <v>0</v>
      </c>
      <c r="P2940">
        <v>358</v>
      </c>
      <c r="Q2940">
        <v>0</v>
      </c>
      <c r="R2940">
        <v>155</v>
      </c>
      <c r="S2940">
        <v>2</v>
      </c>
      <c r="U2940">
        <v>9</v>
      </c>
      <c r="V2940">
        <v>2</v>
      </c>
      <c r="W2940">
        <v>4</v>
      </c>
      <c r="X2940">
        <v>161</v>
      </c>
      <c r="Z2940">
        <v>9</v>
      </c>
      <c r="AB2940">
        <v>3</v>
      </c>
      <c r="AF2940" t="s">
        <v>95</v>
      </c>
      <c r="AG2940" t="s">
        <v>95</v>
      </c>
      <c r="AH2940" t="s">
        <v>95</v>
      </c>
      <c r="AI2940" t="s">
        <v>95</v>
      </c>
      <c r="AW2940" t="s">
        <v>95</v>
      </c>
      <c r="AX2940">
        <v>13</v>
      </c>
      <c r="AY2940">
        <v>358</v>
      </c>
      <c r="AZ2940">
        <v>358</v>
      </c>
      <c r="BA2940">
        <v>574</v>
      </c>
      <c r="BB2940">
        <v>46</v>
      </c>
      <c r="BC2940" t="s">
        <v>96</v>
      </c>
      <c r="BD2940">
        <v>1</v>
      </c>
      <c r="BF2940" t="s">
        <v>3152</v>
      </c>
      <c r="BG2940" s="1">
        <v>44354.091666666667</v>
      </c>
      <c r="BH2940" s="1">
        <v>44354.097094907411</v>
      </c>
      <c r="BI2940" s="1">
        <v>44354.09746527778</v>
      </c>
      <c r="BJ2940" t="s">
        <v>85</v>
      </c>
      <c r="BK2940" t="s">
        <v>86</v>
      </c>
      <c r="BL2940" t="s">
        <v>87</v>
      </c>
    </row>
    <row r="2941" spans="1:64" x14ac:dyDescent="0.3">
      <c r="A2941" t="str">
        <f>"201945B0000"</f>
        <v>201945B0000</v>
      </c>
      <c r="B2941" t="str">
        <f>"201945B00003"</f>
        <v>201945B00003</v>
      </c>
      <c r="C2941" t="str">
        <f t="shared" si="203"/>
        <v>20</v>
      </c>
      <c r="D2941" t="s">
        <v>81</v>
      </c>
      <c r="E2941" t="str">
        <f t="shared" si="205"/>
        <v>448</v>
      </c>
      <c r="F2941" t="s">
        <v>3139</v>
      </c>
      <c r="G2941" t="str">
        <f>"1945"</f>
        <v>1945</v>
      </c>
      <c r="H2941" t="str">
        <f>"0000"</f>
        <v>0000</v>
      </c>
      <c r="I2941" t="s">
        <v>83</v>
      </c>
      <c r="J2941">
        <v>0</v>
      </c>
      <c r="K2941">
        <v>1</v>
      </c>
      <c r="L2941">
        <v>3</v>
      </c>
      <c r="M2941">
        <v>342</v>
      </c>
      <c r="N2941">
        <v>432</v>
      </c>
      <c r="O2941">
        <v>3</v>
      </c>
      <c r="P2941" t="s">
        <v>92</v>
      </c>
      <c r="Q2941">
        <v>4</v>
      </c>
      <c r="R2941">
        <v>80</v>
      </c>
      <c r="S2941">
        <v>9</v>
      </c>
      <c r="U2941">
        <v>11</v>
      </c>
      <c r="V2941">
        <v>5</v>
      </c>
      <c r="W2941">
        <v>1</v>
      </c>
      <c r="X2941">
        <v>283</v>
      </c>
      <c r="Z2941">
        <v>14</v>
      </c>
      <c r="AB2941">
        <v>2</v>
      </c>
      <c r="AF2941">
        <v>4</v>
      </c>
      <c r="AG2941">
        <v>0</v>
      </c>
      <c r="AH2941">
        <v>0</v>
      </c>
      <c r="AI2941">
        <v>0</v>
      </c>
      <c r="AW2941">
        <v>0</v>
      </c>
      <c r="AX2941">
        <v>19</v>
      </c>
      <c r="AY2941">
        <v>432</v>
      </c>
      <c r="AZ2941">
        <v>432</v>
      </c>
      <c r="BA2941">
        <v>728</v>
      </c>
      <c r="BB2941">
        <v>46</v>
      </c>
      <c r="BD2941">
        <v>1</v>
      </c>
      <c r="BF2941" t="s">
        <v>3153</v>
      </c>
      <c r="BG2941" s="1">
        <v>44354.291666666664</v>
      </c>
      <c r="BH2941" s="1">
        <v>44354.297800925924</v>
      </c>
      <c r="BI2941" s="1">
        <v>44354.298460648148</v>
      </c>
      <c r="BJ2941" t="s">
        <v>85</v>
      </c>
      <c r="BK2941" t="s">
        <v>86</v>
      </c>
      <c r="BL2941" t="s">
        <v>87</v>
      </c>
    </row>
    <row r="2942" spans="1:64" x14ac:dyDescent="0.3">
      <c r="A2942" t="str">
        <f>"201946B0000"</f>
        <v>201946B0000</v>
      </c>
      <c r="B2942" t="str">
        <f>"201946B00003"</f>
        <v>201946B00003</v>
      </c>
      <c r="C2942" t="str">
        <f t="shared" si="203"/>
        <v>20</v>
      </c>
      <c r="D2942" t="s">
        <v>81</v>
      </c>
      <c r="E2942" t="str">
        <f t="shared" si="205"/>
        <v>448</v>
      </c>
      <c r="F2942" t="s">
        <v>3139</v>
      </c>
      <c r="G2942" t="str">
        <f>"1946"</f>
        <v>1946</v>
      </c>
      <c r="H2942" t="str">
        <f>"0000"</f>
        <v>0000</v>
      </c>
      <c r="I2942" t="s">
        <v>83</v>
      </c>
      <c r="J2942">
        <v>0</v>
      </c>
      <c r="K2942">
        <v>1</v>
      </c>
      <c r="L2942">
        <v>3</v>
      </c>
      <c r="M2942">
        <v>325</v>
      </c>
      <c r="N2942">
        <v>379</v>
      </c>
      <c r="O2942">
        <v>0</v>
      </c>
      <c r="P2942" t="s">
        <v>92</v>
      </c>
      <c r="Q2942">
        <v>1</v>
      </c>
      <c r="R2942">
        <v>133</v>
      </c>
      <c r="S2942">
        <v>13</v>
      </c>
      <c r="U2942">
        <v>31</v>
      </c>
      <c r="V2942">
        <v>0</v>
      </c>
      <c r="W2942">
        <v>5</v>
      </c>
      <c r="X2942">
        <v>179</v>
      </c>
      <c r="Z2942">
        <v>9</v>
      </c>
      <c r="AB2942">
        <v>0</v>
      </c>
      <c r="AF2942" t="s">
        <v>95</v>
      </c>
      <c r="AG2942" t="s">
        <v>95</v>
      </c>
      <c r="AH2942" t="s">
        <v>95</v>
      </c>
      <c r="AI2942" t="s">
        <v>95</v>
      </c>
      <c r="AW2942" t="s">
        <v>95</v>
      </c>
      <c r="AX2942" t="s">
        <v>95</v>
      </c>
      <c r="AY2942">
        <v>379</v>
      </c>
      <c r="AZ2942">
        <v>371</v>
      </c>
      <c r="BA2942">
        <v>658</v>
      </c>
      <c r="BB2942">
        <v>46</v>
      </c>
      <c r="BC2942" t="s">
        <v>96</v>
      </c>
      <c r="BD2942">
        <v>1</v>
      </c>
      <c r="BF2942" t="s">
        <v>3154</v>
      </c>
      <c r="BG2942" s="1">
        <v>44354.104166666664</v>
      </c>
      <c r="BH2942" s="1">
        <v>44354.120173611111</v>
      </c>
      <c r="BI2942" s="1">
        <v>44354.126759259256</v>
      </c>
      <c r="BJ2942" t="s">
        <v>85</v>
      </c>
      <c r="BK2942" t="s">
        <v>86</v>
      </c>
      <c r="BL2942" t="s">
        <v>87</v>
      </c>
    </row>
    <row r="2943" spans="1:64" x14ac:dyDescent="0.3">
      <c r="A2943" t="str">
        <f>"201946C0100"</f>
        <v>201946C0100</v>
      </c>
      <c r="B2943" t="str">
        <f>"201946C01003"</f>
        <v>201946C01003</v>
      </c>
      <c r="C2943" t="str">
        <f t="shared" si="203"/>
        <v>20</v>
      </c>
      <c r="D2943" t="s">
        <v>81</v>
      </c>
      <c r="E2943" t="str">
        <f t="shared" si="205"/>
        <v>448</v>
      </c>
      <c r="F2943" t="s">
        <v>3139</v>
      </c>
      <c r="G2943" t="str">
        <f>"1946"</f>
        <v>1946</v>
      </c>
      <c r="H2943" t="str">
        <f>"0001"</f>
        <v>0001</v>
      </c>
      <c r="I2943" t="s">
        <v>89</v>
      </c>
      <c r="J2943">
        <v>0</v>
      </c>
      <c r="K2943">
        <v>1</v>
      </c>
      <c r="L2943">
        <v>3</v>
      </c>
      <c r="M2943" t="s">
        <v>131</v>
      </c>
      <c r="N2943" t="s">
        <v>92</v>
      </c>
      <c r="O2943" t="s">
        <v>92</v>
      </c>
      <c r="P2943" t="s">
        <v>92</v>
      </c>
      <c r="Q2943">
        <v>2</v>
      </c>
      <c r="R2943">
        <v>130</v>
      </c>
      <c r="S2943">
        <v>10</v>
      </c>
      <c r="U2943">
        <v>27</v>
      </c>
      <c r="V2943" t="s">
        <v>131</v>
      </c>
      <c r="W2943">
        <v>4</v>
      </c>
      <c r="X2943" t="s">
        <v>131</v>
      </c>
      <c r="Z2943">
        <v>2</v>
      </c>
      <c r="AB2943">
        <v>4</v>
      </c>
      <c r="AF2943">
        <v>0</v>
      </c>
      <c r="AG2943">
        <v>1</v>
      </c>
      <c r="AH2943">
        <v>0</v>
      </c>
      <c r="AI2943">
        <v>0</v>
      </c>
      <c r="AW2943" t="s">
        <v>95</v>
      </c>
      <c r="AX2943">
        <v>6</v>
      </c>
      <c r="AY2943">
        <v>398</v>
      </c>
      <c r="AZ2943">
        <v>186</v>
      </c>
      <c r="BA2943">
        <v>657</v>
      </c>
      <c r="BB2943">
        <v>46</v>
      </c>
      <c r="BC2943" t="s">
        <v>96</v>
      </c>
      <c r="BD2943">
        <v>1</v>
      </c>
      <c r="BF2943" t="s">
        <v>3155</v>
      </c>
      <c r="BG2943" s="1">
        <v>44354.094444444447</v>
      </c>
      <c r="BH2943" s="1">
        <v>44354.108680555553</v>
      </c>
      <c r="BI2943" s="1">
        <v>44354.110868055555</v>
      </c>
      <c r="BJ2943" t="s">
        <v>85</v>
      </c>
      <c r="BK2943" t="s">
        <v>86</v>
      </c>
      <c r="BL2943" t="s">
        <v>87</v>
      </c>
    </row>
    <row r="2944" spans="1:64" x14ac:dyDescent="0.3">
      <c r="A2944" t="str">
        <f>"201947B0000"</f>
        <v>201947B0000</v>
      </c>
      <c r="B2944" t="str">
        <f>"201947B00003"</f>
        <v>201947B00003</v>
      </c>
      <c r="C2944" t="str">
        <f t="shared" si="203"/>
        <v>20</v>
      </c>
      <c r="D2944" t="s">
        <v>81</v>
      </c>
      <c r="E2944" t="str">
        <f t="shared" si="205"/>
        <v>448</v>
      </c>
      <c r="F2944" t="s">
        <v>3139</v>
      </c>
      <c r="G2944" t="str">
        <f>"1947"</f>
        <v>1947</v>
      </c>
      <c r="H2944" t="str">
        <f>"0000"</f>
        <v>0000</v>
      </c>
      <c r="I2944" t="s">
        <v>83</v>
      </c>
      <c r="J2944">
        <v>0</v>
      </c>
      <c r="K2944">
        <v>1</v>
      </c>
      <c r="L2944">
        <v>3</v>
      </c>
      <c r="M2944">
        <v>417</v>
      </c>
      <c r="N2944">
        <v>209</v>
      </c>
      <c r="O2944">
        <v>0</v>
      </c>
      <c r="P2944">
        <v>209</v>
      </c>
      <c r="Q2944">
        <v>7</v>
      </c>
      <c r="R2944">
        <v>29</v>
      </c>
      <c r="S2944">
        <v>9</v>
      </c>
      <c r="U2944">
        <v>8</v>
      </c>
      <c r="V2944">
        <v>7</v>
      </c>
      <c r="W2944">
        <v>11</v>
      </c>
      <c r="X2944">
        <v>105</v>
      </c>
      <c r="Z2944">
        <v>7</v>
      </c>
      <c r="AB2944">
        <v>7</v>
      </c>
      <c r="AF2944">
        <v>2</v>
      </c>
      <c r="AG2944">
        <v>0</v>
      </c>
      <c r="AH2944">
        <v>0</v>
      </c>
      <c r="AI2944">
        <v>0</v>
      </c>
      <c r="AW2944">
        <v>0</v>
      </c>
      <c r="AX2944">
        <v>17</v>
      </c>
      <c r="AY2944">
        <v>209</v>
      </c>
      <c r="AZ2944">
        <v>209</v>
      </c>
      <c r="BA2944">
        <v>580</v>
      </c>
      <c r="BB2944">
        <v>46</v>
      </c>
      <c r="BD2944">
        <v>1</v>
      </c>
      <c r="BF2944" t="s">
        <v>3156</v>
      </c>
      <c r="BG2944" s="1">
        <v>44354.296527777777</v>
      </c>
      <c r="BH2944" s="1">
        <v>44354.300254629627</v>
      </c>
      <c r="BI2944" s="1">
        <v>44354.300520833334</v>
      </c>
      <c r="BJ2944" t="s">
        <v>85</v>
      </c>
      <c r="BK2944" t="s">
        <v>86</v>
      </c>
      <c r="BL2944" t="s">
        <v>87</v>
      </c>
    </row>
    <row r="2945" spans="1:64" x14ac:dyDescent="0.3">
      <c r="A2945" t="str">
        <f>"201947C0100"</f>
        <v>201947C0100</v>
      </c>
      <c r="B2945" t="str">
        <f>"201947C01003"</f>
        <v>201947C01003</v>
      </c>
      <c r="C2945" t="str">
        <f t="shared" si="203"/>
        <v>20</v>
      </c>
      <c r="D2945" t="s">
        <v>81</v>
      </c>
      <c r="E2945" t="str">
        <f t="shared" si="205"/>
        <v>448</v>
      </c>
      <c r="F2945" t="s">
        <v>3139</v>
      </c>
      <c r="G2945" t="str">
        <f>"1947"</f>
        <v>1947</v>
      </c>
      <c r="H2945" t="str">
        <f>"0001"</f>
        <v>0001</v>
      </c>
      <c r="I2945" t="s">
        <v>89</v>
      </c>
      <c r="J2945">
        <v>0</v>
      </c>
      <c r="K2945">
        <v>1</v>
      </c>
      <c r="L2945">
        <v>3</v>
      </c>
      <c r="M2945">
        <v>426</v>
      </c>
      <c r="N2945">
        <v>200</v>
      </c>
      <c r="O2945">
        <v>0</v>
      </c>
      <c r="P2945">
        <v>200</v>
      </c>
      <c r="Q2945">
        <v>3</v>
      </c>
      <c r="R2945">
        <v>35</v>
      </c>
      <c r="S2945">
        <v>9</v>
      </c>
      <c r="U2945">
        <v>7</v>
      </c>
      <c r="V2945">
        <v>5</v>
      </c>
      <c r="W2945">
        <v>16</v>
      </c>
      <c r="X2945">
        <v>104</v>
      </c>
      <c r="Z2945">
        <v>5</v>
      </c>
      <c r="AB2945">
        <v>3</v>
      </c>
      <c r="AF2945">
        <v>1</v>
      </c>
      <c r="AG2945">
        <v>0</v>
      </c>
      <c r="AH2945">
        <v>2</v>
      </c>
      <c r="AI2945">
        <v>0</v>
      </c>
      <c r="AW2945">
        <v>1</v>
      </c>
      <c r="AX2945">
        <v>9</v>
      </c>
      <c r="AY2945">
        <v>200</v>
      </c>
      <c r="AZ2945">
        <v>200</v>
      </c>
      <c r="BA2945">
        <v>580</v>
      </c>
      <c r="BB2945">
        <v>46</v>
      </c>
      <c r="BD2945">
        <v>1</v>
      </c>
      <c r="BF2945" t="s">
        <v>3157</v>
      </c>
      <c r="BG2945" s="1">
        <v>44354.295138888891</v>
      </c>
      <c r="BH2945" s="1">
        <v>44354.298530092594</v>
      </c>
      <c r="BI2945" s="1">
        <v>44354.298946759256</v>
      </c>
      <c r="BJ2945" t="s">
        <v>85</v>
      </c>
      <c r="BK2945" t="s">
        <v>86</v>
      </c>
      <c r="BL2945" t="s">
        <v>87</v>
      </c>
    </row>
    <row r="2946" spans="1:64" x14ac:dyDescent="0.3">
      <c r="A2946" t="str">
        <f>"201948B0000"</f>
        <v>201948B0000</v>
      </c>
      <c r="B2946" t="str">
        <f>"201948B00003"</f>
        <v>201948B00003</v>
      </c>
      <c r="C2946" t="str">
        <f t="shared" si="203"/>
        <v>20</v>
      </c>
      <c r="D2946" t="s">
        <v>81</v>
      </c>
      <c r="E2946" t="str">
        <f t="shared" si="205"/>
        <v>448</v>
      </c>
      <c r="F2946" t="s">
        <v>3139</v>
      </c>
      <c r="G2946" t="str">
        <f>"1948"</f>
        <v>1948</v>
      </c>
      <c r="H2946" t="str">
        <f>"0000"</f>
        <v>0000</v>
      </c>
      <c r="I2946" t="s">
        <v>83</v>
      </c>
      <c r="J2946">
        <v>0</v>
      </c>
      <c r="K2946">
        <v>1</v>
      </c>
      <c r="L2946">
        <v>3</v>
      </c>
      <c r="M2946">
        <v>187</v>
      </c>
      <c r="N2946">
        <v>334</v>
      </c>
      <c r="O2946">
        <v>0</v>
      </c>
      <c r="P2946">
        <v>334</v>
      </c>
      <c r="Q2946">
        <v>0</v>
      </c>
      <c r="R2946">
        <v>129</v>
      </c>
      <c r="S2946">
        <v>4</v>
      </c>
      <c r="U2946">
        <v>6</v>
      </c>
      <c r="V2946">
        <v>1</v>
      </c>
      <c r="W2946">
        <v>1</v>
      </c>
      <c r="X2946">
        <v>176</v>
      </c>
      <c r="Z2946">
        <v>2</v>
      </c>
      <c r="AB2946">
        <v>4</v>
      </c>
      <c r="AF2946">
        <v>0</v>
      </c>
      <c r="AG2946">
        <v>0</v>
      </c>
      <c r="AH2946">
        <v>0</v>
      </c>
      <c r="AI2946">
        <v>0</v>
      </c>
      <c r="AW2946">
        <v>0</v>
      </c>
      <c r="AX2946">
        <v>11</v>
      </c>
      <c r="AY2946">
        <v>334</v>
      </c>
      <c r="AZ2946">
        <v>334</v>
      </c>
      <c r="BA2946">
        <v>475</v>
      </c>
      <c r="BB2946">
        <v>46</v>
      </c>
      <c r="BD2946">
        <v>1</v>
      </c>
      <c r="BF2946" t="s">
        <v>3158</v>
      </c>
      <c r="BG2946" s="1">
        <v>44354.191666666666</v>
      </c>
      <c r="BH2946" s="1">
        <v>44354.197418981479</v>
      </c>
      <c r="BI2946" s="1">
        <v>44354.197997685187</v>
      </c>
      <c r="BJ2946" t="s">
        <v>85</v>
      </c>
      <c r="BK2946" t="s">
        <v>86</v>
      </c>
      <c r="BL2946" t="s">
        <v>87</v>
      </c>
    </row>
    <row r="2947" spans="1:64" x14ac:dyDescent="0.3">
      <c r="A2947" t="str">
        <f>"201948E0100"</f>
        <v>201948E0100</v>
      </c>
      <c r="B2947" t="str">
        <f>"201948E01003"</f>
        <v>201948E01003</v>
      </c>
      <c r="C2947" t="str">
        <f t="shared" si="203"/>
        <v>20</v>
      </c>
      <c r="D2947" t="s">
        <v>81</v>
      </c>
      <c r="E2947" t="str">
        <f t="shared" si="205"/>
        <v>448</v>
      </c>
      <c r="F2947" t="s">
        <v>3139</v>
      </c>
      <c r="G2947" t="str">
        <f>"1948"</f>
        <v>1948</v>
      </c>
      <c r="H2947" t="str">
        <f>"0001"</f>
        <v>0001</v>
      </c>
      <c r="I2947" t="s">
        <v>122</v>
      </c>
      <c r="J2947">
        <v>0</v>
      </c>
      <c r="K2947">
        <v>1</v>
      </c>
      <c r="L2947">
        <v>3</v>
      </c>
      <c r="M2947">
        <v>119</v>
      </c>
      <c r="N2947">
        <v>137</v>
      </c>
      <c r="O2947">
        <v>0</v>
      </c>
      <c r="P2947">
        <v>137</v>
      </c>
      <c r="Q2947">
        <v>1</v>
      </c>
      <c r="R2947">
        <v>97</v>
      </c>
      <c r="S2947">
        <v>0</v>
      </c>
      <c r="U2947">
        <v>6</v>
      </c>
      <c r="V2947">
        <v>0</v>
      </c>
      <c r="W2947">
        <v>0</v>
      </c>
      <c r="X2947">
        <v>20</v>
      </c>
      <c r="Z2947">
        <v>1</v>
      </c>
      <c r="AB2947">
        <v>1</v>
      </c>
      <c r="AF2947">
        <v>8</v>
      </c>
      <c r="AG2947">
        <v>0</v>
      </c>
      <c r="AH2947">
        <v>0</v>
      </c>
      <c r="AI2947">
        <v>0</v>
      </c>
      <c r="AW2947">
        <v>0</v>
      </c>
      <c r="AX2947">
        <v>3</v>
      </c>
      <c r="AY2947">
        <v>137</v>
      </c>
      <c r="AZ2947">
        <v>137</v>
      </c>
      <c r="BA2947">
        <v>210</v>
      </c>
      <c r="BB2947">
        <v>46</v>
      </c>
      <c r="BD2947">
        <v>1</v>
      </c>
      <c r="BF2947" t="s">
        <v>3159</v>
      </c>
      <c r="BG2947" s="1">
        <v>44354.1875</v>
      </c>
      <c r="BH2947" s="1">
        <v>44354.191967592589</v>
      </c>
      <c r="BI2947" s="1">
        <v>44354.192604166667</v>
      </c>
      <c r="BJ2947" t="s">
        <v>85</v>
      </c>
      <c r="BK2947" t="s">
        <v>86</v>
      </c>
      <c r="BL2947" t="s">
        <v>87</v>
      </c>
    </row>
    <row r="2948" spans="1:64" x14ac:dyDescent="0.3">
      <c r="A2948" t="str">
        <f>"201949B0000"</f>
        <v>201949B0000</v>
      </c>
      <c r="B2948" t="str">
        <f>"201949B00003"</f>
        <v>201949B00003</v>
      </c>
      <c r="C2948" t="str">
        <f t="shared" si="203"/>
        <v>20</v>
      </c>
      <c r="D2948" t="s">
        <v>81</v>
      </c>
      <c r="E2948" t="str">
        <f t="shared" si="205"/>
        <v>448</v>
      </c>
      <c r="F2948" t="s">
        <v>3139</v>
      </c>
      <c r="G2948" t="str">
        <f>"1949"</f>
        <v>1949</v>
      </c>
      <c r="H2948" t="str">
        <f>"0000"</f>
        <v>0000</v>
      </c>
      <c r="I2948" t="s">
        <v>83</v>
      </c>
      <c r="J2948">
        <v>0</v>
      </c>
      <c r="K2948">
        <v>1</v>
      </c>
      <c r="L2948">
        <v>3</v>
      </c>
      <c r="M2948">
        <v>321</v>
      </c>
      <c r="N2948">
        <v>389</v>
      </c>
      <c r="O2948">
        <v>2</v>
      </c>
      <c r="P2948">
        <v>389</v>
      </c>
      <c r="Q2948">
        <v>2</v>
      </c>
      <c r="R2948">
        <v>248</v>
      </c>
      <c r="S2948">
        <v>4</v>
      </c>
      <c r="U2948">
        <v>56</v>
      </c>
      <c r="V2948">
        <v>2</v>
      </c>
      <c r="W2948">
        <v>1</v>
      </c>
      <c r="X2948">
        <v>60</v>
      </c>
      <c r="Z2948">
        <v>4</v>
      </c>
      <c r="AB2948">
        <v>2</v>
      </c>
      <c r="AF2948">
        <v>3</v>
      </c>
      <c r="AG2948">
        <v>0</v>
      </c>
      <c r="AH2948">
        <v>0</v>
      </c>
      <c r="AI2948">
        <v>0</v>
      </c>
      <c r="AW2948">
        <v>0</v>
      </c>
      <c r="AX2948">
        <v>7</v>
      </c>
      <c r="AY2948">
        <v>389</v>
      </c>
      <c r="AZ2948">
        <v>389</v>
      </c>
      <c r="BA2948">
        <v>668</v>
      </c>
      <c r="BB2948">
        <v>46</v>
      </c>
      <c r="BD2948">
        <v>1</v>
      </c>
      <c r="BF2948" t="s">
        <v>3160</v>
      </c>
      <c r="BG2948" s="1">
        <v>44354.20208333333</v>
      </c>
      <c r="BH2948" s="1">
        <v>44354.203553240739</v>
      </c>
      <c r="BI2948" s="1">
        <v>44354.204224537039</v>
      </c>
      <c r="BJ2948" t="s">
        <v>85</v>
      </c>
      <c r="BK2948" t="s">
        <v>86</v>
      </c>
      <c r="BL2948" t="s">
        <v>1390</v>
      </c>
    </row>
    <row r="2949" spans="1:64" x14ac:dyDescent="0.3">
      <c r="A2949" t="str">
        <f>"201971B0000"</f>
        <v>201971B0000</v>
      </c>
      <c r="B2949" t="str">
        <f>"201971B00003"</f>
        <v>201971B00003</v>
      </c>
      <c r="C2949" t="str">
        <f t="shared" si="203"/>
        <v>20</v>
      </c>
      <c r="D2949" t="s">
        <v>81</v>
      </c>
      <c r="E2949" t="str">
        <f>"456"</f>
        <v>456</v>
      </c>
      <c r="F2949" t="s">
        <v>3161</v>
      </c>
      <c r="G2949" t="str">
        <f>"1971"</f>
        <v>1971</v>
      </c>
      <c r="H2949" t="str">
        <f>"0000"</f>
        <v>0000</v>
      </c>
      <c r="I2949" t="s">
        <v>83</v>
      </c>
      <c r="J2949">
        <v>0</v>
      </c>
      <c r="K2949">
        <v>1</v>
      </c>
      <c r="L2949">
        <v>3</v>
      </c>
      <c r="M2949">
        <v>335</v>
      </c>
      <c r="N2949">
        <v>389</v>
      </c>
      <c r="O2949">
        <v>0</v>
      </c>
      <c r="P2949">
        <v>390</v>
      </c>
      <c r="Q2949">
        <v>142</v>
      </c>
      <c r="R2949">
        <v>147</v>
      </c>
      <c r="U2949">
        <v>2</v>
      </c>
      <c r="X2949">
        <v>76</v>
      </c>
      <c r="Z2949">
        <v>2</v>
      </c>
      <c r="AW2949">
        <v>0</v>
      </c>
      <c r="AX2949">
        <v>21</v>
      </c>
      <c r="AY2949">
        <v>390</v>
      </c>
      <c r="AZ2949">
        <v>390</v>
      </c>
      <c r="BA2949">
        <v>680</v>
      </c>
      <c r="BB2949">
        <v>44</v>
      </c>
      <c r="BD2949">
        <v>1</v>
      </c>
      <c r="BF2949" t="s">
        <v>3162</v>
      </c>
      <c r="BG2949" s="1">
        <v>44354.145833333336</v>
      </c>
      <c r="BH2949" s="1">
        <v>44354.149363425924</v>
      </c>
      <c r="BI2949" s="1">
        <v>44354.149756944447</v>
      </c>
      <c r="BJ2949" t="s">
        <v>85</v>
      </c>
      <c r="BK2949" t="s">
        <v>86</v>
      </c>
      <c r="BL2949" t="s">
        <v>87</v>
      </c>
    </row>
    <row r="2950" spans="1:64" x14ac:dyDescent="0.3">
      <c r="A2950" t="str">
        <f>"201971C0100"</f>
        <v>201971C0100</v>
      </c>
      <c r="B2950" t="str">
        <f>"201971C01003"</f>
        <v>201971C01003</v>
      </c>
      <c r="C2950" t="str">
        <f t="shared" si="203"/>
        <v>20</v>
      </c>
      <c r="D2950" t="s">
        <v>81</v>
      </c>
      <c r="E2950" t="str">
        <f>"456"</f>
        <v>456</v>
      </c>
      <c r="F2950" t="s">
        <v>3161</v>
      </c>
      <c r="G2950" t="str">
        <f>"1971"</f>
        <v>1971</v>
      </c>
      <c r="H2950" t="str">
        <f>"0001"</f>
        <v>0001</v>
      </c>
      <c r="I2950" t="s">
        <v>89</v>
      </c>
      <c r="J2950">
        <v>0</v>
      </c>
      <c r="K2950">
        <v>1</v>
      </c>
      <c r="L2950">
        <v>3</v>
      </c>
      <c r="M2950">
        <v>299</v>
      </c>
      <c r="N2950">
        <v>424</v>
      </c>
      <c r="O2950">
        <v>0</v>
      </c>
      <c r="P2950">
        <v>423</v>
      </c>
      <c r="Q2950">
        <v>201</v>
      </c>
      <c r="R2950">
        <v>132</v>
      </c>
      <c r="U2950">
        <v>2</v>
      </c>
      <c r="X2950">
        <v>66</v>
      </c>
      <c r="Z2950">
        <v>2</v>
      </c>
      <c r="AW2950">
        <v>1</v>
      </c>
      <c r="AX2950">
        <v>18</v>
      </c>
      <c r="AY2950">
        <v>423</v>
      </c>
      <c r="AZ2950">
        <v>422</v>
      </c>
      <c r="BA2950">
        <v>679</v>
      </c>
      <c r="BB2950">
        <v>44</v>
      </c>
      <c r="BD2950">
        <v>1</v>
      </c>
      <c r="BF2950" t="s">
        <v>3163</v>
      </c>
      <c r="BG2950" s="1">
        <v>44354.146527777775</v>
      </c>
      <c r="BH2950" s="1">
        <v>44354.150636574072</v>
      </c>
      <c r="BI2950" s="1">
        <v>44354.150902777779</v>
      </c>
      <c r="BJ2950" t="s">
        <v>85</v>
      </c>
      <c r="BK2950" t="s">
        <v>86</v>
      </c>
      <c r="BL2950" t="s">
        <v>87</v>
      </c>
    </row>
    <row r="2951" spans="1:64" x14ac:dyDescent="0.3">
      <c r="A2951" t="str">
        <f>"201971E0100"</f>
        <v>201971E0100</v>
      </c>
      <c r="B2951" t="str">
        <f>"201971E01003"</f>
        <v>201971E01003</v>
      </c>
      <c r="C2951" t="str">
        <f t="shared" ref="C2951:C3014" si="206">"20"</f>
        <v>20</v>
      </c>
      <c r="D2951" t="s">
        <v>81</v>
      </c>
      <c r="E2951" t="str">
        <f>"456"</f>
        <v>456</v>
      </c>
      <c r="F2951" t="s">
        <v>3161</v>
      </c>
      <c r="G2951" t="str">
        <f>"1971"</f>
        <v>1971</v>
      </c>
      <c r="H2951" t="str">
        <f>"0001"</f>
        <v>0001</v>
      </c>
      <c r="I2951" t="s">
        <v>122</v>
      </c>
      <c r="J2951">
        <v>0</v>
      </c>
      <c r="K2951">
        <v>1</v>
      </c>
      <c r="L2951">
        <v>3</v>
      </c>
      <c r="M2951">
        <v>80</v>
      </c>
      <c r="N2951">
        <v>87</v>
      </c>
      <c r="O2951">
        <v>4</v>
      </c>
      <c r="P2951">
        <v>87</v>
      </c>
      <c r="Q2951">
        <v>41</v>
      </c>
      <c r="R2951">
        <v>16</v>
      </c>
      <c r="U2951">
        <v>1</v>
      </c>
      <c r="X2951">
        <v>23</v>
      </c>
      <c r="Z2951">
        <v>2</v>
      </c>
      <c r="AW2951">
        <v>0</v>
      </c>
      <c r="AX2951">
        <v>4</v>
      </c>
      <c r="AY2951">
        <v>87</v>
      </c>
      <c r="AZ2951">
        <v>87</v>
      </c>
      <c r="BA2951">
        <v>123</v>
      </c>
      <c r="BB2951">
        <v>44</v>
      </c>
      <c r="BD2951">
        <v>1</v>
      </c>
      <c r="BF2951" t="s">
        <v>3164</v>
      </c>
      <c r="BG2951" s="1">
        <v>44354.145833333336</v>
      </c>
      <c r="BH2951" s="1">
        <v>44354.149456018517</v>
      </c>
      <c r="BI2951" s="1">
        <v>44354.149953703702</v>
      </c>
      <c r="BJ2951" t="s">
        <v>85</v>
      </c>
      <c r="BK2951" t="s">
        <v>86</v>
      </c>
      <c r="BL2951" t="s">
        <v>87</v>
      </c>
    </row>
    <row r="2952" spans="1:64" x14ac:dyDescent="0.3">
      <c r="A2952" t="str">
        <f>"201972B0000"</f>
        <v>201972B0000</v>
      </c>
      <c r="B2952" t="str">
        <f>"201972B00003"</f>
        <v>201972B00003</v>
      </c>
      <c r="C2952" t="str">
        <f t="shared" si="206"/>
        <v>20</v>
      </c>
      <c r="D2952" t="s">
        <v>81</v>
      </c>
      <c r="E2952" t="str">
        <f>"456"</f>
        <v>456</v>
      </c>
      <c r="F2952" t="s">
        <v>3161</v>
      </c>
      <c r="G2952" t="str">
        <f>"1972"</f>
        <v>1972</v>
      </c>
      <c r="H2952" t="str">
        <f>"0000"</f>
        <v>0000</v>
      </c>
      <c r="I2952" t="s">
        <v>83</v>
      </c>
      <c r="J2952">
        <v>0</v>
      </c>
      <c r="K2952">
        <v>1</v>
      </c>
      <c r="L2952">
        <v>3</v>
      </c>
      <c r="BA2952">
        <v>532</v>
      </c>
      <c r="BB2952">
        <v>44</v>
      </c>
      <c r="BC2952" t="s">
        <v>161</v>
      </c>
      <c r="BD2952">
        <v>0</v>
      </c>
      <c r="BF2952" t="s">
        <v>3165</v>
      </c>
      <c r="BG2952" s="1">
        <v>44354.450694444444</v>
      </c>
      <c r="BH2952" s="1">
        <v>44354.472974537035</v>
      </c>
      <c r="BI2952" s="1">
        <v>44354.472974537035</v>
      </c>
      <c r="BJ2952" t="s">
        <v>85</v>
      </c>
      <c r="BK2952" t="s">
        <v>86</v>
      </c>
      <c r="BL2952" t="s">
        <v>87</v>
      </c>
    </row>
    <row r="2953" spans="1:64" x14ac:dyDescent="0.3">
      <c r="A2953" t="str">
        <f>"201973B0000"</f>
        <v>201973B0000</v>
      </c>
      <c r="B2953" t="str">
        <f>"201973B00003"</f>
        <v>201973B00003</v>
      </c>
      <c r="C2953" t="str">
        <f t="shared" si="206"/>
        <v>20</v>
      </c>
      <c r="D2953" t="s">
        <v>81</v>
      </c>
      <c r="E2953" t="str">
        <f>"457"</f>
        <v>457</v>
      </c>
      <c r="F2953" t="s">
        <v>3166</v>
      </c>
      <c r="G2953" t="str">
        <f>"1973"</f>
        <v>1973</v>
      </c>
      <c r="H2953" t="str">
        <f>"0000"</f>
        <v>0000</v>
      </c>
      <c r="I2953" t="s">
        <v>83</v>
      </c>
      <c r="J2953">
        <v>0</v>
      </c>
      <c r="K2953">
        <v>1</v>
      </c>
      <c r="L2953">
        <v>3</v>
      </c>
      <c r="M2953">
        <v>161</v>
      </c>
      <c r="N2953">
        <v>438</v>
      </c>
      <c r="O2953">
        <v>6</v>
      </c>
      <c r="P2953">
        <v>438</v>
      </c>
      <c r="Q2953">
        <v>168</v>
      </c>
      <c r="R2953">
        <v>103</v>
      </c>
      <c r="S2953">
        <v>1</v>
      </c>
      <c r="T2953">
        <v>0</v>
      </c>
      <c r="U2953">
        <v>1</v>
      </c>
      <c r="V2953">
        <v>2</v>
      </c>
      <c r="X2953">
        <v>133</v>
      </c>
      <c r="Z2953">
        <v>2</v>
      </c>
      <c r="AF2953">
        <v>1</v>
      </c>
      <c r="AG2953">
        <v>5</v>
      </c>
      <c r="AH2953">
        <v>0</v>
      </c>
      <c r="AI2953">
        <v>0</v>
      </c>
      <c r="AU2953">
        <v>0</v>
      </c>
      <c r="AW2953">
        <v>0</v>
      </c>
      <c r="AX2953">
        <v>22</v>
      </c>
      <c r="AY2953">
        <v>438</v>
      </c>
      <c r="AZ2953">
        <v>438</v>
      </c>
      <c r="BA2953">
        <v>555</v>
      </c>
      <c r="BB2953">
        <v>44</v>
      </c>
      <c r="BD2953">
        <v>1</v>
      </c>
      <c r="BF2953" t="s">
        <v>3167</v>
      </c>
      <c r="BG2953" s="1">
        <v>44354.082638888889</v>
      </c>
      <c r="BH2953" s="1">
        <v>44354.092164351852</v>
      </c>
      <c r="BI2953" s="1">
        <v>44354.092453703706</v>
      </c>
      <c r="BJ2953" t="s">
        <v>85</v>
      </c>
      <c r="BK2953" t="s">
        <v>86</v>
      </c>
      <c r="BL2953" t="s">
        <v>87</v>
      </c>
    </row>
    <row r="2954" spans="1:64" x14ac:dyDescent="0.3">
      <c r="A2954" t="str">
        <f>"201974B0000"</f>
        <v>201974B0000</v>
      </c>
      <c r="B2954" t="str">
        <f>"201974B00003"</f>
        <v>201974B00003</v>
      </c>
      <c r="C2954" t="str">
        <f t="shared" si="206"/>
        <v>20</v>
      </c>
      <c r="D2954" t="s">
        <v>81</v>
      </c>
      <c r="E2954" t="str">
        <f>"457"</f>
        <v>457</v>
      </c>
      <c r="F2954" t="s">
        <v>3166</v>
      </c>
      <c r="G2954" t="str">
        <f>"1974"</f>
        <v>1974</v>
      </c>
      <c r="H2954" t="str">
        <f>"0000"</f>
        <v>0000</v>
      </c>
      <c r="I2954" t="s">
        <v>83</v>
      </c>
      <c r="J2954">
        <v>0</v>
      </c>
      <c r="K2954">
        <v>1</v>
      </c>
      <c r="L2954">
        <v>3</v>
      </c>
      <c r="M2954">
        <v>143</v>
      </c>
      <c r="N2954" t="s">
        <v>92</v>
      </c>
      <c r="O2954" t="s">
        <v>92</v>
      </c>
      <c r="P2954" t="s">
        <v>92</v>
      </c>
      <c r="Q2954">
        <v>170</v>
      </c>
      <c r="R2954">
        <v>106</v>
      </c>
      <c r="S2954">
        <v>3</v>
      </c>
      <c r="T2954">
        <v>2</v>
      </c>
      <c r="U2954" t="s">
        <v>95</v>
      </c>
      <c r="V2954">
        <v>1</v>
      </c>
      <c r="X2954">
        <v>65</v>
      </c>
      <c r="Z2954">
        <v>3</v>
      </c>
      <c r="AF2954">
        <v>3</v>
      </c>
      <c r="AG2954">
        <v>5</v>
      </c>
      <c r="AH2954">
        <v>1</v>
      </c>
      <c r="AI2954" t="s">
        <v>95</v>
      </c>
      <c r="AU2954" t="s">
        <v>95</v>
      </c>
      <c r="AW2954" t="s">
        <v>95</v>
      </c>
      <c r="AX2954">
        <v>23</v>
      </c>
      <c r="AY2954">
        <v>382</v>
      </c>
      <c r="AZ2954">
        <v>382</v>
      </c>
      <c r="BA2954">
        <v>481</v>
      </c>
      <c r="BB2954">
        <v>44</v>
      </c>
      <c r="BC2954" t="s">
        <v>96</v>
      </c>
      <c r="BD2954">
        <v>1</v>
      </c>
      <c r="BF2954" t="s">
        <v>3168</v>
      </c>
      <c r="BG2954" s="1">
        <v>44353.971956018519</v>
      </c>
      <c r="BH2954" s="1">
        <v>44353.974328703705</v>
      </c>
      <c r="BI2954" s="1">
        <v>44353.974895833337</v>
      </c>
      <c r="BJ2954" t="s">
        <v>197</v>
      </c>
      <c r="BK2954" t="s">
        <v>198</v>
      </c>
      <c r="BL2954" t="s">
        <v>87</v>
      </c>
    </row>
    <row r="2955" spans="1:64" x14ac:dyDescent="0.3">
      <c r="A2955" t="str">
        <f>"201975B0000"</f>
        <v>201975B0000</v>
      </c>
      <c r="B2955" t="str">
        <f>"201975B00003"</f>
        <v>201975B00003</v>
      </c>
      <c r="C2955" t="str">
        <f t="shared" si="206"/>
        <v>20</v>
      </c>
      <c r="D2955" t="s">
        <v>81</v>
      </c>
      <c r="E2955" t="str">
        <f>"457"</f>
        <v>457</v>
      </c>
      <c r="F2955" t="s">
        <v>3166</v>
      </c>
      <c r="G2955" t="str">
        <f>"1975"</f>
        <v>1975</v>
      </c>
      <c r="H2955" t="str">
        <f>"0000"</f>
        <v>0000</v>
      </c>
      <c r="I2955" t="s">
        <v>83</v>
      </c>
      <c r="J2955">
        <v>0</v>
      </c>
      <c r="K2955">
        <v>1</v>
      </c>
      <c r="L2955">
        <v>3</v>
      </c>
      <c r="M2955">
        <v>205</v>
      </c>
      <c r="N2955">
        <v>302</v>
      </c>
      <c r="O2955">
        <v>0</v>
      </c>
      <c r="P2955">
        <v>382</v>
      </c>
      <c r="Q2955">
        <v>59</v>
      </c>
      <c r="R2955">
        <v>98</v>
      </c>
      <c r="S2955">
        <v>0</v>
      </c>
      <c r="T2955">
        <v>2</v>
      </c>
      <c r="U2955">
        <v>2</v>
      </c>
      <c r="V2955">
        <v>4</v>
      </c>
      <c r="X2955">
        <v>196</v>
      </c>
      <c r="Z2955">
        <v>9</v>
      </c>
      <c r="AF2955">
        <v>1</v>
      </c>
      <c r="AG2955">
        <v>0</v>
      </c>
      <c r="AH2955">
        <v>0</v>
      </c>
      <c r="AI2955">
        <v>0</v>
      </c>
      <c r="AU2955">
        <v>0</v>
      </c>
      <c r="AW2955">
        <v>0</v>
      </c>
      <c r="AX2955">
        <v>11</v>
      </c>
      <c r="AY2955">
        <v>382</v>
      </c>
      <c r="AZ2955">
        <v>382</v>
      </c>
      <c r="BA2955">
        <v>543</v>
      </c>
      <c r="BB2955">
        <v>44</v>
      </c>
      <c r="BD2955">
        <v>1</v>
      </c>
      <c r="BF2955" t="s">
        <v>3169</v>
      </c>
      <c r="BG2955" s="1">
        <v>44353.933865740742</v>
      </c>
      <c r="BH2955" s="1">
        <v>44353.967511574076</v>
      </c>
      <c r="BI2955" s="1">
        <v>44353.968055555553</v>
      </c>
      <c r="BJ2955" t="s">
        <v>197</v>
      </c>
      <c r="BK2955" t="s">
        <v>198</v>
      </c>
      <c r="BL2955" t="s">
        <v>87</v>
      </c>
    </row>
    <row r="2956" spans="1:64" x14ac:dyDescent="0.3">
      <c r="A2956" t="str">
        <f>"201978B0000"</f>
        <v>201978B0000</v>
      </c>
      <c r="B2956" t="str">
        <f>"201978B00003"</f>
        <v>201978B00003</v>
      </c>
      <c r="C2956" t="str">
        <f t="shared" si="206"/>
        <v>20</v>
      </c>
      <c r="D2956" t="s">
        <v>81</v>
      </c>
      <c r="E2956" t="str">
        <f t="shared" ref="E2956:E2965" si="207">"459"</f>
        <v>459</v>
      </c>
      <c r="F2956" t="s">
        <v>3170</v>
      </c>
      <c r="G2956" t="str">
        <f>"1978"</f>
        <v>1978</v>
      </c>
      <c r="H2956" t="str">
        <f>"0000"</f>
        <v>0000</v>
      </c>
      <c r="I2956" t="s">
        <v>83</v>
      </c>
      <c r="J2956">
        <v>0</v>
      </c>
      <c r="K2956">
        <v>1</v>
      </c>
      <c r="L2956">
        <v>3</v>
      </c>
      <c r="M2956">
        <v>216</v>
      </c>
      <c r="N2956">
        <v>393</v>
      </c>
      <c r="O2956">
        <v>2</v>
      </c>
      <c r="P2956">
        <v>393</v>
      </c>
      <c r="Q2956">
        <v>1</v>
      </c>
      <c r="R2956">
        <v>117</v>
      </c>
      <c r="S2956">
        <v>1</v>
      </c>
      <c r="U2956">
        <v>163</v>
      </c>
      <c r="W2956">
        <v>27</v>
      </c>
      <c r="X2956">
        <v>58</v>
      </c>
      <c r="Z2956">
        <v>1</v>
      </c>
      <c r="AF2956">
        <v>1</v>
      </c>
      <c r="AG2956">
        <v>0</v>
      </c>
      <c r="AH2956">
        <v>0</v>
      </c>
      <c r="AI2956">
        <v>1</v>
      </c>
      <c r="AW2956">
        <v>10</v>
      </c>
      <c r="AX2956">
        <v>13</v>
      </c>
      <c r="AY2956">
        <v>393</v>
      </c>
      <c r="AZ2956">
        <v>393</v>
      </c>
      <c r="BA2956">
        <v>565</v>
      </c>
      <c r="BB2956">
        <v>44</v>
      </c>
      <c r="BD2956">
        <v>1</v>
      </c>
      <c r="BF2956" t="s">
        <v>3171</v>
      </c>
      <c r="BG2956" s="1">
        <v>44354.097222222219</v>
      </c>
      <c r="BH2956" s="1">
        <v>44354.100462962961</v>
      </c>
      <c r="BI2956" s="1">
        <v>44354.101053240738</v>
      </c>
      <c r="BJ2956" t="s">
        <v>85</v>
      </c>
      <c r="BK2956" t="s">
        <v>86</v>
      </c>
      <c r="BL2956" t="s">
        <v>87</v>
      </c>
    </row>
    <row r="2957" spans="1:64" x14ac:dyDescent="0.3">
      <c r="A2957" t="str">
        <f>"201978C0100"</f>
        <v>201978C0100</v>
      </c>
      <c r="B2957" t="str">
        <f>"201978C01003"</f>
        <v>201978C01003</v>
      </c>
      <c r="C2957" t="str">
        <f t="shared" si="206"/>
        <v>20</v>
      </c>
      <c r="D2957" t="s">
        <v>81</v>
      </c>
      <c r="E2957" t="str">
        <f t="shared" si="207"/>
        <v>459</v>
      </c>
      <c r="F2957" t="s">
        <v>3170</v>
      </c>
      <c r="G2957" t="str">
        <f>"1978"</f>
        <v>1978</v>
      </c>
      <c r="H2957" t="str">
        <f>"0001"</f>
        <v>0001</v>
      </c>
      <c r="I2957" t="s">
        <v>89</v>
      </c>
      <c r="J2957">
        <v>0</v>
      </c>
      <c r="K2957">
        <v>1</v>
      </c>
      <c r="L2957">
        <v>3</v>
      </c>
      <c r="M2957">
        <v>214</v>
      </c>
      <c r="N2957">
        <v>395</v>
      </c>
      <c r="O2957">
        <v>1</v>
      </c>
      <c r="P2957">
        <v>395</v>
      </c>
      <c r="Q2957">
        <v>1</v>
      </c>
      <c r="R2957">
        <v>145</v>
      </c>
      <c r="S2957">
        <v>0</v>
      </c>
      <c r="U2957">
        <v>147</v>
      </c>
      <c r="W2957">
        <v>23</v>
      </c>
      <c r="X2957">
        <v>46</v>
      </c>
      <c r="Z2957">
        <v>1</v>
      </c>
      <c r="AF2957">
        <v>4</v>
      </c>
      <c r="AG2957">
        <v>0</v>
      </c>
      <c r="AH2957">
        <v>0</v>
      </c>
      <c r="AI2957">
        <v>1</v>
      </c>
      <c r="AW2957">
        <v>10</v>
      </c>
      <c r="AX2957">
        <v>17</v>
      </c>
      <c r="AY2957">
        <v>395</v>
      </c>
      <c r="AZ2957">
        <v>395</v>
      </c>
      <c r="BA2957">
        <v>565</v>
      </c>
      <c r="BB2957">
        <v>44</v>
      </c>
      <c r="BD2957">
        <v>1</v>
      </c>
      <c r="BF2957" t="s">
        <v>3172</v>
      </c>
      <c r="BG2957" s="1">
        <v>44354.098611111112</v>
      </c>
      <c r="BH2957" s="1">
        <v>44354.103495370371</v>
      </c>
      <c r="BI2957" s="1">
        <v>44354.103831018518</v>
      </c>
      <c r="BJ2957" t="s">
        <v>85</v>
      </c>
      <c r="BK2957" t="s">
        <v>86</v>
      </c>
      <c r="BL2957" t="s">
        <v>87</v>
      </c>
    </row>
    <row r="2958" spans="1:64" x14ac:dyDescent="0.3">
      <c r="A2958" t="str">
        <f>"201979B0000"</f>
        <v>201979B0000</v>
      </c>
      <c r="B2958" t="str">
        <f>"201979B00003"</f>
        <v>201979B00003</v>
      </c>
      <c r="C2958" t="str">
        <f t="shared" si="206"/>
        <v>20</v>
      </c>
      <c r="D2958" t="s">
        <v>81</v>
      </c>
      <c r="E2958" t="str">
        <f t="shared" si="207"/>
        <v>459</v>
      </c>
      <c r="F2958" t="s">
        <v>3170</v>
      </c>
      <c r="G2958" t="str">
        <f>"1979"</f>
        <v>1979</v>
      </c>
      <c r="H2958" t="str">
        <f t="shared" ref="H2958:H2966" si="208">"0000"</f>
        <v>0000</v>
      </c>
      <c r="I2958" t="s">
        <v>83</v>
      </c>
      <c r="J2958">
        <v>0</v>
      </c>
      <c r="K2958">
        <v>1</v>
      </c>
      <c r="L2958">
        <v>3</v>
      </c>
      <c r="M2958">
        <v>282</v>
      </c>
      <c r="N2958">
        <v>502</v>
      </c>
      <c r="O2958">
        <v>2</v>
      </c>
      <c r="P2958">
        <v>502</v>
      </c>
      <c r="Q2958">
        <v>4</v>
      </c>
      <c r="R2958">
        <v>173</v>
      </c>
      <c r="S2958">
        <v>3</v>
      </c>
      <c r="U2958">
        <v>155</v>
      </c>
      <c r="W2958">
        <v>22</v>
      </c>
      <c r="X2958">
        <v>109</v>
      </c>
      <c r="Z2958">
        <v>1</v>
      </c>
      <c r="AF2958">
        <v>2</v>
      </c>
      <c r="AG2958">
        <v>2</v>
      </c>
      <c r="AH2958">
        <v>0</v>
      </c>
      <c r="AI2958">
        <v>0</v>
      </c>
      <c r="AW2958">
        <v>15</v>
      </c>
      <c r="AX2958">
        <v>17</v>
      </c>
      <c r="AY2958">
        <v>502</v>
      </c>
      <c r="AZ2958">
        <v>503</v>
      </c>
      <c r="BA2958">
        <v>740</v>
      </c>
      <c r="BB2958">
        <v>44</v>
      </c>
      <c r="BD2958">
        <v>1</v>
      </c>
      <c r="BF2958" t="s">
        <v>3173</v>
      </c>
      <c r="BG2958" s="1">
        <v>44354.005208333336</v>
      </c>
      <c r="BH2958" s="1">
        <v>44354.010520833333</v>
      </c>
      <c r="BI2958" s="1">
        <v>44354.011053240742</v>
      </c>
      <c r="BJ2958" t="s">
        <v>197</v>
      </c>
      <c r="BK2958" t="s">
        <v>198</v>
      </c>
      <c r="BL2958" t="s">
        <v>87</v>
      </c>
    </row>
    <row r="2959" spans="1:64" x14ac:dyDescent="0.3">
      <c r="A2959" t="str">
        <f>"201980B0000"</f>
        <v>201980B0000</v>
      </c>
      <c r="B2959" t="str">
        <f>"201980B00003"</f>
        <v>201980B00003</v>
      </c>
      <c r="C2959" t="str">
        <f t="shared" si="206"/>
        <v>20</v>
      </c>
      <c r="D2959" t="s">
        <v>81</v>
      </c>
      <c r="E2959" t="str">
        <f t="shared" si="207"/>
        <v>459</v>
      </c>
      <c r="F2959" t="s">
        <v>3170</v>
      </c>
      <c r="G2959" t="str">
        <f>"1980"</f>
        <v>1980</v>
      </c>
      <c r="H2959" t="str">
        <f t="shared" si="208"/>
        <v>0000</v>
      </c>
      <c r="I2959" t="s">
        <v>83</v>
      </c>
      <c r="J2959">
        <v>0</v>
      </c>
      <c r="K2959">
        <v>1</v>
      </c>
      <c r="L2959">
        <v>3</v>
      </c>
      <c r="M2959">
        <v>134</v>
      </c>
      <c r="N2959">
        <v>221</v>
      </c>
      <c r="O2959">
        <v>3</v>
      </c>
      <c r="P2959">
        <v>221</v>
      </c>
      <c r="Q2959">
        <v>0</v>
      </c>
      <c r="R2959">
        <v>29</v>
      </c>
      <c r="S2959">
        <v>1</v>
      </c>
      <c r="U2959">
        <v>119</v>
      </c>
      <c r="W2959">
        <v>33</v>
      </c>
      <c r="X2959">
        <v>34</v>
      </c>
      <c r="Z2959">
        <v>0</v>
      </c>
      <c r="AF2959">
        <v>0</v>
      </c>
      <c r="AG2959">
        <v>0</v>
      </c>
      <c r="AH2959">
        <v>0</v>
      </c>
      <c r="AI2959">
        <v>0</v>
      </c>
      <c r="AW2959">
        <v>0</v>
      </c>
      <c r="AX2959">
        <v>5</v>
      </c>
      <c r="AY2959" t="s">
        <v>95</v>
      </c>
      <c r="AZ2959">
        <v>221</v>
      </c>
      <c r="BA2959">
        <v>311</v>
      </c>
      <c r="BB2959">
        <v>44</v>
      </c>
      <c r="BD2959">
        <v>1</v>
      </c>
      <c r="BF2959" t="s">
        <v>3174</v>
      </c>
      <c r="BG2959" s="1">
        <v>44353.905358796299</v>
      </c>
      <c r="BH2959" s="1">
        <v>44354.240358796298</v>
      </c>
      <c r="BI2959" s="1">
        <v>44354.240914351853</v>
      </c>
      <c r="BJ2959" t="s">
        <v>197</v>
      </c>
      <c r="BK2959" t="s">
        <v>198</v>
      </c>
      <c r="BL2959" t="s">
        <v>87</v>
      </c>
    </row>
    <row r="2960" spans="1:64" x14ac:dyDescent="0.3">
      <c r="A2960" t="str">
        <f>"201981B0000"</f>
        <v>201981B0000</v>
      </c>
      <c r="B2960" t="str">
        <f>"201981B00003"</f>
        <v>201981B00003</v>
      </c>
      <c r="C2960" t="str">
        <f t="shared" si="206"/>
        <v>20</v>
      </c>
      <c r="D2960" t="s">
        <v>81</v>
      </c>
      <c r="E2960" t="str">
        <f t="shared" si="207"/>
        <v>459</v>
      </c>
      <c r="F2960" t="s">
        <v>3170</v>
      </c>
      <c r="G2960" t="str">
        <f>"1981"</f>
        <v>1981</v>
      </c>
      <c r="H2960" t="str">
        <f t="shared" si="208"/>
        <v>0000</v>
      </c>
      <c r="I2960" t="s">
        <v>83</v>
      </c>
      <c r="J2960">
        <v>0</v>
      </c>
      <c r="K2960">
        <v>1</v>
      </c>
      <c r="L2960">
        <v>3</v>
      </c>
      <c r="M2960">
        <v>108</v>
      </c>
      <c r="N2960">
        <v>135</v>
      </c>
      <c r="O2960">
        <v>2</v>
      </c>
      <c r="P2960">
        <v>135</v>
      </c>
      <c r="Q2960">
        <v>3</v>
      </c>
      <c r="R2960">
        <v>26</v>
      </c>
      <c r="S2960">
        <v>3</v>
      </c>
      <c r="U2960">
        <v>29</v>
      </c>
      <c r="W2960">
        <v>25</v>
      </c>
      <c r="X2960">
        <v>46</v>
      </c>
      <c r="Z2960">
        <v>1</v>
      </c>
      <c r="AF2960">
        <v>0</v>
      </c>
      <c r="AG2960">
        <v>0</v>
      </c>
      <c r="AH2960">
        <v>0</v>
      </c>
      <c r="AI2960">
        <v>0</v>
      </c>
      <c r="AW2960">
        <v>0</v>
      </c>
      <c r="AX2960">
        <v>2</v>
      </c>
      <c r="AY2960">
        <v>135</v>
      </c>
      <c r="AZ2960">
        <v>135</v>
      </c>
      <c r="BA2960">
        <v>199</v>
      </c>
      <c r="BB2960">
        <v>44</v>
      </c>
      <c r="BD2960">
        <v>1</v>
      </c>
      <c r="BF2960" t="s">
        <v>3175</v>
      </c>
      <c r="BG2960" s="1">
        <v>44354.097222222219</v>
      </c>
      <c r="BH2960" s="1">
        <v>44354.101597222223</v>
      </c>
      <c r="BI2960" s="1">
        <v>44354.102094907408</v>
      </c>
      <c r="BJ2960" t="s">
        <v>85</v>
      </c>
      <c r="BK2960" t="s">
        <v>86</v>
      </c>
      <c r="BL2960" t="s">
        <v>87</v>
      </c>
    </row>
    <row r="2961" spans="1:64" x14ac:dyDescent="0.3">
      <c r="A2961" t="str">
        <f>"201982B0000"</f>
        <v>201982B0000</v>
      </c>
      <c r="B2961" t="str">
        <f>"201982B00003"</f>
        <v>201982B00003</v>
      </c>
      <c r="C2961" t="str">
        <f t="shared" si="206"/>
        <v>20</v>
      </c>
      <c r="D2961" t="s">
        <v>81</v>
      </c>
      <c r="E2961" t="str">
        <f t="shared" si="207"/>
        <v>459</v>
      </c>
      <c r="F2961" t="s">
        <v>3170</v>
      </c>
      <c r="G2961" t="str">
        <f>"1982"</f>
        <v>1982</v>
      </c>
      <c r="H2961" t="str">
        <f t="shared" si="208"/>
        <v>0000</v>
      </c>
      <c r="I2961" t="s">
        <v>83</v>
      </c>
      <c r="J2961">
        <v>0</v>
      </c>
      <c r="K2961">
        <v>1</v>
      </c>
      <c r="L2961">
        <v>3</v>
      </c>
      <c r="M2961">
        <v>145</v>
      </c>
      <c r="N2961">
        <v>199</v>
      </c>
      <c r="O2961">
        <v>1</v>
      </c>
      <c r="P2961">
        <v>199</v>
      </c>
      <c r="Q2961">
        <v>1</v>
      </c>
      <c r="R2961">
        <v>35</v>
      </c>
      <c r="S2961">
        <v>4</v>
      </c>
      <c r="U2961">
        <v>104</v>
      </c>
      <c r="W2961">
        <v>22</v>
      </c>
      <c r="X2961">
        <v>25</v>
      </c>
      <c r="Z2961">
        <v>2</v>
      </c>
      <c r="AF2961">
        <v>0</v>
      </c>
      <c r="AG2961">
        <v>0</v>
      </c>
      <c r="AH2961">
        <v>0</v>
      </c>
      <c r="AI2961">
        <v>0</v>
      </c>
      <c r="AW2961">
        <v>0</v>
      </c>
      <c r="AX2961">
        <v>6</v>
      </c>
      <c r="AY2961">
        <v>199</v>
      </c>
      <c r="AZ2961">
        <v>199</v>
      </c>
      <c r="BA2961">
        <v>300</v>
      </c>
      <c r="BB2961">
        <v>44</v>
      </c>
      <c r="BD2961">
        <v>1</v>
      </c>
      <c r="BF2961" t="s">
        <v>3176</v>
      </c>
      <c r="BG2961" s="1">
        <v>44353.95653935185</v>
      </c>
      <c r="BH2961" s="1">
        <v>44354.24077546296</v>
      </c>
      <c r="BI2961" s="1">
        <v>44354.241400462961</v>
      </c>
      <c r="BJ2961" t="s">
        <v>197</v>
      </c>
      <c r="BK2961" t="s">
        <v>198</v>
      </c>
      <c r="BL2961" t="s">
        <v>87</v>
      </c>
    </row>
    <row r="2962" spans="1:64" x14ac:dyDescent="0.3">
      <c r="A2962" t="str">
        <f>"201983B0000"</f>
        <v>201983B0000</v>
      </c>
      <c r="B2962" t="str">
        <f>"201983B00003"</f>
        <v>201983B00003</v>
      </c>
      <c r="C2962" t="str">
        <f t="shared" si="206"/>
        <v>20</v>
      </c>
      <c r="D2962" t="s">
        <v>81</v>
      </c>
      <c r="E2962" t="str">
        <f t="shared" si="207"/>
        <v>459</v>
      </c>
      <c r="F2962" t="s">
        <v>3170</v>
      </c>
      <c r="G2962" t="str">
        <f>"1983"</f>
        <v>1983</v>
      </c>
      <c r="H2962" t="str">
        <f t="shared" si="208"/>
        <v>0000</v>
      </c>
      <c r="I2962" t="s">
        <v>83</v>
      </c>
      <c r="J2962">
        <v>0</v>
      </c>
      <c r="K2962">
        <v>1</v>
      </c>
      <c r="L2962">
        <v>3</v>
      </c>
      <c r="M2962">
        <v>91</v>
      </c>
      <c r="N2962">
        <v>151</v>
      </c>
      <c r="O2962">
        <v>0</v>
      </c>
      <c r="P2962">
        <v>151</v>
      </c>
      <c r="Q2962">
        <v>1</v>
      </c>
      <c r="R2962">
        <v>30</v>
      </c>
      <c r="S2962">
        <v>2</v>
      </c>
      <c r="U2962">
        <v>66</v>
      </c>
      <c r="W2962">
        <v>12</v>
      </c>
      <c r="X2962">
        <v>35</v>
      </c>
      <c r="Z2962">
        <v>0</v>
      </c>
      <c r="AF2962">
        <v>1</v>
      </c>
      <c r="AG2962">
        <v>0</v>
      </c>
      <c r="AH2962">
        <v>0</v>
      </c>
      <c r="AI2962">
        <v>0</v>
      </c>
      <c r="AW2962">
        <v>0</v>
      </c>
      <c r="AX2962">
        <v>4</v>
      </c>
      <c r="AY2962">
        <v>151</v>
      </c>
      <c r="AZ2962">
        <v>151</v>
      </c>
      <c r="BA2962">
        <v>198</v>
      </c>
      <c r="BB2962">
        <v>44</v>
      </c>
      <c r="BD2962">
        <v>1</v>
      </c>
      <c r="BF2962" t="s">
        <v>3177</v>
      </c>
      <c r="BG2962" s="1">
        <v>44354.109722222223</v>
      </c>
      <c r="BH2962" s="1">
        <v>44354.113437499997</v>
      </c>
      <c r="BI2962" s="1">
        <v>44354.113692129627</v>
      </c>
      <c r="BJ2962" t="s">
        <v>85</v>
      </c>
      <c r="BK2962" t="s">
        <v>86</v>
      </c>
      <c r="BL2962" t="s">
        <v>87</v>
      </c>
    </row>
    <row r="2963" spans="1:64" x14ac:dyDescent="0.3">
      <c r="A2963" t="str">
        <f>"201984B0000"</f>
        <v>201984B0000</v>
      </c>
      <c r="B2963" t="str">
        <f>"201984B00003"</f>
        <v>201984B00003</v>
      </c>
      <c r="C2963" t="str">
        <f t="shared" si="206"/>
        <v>20</v>
      </c>
      <c r="D2963" t="s">
        <v>81</v>
      </c>
      <c r="E2963" t="str">
        <f t="shared" si="207"/>
        <v>459</v>
      </c>
      <c r="F2963" t="s">
        <v>3170</v>
      </c>
      <c r="G2963" t="str">
        <f>"1984"</f>
        <v>1984</v>
      </c>
      <c r="H2963" t="str">
        <f t="shared" si="208"/>
        <v>0000</v>
      </c>
      <c r="I2963" t="s">
        <v>83</v>
      </c>
      <c r="J2963">
        <v>0</v>
      </c>
      <c r="K2963">
        <v>1</v>
      </c>
      <c r="L2963">
        <v>3</v>
      </c>
      <c r="M2963">
        <v>63</v>
      </c>
      <c r="N2963">
        <v>91</v>
      </c>
      <c r="O2963">
        <v>3</v>
      </c>
      <c r="P2963">
        <v>1</v>
      </c>
      <c r="Q2963">
        <v>0</v>
      </c>
      <c r="R2963">
        <v>11</v>
      </c>
      <c r="S2963">
        <v>3</v>
      </c>
      <c r="U2963">
        <v>51</v>
      </c>
      <c r="W2963">
        <v>5</v>
      </c>
      <c r="X2963">
        <v>17</v>
      </c>
      <c r="Z2963">
        <v>0</v>
      </c>
      <c r="AF2963">
        <v>1</v>
      </c>
      <c r="AG2963">
        <v>0</v>
      </c>
      <c r="AH2963">
        <v>0</v>
      </c>
      <c r="AI2963">
        <v>0</v>
      </c>
      <c r="AW2963">
        <v>0</v>
      </c>
      <c r="AX2963">
        <v>3</v>
      </c>
      <c r="AY2963">
        <v>91</v>
      </c>
      <c r="AZ2963">
        <v>91</v>
      </c>
      <c r="BA2963">
        <v>110</v>
      </c>
      <c r="BB2963">
        <v>44</v>
      </c>
      <c r="BD2963">
        <v>1</v>
      </c>
      <c r="BF2963" t="s">
        <v>3178</v>
      </c>
      <c r="BG2963" s="1">
        <v>44353.949236111112</v>
      </c>
      <c r="BH2963" s="1">
        <v>44354.107488425929</v>
      </c>
      <c r="BI2963" s="1">
        <v>44354.108043981483</v>
      </c>
      <c r="BJ2963" t="s">
        <v>197</v>
      </c>
      <c r="BK2963" t="s">
        <v>198</v>
      </c>
      <c r="BL2963" t="s">
        <v>87</v>
      </c>
    </row>
    <row r="2964" spans="1:64" x14ac:dyDescent="0.3">
      <c r="A2964" t="str">
        <f>"201985B0000"</f>
        <v>201985B0000</v>
      </c>
      <c r="B2964" t="str">
        <f>"201985B00003"</f>
        <v>201985B00003</v>
      </c>
      <c r="C2964" t="str">
        <f t="shared" si="206"/>
        <v>20</v>
      </c>
      <c r="D2964" t="s">
        <v>81</v>
      </c>
      <c r="E2964" t="str">
        <f t="shared" si="207"/>
        <v>459</v>
      </c>
      <c r="F2964" t="s">
        <v>3170</v>
      </c>
      <c r="G2964" t="str">
        <f>"1985"</f>
        <v>1985</v>
      </c>
      <c r="H2964" t="str">
        <f t="shared" si="208"/>
        <v>0000</v>
      </c>
      <c r="I2964" t="s">
        <v>83</v>
      </c>
      <c r="J2964">
        <v>0</v>
      </c>
      <c r="K2964">
        <v>1</v>
      </c>
      <c r="L2964">
        <v>3</v>
      </c>
      <c r="M2964">
        <v>95</v>
      </c>
      <c r="N2964">
        <v>165</v>
      </c>
      <c r="O2964">
        <v>3</v>
      </c>
      <c r="P2964">
        <v>165</v>
      </c>
      <c r="Q2964">
        <v>0</v>
      </c>
      <c r="R2964">
        <v>42</v>
      </c>
      <c r="S2964">
        <v>2</v>
      </c>
      <c r="U2964">
        <v>26</v>
      </c>
      <c r="W2964">
        <v>9</v>
      </c>
      <c r="X2964">
        <v>73</v>
      </c>
      <c r="Z2964">
        <v>1</v>
      </c>
      <c r="AF2964">
        <v>0</v>
      </c>
      <c r="AG2964">
        <v>0</v>
      </c>
      <c r="AH2964">
        <v>0</v>
      </c>
      <c r="AI2964">
        <v>1</v>
      </c>
      <c r="AW2964">
        <v>2</v>
      </c>
      <c r="AX2964">
        <v>9</v>
      </c>
      <c r="AY2964">
        <v>165</v>
      </c>
      <c r="AZ2964">
        <v>165</v>
      </c>
      <c r="BA2964">
        <v>216</v>
      </c>
      <c r="BB2964">
        <v>44</v>
      </c>
      <c r="BD2964">
        <v>1</v>
      </c>
      <c r="BF2964" t="s">
        <v>3179</v>
      </c>
      <c r="BG2964" s="1">
        <v>44353.922534722224</v>
      </c>
      <c r="BH2964" s="1">
        <v>44354.107476851852</v>
      </c>
      <c r="BI2964" s="1">
        <v>44354.108078703706</v>
      </c>
      <c r="BJ2964" t="s">
        <v>197</v>
      </c>
      <c r="BK2964" t="s">
        <v>198</v>
      </c>
      <c r="BL2964" t="s">
        <v>87</v>
      </c>
    </row>
    <row r="2965" spans="1:64" x14ac:dyDescent="0.3">
      <c r="A2965" t="str">
        <f>"201986B0000"</f>
        <v>201986B0000</v>
      </c>
      <c r="B2965" t="str">
        <f>"201986B00003"</f>
        <v>201986B00003</v>
      </c>
      <c r="C2965" t="str">
        <f t="shared" si="206"/>
        <v>20</v>
      </c>
      <c r="D2965" t="s">
        <v>81</v>
      </c>
      <c r="E2965" t="str">
        <f t="shared" si="207"/>
        <v>459</v>
      </c>
      <c r="F2965" t="s">
        <v>3170</v>
      </c>
      <c r="G2965" t="str">
        <f>"1986"</f>
        <v>1986</v>
      </c>
      <c r="H2965" t="str">
        <f t="shared" si="208"/>
        <v>0000</v>
      </c>
      <c r="I2965" t="s">
        <v>83</v>
      </c>
      <c r="J2965">
        <v>0</v>
      </c>
      <c r="K2965">
        <v>1</v>
      </c>
      <c r="L2965">
        <v>3</v>
      </c>
      <c r="M2965">
        <v>131</v>
      </c>
      <c r="N2965">
        <v>207</v>
      </c>
      <c r="O2965">
        <v>1</v>
      </c>
      <c r="P2965">
        <v>0</v>
      </c>
      <c r="Q2965">
        <v>0</v>
      </c>
      <c r="R2965">
        <v>15</v>
      </c>
      <c r="S2965">
        <v>2</v>
      </c>
      <c r="U2965">
        <v>116</v>
      </c>
      <c r="W2965">
        <v>44</v>
      </c>
      <c r="X2965">
        <v>23</v>
      </c>
      <c r="Z2965">
        <v>1</v>
      </c>
      <c r="AF2965">
        <v>0</v>
      </c>
      <c r="AG2965">
        <v>0</v>
      </c>
      <c r="AH2965">
        <v>0</v>
      </c>
      <c r="AI2965">
        <v>0</v>
      </c>
      <c r="AW2965">
        <v>0</v>
      </c>
      <c r="AX2965">
        <v>6</v>
      </c>
      <c r="AY2965">
        <v>207</v>
      </c>
      <c r="AZ2965">
        <v>207</v>
      </c>
      <c r="BA2965">
        <v>294</v>
      </c>
      <c r="BB2965">
        <v>44</v>
      </c>
      <c r="BD2965">
        <v>1</v>
      </c>
      <c r="BF2965" t="s">
        <v>3180</v>
      </c>
      <c r="BG2965" s="1">
        <v>44354.098611111112</v>
      </c>
      <c r="BH2965" s="1">
        <v>44354.102430555555</v>
      </c>
      <c r="BI2965" s="1">
        <v>44354.103402777779</v>
      </c>
      <c r="BJ2965" t="s">
        <v>85</v>
      </c>
      <c r="BK2965" t="s">
        <v>86</v>
      </c>
      <c r="BL2965" t="s">
        <v>87</v>
      </c>
    </row>
    <row r="2966" spans="1:64" x14ac:dyDescent="0.3">
      <c r="A2966" t="str">
        <f>"201995B0000"</f>
        <v>201995B0000</v>
      </c>
      <c r="B2966" t="str">
        <f>"201995B00003"</f>
        <v>201995B00003</v>
      </c>
      <c r="C2966" t="str">
        <f t="shared" si="206"/>
        <v>20</v>
      </c>
      <c r="D2966" t="s">
        <v>81</v>
      </c>
      <c r="E2966" t="str">
        <f t="shared" ref="E2966:E2973" si="209">"463"</f>
        <v>463</v>
      </c>
      <c r="F2966" t="s">
        <v>3181</v>
      </c>
      <c r="G2966" t="str">
        <f>"1995"</f>
        <v>1995</v>
      </c>
      <c r="H2966" t="str">
        <f t="shared" si="208"/>
        <v>0000</v>
      </c>
      <c r="I2966" t="s">
        <v>83</v>
      </c>
      <c r="J2966">
        <v>0</v>
      </c>
      <c r="K2966">
        <v>1</v>
      </c>
      <c r="L2966">
        <v>3</v>
      </c>
      <c r="M2966">
        <v>248</v>
      </c>
      <c r="N2966">
        <v>390</v>
      </c>
      <c r="O2966">
        <v>0</v>
      </c>
      <c r="P2966">
        <v>390</v>
      </c>
      <c r="Q2966">
        <v>36</v>
      </c>
      <c r="R2966">
        <v>10</v>
      </c>
      <c r="S2966">
        <v>2</v>
      </c>
      <c r="U2966">
        <v>47</v>
      </c>
      <c r="V2966">
        <v>0</v>
      </c>
      <c r="X2966">
        <v>39</v>
      </c>
      <c r="Y2966">
        <v>87</v>
      </c>
      <c r="Z2966">
        <v>0</v>
      </c>
      <c r="AA2966">
        <v>0</v>
      </c>
      <c r="AB2966">
        <v>154</v>
      </c>
      <c r="AK2966">
        <v>0</v>
      </c>
      <c r="AO2966">
        <v>0</v>
      </c>
      <c r="AP2966">
        <v>0</v>
      </c>
      <c r="AR2966">
        <v>0</v>
      </c>
      <c r="AW2966">
        <v>0</v>
      </c>
      <c r="AX2966">
        <v>15</v>
      </c>
      <c r="AY2966">
        <v>390</v>
      </c>
      <c r="AZ2966">
        <v>390</v>
      </c>
      <c r="BA2966">
        <v>594</v>
      </c>
      <c r="BB2966">
        <v>44</v>
      </c>
      <c r="BD2966">
        <v>1</v>
      </c>
      <c r="BF2966" t="s">
        <v>3182</v>
      </c>
      <c r="BG2966" s="1">
        <v>44353.983553240738</v>
      </c>
      <c r="BH2966" s="1">
        <v>44353.985196759262</v>
      </c>
      <c r="BI2966" s="1">
        <v>44353.985798611109</v>
      </c>
      <c r="BJ2966" t="s">
        <v>197</v>
      </c>
      <c r="BK2966" t="s">
        <v>198</v>
      </c>
      <c r="BL2966" t="s">
        <v>87</v>
      </c>
    </row>
    <row r="2967" spans="1:64" x14ac:dyDescent="0.3">
      <c r="A2967" t="str">
        <f>"201995C0100"</f>
        <v>201995C0100</v>
      </c>
      <c r="B2967" t="str">
        <f>"201995C01003"</f>
        <v>201995C01003</v>
      </c>
      <c r="C2967" t="str">
        <f t="shared" si="206"/>
        <v>20</v>
      </c>
      <c r="D2967" t="s">
        <v>81</v>
      </c>
      <c r="E2967" t="str">
        <f t="shared" si="209"/>
        <v>463</v>
      </c>
      <c r="F2967" t="s">
        <v>3181</v>
      </c>
      <c r="G2967" t="str">
        <f>"1995"</f>
        <v>1995</v>
      </c>
      <c r="H2967" t="str">
        <f>"0001"</f>
        <v>0001</v>
      </c>
      <c r="I2967" t="s">
        <v>89</v>
      </c>
      <c r="J2967">
        <v>0</v>
      </c>
      <c r="K2967">
        <v>1</v>
      </c>
      <c r="L2967">
        <v>3</v>
      </c>
      <c r="M2967">
        <v>219</v>
      </c>
      <c r="N2967">
        <v>419</v>
      </c>
      <c r="O2967">
        <v>0</v>
      </c>
      <c r="P2967">
        <v>419</v>
      </c>
      <c r="Q2967">
        <v>39</v>
      </c>
      <c r="R2967">
        <v>3</v>
      </c>
      <c r="S2967">
        <v>1</v>
      </c>
      <c r="U2967">
        <v>49</v>
      </c>
      <c r="V2967">
        <v>6</v>
      </c>
      <c r="X2967">
        <v>49</v>
      </c>
      <c r="Y2967">
        <v>118</v>
      </c>
      <c r="Z2967">
        <v>1</v>
      </c>
      <c r="AA2967">
        <v>1</v>
      </c>
      <c r="AB2967">
        <v>135</v>
      </c>
      <c r="AK2967">
        <v>0</v>
      </c>
      <c r="AO2967">
        <v>0</v>
      </c>
      <c r="AP2967">
        <v>1</v>
      </c>
      <c r="AR2967">
        <v>0</v>
      </c>
      <c r="AW2967">
        <v>2</v>
      </c>
      <c r="AX2967">
        <v>14</v>
      </c>
      <c r="AY2967">
        <v>419</v>
      </c>
      <c r="AZ2967">
        <v>419</v>
      </c>
      <c r="BA2967">
        <v>594</v>
      </c>
      <c r="BB2967">
        <v>44</v>
      </c>
      <c r="BD2967">
        <v>1</v>
      </c>
      <c r="BF2967" t="s">
        <v>3183</v>
      </c>
      <c r="BG2967" s="1">
        <v>44353.973067129627</v>
      </c>
      <c r="BH2967" s="1">
        <v>44353.975138888891</v>
      </c>
      <c r="BI2967" s="1">
        <v>44353.975787037038</v>
      </c>
      <c r="BJ2967" t="s">
        <v>197</v>
      </c>
      <c r="BK2967" t="s">
        <v>198</v>
      </c>
      <c r="BL2967" t="s">
        <v>87</v>
      </c>
    </row>
    <row r="2968" spans="1:64" x14ac:dyDescent="0.3">
      <c r="A2968" t="str">
        <f>"201995C0200"</f>
        <v>201995C0200</v>
      </c>
      <c r="B2968" t="str">
        <f>"201995C02003"</f>
        <v>201995C02003</v>
      </c>
      <c r="C2968" t="str">
        <f t="shared" si="206"/>
        <v>20</v>
      </c>
      <c r="D2968" t="s">
        <v>81</v>
      </c>
      <c r="E2968" t="str">
        <f t="shared" si="209"/>
        <v>463</v>
      </c>
      <c r="F2968" t="s">
        <v>3181</v>
      </c>
      <c r="G2968" t="str">
        <f>"1995"</f>
        <v>1995</v>
      </c>
      <c r="H2968" t="str">
        <f>"0002"</f>
        <v>0002</v>
      </c>
      <c r="I2968" t="s">
        <v>89</v>
      </c>
      <c r="J2968">
        <v>0</v>
      </c>
      <c r="K2968">
        <v>1</v>
      </c>
      <c r="L2968">
        <v>3</v>
      </c>
      <c r="M2968">
        <v>235</v>
      </c>
      <c r="N2968">
        <v>403</v>
      </c>
      <c r="O2968">
        <v>3</v>
      </c>
      <c r="P2968">
        <v>403</v>
      </c>
      <c r="Q2968">
        <v>47</v>
      </c>
      <c r="R2968">
        <v>3</v>
      </c>
      <c r="S2968">
        <v>0</v>
      </c>
      <c r="U2968">
        <v>53</v>
      </c>
      <c r="V2968">
        <v>0</v>
      </c>
      <c r="X2968">
        <v>31</v>
      </c>
      <c r="Y2968">
        <v>109</v>
      </c>
      <c r="Z2968">
        <v>0</v>
      </c>
      <c r="AA2968">
        <v>1</v>
      </c>
      <c r="AB2968">
        <v>147</v>
      </c>
      <c r="AK2968">
        <v>0</v>
      </c>
      <c r="AO2968">
        <v>0</v>
      </c>
      <c r="AP2968">
        <v>0</v>
      </c>
      <c r="AR2968">
        <v>0</v>
      </c>
      <c r="AW2968">
        <v>0</v>
      </c>
      <c r="AX2968">
        <v>12</v>
      </c>
      <c r="AY2968">
        <v>403</v>
      </c>
      <c r="AZ2968">
        <v>403</v>
      </c>
      <c r="BA2968">
        <v>594</v>
      </c>
      <c r="BB2968">
        <v>44</v>
      </c>
      <c r="BD2968">
        <v>1</v>
      </c>
      <c r="BF2968" t="s">
        <v>3184</v>
      </c>
      <c r="BG2968" s="1">
        <v>44353.977141203701</v>
      </c>
      <c r="BH2968" s="1">
        <v>44353.978275462963</v>
      </c>
      <c r="BI2968" s="1">
        <v>44353.978831018518</v>
      </c>
      <c r="BJ2968" t="s">
        <v>197</v>
      </c>
      <c r="BK2968" t="s">
        <v>198</v>
      </c>
      <c r="BL2968" t="s">
        <v>87</v>
      </c>
    </row>
    <row r="2969" spans="1:64" x14ac:dyDescent="0.3">
      <c r="A2969" t="str">
        <f>"201995E0100"</f>
        <v>201995E0100</v>
      </c>
      <c r="B2969" t="str">
        <f>"201995E01003"</f>
        <v>201995E01003</v>
      </c>
      <c r="C2969" t="str">
        <f t="shared" si="206"/>
        <v>20</v>
      </c>
      <c r="D2969" t="s">
        <v>81</v>
      </c>
      <c r="E2969" t="str">
        <f t="shared" si="209"/>
        <v>463</v>
      </c>
      <c r="F2969" t="s">
        <v>3181</v>
      </c>
      <c r="G2969" t="str">
        <f>"1995"</f>
        <v>1995</v>
      </c>
      <c r="H2969" t="str">
        <f>"0001"</f>
        <v>0001</v>
      </c>
      <c r="I2969" t="s">
        <v>122</v>
      </c>
      <c r="J2969">
        <v>0</v>
      </c>
      <c r="K2969">
        <v>1</v>
      </c>
      <c r="L2969">
        <v>3</v>
      </c>
      <c r="M2969">
        <v>112</v>
      </c>
      <c r="N2969">
        <v>110</v>
      </c>
      <c r="O2969">
        <v>4</v>
      </c>
      <c r="P2969">
        <v>110</v>
      </c>
      <c r="Q2969">
        <v>2</v>
      </c>
      <c r="R2969">
        <v>1</v>
      </c>
      <c r="S2969">
        <v>0</v>
      </c>
      <c r="U2969">
        <v>19</v>
      </c>
      <c r="V2969">
        <v>0</v>
      </c>
      <c r="X2969">
        <v>13</v>
      </c>
      <c r="Y2969">
        <v>14</v>
      </c>
      <c r="Z2969">
        <v>1</v>
      </c>
      <c r="AA2969">
        <v>1</v>
      </c>
      <c r="AB2969">
        <v>57</v>
      </c>
      <c r="AK2969">
        <v>0</v>
      </c>
      <c r="AO2969">
        <v>0</v>
      </c>
      <c r="AP2969">
        <v>0</v>
      </c>
      <c r="AR2969">
        <v>0</v>
      </c>
      <c r="AW2969">
        <v>0</v>
      </c>
      <c r="AX2969">
        <v>2</v>
      </c>
      <c r="AY2969">
        <v>110</v>
      </c>
      <c r="AZ2969">
        <v>110</v>
      </c>
      <c r="BA2969">
        <v>178</v>
      </c>
      <c r="BB2969">
        <v>44</v>
      </c>
      <c r="BD2969">
        <v>1</v>
      </c>
      <c r="BF2969" t="s">
        <v>3185</v>
      </c>
      <c r="BG2969" s="1">
        <v>44353.93037037037</v>
      </c>
      <c r="BH2969" s="1">
        <v>44353.93178240741</v>
      </c>
      <c r="BI2969" s="1">
        <v>44353.932268518518</v>
      </c>
      <c r="BJ2969" t="s">
        <v>197</v>
      </c>
      <c r="BK2969" t="s">
        <v>198</v>
      </c>
      <c r="BL2969" t="s">
        <v>87</v>
      </c>
    </row>
    <row r="2970" spans="1:64" x14ac:dyDescent="0.3">
      <c r="A2970" t="str">
        <f>"201996B0000"</f>
        <v>201996B0000</v>
      </c>
      <c r="B2970" t="str">
        <f>"201996B00003"</f>
        <v>201996B00003</v>
      </c>
      <c r="C2970" t="str">
        <f t="shared" si="206"/>
        <v>20</v>
      </c>
      <c r="D2970" t="s">
        <v>81</v>
      </c>
      <c r="E2970" t="str">
        <f t="shared" si="209"/>
        <v>463</v>
      </c>
      <c r="F2970" t="s">
        <v>3181</v>
      </c>
      <c r="G2970" t="str">
        <f>"1996"</f>
        <v>1996</v>
      </c>
      <c r="H2970" t="str">
        <f>"0000"</f>
        <v>0000</v>
      </c>
      <c r="I2970" t="s">
        <v>83</v>
      </c>
      <c r="J2970">
        <v>0</v>
      </c>
      <c r="K2970">
        <v>1</v>
      </c>
      <c r="L2970">
        <v>3</v>
      </c>
      <c r="M2970">
        <v>234</v>
      </c>
      <c r="N2970">
        <v>210</v>
      </c>
      <c r="O2970">
        <v>2</v>
      </c>
      <c r="P2970">
        <v>210</v>
      </c>
      <c r="Q2970">
        <v>13</v>
      </c>
      <c r="R2970">
        <v>5</v>
      </c>
      <c r="S2970" t="s">
        <v>95</v>
      </c>
      <c r="U2970">
        <v>40</v>
      </c>
      <c r="V2970">
        <v>3</v>
      </c>
      <c r="X2970">
        <v>33</v>
      </c>
      <c r="Y2970">
        <v>49</v>
      </c>
      <c r="Z2970">
        <v>1</v>
      </c>
      <c r="AA2970">
        <v>1</v>
      </c>
      <c r="AB2970">
        <v>56</v>
      </c>
      <c r="AK2970">
        <v>0</v>
      </c>
      <c r="AO2970">
        <v>0</v>
      </c>
      <c r="AP2970">
        <v>0</v>
      </c>
      <c r="AR2970">
        <v>0</v>
      </c>
      <c r="AW2970">
        <v>0</v>
      </c>
      <c r="AX2970">
        <v>9</v>
      </c>
      <c r="AY2970">
        <v>210</v>
      </c>
      <c r="AZ2970">
        <v>210</v>
      </c>
      <c r="BA2970">
        <v>400</v>
      </c>
      <c r="BB2970">
        <v>44</v>
      </c>
      <c r="BC2970" t="s">
        <v>96</v>
      </c>
      <c r="BD2970">
        <v>1</v>
      </c>
      <c r="BF2970" t="s">
        <v>3186</v>
      </c>
      <c r="BG2970" s="1">
        <v>44353.860486111109</v>
      </c>
      <c r="BH2970" s="1">
        <v>44353.862696759257</v>
      </c>
      <c r="BI2970" s="1">
        <v>44353.863738425927</v>
      </c>
      <c r="BJ2970" t="s">
        <v>197</v>
      </c>
      <c r="BK2970" t="s">
        <v>198</v>
      </c>
      <c r="BL2970" t="s">
        <v>87</v>
      </c>
    </row>
    <row r="2971" spans="1:64" x14ac:dyDescent="0.3">
      <c r="A2971" t="str">
        <f>"201997B0000"</f>
        <v>201997B0000</v>
      </c>
      <c r="B2971" t="str">
        <f>"201997B00003"</f>
        <v>201997B00003</v>
      </c>
      <c r="C2971" t="str">
        <f t="shared" si="206"/>
        <v>20</v>
      </c>
      <c r="D2971" t="s">
        <v>81</v>
      </c>
      <c r="E2971" t="str">
        <f t="shared" si="209"/>
        <v>463</v>
      </c>
      <c r="F2971" t="s">
        <v>3181</v>
      </c>
      <c r="G2971" t="str">
        <f>"1997"</f>
        <v>1997</v>
      </c>
      <c r="H2971" t="str">
        <f>"0000"</f>
        <v>0000</v>
      </c>
      <c r="I2971" t="s">
        <v>83</v>
      </c>
      <c r="J2971">
        <v>0</v>
      </c>
      <c r="K2971">
        <v>1</v>
      </c>
      <c r="L2971">
        <v>3</v>
      </c>
      <c r="BA2971">
        <v>388</v>
      </c>
      <c r="BB2971">
        <v>44</v>
      </c>
      <c r="BC2971" t="s">
        <v>161</v>
      </c>
      <c r="BD2971">
        <v>0</v>
      </c>
      <c r="BF2971" t="s">
        <v>3187</v>
      </c>
      <c r="BG2971" s="1">
        <v>44354.686805555553</v>
      </c>
      <c r="BH2971" s="1">
        <v>44354.689803240741</v>
      </c>
      <c r="BI2971" s="1">
        <v>44354.689803240741</v>
      </c>
      <c r="BJ2971" t="s">
        <v>85</v>
      </c>
      <c r="BK2971" t="s">
        <v>86</v>
      </c>
      <c r="BL2971" t="s">
        <v>87</v>
      </c>
    </row>
    <row r="2972" spans="1:64" x14ac:dyDescent="0.3">
      <c r="A2972" t="str">
        <f>"201998B0000"</f>
        <v>201998B0000</v>
      </c>
      <c r="B2972" t="str">
        <f>"201998B00003"</f>
        <v>201998B00003</v>
      </c>
      <c r="C2972" t="str">
        <f t="shared" si="206"/>
        <v>20</v>
      </c>
      <c r="D2972" t="s">
        <v>81</v>
      </c>
      <c r="E2972" t="str">
        <f t="shared" si="209"/>
        <v>463</v>
      </c>
      <c r="F2972" t="s">
        <v>3181</v>
      </c>
      <c r="G2972" t="str">
        <f>"1998"</f>
        <v>1998</v>
      </c>
      <c r="H2972" t="str">
        <f>"0000"</f>
        <v>0000</v>
      </c>
      <c r="I2972" t="s">
        <v>83</v>
      </c>
      <c r="J2972">
        <v>0</v>
      </c>
      <c r="K2972">
        <v>1</v>
      </c>
      <c r="L2972">
        <v>3</v>
      </c>
      <c r="BA2972">
        <v>587</v>
      </c>
      <c r="BB2972">
        <v>44</v>
      </c>
      <c r="BC2972" t="s">
        <v>161</v>
      </c>
      <c r="BD2972">
        <v>0</v>
      </c>
      <c r="BF2972" t="s">
        <v>3188</v>
      </c>
      <c r="BG2972" s="1">
        <v>44354.686805555553</v>
      </c>
      <c r="BH2972" s="1">
        <v>44354.690104166664</v>
      </c>
      <c r="BI2972" s="1">
        <v>44354.690104166664</v>
      </c>
      <c r="BJ2972" t="s">
        <v>85</v>
      </c>
      <c r="BK2972" t="s">
        <v>86</v>
      </c>
      <c r="BL2972" t="s">
        <v>87</v>
      </c>
    </row>
    <row r="2973" spans="1:64" x14ac:dyDescent="0.3">
      <c r="A2973" t="str">
        <f>"201998E0100"</f>
        <v>201998E0100</v>
      </c>
      <c r="B2973" t="str">
        <f>"201998E01003"</f>
        <v>201998E01003</v>
      </c>
      <c r="C2973" t="str">
        <f t="shared" si="206"/>
        <v>20</v>
      </c>
      <c r="D2973" t="s">
        <v>81</v>
      </c>
      <c r="E2973" t="str">
        <f t="shared" si="209"/>
        <v>463</v>
      </c>
      <c r="F2973" t="s">
        <v>3181</v>
      </c>
      <c r="G2973" t="str">
        <f>"1998"</f>
        <v>1998</v>
      </c>
      <c r="H2973" t="str">
        <f>"0001"</f>
        <v>0001</v>
      </c>
      <c r="I2973" t="s">
        <v>122</v>
      </c>
      <c r="J2973">
        <v>0</v>
      </c>
      <c r="K2973">
        <v>1</v>
      </c>
      <c r="L2973">
        <v>3</v>
      </c>
      <c r="BA2973">
        <v>155</v>
      </c>
      <c r="BB2973">
        <v>44</v>
      </c>
      <c r="BC2973" t="s">
        <v>161</v>
      </c>
      <c r="BD2973">
        <v>0</v>
      </c>
      <c r="BF2973" t="s">
        <v>3189</v>
      </c>
      <c r="BG2973" s="1">
        <v>44354.686805555553</v>
      </c>
      <c r="BH2973" s="1">
        <v>44354.689282407409</v>
      </c>
      <c r="BI2973" s="1">
        <v>44354.689282407409</v>
      </c>
      <c r="BJ2973" t="s">
        <v>85</v>
      </c>
      <c r="BK2973" t="s">
        <v>86</v>
      </c>
      <c r="BL2973" t="s">
        <v>87</v>
      </c>
    </row>
    <row r="2974" spans="1:64" x14ac:dyDescent="0.3">
      <c r="A2974" t="str">
        <f>"202012B0000"</f>
        <v>202012B0000</v>
      </c>
      <c r="B2974" t="str">
        <f>"202012B00003"</f>
        <v>202012B00003</v>
      </c>
      <c r="C2974" t="str">
        <f t="shared" si="206"/>
        <v>20</v>
      </c>
      <c r="D2974" t="s">
        <v>81</v>
      </c>
      <c r="E2974" t="str">
        <f t="shared" ref="E2974:E2998" si="210">"468"</f>
        <v>468</v>
      </c>
      <c r="F2974" t="s">
        <v>3190</v>
      </c>
      <c r="G2974" t="str">
        <f>"2012"</f>
        <v>2012</v>
      </c>
      <c r="H2974" t="str">
        <f>"0000"</f>
        <v>0000</v>
      </c>
      <c r="I2974" t="s">
        <v>83</v>
      </c>
      <c r="J2974">
        <v>0</v>
      </c>
      <c r="K2974">
        <v>1</v>
      </c>
      <c r="L2974">
        <v>3</v>
      </c>
      <c r="M2974">
        <v>149</v>
      </c>
      <c r="N2974">
        <v>488</v>
      </c>
      <c r="O2974">
        <v>0</v>
      </c>
      <c r="P2974" t="s">
        <v>92</v>
      </c>
      <c r="Q2974">
        <v>3</v>
      </c>
      <c r="R2974">
        <v>251</v>
      </c>
      <c r="S2974">
        <v>1</v>
      </c>
      <c r="U2974">
        <v>1</v>
      </c>
      <c r="X2974">
        <v>224</v>
      </c>
      <c r="Z2974">
        <v>2</v>
      </c>
      <c r="AF2974">
        <v>1</v>
      </c>
      <c r="AG2974">
        <v>1</v>
      </c>
      <c r="AH2974">
        <v>0</v>
      </c>
      <c r="AI2974">
        <v>0</v>
      </c>
      <c r="AW2974">
        <v>0</v>
      </c>
      <c r="AX2974">
        <v>4</v>
      </c>
      <c r="AY2974">
        <v>488</v>
      </c>
      <c r="AZ2974">
        <v>488</v>
      </c>
      <c r="BA2974">
        <v>593</v>
      </c>
      <c r="BB2974">
        <v>44</v>
      </c>
      <c r="BD2974">
        <v>1</v>
      </c>
      <c r="BF2974" t="s">
        <v>3191</v>
      </c>
      <c r="BG2974" s="1">
        <v>44354.122916666667</v>
      </c>
      <c r="BH2974" s="1">
        <v>44354.12400462963</v>
      </c>
      <c r="BI2974" s="1">
        <v>44354.124293981484</v>
      </c>
      <c r="BJ2974" t="s">
        <v>85</v>
      </c>
      <c r="BK2974" t="s">
        <v>86</v>
      </c>
      <c r="BL2974" t="s">
        <v>87</v>
      </c>
    </row>
    <row r="2975" spans="1:64" x14ac:dyDescent="0.3">
      <c r="A2975" t="str">
        <f>"202012C0100"</f>
        <v>202012C0100</v>
      </c>
      <c r="B2975" t="str">
        <f>"202012C01003"</f>
        <v>202012C01003</v>
      </c>
      <c r="C2975" t="str">
        <f t="shared" si="206"/>
        <v>20</v>
      </c>
      <c r="D2975" t="s">
        <v>81</v>
      </c>
      <c r="E2975" t="str">
        <f t="shared" si="210"/>
        <v>468</v>
      </c>
      <c r="F2975" t="s">
        <v>3190</v>
      </c>
      <c r="G2975" t="str">
        <f>"2012"</f>
        <v>2012</v>
      </c>
      <c r="H2975" t="str">
        <f>"0001"</f>
        <v>0001</v>
      </c>
      <c r="I2975" t="s">
        <v>89</v>
      </c>
      <c r="J2975">
        <v>0</v>
      </c>
      <c r="K2975">
        <v>1</v>
      </c>
      <c r="L2975">
        <v>3</v>
      </c>
      <c r="M2975">
        <v>177</v>
      </c>
      <c r="N2975">
        <v>459</v>
      </c>
      <c r="O2975">
        <v>0</v>
      </c>
      <c r="P2975">
        <v>459</v>
      </c>
      <c r="Q2975">
        <v>4</v>
      </c>
      <c r="R2975">
        <v>245</v>
      </c>
      <c r="S2975">
        <v>2</v>
      </c>
      <c r="U2975">
        <v>5</v>
      </c>
      <c r="X2975">
        <v>185</v>
      </c>
      <c r="Z2975">
        <v>2</v>
      </c>
      <c r="AF2975">
        <v>2</v>
      </c>
      <c r="AG2975">
        <v>1</v>
      </c>
      <c r="AH2975">
        <v>0</v>
      </c>
      <c r="AI2975">
        <v>0</v>
      </c>
      <c r="AW2975">
        <v>0</v>
      </c>
      <c r="AX2975">
        <v>9</v>
      </c>
      <c r="AY2975">
        <v>455</v>
      </c>
      <c r="AZ2975">
        <v>455</v>
      </c>
      <c r="BA2975">
        <v>592</v>
      </c>
      <c r="BB2975">
        <v>44</v>
      </c>
      <c r="BD2975">
        <v>1</v>
      </c>
      <c r="BF2975" t="s">
        <v>3192</v>
      </c>
      <c r="BG2975" s="1">
        <v>44354.306944444441</v>
      </c>
      <c r="BH2975" s="1">
        <v>44354.321516203701</v>
      </c>
      <c r="BI2975" s="1">
        <v>44354.337002314816</v>
      </c>
      <c r="BJ2975" t="s">
        <v>85</v>
      </c>
      <c r="BK2975" t="s">
        <v>86</v>
      </c>
      <c r="BL2975" t="s">
        <v>87</v>
      </c>
    </row>
    <row r="2976" spans="1:64" x14ac:dyDescent="0.3">
      <c r="A2976" t="str">
        <f>"202013B0000"</f>
        <v>202013B0000</v>
      </c>
      <c r="B2976" t="str">
        <f>"202013B00003"</f>
        <v>202013B00003</v>
      </c>
      <c r="C2976" t="str">
        <f t="shared" si="206"/>
        <v>20</v>
      </c>
      <c r="D2976" t="s">
        <v>81</v>
      </c>
      <c r="E2976" t="str">
        <f t="shared" si="210"/>
        <v>468</v>
      </c>
      <c r="F2976" t="s">
        <v>3190</v>
      </c>
      <c r="G2976" t="str">
        <f>"2013"</f>
        <v>2013</v>
      </c>
      <c r="H2976" t="str">
        <f>"0000"</f>
        <v>0000</v>
      </c>
      <c r="I2976" t="s">
        <v>83</v>
      </c>
      <c r="J2976">
        <v>0</v>
      </c>
      <c r="K2976">
        <v>1</v>
      </c>
      <c r="L2976">
        <v>3</v>
      </c>
      <c r="M2976">
        <v>157</v>
      </c>
      <c r="N2976">
        <v>457</v>
      </c>
      <c r="O2976">
        <v>2</v>
      </c>
      <c r="P2976">
        <v>457</v>
      </c>
      <c r="Q2976">
        <v>3</v>
      </c>
      <c r="R2976">
        <v>186</v>
      </c>
      <c r="S2976">
        <v>4</v>
      </c>
      <c r="U2976">
        <v>2</v>
      </c>
      <c r="X2976">
        <v>250</v>
      </c>
      <c r="Z2976">
        <v>6</v>
      </c>
      <c r="AF2976">
        <v>1</v>
      </c>
      <c r="AG2976">
        <v>1</v>
      </c>
      <c r="AH2976">
        <v>0</v>
      </c>
      <c r="AI2976">
        <v>1</v>
      </c>
      <c r="AW2976">
        <v>0</v>
      </c>
      <c r="AX2976">
        <v>3</v>
      </c>
      <c r="AY2976">
        <v>457</v>
      </c>
      <c r="AZ2976">
        <v>457</v>
      </c>
      <c r="BA2976">
        <v>570</v>
      </c>
      <c r="BB2976">
        <v>44</v>
      </c>
      <c r="BD2976">
        <v>1</v>
      </c>
      <c r="BF2976" t="s">
        <v>3193</v>
      </c>
      <c r="BG2976" s="1">
        <v>44354.101388888892</v>
      </c>
      <c r="BH2976" s="1">
        <v>44354.102789351855</v>
      </c>
      <c r="BI2976" s="1">
        <v>44354.103692129633</v>
      </c>
      <c r="BJ2976" t="s">
        <v>85</v>
      </c>
      <c r="BK2976" t="s">
        <v>86</v>
      </c>
      <c r="BL2976" t="s">
        <v>87</v>
      </c>
    </row>
    <row r="2977" spans="1:64" x14ac:dyDescent="0.3">
      <c r="A2977" t="str">
        <f>"202013C0100"</f>
        <v>202013C0100</v>
      </c>
      <c r="B2977" t="str">
        <f>"202013C01003"</f>
        <v>202013C01003</v>
      </c>
      <c r="C2977" t="str">
        <f t="shared" si="206"/>
        <v>20</v>
      </c>
      <c r="D2977" t="s">
        <v>81</v>
      </c>
      <c r="E2977" t="str">
        <f t="shared" si="210"/>
        <v>468</v>
      </c>
      <c r="F2977" t="s">
        <v>3190</v>
      </c>
      <c r="G2977" t="str">
        <f>"2013"</f>
        <v>2013</v>
      </c>
      <c r="H2977" t="str">
        <f>"0001"</f>
        <v>0001</v>
      </c>
      <c r="I2977" t="s">
        <v>89</v>
      </c>
      <c r="J2977">
        <v>0</v>
      </c>
      <c r="K2977">
        <v>1</v>
      </c>
      <c r="L2977">
        <v>3</v>
      </c>
      <c r="M2977">
        <v>147</v>
      </c>
      <c r="N2977">
        <v>467</v>
      </c>
      <c r="O2977">
        <v>1</v>
      </c>
      <c r="P2977">
        <v>467</v>
      </c>
      <c r="Q2977">
        <v>2</v>
      </c>
      <c r="R2977">
        <v>180</v>
      </c>
      <c r="S2977">
        <v>2</v>
      </c>
      <c r="U2977">
        <v>5</v>
      </c>
      <c r="X2977">
        <v>259</v>
      </c>
      <c r="Z2977">
        <v>7</v>
      </c>
      <c r="AF2977">
        <v>1</v>
      </c>
      <c r="AG2977">
        <v>0</v>
      </c>
      <c r="AH2977">
        <v>0</v>
      </c>
      <c r="AI2977">
        <v>0</v>
      </c>
      <c r="AW2977">
        <v>0</v>
      </c>
      <c r="AX2977">
        <v>11</v>
      </c>
      <c r="AY2977">
        <v>467</v>
      </c>
      <c r="AZ2977">
        <v>467</v>
      </c>
      <c r="BA2977">
        <v>570</v>
      </c>
      <c r="BB2977">
        <v>44</v>
      </c>
      <c r="BD2977">
        <v>1</v>
      </c>
      <c r="BF2977" s="2" t="s">
        <v>3194</v>
      </c>
      <c r="BG2977" s="1">
        <v>44354.106249999997</v>
      </c>
      <c r="BH2977" s="1">
        <v>44354.108993055554</v>
      </c>
      <c r="BI2977" s="1">
        <v>44354.109317129631</v>
      </c>
      <c r="BJ2977" t="s">
        <v>85</v>
      </c>
      <c r="BK2977" t="s">
        <v>86</v>
      </c>
      <c r="BL2977" t="s">
        <v>87</v>
      </c>
    </row>
    <row r="2978" spans="1:64" x14ac:dyDescent="0.3">
      <c r="A2978" t="str">
        <f>"202013C0200"</f>
        <v>202013C0200</v>
      </c>
      <c r="B2978" t="str">
        <f>"202013C02003"</f>
        <v>202013C02003</v>
      </c>
      <c r="C2978" t="str">
        <f t="shared" si="206"/>
        <v>20</v>
      </c>
      <c r="D2978" t="s">
        <v>81</v>
      </c>
      <c r="E2978" t="str">
        <f t="shared" si="210"/>
        <v>468</v>
      </c>
      <c r="F2978" t="s">
        <v>3190</v>
      </c>
      <c r="G2978" t="str">
        <f>"2013"</f>
        <v>2013</v>
      </c>
      <c r="H2978" t="str">
        <f>"0002"</f>
        <v>0002</v>
      </c>
      <c r="I2978" t="s">
        <v>89</v>
      </c>
      <c r="J2978">
        <v>0</v>
      </c>
      <c r="K2978">
        <v>1</v>
      </c>
      <c r="L2978">
        <v>3</v>
      </c>
      <c r="M2978">
        <v>139</v>
      </c>
      <c r="N2978">
        <v>474</v>
      </c>
      <c r="O2978">
        <v>0</v>
      </c>
      <c r="P2978">
        <v>474</v>
      </c>
      <c r="Q2978">
        <v>2</v>
      </c>
      <c r="R2978">
        <v>180</v>
      </c>
      <c r="S2978">
        <v>3</v>
      </c>
      <c r="U2978">
        <v>3</v>
      </c>
      <c r="X2978">
        <v>270</v>
      </c>
      <c r="Z2978">
        <v>10</v>
      </c>
      <c r="AF2978">
        <v>3</v>
      </c>
      <c r="AG2978">
        <v>0</v>
      </c>
      <c r="AH2978">
        <v>0</v>
      </c>
      <c r="AI2978">
        <v>0</v>
      </c>
      <c r="AW2978">
        <v>0</v>
      </c>
      <c r="AX2978">
        <v>3</v>
      </c>
      <c r="AY2978">
        <v>474</v>
      </c>
      <c r="AZ2978">
        <v>474</v>
      </c>
      <c r="BA2978">
        <v>569</v>
      </c>
      <c r="BB2978">
        <v>44</v>
      </c>
      <c r="BD2978">
        <v>1</v>
      </c>
      <c r="BF2978" t="s">
        <v>3195</v>
      </c>
      <c r="BG2978" s="1">
        <v>44354.11041666667</v>
      </c>
      <c r="BH2978" s="1">
        <v>44354.112696759257</v>
      </c>
      <c r="BI2978" s="1">
        <v>44354.113032407404</v>
      </c>
      <c r="BJ2978" t="s">
        <v>85</v>
      </c>
      <c r="BK2978" t="s">
        <v>86</v>
      </c>
      <c r="BL2978" t="s">
        <v>87</v>
      </c>
    </row>
    <row r="2979" spans="1:64" x14ac:dyDescent="0.3">
      <c r="A2979" t="str">
        <f>"202014B0000"</f>
        <v>202014B0000</v>
      </c>
      <c r="B2979" t="str">
        <f>"202014B00003"</f>
        <v>202014B00003</v>
      </c>
      <c r="C2979" t="str">
        <f t="shared" si="206"/>
        <v>20</v>
      </c>
      <c r="D2979" t="s">
        <v>81</v>
      </c>
      <c r="E2979" t="str">
        <f t="shared" si="210"/>
        <v>468</v>
      </c>
      <c r="F2979" t="s">
        <v>3190</v>
      </c>
      <c r="G2979" t="str">
        <f>"2014"</f>
        <v>2014</v>
      </c>
      <c r="H2979" t="str">
        <f>"0000"</f>
        <v>0000</v>
      </c>
      <c r="I2979" t="s">
        <v>83</v>
      </c>
      <c r="J2979">
        <v>0</v>
      </c>
      <c r="K2979">
        <v>1</v>
      </c>
      <c r="L2979">
        <v>3</v>
      </c>
      <c r="M2979">
        <v>200</v>
      </c>
      <c r="N2979">
        <v>445</v>
      </c>
      <c r="O2979">
        <v>2</v>
      </c>
      <c r="P2979">
        <v>445</v>
      </c>
      <c r="Q2979">
        <v>3</v>
      </c>
      <c r="R2979">
        <v>188</v>
      </c>
      <c r="S2979">
        <v>3</v>
      </c>
      <c r="U2979">
        <v>6</v>
      </c>
      <c r="X2979">
        <v>234</v>
      </c>
      <c r="Z2979">
        <v>6</v>
      </c>
      <c r="AF2979">
        <v>0</v>
      </c>
      <c r="AG2979">
        <v>0</v>
      </c>
      <c r="AH2979">
        <v>0</v>
      </c>
      <c r="AI2979">
        <v>2</v>
      </c>
      <c r="AW2979">
        <v>0</v>
      </c>
      <c r="AX2979">
        <v>3</v>
      </c>
      <c r="AY2979">
        <v>445</v>
      </c>
      <c r="AZ2979">
        <v>445</v>
      </c>
      <c r="BA2979">
        <v>601</v>
      </c>
      <c r="BB2979">
        <v>44</v>
      </c>
      <c r="BD2979">
        <v>1</v>
      </c>
      <c r="BF2979" t="s">
        <v>3196</v>
      </c>
      <c r="BG2979" s="1">
        <v>44353.882037037038</v>
      </c>
      <c r="BH2979" s="1">
        <v>44353.886620370373</v>
      </c>
      <c r="BI2979" s="1">
        <v>44353.887789351851</v>
      </c>
      <c r="BJ2979" t="s">
        <v>197</v>
      </c>
      <c r="BK2979" t="s">
        <v>198</v>
      </c>
      <c r="BL2979" t="s">
        <v>87</v>
      </c>
    </row>
    <row r="2980" spans="1:64" x14ac:dyDescent="0.3">
      <c r="A2980" t="str">
        <f>"202014C0100"</f>
        <v>202014C0100</v>
      </c>
      <c r="B2980" t="str">
        <f>"202014C01003"</f>
        <v>202014C01003</v>
      </c>
      <c r="C2980" t="str">
        <f t="shared" si="206"/>
        <v>20</v>
      </c>
      <c r="D2980" t="s">
        <v>81</v>
      </c>
      <c r="E2980" t="str">
        <f t="shared" si="210"/>
        <v>468</v>
      </c>
      <c r="F2980" t="s">
        <v>3190</v>
      </c>
      <c r="G2980" t="str">
        <f>"2014"</f>
        <v>2014</v>
      </c>
      <c r="H2980" t="str">
        <f>"0001"</f>
        <v>0001</v>
      </c>
      <c r="I2980" t="s">
        <v>89</v>
      </c>
      <c r="J2980">
        <v>0</v>
      </c>
      <c r="K2980">
        <v>1</v>
      </c>
      <c r="L2980">
        <v>3</v>
      </c>
      <c r="M2980">
        <v>168</v>
      </c>
      <c r="N2980">
        <v>476</v>
      </c>
      <c r="O2980">
        <v>1</v>
      </c>
      <c r="P2980">
        <v>476</v>
      </c>
      <c r="Q2980">
        <v>0</v>
      </c>
      <c r="R2980">
        <v>199</v>
      </c>
      <c r="S2980">
        <v>4</v>
      </c>
      <c r="U2980">
        <v>4</v>
      </c>
      <c r="X2980">
        <v>261</v>
      </c>
      <c r="Z2980">
        <v>4</v>
      </c>
      <c r="AF2980">
        <v>1</v>
      </c>
      <c r="AG2980">
        <v>0</v>
      </c>
      <c r="AH2980">
        <v>0</v>
      </c>
      <c r="AI2980">
        <v>0</v>
      </c>
      <c r="AW2980">
        <v>0</v>
      </c>
      <c r="AX2980">
        <v>3</v>
      </c>
      <c r="AY2980">
        <v>476</v>
      </c>
      <c r="AZ2980">
        <v>476</v>
      </c>
      <c r="BA2980">
        <v>600</v>
      </c>
      <c r="BB2980">
        <v>44</v>
      </c>
      <c r="BD2980">
        <v>1</v>
      </c>
      <c r="BF2980" t="s">
        <v>3197</v>
      </c>
      <c r="BG2980" s="1">
        <v>44353.883877314816</v>
      </c>
      <c r="BH2980" s="1">
        <v>44353.884988425925</v>
      </c>
      <c r="BI2980" s="1">
        <v>44353.88559027778</v>
      </c>
      <c r="BJ2980" t="s">
        <v>197</v>
      </c>
      <c r="BK2980" t="s">
        <v>198</v>
      </c>
      <c r="BL2980" t="s">
        <v>87</v>
      </c>
    </row>
    <row r="2981" spans="1:64" x14ac:dyDescent="0.3">
      <c r="A2981" t="str">
        <f>"202015B0000"</f>
        <v>202015B0000</v>
      </c>
      <c r="B2981" t="str">
        <f>"202015B00003"</f>
        <v>202015B00003</v>
      </c>
      <c r="C2981" t="str">
        <f t="shared" si="206"/>
        <v>20</v>
      </c>
      <c r="D2981" t="s">
        <v>81</v>
      </c>
      <c r="E2981" t="str">
        <f t="shared" si="210"/>
        <v>468</v>
      </c>
      <c r="F2981" t="s">
        <v>3190</v>
      </c>
      <c r="G2981" t="str">
        <f>"2015"</f>
        <v>2015</v>
      </c>
      <c r="H2981" t="str">
        <f>"0000"</f>
        <v>0000</v>
      </c>
      <c r="I2981" t="s">
        <v>83</v>
      </c>
      <c r="J2981">
        <v>0</v>
      </c>
      <c r="K2981">
        <v>1</v>
      </c>
      <c r="L2981">
        <v>3</v>
      </c>
      <c r="M2981">
        <v>221</v>
      </c>
      <c r="N2981">
        <v>537</v>
      </c>
      <c r="O2981">
        <v>0</v>
      </c>
      <c r="P2981">
        <v>537</v>
      </c>
      <c r="Q2981">
        <v>2</v>
      </c>
      <c r="R2981">
        <v>245</v>
      </c>
      <c r="S2981">
        <v>4</v>
      </c>
      <c r="U2981">
        <v>2</v>
      </c>
      <c r="X2981">
        <v>270</v>
      </c>
      <c r="Z2981">
        <v>4</v>
      </c>
      <c r="AF2981">
        <v>0</v>
      </c>
      <c r="AG2981">
        <v>0</v>
      </c>
      <c r="AH2981">
        <v>0</v>
      </c>
      <c r="AI2981">
        <v>0</v>
      </c>
      <c r="AW2981">
        <v>0</v>
      </c>
      <c r="AX2981">
        <v>10</v>
      </c>
      <c r="AY2981">
        <v>537</v>
      </c>
      <c r="AZ2981">
        <v>537</v>
      </c>
      <c r="BA2981">
        <v>714</v>
      </c>
      <c r="BB2981">
        <v>44</v>
      </c>
      <c r="BD2981">
        <v>1</v>
      </c>
      <c r="BF2981" t="s">
        <v>3198</v>
      </c>
      <c r="BG2981" s="1">
        <v>44354.052083333336</v>
      </c>
      <c r="BH2981" s="1">
        <v>44354.057083333333</v>
      </c>
      <c r="BI2981" s="1">
        <v>44354.057719907411</v>
      </c>
      <c r="BJ2981" t="s">
        <v>85</v>
      </c>
      <c r="BK2981" t="s">
        <v>86</v>
      </c>
      <c r="BL2981" t="s">
        <v>87</v>
      </c>
    </row>
    <row r="2982" spans="1:64" x14ac:dyDescent="0.3">
      <c r="A2982" t="str">
        <f>"202015C0100"</f>
        <v>202015C0100</v>
      </c>
      <c r="B2982" t="str">
        <f>"202015C01003"</f>
        <v>202015C01003</v>
      </c>
      <c r="C2982" t="str">
        <f t="shared" si="206"/>
        <v>20</v>
      </c>
      <c r="D2982" t="s">
        <v>81</v>
      </c>
      <c r="E2982" t="str">
        <f t="shared" si="210"/>
        <v>468</v>
      </c>
      <c r="F2982" t="s">
        <v>3190</v>
      </c>
      <c r="G2982" t="str">
        <f>"2015"</f>
        <v>2015</v>
      </c>
      <c r="H2982" t="str">
        <f>"0001"</f>
        <v>0001</v>
      </c>
      <c r="I2982" t="s">
        <v>89</v>
      </c>
      <c r="J2982">
        <v>0</v>
      </c>
      <c r="K2982">
        <v>1</v>
      </c>
      <c r="L2982">
        <v>3</v>
      </c>
      <c r="M2982">
        <v>222</v>
      </c>
      <c r="N2982">
        <v>536</v>
      </c>
      <c r="O2982">
        <v>0</v>
      </c>
      <c r="P2982" t="s">
        <v>92</v>
      </c>
      <c r="Q2982">
        <v>1</v>
      </c>
      <c r="R2982">
        <v>223</v>
      </c>
      <c r="S2982">
        <v>6</v>
      </c>
      <c r="U2982">
        <v>8</v>
      </c>
      <c r="X2982">
        <v>277</v>
      </c>
      <c r="Z2982">
        <v>8</v>
      </c>
      <c r="AF2982">
        <v>0</v>
      </c>
      <c r="AG2982">
        <v>2</v>
      </c>
      <c r="AH2982">
        <v>1</v>
      </c>
      <c r="AI2982">
        <v>2</v>
      </c>
      <c r="AW2982" t="s">
        <v>95</v>
      </c>
      <c r="AX2982">
        <v>8</v>
      </c>
      <c r="AY2982">
        <v>536</v>
      </c>
      <c r="AZ2982">
        <v>536</v>
      </c>
      <c r="BA2982">
        <v>714</v>
      </c>
      <c r="BB2982">
        <v>44</v>
      </c>
      <c r="BC2982" t="s">
        <v>96</v>
      </c>
      <c r="BD2982">
        <v>1</v>
      </c>
      <c r="BF2982" t="s">
        <v>3199</v>
      </c>
      <c r="BG2982" s="1">
        <v>44353.965266203704</v>
      </c>
      <c r="BH2982" s="1">
        <v>44353.96675925926</v>
      </c>
      <c r="BI2982" s="1">
        <v>44353.967361111114</v>
      </c>
      <c r="BJ2982" t="s">
        <v>197</v>
      </c>
      <c r="BK2982" t="s">
        <v>198</v>
      </c>
      <c r="BL2982" t="s">
        <v>87</v>
      </c>
    </row>
    <row r="2983" spans="1:64" x14ac:dyDescent="0.3">
      <c r="A2983" t="str">
        <f>"202016B0000"</f>
        <v>202016B0000</v>
      </c>
      <c r="B2983" t="str">
        <f>"202016B00003"</f>
        <v>202016B00003</v>
      </c>
      <c r="C2983" t="str">
        <f t="shared" si="206"/>
        <v>20</v>
      </c>
      <c r="D2983" t="s">
        <v>81</v>
      </c>
      <c r="E2983" t="str">
        <f t="shared" si="210"/>
        <v>468</v>
      </c>
      <c r="F2983" t="s">
        <v>3190</v>
      </c>
      <c r="G2983" t="str">
        <f>"2016"</f>
        <v>2016</v>
      </c>
      <c r="H2983" t="str">
        <f>"0000"</f>
        <v>0000</v>
      </c>
      <c r="I2983" t="s">
        <v>83</v>
      </c>
      <c r="J2983">
        <v>0</v>
      </c>
      <c r="K2983">
        <v>1</v>
      </c>
      <c r="L2983">
        <v>3</v>
      </c>
      <c r="M2983">
        <v>168</v>
      </c>
      <c r="N2983">
        <v>389</v>
      </c>
      <c r="O2983">
        <v>1</v>
      </c>
      <c r="P2983">
        <v>389</v>
      </c>
      <c r="Q2983">
        <v>0</v>
      </c>
      <c r="R2983">
        <v>171</v>
      </c>
      <c r="S2983">
        <v>1</v>
      </c>
      <c r="U2983">
        <v>6</v>
      </c>
      <c r="X2983">
        <v>208</v>
      </c>
      <c r="Z2983">
        <v>1</v>
      </c>
      <c r="AF2983" t="s">
        <v>95</v>
      </c>
      <c r="AG2983" t="s">
        <v>95</v>
      </c>
      <c r="AH2983" t="s">
        <v>95</v>
      </c>
      <c r="AI2983" t="s">
        <v>95</v>
      </c>
      <c r="AW2983" t="s">
        <v>95</v>
      </c>
      <c r="AX2983">
        <v>2</v>
      </c>
      <c r="AY2983">
        <v>389</v>
      </c>
      <c r="AZ2983">
        <v>389</v>
      </c>
      <c r="BA2983">
        <v>513</v>
      </c>
      <c r="BB2983">
        <v>44</v>
      </c>
      <c r="BC2983" t="s">
        <v>96</v>
      </c>
      <c r="BD2983">
        <v>1</v>
      </c>
      <c r="BF2983" t="s">
        <v>3200</v>
      </c>
      <c r="BG2983" s="1">
        <v>44354.041666666664</v>
      </c>
      <c r="BH2983" s="1">
        <v>44354.04959490741</v>
      </c>
      <c r="BI2983" s="1">
        <v>44354.04996527778</v>
      </c>
      <c r="BJ2983" t="s">
        <v>85</v>
      </c>
      <c r="BK2983" t="s">
        <v>86</v>
      </c>
      <c r="BL2983" t="s">
        <v>87</v>
      </c>
    </row>
    <row r="2984" spans="1:64" x14ac:dyDescent="0.3">
      <c r="A2984" t="str">
        <f>"202016C0100"</f>
        <v>202016C0100</v>
      </c>
      <c r="B2984" t="str">
        <f>"202016C01003"</f>
        <v>202016C01003</v>
      </c>
      <c r="C2984" t="str">
        <f t="shared" si="206"/>
        <v>20</v>
      </c>
      <c r="D2984" t="s">
        <v>81</v>
      </c>
      <c r="E2984" t="str">
        <f t="shared" si="210"/>
        <v>468</v>
      </c>
      <c r="F2984" t="s">
        <v>3190</v>
      </c>
      <c r="G2984" t="str">
        <f>"2016"</f>
        <v>2016</v>
      </c>
      <c r="H2984" t="str">
        <f>"0001"</f>
        <v>0001</v>
      </c>
      <c r="I2984" t="s">
        <v>89</v>
      </c>
      <c r="J2984">
        <v>0</v>
      </c>
      <c r="K2984">
        <v>1</v>
      </c>
      <c r="L2984">
        <v>3</v>
      </c>
      <c r="M2984">
        <v>148</v>
      </c>
      <c r="N2984">
        <v>409</v>
      </c>
      <c r="O2984">
        <v>3</v>
      </c>
      <c r="P2984">
        <v>409</v>
      </c>
      <c r="Q2984">
        <v>2</v>
      </c>
      <c r="R2984">
        <v>184</v>
      </c>
      <c r="S2984">
        <v>6</v>
      </c>
      <c r="U2984">
        <v>2</v>
      </c>
      <c r="X2984">
        <v>208</v>
      </c>
      <c r="Z2984">
        <v>3</v>
      </c>
      <c r="AF2984" t="s">
        <v>95</v>
      </c>
      <c r="AG2984" t="s">
        <v>95</v>
      </c>
      <c r="AH2984" t="s">
        <v>95</v>
      </c>
      <c r="AI2984" t="s">
        <v>95</v>
      </c>
      <c r="AW2984" t="s">
        <v>95</v>
      </c>
      <c r="AX2984">
        <v>4</v>
      </c>
      <c r="AY2984">
        <v>409</v>
      </c>
      <c r="AZ2984">
        <v>409</v>
      </c>
      <c r="BA2984">
        <v>513</v>
      </c>
      <c r="BB2984">
        <v>44</v>
      </c>
      <c r="BC2984" t="s">
        <v>96</v>
      </c>
      <c r="BD2984">
        <v>1</v>
      </c>
      <c r="BF2984" t="s">
        <v>3201</v>
      </c>
      <c r="BG2984" s="1">
        <v>44354.046527777777</v>
      </c>
      <c r="BH2984" s="1">
        <v>44354.052511574075</v>
      </c>
      <c r="BI2984" s="1">
        <v>44354.052847222221</v>
      </c>
      <c r="BJ2984" t="s">
        <v>85</v>
      </c>
      <c r="BK2984" t="s">
        <v>86</v>
      </c>
      <c r="BL2984" t="s">
        <v>87</v>
      </c>
    </row>
    <row r="2985" spans="1:64" x14ac:dyDescent="0.3">
      <c r="A2985" t="str">
        <f>"202017B0000"</f>
        <v>202017B0000</v>
      </c>
      <c r="B2985" t="str">
        <f>"202017B00003"</f>
        <v>202017B00003</v>
      </c>
      <c r="C2985" t="str">
        <f t="shared" si="206"/>
        <v>20</v>
      </c>
      <c r="D2985" t="s">
        <v>81</v>
      </c>
      <c r="E2985" t="str">
        <f t="shared" si="210"/>
        <v>468</v>
      </c>
      <c r="F2985" t="s">
        <v>3190</v>
      </c>
      <c r="G2985" t="str">
        <f>"2017"</f>
        <v>2017</v>
      </c>
      <c r="H2985" t="str">
        <f>"0000"</f>
        <v>0000</v>
      </c>
      <c r="I2985" t="s">
        <v>83</v>
      </c>
      <c r="J2985">
        <v>0</v>
      </c>
      <c r="K2985">
        <v>1</v>
      </c>
      <c r="L2985">
        <v>3</v>
      </c>
      <c r="M2985">
        <v>175</v>
      </c>
      <c r="N2985">
        <v>555</v>
      </c>
      <c r="O2985">
        <v>2</v>
      </c>
      <c r="P2985">
        <v>555</v>
      </c>
      <c r="Q2985">
        <v>1</v>
      </c>
      <c r="R2985">
        <v>315</v>
      </c>
      <c r="S2985">
        <v>4</v>
      </c>
      <c r="U2985">
        <v>4</v>
      </c>
      <c r="X2985">
        <v>222</v>
      </c>
      <c r="Z2985">
        <v>3</v>
      </c>
      <c r="AF2985">
        <v>1</v>
      </c>
      <c r="AG2985">
        <v>1</v>
      </c>
      <c r="AH2985">
        <v>0</v>
      </c>
      <c r="AI2985">
        <v>0</v>
      </c>
      <c r="AW2985">
        <v>0</v>
      </c>
      <c r="AX2985">
        <v>4</v>
      </c>
      <c r="AY2985">
        <v>555</v>
      </c>
      <c r="AZ2985">
        <v>555</v>
      </c>
      <c r="BA2985">
        <v>686</v>
      </c>
      <c r="BB2985">
        <v>44</v>
      </c>
      <c r="BD2985">
        <v>1</v>
      </c>
      <c r="BF2985" t="s">
        <v>3202</v>
      </c>
      <c r="BG2985" s="1">
        <v>44353.981249999997</v>
      </c>
      <c r="BH2985" s="1">
        <v>44353.982951388891</v>
      </c>
      <c r="BI2985" s="1">
        <v>44353.983449074076</v>
      </c>
      <c r="BJ2985" t="s">
        <v>85</v>
      </c>
      <c r="BK2985" t="s">
        <v>86</v>
      </c>
      <c r="BL2985" t="s">
        <v>87</v>
      </c>
    </row>
    <row r="2986" spans="1:64" x14ac:dyDescent="0.3">
      <c r="A2986" t="str">
        <f>"202017C0100"</f>
        <v>202017C0100</v>
      </c>
      <c r="B2986" t="str">
        <f>"202017C01003"</f>
        <v>202017C01003</v>
      </c>
      <c r="C2986" t="str">
        <f t="shared" si="206"/>
        <v>20</v>
      </c>
      <c r="D2986" t="s">
        <v>81</v>
      </c>
      <c r="E2986" t="str">
        <f t="shared" si="210"/>
        <v>468</v>
      </c>
      <c r="F2986" t="s">
        <v>3190</v>
      </c>
      <c r="G2986" t="str">
        <f>"2017"</f>
        <v>2017</v>
      </c>
      <c r="H2986" t="str">
        <f>"0001"</f>
        <v>0001</v>
      </c>
      <c r="I2986" t="s">
        <v>89</v>
      </c>
      <c r="J2986">
        <v>0</v>
      </c>
      <c r="K2986">
        <v>1</v>
      </c>
      <c r="L2986">
        <v>3</v>
      </c>
      <c r="M2986">
        <v>164</v>
      </c>
      <c r="N2986">
        <v>566</v>
      </c>
      <c r="O2986">
        <v>2</v>
      </c>
      <c r="P2986">
        <v>566</v>
      </c>
      <c r="Q2986">
        <v>0</v>
      </c>
      <c r="R2986">
        <v>320</v>
      </c>
      <c r="S2986">
        <v>1</v>
      </c>
      <c r="U2986">
        <v>3</v>
      </c>
      <c r="X2986">
        <v>232</v>
      </c>
      <c r="Z2986">
        <v>4</v>
      </c>
      <c r="AF2986">
        <v>1</v>
      </c>
      <c r="AG2986">
        <v>0</v>
      </c>
      <c r="AH2986">
        <v>0</v>
      </c>
      <c r="AI2986">
        <v>0</v>
      </c>
      <c r="AW2986">
        <v>0</v>
      </c>
      <c r="AX2986">
        <v>5</v>
      </c>
      <c r="AY2986">
        <v>566</v>
      </c>
      <c r="AZ2986">
        <v>566</v>
      </c>
      <c r="BA2986">
        <v>686</v>
      </c>
      <c r="BB2986">
        <v>44</v>
      </c>
      <c r="BD2986">
        <v>1</v>
      </c>
      <c r="BF2986" t="s">
        <v>3203</v>
      </c>
      <c r="BG2986" s="1">
        <v>44353.984027777777</v>
      </c>
      <c r="BH2986" s="1">
        <v>44353.986006944448</v>
      </c>
      <c r="BI2986" s="1">
        <v>44353.986643518518</v>
      </c>
      <c r="BJ2986" t="s">
        <v>85</v>
      </c>
      <c r="BK2986" t="s">
        <v>86</v>
      </c>
      <c r="BL2986" t="s">
        <v>87</v>
      </c>
    </row>
    <row r="2987" spans="1:64" x14ac:dyDescent="0.3">
      <c r="A2987" t="str">
        <f>"202018B0000"</f>
        <v>202018B0000</v>
      </c>
      <c r="B2987" t="str">
        <f>"202018B00003"</f>
        <v>202018B00003</v>
      </c>
      <c r="C2987" t="str">
        <f t="shared" si="206"/>
        <v>20</v>
      </c>
      <c r="D2987" t="s">
        <v>81</v>
      </c>
      <c r="E2987" t="str">
        <f t="shared" si="210"/>
        <v>468</v>
      </c>
      <c r="F2987" t="s">
        <v>3190</v>
      </c>
      <c r="G2987" t="str">
        <f>"2018"</f>
        <v>2018</v>
      </c>
      <c r="H2987" t="str">
        <f>"0000"</f>
        <v>0000</v>
      </c>
      <c r="I2987" t="s">
        <v>83</v>
      </c>
      <c r="J2987">
        <v>0</v>
      </c>
      <c r="K2987">
        <v>1</v>
      </c>
      <c r="L2987">
        <v>3</v>
      </c>
      <c r="M2987">
        <v>157</v>
      </c>
      <c r="N2987">
        <v>265</v>
      </c>
      <c r="O2987">
        <v>0</v>
      </c>
      <c r="P2987">
        <v>265</v>
      </c>
      <c r="Q2987">
        <v>0</v>
      </c>
      <c r="R2987">
        <v>82</v>
      </c>
      <c r="S2987">
        <v>2</v>
      </c>
      <c r="U2987">
        <v>2</v>
      </c>
      <c r="X2987">
        <v>166</v>
      </c>
      <c r="Z2987">
        <v>7</v>
      </c>
      <c r="AF2987">
        <v>0</v>
      </c>
      <c r="AG2987">
        <v>0</v>
      </c>
      <c r="AH2987">
        <v>0</v>
      </c>
      <c r="AI2987">
        <v>0</v>
      </c>
      <c r="AW2987">
        <v>0</v>
      </c>
      <c r="AX2987">
        <v>6</v>
      </c>
      <c r="AY2987" t="s">
        <v>131</v>
      </c>
      <c r="AZ2987">
        <v>265</v>
      </c>
      <c r="BA2987">
        <v>378</v>
      </c>
      <c r="BB2987">
        <v>44</v>
      </c>
      <c r="BD2987">
        <v>1</v>
      </c>
      <c r="BF2987" t="s">
        <v>3204</v>
      </c>
      <c r="BG2987" s="1">
        <v>44354.070833333331</v>
      </c>
      <c r="BH2987" s="1">
        <v>44354.077916666669</v>
      </c>
      <c r="BI2987" s="1">
        <v>44354.0783912037</v>
      </c>
      <c r="BJ2987" t="s">
        <v>85</v>
      </c>
      <c r="BK2987" t="s">
        <v>86</v>
      </c>
      <c r="BL2987" t="s">
        <v>87</v>
      </c>
    </row>
    <row r="2988" spans="1:64" x14ac:dyDescent="0.3">
      <c r="A2988" t="str">
        <f>"202018C0100"</f>
        <v>202018C0100</v>
      </c>
      <c r="B2988" t="str">
        <f>"202018C01003"</f>
        <v>202018C01003</v>
      </c>
      <c r="C2988" t="str">
        <f t="shared" si="206"/>
        <v>20</v>
      </c>
      <c r="D2988" t="s">
        <v>81</v>
      </c>
      <c r="E2988" t="str">
        <f t="shared" si="210"/>
        <v>468</v>
      </c>
      <c r="F2988" t="s">
        <v>3190</v>
      </c>
      <c r="G2988" t="str">
        <f>"2018"</f>
        <v>2018</v>
      </c>
      <c r="H2988" t="str">
        <f>"0001"</f>
        <v>0001</v>
      </c>
      <c r="I2988" t="s">
        <v>89</v>
      </c>
      <c r="J2988">
        <v>0</v>
      </c>
      <c r="K2988">
        <v>1</v>
      </c>
      <c r="L2988">
        <v>3</v>
      </c>
      <c r="M2988">
        <v>127</v>
      </c>
      <c r="N2988">
        <v>295</v>
      </c>
      <c r="O2988">
        <v>0</v>
      </c>
      <c r="P2988">
        <v>295</v>
      </c>
      <c r="Q2988">
        <v>1</v>
      </c>
      <c r="R2988">
        <v>144</v>
      </c>
      <c r="S2988">
        <v>0</v>
      </c>
      <c r="U2988">
        <v>5</v>
      </c>
      <c r="X2988">
        <v>141</v>
      </c>
      <c r="Z2988">
        <v>0</v>
      </c>
      <c r="AF2988">
        <v>0</v>
      </c>
      <c r="AG2988">
        <v>0</v>
      </c>
      <c r="AH2988">
        <v>0</v>
      </c>
      <c r="AI2988">
        <v>0</v>
      </c>
      <c r="AW2988">
        <v>0</v>
      </c>
      <c r="AX2988">
        <v>4</v>
      </c>
      <c r="AY2988">
        <v>295</v>
      </c>
      <c r="AZ2988">
        <v>295</v>
      </c>
      <c r="BA2988">
        <v>378</v>
      </c>
      <c r="BB2988">
        <v>44</v>
      </c>
      <c r="BD2988">
        <v>1</v>
      </c>
      <c r="BF2988" t="s">
        <v>3205</v>
      </c>
      <c r="BG2988" s="1">
        <v>44353.869432870371</v>
      </c>
      <c r="BH2988" s="1">
        <v>44353.871307870373</v>
      </c>
      <c r="BI2988" s="1">
        <v>44353.871724537035</v>
      </c>
      <c r="BJ2988" t="s">
        <v>197</v>
      </c>
      <c r="BK2988" t="s">
        <v>198</v>
      </c>
      <c r="BL2988" t="s">
        <v>87</v>
      </c>
    </row>
    <row r="2989" spans="1:64" x14ac:dyDescent="0.3">
      <c r="A2989" t="str">
        <f>"202018E0100"</f>
        <v>202018E0100</v>
      </c>
      <c r="B2989" t="str">
        <f>"202018E01003"</f>
        <v>202018E01003</v>
      </c>
      <c r="C2989" t="str">
        <f t="shared" si="206"/>
        <v>20</v>
      </c>
      <c r="D2989" t="s">
        <v>81</v>
      </c>
      <c r="E2989" t="str">
        <f t="shared" si="210"/>
        <v>468</v>
      </c>
      <c r="F2989" t="s">
        <v>3190</v>
      </c>
      <c r="G2989" t="str">
        <f>"2018"</f>
        <v>2018</v>
      </c>
      <c r="H2989" t="str">
        <f>"0001"</f>
        <v>0001</v>
      </c>
      <c r="I2989" t="s">
        <v>122</v>
      </c>
      <c r="J2989">
        <v>0</v>
      </c>
      <c r="K2989">
        <v>1</v>
      </c>
      <c r="L2989">
        <v>3</v>
      </c>
      <c r="M2989">
        <v>199</v>
      </c>
      <c r="N2989">
        <v>567</v>
      </c>
      <c r="O2989">
        <v>0</v>
      </c>
      <c r="P2989">
        <v>567</v>
      </c>
      <c r="Q2989">
        <v>1</v>
      </c>
      <c r="R2989">
        <v>323</v>
      </c>
      <c r="S2989">
        <v>3</v>
      </c>
      <c r="U2989">
        <v>8</v>
      </c>
      <c r="X2989">
        <v>206</v>
      </c>
      <c r="Z2989">
        <v>11</v>
      </c>
      <c r="AF2989">
        <v>1</v>
      </c>
      <c r="AG2989">
        <v>1</v>
      </c>
      <c r="AH2989">
        <v>0</v>
      </c>
      <c r="AI2989">
        <v>0</v>
      </c>
      <c r="AW2989">
        <v>0</v>
      </c>
      <c r="AX2989">
        <v>13</v>
      </c>
      <c r="AY2989">
        <v>567</v>
      </c>
      <c r="AZ2989">
        <v>567</v>
      </c>
      <c r="BA2989">
        <v>722</v>
      </c>
      <c r="BB2989">
        <v>44</v>
      </c>
      <c r="BD2989">
        <v>1</v>
      </c>
      <c r="BF2989" t="s">
        <v>3206</v>
      </c>
      <c r="BG2989" s="1">
        <v>44353.953738425924</v>
      </c>
      <c r="BH2989" s="1">
        <v>44353.955590277779</v>
      </c>
      <c r="BI2989" s="1">
        <v>44353.957314814812</v>
      </c>
      <c r="BJ2989" t="s">
        <v>197</v>
      </c>
      <c r="BK2989" t="s">
        <v>198</v>
      </c>
      <c r="BL2989" t="s">
        <v>87</v>
      </c>
    </row>
    <row r="2990" spans="1:64" x14ac:dyDescent="0.3">
      <c r="A2990" t="str">
        <f>"202019B0000"</f>
        <v>202019B0000</v>
      </c>
      <c r="B2990" t="str">
        <f>"202019B00003"</f>
        <v>202019B00003</v>
      </c>
      <c r="C2990" t="str">
        <f t="shared" si="206"/>
        <v>20</v>
      </c>
      <c r="D2990" t="s">
        <v>81</v>
      </c>
      <c r="E2990" t="str">
        <f t="shared" si="210"/>
        <v>468</v>
      </c>
      <c r="F2990" t="s">
        <v>3190</v>
      </c>
      <c r="G2990" t="str">
        <f>"2019"</f>
        <v>2019</v>
      </c>
      <c r="H2990" t="str">
        <f>"0000"</f>
        <v>0000</v>
      </c>
      <c r="I2990" t="s">
        <v>83</v>
      </c>
      <c r="J2990">
        <v>0</v>
      </c>
      <c r="K2990">
        <v>1</v>
      </c>
      <c r="L2990">
        <v>3</v>
      </c>
      <c r="M2990">
        <v>174</v>
      </c>
      <c r="N2990">
        <v>500</v>
      </c>
      <c r="O2990">
        <v>0</v>
      </c>
      <c r="P2990">
        <v>500</v>
      </c>
      <c r="Q2990">
        <v>1</v>
      </c>
      <c r="R2990">
        <v>210</v>
      </c>
      <c r="S2990">
        <v>8</v>
      </c>
      <c r="U2990">
        <v>1</v>
      </c>
      <c r="X2990">
        <v>268</v>
      </c>
      <c r="Z2990">
        <v>4</v>
      </c>
      <c r="AF2990">
        <v>0</v>
      </c>
      <c r="AG2990">
        <v>0</v>
      </c>
      <c r="AH2990">
        <v>0</v>
      </c>
      <c r="AI2990">
        <v>0</v>
      </c>
      <c r="AW2990">
        <v>0</v>
      </c>
      <c r="AX2990">
        <v>8</v>
      </c>
      <c r="AY2990" t="s">
        <v>131</v>
      </c>
      <c r="AZ2990">
        <v>500</v>
      </c>
      <c r="BA2990">
        <v>630</v>
      </c>
      <c r="BB2990">
        <v>44</v>
      </c>
      <c r="BD2990">
        <v>1</v>
      </c>
      <c r="BF2990" t="s">
        <v>3207</v>
      </c>
      <c r="BG2990" s="1">
        <v>44354.011689814812</v>
      </c>
      <c r="BH2990" s="1">
        <v>44354.017789351848</v>
      </c>
      <c r="BI2990" s="1">
        <v>44354.01840277778</v>
      </c>
      <c r="BJ2990" t="s">
        <v>197</v>
      </c>
      <c r="BK2990" t="s">
        <v>198</v>
      </c>
      <c r="BL2990" t="s">
        <v>87</v>
      </c>
    </row>
    <row r="2991" spans="1:64" x14ac:dyDescent="0.3">
      <c r="A2991" t="str">
        <f>"202020B0000"</f>
        <v>202020B0000</v>
      </c>
      <c r="B2991" t="str">
        <f>"202020B00003"</f>
        <v>202020B00003</v>
      </c>
      <c r="C2991" t="str">
        <f t="shared" si="206"/>
        <v>20</v>
      </c>
      <c r="D2991" t="s">
        <v>81</v>
      </c>
      <c r="E2991" t="str">
        <f t="shared" si="210"/>
        <v>468</v>
      </c>
      <c r="F2991" t="s">
        <v>3190</v>
      </c>
      <c r="G2991" t="str">
        <f>"2020"</f>
        <v>2020</v>
      </c>
      <c r="H2991" t="str">
        <f>"0000"</f>
        <v>0000</v>
      </c>
      <c r="I2991" t="s">
        <v>83</v>
      </c>
      <c r="J2991">
        <v>0</v>
      </c>
      <c r="K2991">
        <v>1</v>
      </c>
      <c r="L2991">
        <v>3</v>
      </c>
      <c r="M2991">
        <v>150</v>
      </c>
      <c r="N2991">
        <v>338</v>
      </c>
      <c r="O2991">
        <v>0</v>
      </c>
      <c r="P2991">
        <v>338</v>
      </c>
      <c r="Q2991">
        <v>2</v>
      </c>
      <c r="R2991">
        <v>140</v>
      </c>
      <c r="S2991">
        <v>4</v>
      </c>
      <c r="U2991">
        <v>4</v>
      </c>
      <c r="X2991">
        <v>173</v>
      </c>
      <c r="Z2991">
        <v>9</v>
      </c>
      <c r="AF2991">
        <v>0</v>
      </c>
      <c r="AG2991">
        <v>0</v>
      </c>
      <c r="AH2991">
        <v>0</v>
      </c>
      <c r="AI2991">
        <v>1</v>
      </c>
      <c r="AW2991">
        <v>0</v>
      </c>
      <c r="AX2991">
        <v>5</v>
      </c>
      <c r="AY2991">
        <v>338</v>
      </c>
      <c r="AZ2991">
        <v>338</v>
      </c>
      <c r="BA2991">
        <v>444</v>
      </c>
      <c r="BB2991">
        <v>44</v>
      </c>
      <c r="BD2991">
        <v>1</v>
      </c>
      <c r="BF2991" t="s">
        <v>3208</v>
      </c>
      <c r="BG2991" s="1">
        <v>44354.056944444441</v>
      </c>
      <c r="BH2991" s="1">
        <v>44354.061967592592</v>
      </c>
      <c r="BI2991" s="1">
        <v>44354.062418981484</v>
      </c>
      <c r="BJ2991" t="s">
        <v>85</v>
      </c>
      <c r="BK2991" t="s">
        <v>86</v>
      </c>
      <c r="BL2991" t="s">
        <v>87</v>
      </c>
    </row>
    <row r="2992" spans="1:64" x14ac:dyDescent="0.3">
      <c r="A2992" t="str">
        <f>"202021B0000"</f>
        <v>202021B0000</v>
      </c>
      <c r="B2992" t="str">
        <f>"202021B00003"</f>
        <v>202021B00003</v>
      </c>
      <c r="C2992" t="str">
        <f t="shared" si="206"/>
        <v>20</v>
      </c>
      <c r="D2992" t="s">
        <v>81</v>
      </c>
      <c r="E2992" t="str">
        <f t="shared" si="210"/>
        <v>468</v>
      </c>
      <c r="F2992" t="s">
        <v>3190</v>
      </c>
      <c r="G2992" t="str">
        <f>"2021"</f>
        <v>2021</v>
      </c>
      <c r="H2992" t="str">
        <f>"0000"</f>
        <v>0000</v>
      </c>
      <c r="I2992" t="s">
        <v>83</v>
      </c>
      <c r="J2992">
        <v>0</v>
      </c>
      <c r="K2992">
        <v>1</v>
      </c>
      <c r="L2992">
        <v>3</v>
      </c>
      <c r="M2992">
        <v>90</v>
      </c>
      <c r="N2992">
        <v>182</v>
      </c>
      <c r="O2992">
        <v>0</v>
      </c>
      <c r="P2992">
        <v>182</v>
      </c>
      <c r="Q2992">
        <v>1</v>
      </c>
      <c r="R2992">
        <v>87</v>
      </c>
      <c r="S2992">
        <v>1</v>
      </c>
      <c r="U2992">
        <v>2</v>
      </c>
      <c r="X2992">
        <v>87</v>
      </c>
      <c r="Z2992">
        <v>2</v>
      </c>
      <c r="AF2992">
        <v>0</v>
      </c>
      <c r="AG2992">
        <v>0</v>
      </c>
      <c r="AH2992">
        <v>0</v>
      </c>
      <c r="AI2992">
        <v>0</v>
      </c>
      <c r="AW2992">
        <v>0</v>
      </c>
      <c r="AX2992">
        <v>2</v>
      </c>
      <c r="AY2992">
        <v>182</v>
      </c>
      <c r="AZ2992">
        <v>182</v>
      </c>
      <c r="BA2992">
        <v>228</v>
      </c>
      <c r="BB2992">
        <v>44</v>
      </c>
      <c r="BD2992">
        <v>1</v>
      </c>
      <c r="BF2992" t="s">
        <v>3209</v>
      </c>
      <c r="BG2992" s="1">
        <v>44354.05972222222</v>
      </c>
      <c r="BH2992" s="1">
        <v>44354.065474537034</v>
      </c>
      <c r="BI2992" s="1">
        <v>44354.065740740742</v>
      </c>
      <c r="BJ2992" t="s">
        <v>85</v>
      </c>
      <c r="BK2992" t="s">
        <v>86</v>
      </c>
      <c r="BL2992" t="s">
        <v>87</v>
      </c>
    </row>
    <row r="2993" spans="1:64" x14ac:dyDescent="0.3">
      <c r="A2993" t="str">
        <f>"202021E0100"</f>
        <v>202021E0100</v>
      </c>
      <c r="B2993" t="str">
        <f>"202021E01003"</f>
        <v>202021E01003</v>
      </c>
      <c r="C2993" t="str">
        <f t="shared" si="206"/>
        <v>20</v>
      </c>
      <c r="D2993" t="s">
        <v>81</v>
      </c>
      <c r="E2993" t="str">
        <f t="shared" si="210"/>
        <v>468</v>
      </c>
      <c r="F2993" t="s">
        <v>3190</v>
      </c>
      <c r="G2993" t="str">
        <f>"2021"</f>
        <v>2021</v>
      </c>
      <c r="H2993" t="str">
        <f>"0001"</f>
        <v>0001</v>
      </c>
      <c r="I2993" t="s">
        <v>122</v>
      </c>
      <c r="J2993">
        <v>0</v>
      </c>
      <c r="K2993">
        <v>1</v>
      </c>
      <c r="L2993">
        <v>3</v>
      </c>
      <c r="M2993">
        <v>198</v>
      </c>
      <c r="N2993">
        <v>462</v>
      </c>
      <c r="O2993">
        <v>0</v>
      </c>
      <c r="P2993">
        <v>462</v>
      </c>
      <c r="Q2993">
        <v>3</v>
      </c>
      <c r="R2993">
        <v>251</v>
      </c>
      <c r="S2993">
        <v>7</v>
      </c>
      <c r="U2993">
        <v>6</v>
      </c>
      <c r="X2993">
        <v>180</v>
      </c>
      <c r="Z2993">
        <v>5</v>
      </c>
      <c r="AF2993">
        <v>1</v>
      </c>
      <c r="AG2993">
        <v>0</v>
      </c>
      <c r="AH2993">
        <v>0</v>
      </c>
      <c r="AI2993">
        <v>0</v>
      </c>
      <c r="AW2993">
        <v>0</v>
      </c>
      <c r="AX2993">
        <v>9</v>
      </c>
      <c r="AY2993">
        <v>462</v>
      </c>
      <c r="AZ2993">
        <v>462</v>
      </c>
      <c r="BA2993">
        <v>616</v>
      </c>
      <c r="BB2993">
        <v>44</v>
      </c>
      <c r="BD2993">
        <v>1</v>
      </c>
      <c r="BF2993" t="s">
        <v>3210</v>
      </c>
      <c r="BG2993" s="1">
        <v>44354.254861111112</v>
      </c>
      <c r="BH2993" s="1">
        <v>44354.25613425926</v>
      </c>
      <c r="BI2993" s="1">
        <v>44354.256493055553</v>
      </c>
      <c r="BJ2993" t="s">
        <v>85</v>
      </c>
      <c r="BK2993" t="s">
        <v>86</v>
      </c>
      <c r="BL2993" t="s">
        <v>87</v>
      </c>
    </row>
    <row r="2994" spans="1:64" x14ac:dyDescent="0.3">
      <c r="A2994" t="str">
        <f>"202022B0000"</f>
        <v>202022B0000</v>
      </c>
      <c r="B2994" t="str">
        <f>"202022B00003"</f>
        <v>202022B00003</v>
      </c>
      <c r="C2994" t="str">
        <f t="shared" si="206"/>
        <v>20</v>
      </c>
      <c r="D2994" t="s">
        <v>81</v>
      </c>
      <c r="E2994" t="str">
        <f t="shared" si="210"/>
        <v>468</v>
      </c>
      <c r="F2994" t="s">
        <v>3190</v>
      </c>
      <c r="G2994" t="str">
        <f>"2022"</f>
        <v>2022</v>
      </c>
      <c r="H2994" t="str">
        <f>"0000"</f>
        <v>0000</v>
      </c>
      <c r="I2994" t="s">
        <v>83</v>
      </c>
      <c r="J2994">
        <v>0</v>
      </c>
      <c r="K2994">
        <v>1</v>
      </c>
      <c r="L2994">
        <v>3</v>
      </c>
      <c r="M2994">
        <v>183</v>
      </c>
      <c r="N2994">
        <v>416</v>
      </c>
      <c r="O2994">
        <v>6</v>
      </c>
      <c r="P2994">
        <v>412</v>
      </c>
      <c r="Q2994">
        <v>1</v>
      </c>
      <c r="R2994">
        <v>295</v>
      </c>
      <c r="S2994">
        <v>4</v>
      </c>
      <c r="U2994">
        <v>2</v>
      </c>
      <c r="X2994">
        <v>95</v>
      </c>
      <c r="Z2994">
        <v>4</v>
      </c>
      <c r="AF2994">
        <v>1</v>
      </c>
      <c r="AG2994">
        <v>2</v>
      </c>
      <c r="AH2994">
        <v>0</v>
      </c>
      <c r="AI2994">
        <v>0</v>
      </c>
      <c r="AW2994">
        <v>0</v>
      </c>
      <c r="AX2994">
        <v>8</v>
      </c>
      <c r="AY2994">
        <v>412</v>
      </c>
      <c r="AZ2994">
        <v>412</v>
      </c>
      <c r="BA2994">
        <v>551</v>
      </c>
      <c r="BB2994">
        <v>44</v>
      </c>
      <c r="BD2994">
        <v>1</v>
      </c>
      <c r="BF2994" t="s">
        <v>3211</v>
      </c>
      <c r="BG2994" s="1">
        <v>44354.017361111109</v>
      </c>
      <c r="BH2994" s="1">
        <v>44354.022789351853</v>
      </c>
      <c r="BI2994" s="1">
        <v>44354.02306712963</v>
      </c>
      <c r="BJ2994" t="s">
        <v>85</v>
      </c>
      <c r="BK2994" t="s">
        <v>86</v>
      </c>
      <c r="BL2994" t="s">
        <v>87</v>
      </c>
    </row>
    <row r="2995" spans="1:64" x14ac:dyDescent="0.3">
      <c r="A2995" t="str">
        <f>"202022E0100"</f>
        <v>202022E0100</v>
      </c>
      <c r="B2995" t="str">
        <f>"202022E01003"</f>
        <v>202022E01003</v>
      </c>
      <c r="C2995" t="str">
        <f t="shared" si="206"/>
        <v>20</v>
      </c>
      <c r="D2995" t="s">
        <v>81</v>
      </c>
      <c r="E2995" t="str">
        <f t="shared" si="210"/>
        <v>468</v>
      </c>
      <c r="F2995" t="s">
        <v>3190</v>
      </c>
      <c r="G2995" t="str">
        <f>"2022"</f>
        <v>2022</v>
      </c>
      <c r="H2995" t="str">
        <f>"0001"</f>
        <v>0001</v>
      </c>
      <c r="I2995" t="s">
        <v>122</v>
      </c>
      <c r="J2995">
        <v>0</v>
      </c>
      <c r="K2995">
        <v>1</v>
      </c>
      <c r="L2995">
        <v>3</v>
      </c>
      <c r="M2995">
        <v>234</v>
      </c>
      <c r="N2995">
        <v>569</v>
      </c>
      <c r="O2995">
        <v>1</v>
      </c>
      <c r="P2995">
        <v>552</v>
      </c>
      <c r="Q2995">
        <v>8</v>
      </c>
      <c r="R2995">
        <v>309</v>
      </c>
      <c r="S2995">
        <v>8</v>
      </c>
      <c r="U2995">
        <v>8</v>
      </c>
      <c r="X2995">
        <v>187</v>
      </c>
      <c r="Z2995">
        <v>8</v>
      </c>
      <c r="AF2995">
        <v>0</v>
      </c>
      <c r="AG2995">
        <v>0</v>
      </c>
      <c r="AH2995">
        <v>0</v>
      </c>
      <c r="AI2995">
        <v>0</v>
      </c>
      <c r="AW2995">
        <v>0</v>
      </c>
      <c r="AX2995">
        <v>24</v>
      </c>
      <c r="AY2995">
        <v>552</v>
      </c>
      <c r="AZ2995">
        <v>552</v>
      </c>
      <c r="BA2995">
        <v>750</v>
      </c>
      <c r="BB2995">
        <v>44</v>
      </c>
      <c r="BD2995">
        <v>1</v>
      </c>
      <c r="BF2995" t="s">
        <v>3212</v>
      </c>
      <c r="BG2995" s="1">
        <v>44354.021527777775</v>
      </c>
      <c r="BH2995" s="1">
        <v>44354.028819444444</v>
      </c>
      <c r="BI2995" s="1">
        <v>44354.029224537036</v>
      </c>
      <c r="BJ2995" t="s">
        <v>85</v>
      </c>
      <c r="BK2995" t="s">
        <v>86</v>
      </c>
      <c r="BL2995" t="s">
        <v>87</v>
      </c>
    </row>
    <row r="2996" spans="1:64" x14ac:dyDescent="0.3">
      <c r="A2996" t="str">
        <f>"202023B0000"</f>
        <v>202023B0000</v>
      </c>
      <c r="B2996" t="str">
        <f>"202023B00003"</f>
        <v>202023B00003</v>
      </c>
      <c r="C2996" t="str">
        <f t="shared" si="206"/>
        <v>20</v>
      </c>
      <c r="D2996" t="s">
        <v>81</v>
      </c>
      <c r="E2996" t="str">
        <f t="shared" si="210"/>
        <v>468</v>
      </c>
      <c r="F2996" t="s">
        <v>3190</v>
      </c>
      <c r="G2996" t="str">
        <f>"2023"</f>
        <v>2023</v>
      </c>
      <c r="H2996" t="str">
        <f>"0000"</f>
        <v>0000</v>
      </c>
      <c r="I2996" t="s">
        <v>83</v>
      </c>
      <c r="J2996">
        <v>0</v>
      </c>
      <c r="K2996">
        <v>1</v>
      </c>
      <c r="L2996">
        <v>3</v>
      </c>
      <c r="M2996">
        <v>196</v>
      </c>
      <c r="N2996">
        <v>555</v>
      </c>
      <c r="O2996">
        <v>0</v>
      </c>
      <c r="P2996">
        <v>554</v>
      </c>
      <c r="Q2996">
        <v>0</v>
      </c>
      <c r="R2996">
        <v>321</v>
      </c>
      <c r="S2996">
        <v>6</v>
      </c>
      <c r="U2996">
        <v>10</v>
      </c>
      <c r="X2996">
        <v>209</v>
      </c>
      <c r="Z2996">
        <v>4</v>
      </c>
      <c r="AF2996">
        <v>0</v>
      </c>
      <c r="AG2996">
        <v>1</v>
      </c>
      <c r="AH2996">
        <v>0</v>
      </c>
      <c r="AI2996">
        <v>0</v>
      </c>
      <c r="AW2996">
        <v>0</v>
      </c>
      <c r="AX2996">
        <v>3</v>
      </c>
      <c r="AY2996">
        <v>554</v>
      </c>
      <c r="AZ2996">
        <v>554</v>
      </c>
      <c r="BA2996">
        <v>707</v>
      </c>
      <c r="BB2996">
        <v>44</v>
      </c>
      <c r="BD2996">
        <v>1</v>
      </c>
      <c r="BF2996" t="s">
        <v>3213</v>
      </c>
      <c r="BG2996" s="1">
        <v>44354.027083333334</v>
      </c>
      <c r="BH2996" s="1">
        <v>44354.033414351848</v>
      </c>
      <c r="BI2996" s="1">
        <v>44354.034074074072</v>
      </c>
      <c r="BJ2996" t="s">
        <v>85</v>
      </c>
      <c r="BK2996" t="s">
        <v>86</v>
      </c>
      <c r="BL2996" t="s">
        <v>87</v>
      </c>
    </row>
    <row r="2997" spans="1:64" x14ac:dyDescent="0.3">
      <c r="A2997" t="str">
        <f>"202024B0000"</f>
        <v>202024B0000</v>
      </c>
      <c r="B2997" t="str">
        <f>"202024B00003"</f>
        <v>202024B00003</v>
      </c>
      <c r="C2997" t="str">
        <f t="shared" si="206"/>
        <v>20</v>
      </c>
      <c r="D2997" t="s">
        <v>81</v>
      </c>
      <c r="E2997" t="str">
        <f t="shared" si="210"/>
        <v>468</v>
      </c>
      <c r="F2997" t="s">
        <v>3190</v>
      </c>
      <c r="G2997" t="str">
        <f>"2024"</f>
        <v>2024</v>
      </c>
      <c r="H2997" t="str">
        <f>"0000"</f>
        <v>0000</v>
      </c>
      <c r="I2997" t="s">
        <v>83</v>
      </c>
      <c r="J2997">
        <v>0</v>
      </c>
      <c r="K2997">
        <v>1</v>
      </c>
      <c r="L2997">
        <v>3</v>
      </c>
      <c r="M2997">
        <v>116</v>
      </c>
      <c r="N2997">
        <v>352</v>
      </c>
      <c r="O2997">
        <v>2</v>
      </c>
      <c r="P2997" t="s">
        <v>92</v>
      </c>
      <c r="Q2997">
        <v>0</v>
      </c>
      <c r="R2997">
        <v>251</v>
      </c>
      <c r="S2997">
        <v>0</v>
      </c>
      <c r="U2997">
        <v>13</v>
      </c>
      <c r="X2997">
        <v>76</v>
      </c>
      <c r="Z2997">
        <v>2</v>
      </c>
      <c r="AF2997">
        <v>0</v>
      </c>
      <c r="AG2997">
        <v>0</v>
      </c>
      <c r="AH2997">
        <v>0</v>
      </c>
      <c r="AI2997">
        <v>2</v>
      </c>
      <c r="AW2997">
        <v>0</v>
      </c>
      <c r="AX2997">
        <v>8</v>
      </c>
      <c r="AY2997">
        <v>352</v>
      </c>
      <c r="AZ2997">
        <v>352</v>
      </c>
      <c r="BA2997">
        <v>424</v>
      </c>
      <c r="BB2997">
        <v>44</v>
      </c>
      <c r="BD2997">
        <v>1</v>
      </c>
      <c r="BF2997" s="2" t="s">
        <v>3214</v>
      </c>
      <c r="BG2997" s="1">
        <v>44354.031944444447</v>
      </c>
      <c r="BH2997" s="1">
        <v>44354.039247685185</v>
      </c>
      <c r="BI2997" s="1">
        <v>44354.039953703701</v>
      </c>
      <c r="BJ2997" t="s">
        <v>85</v>
      </c>
      <c r="BK2997" t="s">
        <v>86</v>
      </c>
      <c r="BL2997" t="s">
        <v>87</v>
      </c>
    </row>
    <row r="2998" spans="1:64" x14ac:dyDescent="0.3">
      <c r="A2998" t="str">
        <f>"202024C0100"</f>
        <v>202024C0100</v>
      </c>
      <c r="B2998" t="str">
        <f>"202024C01003"</f>
        <v>202024C01003</v>
      </c>
      <c r="C2998" t="str">
        <f t="shared" si="206"/>
        <v>20</v>
      </c>
      <c r="D2998" t="s">
        <v>81</v>
      </c>
      <c r="E2998" t="str">
        <f t="shared" si="210"/>
        <v>468</v>
      </c>
      <c r="F2998" t="s">
        <v>3190</v>
      </c>
      <c r="G2998" t="str">
        <f>"2024"</f>
        <v>2024</v>
      </c>
      <c r="H2998" t="str">
        <f>"0001"</f>
        <v>0001</v>
      </c>
      <c r="I2998" t="s">
        <v>89</v>
      </c>
      <c r="J2998">
        <v>0</v>
      </c>
      <c r="K2998">
        <v>1</v>
      </c>
      <c r="L2998">
        <v>3</v>
      </c>
      <c r="M2998">
        <v>120</v>
      </c>
      <c r="N2998">
        <v>348</v>
      </c>
      <c r="O2998">
        <v>2</v>
      </c>
      <c r="P2998">
        <v>348</v>
      </c>
      <c r="Q2998">
        <v>1</v>
      </c>
      <c r="R2998">
        <v>218</v>
      </c>
      <c r="S2998">
        <v>6</v>
      </c>
      <c r="U2998">
        <v>7</v>
      </c>
      <c r="X2998">
        <v>110</v>
      </c>
      <c r="Z2998">
        <v>2</v>
      </c>
      <c r="AF2998">
        <v>0</v>
      </c>
      <c r="AG2998">
        <v>0</v>
      </c>
      <c r="AH2998">
        <v>0</v>
      </c>
      <c r="AI2998">
        <v>0</v>
      </c>
      <c r="AW2998">
        <v>0</v>
      </c>
      <c r="AX2998">
        <v>4</v>
      </c>
      <c r="AY2998">
        <v>348</v>
      </c>
      <c r="AZ2998">
        <v>348</v>
      </c>
      <c r="BA2998">
        <v>424</v>
      </c>
      <c r="BB2998">
        <v>44</v>
      </c>
      <c r="BD2998">
        <v>1</v>
      </c>
      <c r="BF2998" t="s">
        <v>3215</v>
      </c>
      <c r="BG2998" s="1">
        <v>44354.029166666667</v>
      </c>
      <c r="BH2998" s="1">
        <v>44354.035266203704</v>
      </c>
      <c r="BI2998" s="1">
        <v>44354.035752314812</v>
      </c>
      <c r="BJ2998" t="s">
        <v>85</v>
      </c>
      <c r="BK2998" t="s">
        <v>86</v>
      </c>
      <c r="BL2998" t="s">
        <v>87</v>
      </c>
    </row>
    <row r="2999" spans="1:64" x14ac:dyDescent="0.3">
      <c r="A2999" t="str">
        <f>"202033B0000"</f>
        <v>202033B0000</v>
      </c>
      <c r="B2999" t="str">
        <f>"202033B00003"</f>
        <v>202033B00003</v>
      </c>
      <c r="C2999" t="str">
        <f t="shared" si="206"/>
        <v>20</v>
      </c>
      <c r="D2999" t="s">
        <v>81</v>
      </c>
      <c r="E2999" t="str">
        <f t="shared" ref="E2999:E3044" si="211">"470"</f>
        <v>470</v>
      </c>
      <c r="F2999" t="s">
        <v>3216</v>
      </c>
      <c r="G2999" t="str">
        <f>"2033"</f>
        <v>2033</v>
      </c>
      <c r="H2999" t="str">
        <f>"0000"</f>
        <v>0000</v>
      </c>
      <c r="I2999" t="s">
        <v>83</v>
      </c>
      <c r="J2999">
        <v>0</v>
      </c>
      <c r="K2999">
        <v>1</v>
      </c>
      <c r="L2999">
        <v>3</v>
      </c>
      <c r="M2999">
        <v>247</v>
      </c>
      <c r="N2999">
        <v>388</v>
      </c>
      <c r="O2999">
        <v>8</v>
      </c>
      <c r="P2999">
        <v>391</v>
      </c>
      <c r="Q2999">
        <v>5</v>
      </c>
      <c r="R2999">
        <v>54</v>
      </c>
      <c r="S2999">
        <v>1</v>
      </c>
      <c r="T2999">
        <v>9</v>
      </c>
      <c r="U2999">
        <v>80</v>
      </c>
      <c r="V2999">
        <v>19</v>
      </c>
      <c r="X2999">
        <v>122</v>
      </c>
      <c r="Z2999">
        <v>1</v>
      </c>
      <c r="AB2999">
        <v>32</v>
      </c>
      <c r="AC2999">
        <v>58</v>
      </c>
      <c r="AF2999">
        <v>6</v>
      </c>
      <c r="AG2999">
        <v>0</v>
      </c>
      <c r="AH2999">
        <v>0</v>
      </c>
      <c r="AI2999">
        <v>0</v>
      </c>
      <c r="AW2999">
        <v>0</v>
      </c>
      <c r="AX2999">
        <v>4</v>
      </c>
      <c r="AY2999">
        <v>391</v>
      </c>
      <c r="AZ2999">
        <v>391</v>
      </c>
      <c r="BA2999">
        <v>590</v>
      </c>
      <c r="BB2999">
        <v>48</v>
      </c>
      <c r="BD2999">
        <v>1</v>
      </c>
      <c r="BF2999" t="s">
        <v>3217</v>
      </c>
      <c r="BG2999" s="1">
        <v>44354.020138888889</v>
      </c>
      <c r="BH2999" s="1">
        <v>44354.02925925926</v>
      </c>
      <c r="BI2999" s="1">
        <v>44354.029641203706</v>
      </c>
      <c r="BJ2999" t="s">
        <v>85</v>
      </c>
      <c r="BK2999" t="s">
        <v>86</v>
      </c>
      <c r="BL2999" t="s">
        <v>87</v>
      </c>
    </row>
    <row r="3000" spans="1:64" x14ac:dyDescent="0.3">
      <c r="A3000" t="str">
        <f>"202033C0100"</f>
        <v>202033C0100</v>
      </c>
      <c r="B3000" t="str">
        <f>"202033C01003"</f>
        <v>202033C01003</v>
      </c>
      <c r="C3000" t="str">
        <f t="shared" si="206"/>
        <v>20</v>
      </c>
      <c r="D3000" t="s">
        <v>81</v>
      </c>
      <c r="E3000" t="str">
        <f t="shared" si="211"/>
        <v>470</v>
      </c>
      <c r="F3000" t="s">
        <v>3216</v>
      </c>
      <c r="G3000" t="str">
        <f>"2033"</f>
        <v>2033</v>
      </c>
      <c r="H3000" t="str">
        <f>"0001"</f>
        <v>0001</v>
      </c>
      <c r="I3000" t="s">
        <v>89</v>
      </c>
      <c r="J3000">
        <v>0</v>
      </c>
      <c r="K3000">
        <v>1</v>
      </c>
      <c r="L3000">
        <v>3</v>
      </c>
      <c r="M3000">
        <v>266</v>
      </c>
      <c r="N3000">
        <v>372</v>
      </c>
      <c r="O3000">
        <v>6</v>
      </c>
      <c r="P3000">
        <v>0</v>
      </c>
      <c r="Q3000">
        <v>3</v>
      </c>
      <c r="R3000">
        <v>49</v>
      </c>
      <c r="S3000">
        <v>1</v>
      </c>
      <c r="T3000">
        <v>9</v>
      </c>
      <c r="U3000">
        <v>67</v>
      </c>
      <c r="V3000">
        <v>19</v>
      </c>
      <c r="X3000">
        <v>104</v>
      </c>
      <c r="Z3000">
        <v>2</v>
      </c>
      <c r="AB3000">
        <v>21</v>
      </c>
      <c r="AC3000">
        <v>82</v>
      </c>
      <c r="AF3000">
        <v>6</v>
      </c>
      <c r="AG3000">
        <v>0</v>
      </c>
      <c r="AH3000">
        <v>0</v>
      </c>
      <c r="AI3000">
        <v>0</v>
      </c>
      <c r="AW3000">
        <v>0</v>
      </c>
      <c r="AX3000">
        <v>9</v>
      </c>
      <c r="AY3000">
        <v>372</v>
      </c>
      <c r="AZ3000">
        <v>372</v>
      </c>
      <c r="BA3000">
        <v>590</v>
      </c>
      <c r="BB3000">
        <v>48</v>
      </c>
      <c r="BD3000">
        <v>1</v>
      </c>
      <c r="BF3000" t="s">
        <v>3218</v>
      </c>
      <c r="BG3000" s="1">
        <v>44353.988888888889</v>
      </c>
      <c r="BH3000" s="1">
        <v>44353.996388888889</v>
      </c>
      <c r="BI3000" s="1">
        <v>44353.996817129628</v>
      </c>
      <c r="BJ3000" t="s">
        <v>85</v>
      </c>
      <c r="BK3000" t="s">
        <v>86</v>
      </c>
      <c r="BL3000" t="s">
        <v>87</v>
      </c>
    </row>
    <row r="3001" spans="1:64" x14ac:dyDescent="0.3">
      <c r="A3001" t="str">
        <f>"202033C0200"</f>
        <v>202033C0200</v>
      </c>
      <c r="B3001" t="str">
        <f>"202033C02003"</f>
        <v>202033C02003</v>
      </c>
      <c r="C3001" t="str">
        <f t="shared" si="206"/>
        <v>20</v>
      </c>
      <c r="D3001" t="s">
        <v>81</v>
      </c>
      <c r="E3001" t="str">
        <f t="shared" si="211"/>
        <v>470</v>
      </c>
      <c r="F3001" t="s">
        <v>3216</v>
      </c>
      <c r="G3001" t="str">
        <f>"2033"</f>
        <v>2033</v>
      </c>
      <c r="H3001" t="str">
        <f>"0002"</f>
        <v>0002</v>
      </c>
      <c r="I3001" t="s">
        <v>89</v>
      </c>
      <c r="J3001">
        <v>0</v>
      </c>
      <c r="K3001">
        <v>1</v>
      </c>
      <c r="L3001">
        <v>3</v>
      </c>
      <c r="M3001">
        <v>291</v>
      </c>
      <c r="N3001">
        <v>344</v>
      </c>
      <c r="O3001">
        <v>12</v>
      </c>
      <c r="P3001">
        <v>346</v>
      </c>
      <c r="Q3001">
        <v>2</v>
      </c>
      <c r="R3001">
        <v>62</v>
      </c>
      <c r="S3001">
        <v>1</v>
      </c>
      <c r="T3001">
        <v>10</v>
      </c>
      <c r="U3001">
        <v>62</v>
      </c>
      <c r="V3001">
        <v>18</v>
      </c>
      <c r="X3001">
        <v>88</v>
      </c>
      <c r="Z3001">
        <v>2</v>
      </c>
      <c r="AB3001">
        <v>23</v>
      </c>
      <c r="AC3001">
        <v>67</v>
      </c>
      <c r="AF3001">
        <v>5</v>
      </c>
      <c r="AG3001">
        <v>0</v>
      </c>
      <c r="AH3001">
        <v>1</v>
      </c>
      <c r="AI3001">
        <v>0</v>
      </c>
      <c r="AW3001">
        <v>0</v>
      </c>
      <c r="AX3001">
        <v>6</v>
      </c>
      <c r="AY3001">
        <v>346</v>
      </c>
      <c r="AZ3001">
        <v>347</v>
      </c>
      <c r="BA3001">
        <v>589</v>
      </c>
      <c r="BB3001">
        <v>48</v>
      </c>
      <c r="BD3001">
        <v>1</v>
      </c>
      <c r="BF3001" t="s">
        <v>3219</v>
      </c>
      <c r="BG3001" s="1">
        <v>44354.018055555556</v>
      </c>
      <c r="BH3001" s="1">
        <v>44354.026238425926</v>
      </c>
      <c r="BI3001" s="1">
        <v>44354.02679398148</v>
      </c>
      <c r="BJ3001" t="s">
        <v>85</v>
      </c>
      <c r="BK3001" t="s">
        <v>86</v>
      </c>
      <c r="BL3001" t="s">
        <v>87</v>
      </c>
    </row>
    <row r="3002" spans="1:64" x14ac:dyDescent="0.3">
      <c r="A3002" t="str">
        <f>"202033S0100"</f>
        <v>202033S0100</v>
      </c>
      <c r="B3002" t="str">
        <f>"202033S01003E"</f>
        <v>202033S01003E</v>
      </c>
      <c r="C3002" t="str">
        <f t="shared" si="206"/>
        <v>20</v>
      </c>
      <c r="D3002" t="s">
        <v>81</v>
      </c>
      <c r="E3002" t="str">
        <f t="shared" si="211"/>
        <v>470</v>
      </c>
      <c r="F3002" t="s">
        <v>3216</v>
      </c>
      <c r="G3002" t="str">
        <f>"2033"</f>
        <v>2033</v>
      </c>
      <c r="H3002" t="str">
        <f>"0001"</f>
        <v>0001</v>
      </c>
      <c r="I3002" t="s">
        <v>99</v>
      </c>
      <c r="J3002">
        <v>0</v>
      </c>
      <c r="K3002">
        <v>1</v>
      </c>
      <c r="L3002" t="s">
        <v>100</v>
      </c>
      <c r="M3002">
        <v>778</v>
      </c>
      <c r="N3002">
        <v>222</v>
      </c>
      <c r="O3002">
        <v>0</v>
      </c>
      <c r="P3002">
        <v>222</v>
      </c>
      <c r="Q3002">
        <v>0</v>
      </c>
      <c r="R3002">
        <v>24</v>
      </c>
      <c r="S3002">
        <v>7</v>
      </c>
      <c r="T3002">
        <v>6</v>
      </c>
      <c r="U3002">
        <v>33</v>
      </c>
      <c r="V3002">
        <v>26</v>
      </c>
      <c r="X3002">
        <v>86</v>
      </c>
      <c r="Z3002">
        <v>2</v>
      </c>
      <c r="AB3002">
        <v>10</v>
      </c>
      <c r="AC3002">
        <v>14</v>
      </c>
      <c r="AF3002">
        <v>1</v>
      </c>
      <c r="AG3002">
        <v>0</v>
      </c>
      <c r="AH3002">
        <v>0</v>
      </c>
      <c r="AI3002">
        <v>0</v>
      </c>
      <c r="AW3002">
        <v>0</v>
      </c>
      <c r="AX3002">
        <v>13</v>
      </c>
      <c r="AY3002">
        <v>222</v>
      </c>
      <c r="AZ3002">
        <v>222</v>
      </c>
      <c r="BA3002">
        <v>0</v>
      </c>
      <c r="BB3002">
        <v>48</v>
      </c>
      <c r="BD3002">
        <v>1</v>
      </c>
      <c r="BF3002" t="s">
        <v>3220</v>
      </c>
      <c r="BG3002" s="1">
        <v>44354.056250000001</v>
      </c>
      <c r="BH3002" s="1">
        <v>44354.064375000002</v>
      </c>
      <c r="BI3002" s="1">
        <v>44354.065034722225</v>
      </c>
      <c r="BJ3002" t="s">
        <v>85</v>
      </c>
      <c r="BK3002" t="s">
        <v>86</v>
      </c>
      <c r="BL3002" t="s">
        <v>87</v>
      </c>
    </row>
    <row r="3003" spans="1:64" x14ac:dyDescent="0.3">
      <c r="A3003" t="str">
        <f>"202034B0000"</f>
        <v>202034B0000</v>
      </c>
      <c r="B3003" t="str">
        <f>"202034B00003"</f>
        <v>202034B00003</v>
      </c>
      <c r="C3003" t="str">
        <f t="shared" si="206"/>
        <v>20</v>
      </c>
      <c r="D3003" t="s">
        <v>81</v>
      </c>
      <c r="E3003" t="str">
        <f t="shared" si="211"/>
        <v>470</v>
      </c>
      <c r="F3003" t="s">
        <v>3216</v>
      </c>
      <c r="G3003" t="str">
        <f>"2034"</f>
        <v>2034</v>
      </c>
      <c r="H3003" t="str">
        <f>"0000"</f>
        <v>0000</v>
      </c>
      <c r="I3003" t="s">
        <v>83</v>
      </c>
      <c r="J3003">
        <v>0</v>
      </c>
      <c r="K3003">
        <v>1</v>
      </c>
      <c r="L3003">
        <v>3</v>
      </c>
      <c r="M3003">
        <v>306</v>
      </c>
      <c r="N3003">
        <v>404</v>
      </c>
      <c r="O3003">
        <v>9</v>
      </c>
      <c r="P3003">
        <v>404</v>
      </c>
      <c r="Q3003">
        <v>3</v>
      </c>
      <c r="R3003">
        <v>80</v>
      </c>
      <c r="S3003">
        <v>8</v>
      </c>
      <c r="T3003">
        <v>19</v>
      </c>
      <c r="U3003">
        <v>64</v>
      </c>
      <c r="V3003">
        <v>20</v>
      </c>
      <c r="X3003">
        <v>84</v>
      </c>
      <c r="Z3003">
        <v>1</v>
      </c>
      <c r="AB3003">
        <v>37</v>
      </c>
      <c r="AC3003">
        <v>68</v>
      </c>
      <c r="AF3003">
        <v>5</v>
      </c>
      <c r="AG3003">
        <v>0</v>
      </c>
      <c r="AH3003">
        <v>0</v>
      </c>
      <c r="AI3003">
        <v>0</v>
      </c>
      <c r="AW3003">
        <v>0</v>
      </c>
      <c r="AX3003">
        <v>15</v>
      </c>
      <c r="AY3003">
        <v>404</v>
      </c>
      <c r="AZ3003">
        <v>404</v>
      </c>
      <c r="BA3003">
        <v>662</v>
      </c>
      <c r="BB3003">
        <v>48</v>
      </c>
      <c r="BD3003">
        <v>1</v>
      </c>
      <c r="BF3003" t="s">
        <v>3221</v>
      </c>
      <c r="BG3003" s="1">
        <v>44354.12222222222</v>
      </c>
      <c r="BH3003" s="1">
        <v>44354.125173611108</v>
      </c>
      <c r="BI3003" s="1">
        <v>44354.12604166667</v>
      </c>
      <c r="BJ3003" t="s">
        <v>85</v>
      </c>
      <c r="BK3003" t="s">
        <v>86</v>
      </c>
      <c r="BL3003" t="s">
        <v>87</v>
      </c>
    </row>
    <row r="3004" spans="1:64" x14ac:dyDescent="0.3">
      <c r="A3004" t="str">
        <f>"202034C0100"</f>
        <v>202034C0100</v>
      </c>
      <c r="B3004" t="str">
        <f>"202034C01003"</f>
        <v>202034C01003</v>
      </c>
      <c r="C3004" t="str">
        <f t="shared" si="206"/>
        <v>20</v>
      </c>
      <c r="D3004" t="s">
        <v>81</v>
      </c>
      <c r="E3004" t="str">
        <f t="shared" si="211"/>
        <v>470</v>
      </c>
      <c r="F3004" t="s">
        <v>3216</v>
      </c>
      <c r="G3004" t="str">
        <f>"2034"</f>
        <v>2034</v>
      </c>
      <c r="H3004" t="str">
        <f>"0001"</f>
        <v>0001</v>
      </c>
      <c r="I3004" t="s">
        <v>89</v>
      </c>
      <c r="J3004">
        <v>0</v>
      </c>
      <c r="K3004">
        <v>1</v>
      </c>
      <c r="L3004">
        <v>3</v>
      </c>
      <c r="M3004">
        <v>331</v>
      </c>
      <c r="N3004">
        <v>379</v>
      </c>
      <c r="O3004">
        <v>12</v>
      </c>
      <c r="P3004">
        <v>379</v>
      </c>
      <c r="Q3004">
        <v>1</v>
      </c>
      <c r="R3004">
        <v>65</v>
      </c>
      <c r="S3004">
        <v>3</v>
      </c>
      <c r="T3004">
        <v>9</v>
      </c>
      <c r="U3004">
        <v>63</v>
      </c>
      <c r="V3004">
        <v>25</v>
      </c>
      <c r="X3004">
        <v>65</v>
      </c>
      <c r="Z3004">
        <v>1</v>
      </c>
      <c r="AB3004">
        <v>53</v>
      </c>
      <c r="AC3004">
        <v>73</v>
      </c>
      <c r="AF3004">
        <v>0</v>
      </c>
      <c r="AG3004">
        <v>0</v>
      </c>
      <c r="AH3004">
        <v>0</v>
      </c>
      <c r="AI3004">
        <v>0</v>
      </c>
      <c r="AW3004">
        <v>0</v>
      </c>
      <c r="AX3004">
        <v>21</v>
      </c>
      <c r="AY3004">
        <v>379</v>
      </c>
      <c r="AZ3004">
        <v>379</v>
      </c>
      <c r="BA3004">
        <v>662</v>
      </c>
      <c r="BB3004">
        <v>48</v>
      </c>
      <c r="BD3004">
        <v>1</v>
      </c>
      <c r="BF3004" t="s">
        <v>3222</v>
      </c>
      <c r="BG3004" s="1">
        <v>44354.123611111114</v>
      </c>
      <c r="BH3004" s="1">
        <v>44354.125717592593</v>
      </c>
      <c r="BI3004" s="1">
        <v>44354.125914351855</v>
      </c>
      <c r="BJ3004" t="s">
        <v>85</v>
      </c>
      <c r="BK3004" t="s">
        <v>86</v>
      </c>
      <c r="BL3004" t="s">
        <v>87</v>
      </c>
    </row>
    <row r="3005" spans="1:64" x14ac:dyDescent="0.3">
      <c r="A3005" t="str">
        <f>"202034C0200"</f>
        <v>202034C0200</v>
      </c>
      <c r="B3005" t="str">
        <f>"202034C02003"</f>
        <v>202034C02003</v>
      </c>
      <c r="C3005" t="str">
        <f t="shared" si="206"/>
        <v>20</v>
      </c>
      <c r="D3005" t="s">
        <v>81</v>
      </c>
      <c r="E3005" t="str">
        <f t="shared" si="211"/>
        <v>470</v>
      </c>
      <c r="F3005" t="s">
        <v>3216</v>
      </c>
      <c r="G3005" t="str">
        <f>"2034"</f>
        <v>2034</v>
      </c>
      <c r="H3005" t="str">
        <f>"0002"</f>
        <v>0002</v>
      </c>
      <c r="I3005" t="s">
        <v>89</v>
      </c>
      <c r="J3005">
        <v>0</v>
      </c>
      <c r="K3005">
        <v>1</v>
      </c>
      <c r="L3005">
        <v>3</v>
      </c>
      <c r="M3005">
        <v>362</v>
      </c>
      <c r="N3005">
        <v>348</v>
      </c>
      <c r="O3005">
        <v>7</v>
      </c>
      <c r="P3005">
        <v>348</v>
      </c>
      <c r="Q3005">
        <v>3</v>
      </c>
      <c r="R3005">
        <v>75</v>
      </c>
      <c r="S3005">
        <v>1</v>
      </c>
      <c r="T3005">
        <v>3</v>
      </c>
      <c r="U3005">
        <v>63</v>
      </c>
      <c r="V3005">
        <v>21</v>
      </c>
      <c r="X3005">
        <v>58</v>
      </c>
      <c r="Z3005">
        <v>2</v>
      </c>
      <c r="AB3005">
        <v>38</v>
      </c>
      <c r="AC3005">
        <v>59</v>
      </c>
      <c r="AF3005">
        <v>7</v>
      </c>
      <c r="AG3005">
        <v>0</v>
      </c>
      <c r="AH3005">
        <v>0</v>
      </c>
      <c r="AI3005">
        <v>0</v>
      </c>
      <c r="AW3005">
        <v>1</v>
      </c>
      <c r="AX3005">
        <v>17</v>
      </c>
      <c r="AY3005">
        <v>348</v>
      </c>
      <c r="AZ3005">
        <v>348</v>
      </c>
      <c r="BA3005">
        <v>662</v>
      </c>
      <c r="BB3005">
        <v>48</v>
      </c>
      <c r="BD3005">
        <v>1</v>
      </c>
      <c r="BF3005" t="s">
        <v>3223</v>
      </c>
      <c r="BG3005" s="1">
        <v>44354.126388888886</v>
      </c>
      <c r="BH3005" s="1">
        <v>44354.128831018519</v>
      </c>
      <c r="BI3005" s="1">
        <v>44354.12972222222</v>
      </c>
      <c r="BJ3005" t="s">
        <v>85</v>
      </c>
      <c r="BK3005" t="s">
        <v>86</v>
      </c>
      <c r="BL3005" t="s">
        <v>87</v>
      </c>
    </row>
    <row r="3006" spans="1:64" x14ac:dyDescent="0.3">
      <c r="A3006" t="str">
        <f>"202034C0300"</f>
        <v>202034C0300</v>
      </c>
      <c r="B3006" t="str">
        <f>"202034C03003"</f>
        <v>202034C03003</v>
      </c>
      <c r="C3006" t="str">
        <f t="shared" si="206"/>
        <v>20</v>
      </c>
      <c r="D3006" t="s">
        <v>81</v>
      </c>
      <c r="E3006" t="str">
        <f t="shared" si="211"/>
        <v>470</v>
      </c>
      <c r="F3006" t="s">
        <v>3216</v>
      </c>
      <c r="G3006" t="str">
        <f>"2034"</f>
        <v>2034</v>
      </c>
      <c r="H3006" t="str">
        <f>"0003"</f>
        <v>0003</v>
      </c>
      <c r="I3006" t="s">
        <v>89</v>
      </c>
      <c r="J3006">
        <v>0</v>
      </c>
      <c r="K3006">
        <v>1</v>
      </c>
      <c r="L3006">
        <v>3</v>
      </c>
      <c r="M3006">
        <v>345</v>
      </c>
      <c r="N3006">
        <v>365</v>
      </c>
      <c r="O3006">
        <v>6</v>
      </c>
      <c r="P3006">
        <v>365</v>
      </c>
      <c r="Q3006">
        <v>2</v>
      </c>
      <c r="R3006">
        <v>60</v>
      </c>
      <c r="S3006">
        <v>2</v>
      </c>
      <c r="T3006">
        <v>12</v>
      </c>
      <c r="U3006">
        <v>80</v>
      </c>
      <c r="V3006">
        <v>24</v>
      </c>
      <c r="X3006">
        <v>76</v>
      </c>
      <c r="Z3006">
        <v>3</v>
      </c>
      <c r="AB3006">
        <v>40</v>
      </c>
      <c r="AC3006">
        <v>58</v>
      </c>
      <c r="AF3006">
        <v>0</v>
      </c>
      <c r="AG3006">
        <v>0</v>
      </c>
      <c r="AH3006">
        <v>0</v>
      </c>
      <c r="AI3006">
        <v>0</v>
      </c>
      <c r="AW3006">
        <v>0</v>
      </c>
      <c r="AX3006">
        <v>8</v>
      </c>
      <c r="AY3006">
        <v>365</v>
      </c>
      <c r="AZ3006">
        <v>365</v>
      </c>
      <c r="BA3006">
        <v>662</v>
      </c>
      <c r="BB3006">
        <v>48</v>
      </c>
      <c r="BD3006">
        <v>1</v>
      </c>
      <c r="BF3006" t="s">
        <v>3224</v>
      </c>
      <c r="BG3006" s="1">
        <v>44354.128472222219</v>
      </c>
      <c r="BH3006" s="1">
        <v>44354.131053240744</v>
      </c>
      <c r="BI3006" s="1">
        <v>44354.131458333337</v>
      </c>
      <c r="BJ3006" t="s">
        <v>85</v>
      </c>
      <c r="BK3006" t="s">
        <v>86</v>
      </c>
      <c r="BL3006" t="s">
        <v>87</v>
      </c>
    </row>
    <row r="3007" spans="1:64" x14ac:dyDescent="0.3">
      <c r="A3007" t="str">
        <f>"202035B0000"</f>
        <v>202035B0000</v>
      </c>
      <c r="B3007" t="str">
        <f>"202035B00003"</f>
        <v>202035B00003</v>
      </c>
      <c r="C3007" t="str">
        <f t="shared" si="206"/>
        <v>20</v>
      </c>
      <c r="D3007" t="s">
        <v>81</v>
      </c>
      <c r="E3007" t="str">
        <f t="shared" si="211"/>
        <v>470</v>
      </c>
      <c r="F3007" t="s">
        <v>3216</v>
      </c>
      <c r="G3007" t="str">
        <f>"2035"</f>
        <v>2035</v>
      </c>
      <c r="H3007" t="str">
        <f>"0000"</f>
        <v>0000</v>
      </c>
      <c r="I3007" t="s">
        <v>83</v>
      </c>
      <c r="J3007">
        <v>0</v>
      </c>
      <c r="K3007">
        <v>1</v>
      </c>
      <c r="L3007">
        <v>3</v>
      </c>
      <c r="M3007">
        <v>248</v>
      </c>
      <c r="N3007">
        <v>416</v>
      </c>
      <c r="O3007">
        <v>8</v>
      </c>
      <c r="P3007">
        <v>416</v>
      </c>
      <c r="Q3007">
        <v>3</v>
      </c>
      <c r="R3007">
        <v>65</v>
      </c>
      <c r="S3007">
        <v>1</v>
      </c>
      <c r="T3007">
        <v>5</v>
      </c>
      <c r="U3007">
        <v>52</v>
      </c>
      <c r="V3007">
        <v>54</v>
      </c>
      <c r="X3007">
        <v>99</v>
      </c>
      <c r="Z3007">
        <v>3</v>
      </c>
      <c r="AB3007">
        <v>49</v>
      </c>
      <c r="AC3007">
        <v>71</v>
      </c>
      <c r="AF3007">
        <v>2</v>
      </c>
      <c r="AG3007">
        <v>0</v>
      </c>
      <c r="AH3007">
        <v>0</v>
      </c>
      <c r="AI3007">
        <v>1</v>
      </c>
      <c r="AW3007">
        <v>0</v>
      </c>
      <c r="AX3007">
        <v>11</v>
      </c>
      <c r="AY3007">
        <v>416</v>
      </c>
      <c r="AZ3007">
        <v>416</v>
      </c>
      <c r="BA3007">
        <v>616</v>
      </c>
      <c r="BB3007">
        <v>48</v>
      </c>
      <c r="BD3007">
        <v>1</v>
      </c>
      <c r="BF3007" t="s">
        <v>3225</v>
      </c>
      <c r="BG3007" s="1">
        <v>44354.104861111111</v>
      </c>
      <c r="BH3007" s="1">
        <v>44354.108020833337</v>
      </c>
      <c r="BI3007" s="1">
        <v>44354.108680555553</v>
      </c>
      <c r="BJ3007" t="s">
        <v>85</v>
      </c>
      <c r="BK3007" t="s">
        <v>86</v>
      </c>
      <c r="BL3007" t="s">
        <v>87</v>
      </c>
    </row>
    <row r="3008" spans="1:64" x14ac:dyDescent="0.3">
      <c r="A3008" t="str">
        <f>"202035C0100"</f>
        <v>202035C0100</v>
      </c>
      <c r="B3008" t="str">
        <f>"202035C01003"</f>
        <v>202035C01003</v>
      </c>
      <c r="C3008" t="str">
        <f t="shared" si="206"/>
        <v>20</v>
      </c>
      <c r="D3008" t="s">
        <v>81</v>
      </c>
      <c r="E3008" t="str">
        <f t="shared" si="211"/>
        <v>470</v>
      </c>
      <c r="F3008" t="s">
        <v>3216</v>
      </c>
      <c r="G3008" t="str">
        <f>"2035"</f>
        <v>2035</v>
      </c>
      <c r="H3008" t="str">
        <f>"0001"</f>
        <v>0001</v>
      </c>
      <c r="I3008" t="s">
        <v>89</v>
      </c>
      <c r="J3008">
        <v>0</v>
      </c>
      <c r="K3008">
        <v>1</v>
      </c>
      <c r="L3008">
        <v>3</v>
      </c>
      <c r="M3008">
        <v>257</v>
      </c>
      <c r="N3008">
        <v>407</v>
      </c>
      <c r="O3008">
        <v>9</v>
      </c>
      <c r="P3008">
        <v>407</v>
      </c>
      <c r="Q3008">
        <v>0</v>
      </c>
      <c r="R3008">
        <v>65</v>
      </c>
      <c r="S3008">
        <v>3</v>
      </c>
      <c r="T3008">
        <v>5</v>
      </c>
      <c r="U3008">
        <v>45</v>
      </c>
      <c r="V3008">
        <v>41</v>
      </c>
      <c r="X3008">
        <v>90</v>
      </c>
      <c r="Z3008">
        <v>1</v>
      </c>
      <c r="AB3008">
        <v>45</v>
      </c>
      <c r="AC3008">
        <v>95</v>
      </c>
      <c r="AF3008">
        <v>6</v>
      </c>
      <c r="AG3008">
        <v>0</v>
      </c>
      <c r="AH3008">
        <v>0</v>
      </c>
      <c r="AI3008">
        <v>0</v>
      </c>
      <c r="AW3008">
        <v>0</v>
      </c>
      <c r="AX3008">
        <v>11</v>
      </c>
      <c r="AY3008">
        <v>407</v>
      </c>
      <c r="AZ3008">
        <v>407</v>
      </c>
      <c r="BA3008">
        <v>616</v>
      </c>
      <c r="BB3008">
        <v>48</v>
      </c>
      <c r="BD3008">
        <v>1</v>
      </c>
      <c r="BF3008" t="s">
        <v>3226</v>
      </c>
      <c r="BG3008" s="1">
        <v>44354.138888888891</v>
      </c>
      <c r="BH3008" s="1">
        <v>44354.140706018516</v>
      </c>
      <c r="BI3008" s="1">
        <v>44354.141076388885</v>
      </c>
      <c r="BJ3008" t="s">
        <v>85</v>
      </c>
      <c r="BK3008" t="s">
        <v>86</v>
      </c>
      <c r="BL3008" t="s">
        <v>87</v>
      </c>
    </row>
    <row r="3009" spans="1:64" x14ac:dyDescent="0.3">
      <c r="A3009" t="str">
        <f>"202035C0200"</f>
        <v>202035C0200</v>
      </c>
      <c r="B3009" t="str">
        <f>"202035C02003"</f>
        <v>202035C02003</v>
      </c>
      <c r="C3009" t="str">
        <f t="shared" si="206"/>
        <v>20</v>
      </c>
      <c r="D3009" t="s">
        <v>81</v>
      </c>
      <c r="E3009" t="str">
        <f t="shared" si="211"/>
        <v>470</v>
      </c>
      <c r="F3009" t="s">
        <v>3216</v>
      </c>
      <c r="G3009" t="str">
        <f>"2035"</f>
        <v>2035</v>
      </c>
      <c r="H3009" t="str">
        <f>"0002"</f>
        <v>0002</v>
      </c>
      <c r="I3009" t="s">
        <v>89</v>
      </c>
      <c r="J3009">
        <v>0</v>
      </c>
      <c r="K3009">
        <v>1</v>
      </c>
      <c r="L3009">
        <v>3</v>
      </c>
      <c r="M3009">
        <v>261</v>
      </c>
      <c r="N3009">
        <v>403</v>
      </c>
      <c r="O3009">
        <v>12</v>
      </c>
      <c r="P3009">
        <v>403</v>
      </c>
      <c r="Q3009">
        <v>1</v>
      </c>
      <c r="R3009">
        <v>34</v>
      </c>
      <c r="S3009">
        <v>0</v>
      </c>
      <c r="T3009">
        <v>7</v>
      </c>
      <c r="U3009">
        <v>57</v>
      </c>
      <c r="V3009">
        <v>57</v>
      </c>
      <c r="X3009">
        <v>93</v>
      </c>
      <c r="Z3009">
        <v>0</v>
      </c>
      <c r="AB3009">
        <v>58</v>
      </c>
      <c r="AC3009">
        <v>81</v>
      </c>
      <c r="AF3009">
        <v>5</v>
      </c>
      <c r="AG3009">
        <v>0</v>
      </c>
      <c r="AH3009">
        <v>0</v>
      </c>
      <c r="AI3009">
        <v>0</v>
      </c>
      <c r="AW3009">
        <v>0</v>
      </c>
      <c r="AX3009">
        <v>10</v>
      </c>
      <c r="AY3009">
        <v>403</v>
      </c>
      <c r="AZ3009">
        <v>403</v>
      </c>
      <c r="BA3009">
        <v>616</v>
      </c>
      <c r="BB3009">
        <v>48</v>
      </c>
      <c r="BD3009">
        <v>1</v>
      </c>
      <c r="BF3009" t="s">
        <v>3227</v>
      </c>
      <c r="BG3009" s="1">
        <v>44354.115972222222</v>
      </c>
      <c r="BH3009" s="1">
        <v>44354.118310185186</v>
      </c>
      <c r="BI3009" s="1">
        <v>44354.118877314817</v>
      </c>
      <c r="BJ3009" t="s">
        <v>85</v>
      </c>
      <c r="BK3009" t="s">
        <v>86</v>
      </c>
      <c r="BL3009" t="s">
        <v>87</v>
      </c>
    </row>
    <row r="3010" spans="1:64" x14ac:dyDescent="0.3">
      <c r="A3010" t="str">
        <f>"202035E0100"</f>
        <v>202035E0100</v>
      </c>
      <c r="B3010" t="str">
        <f>"202035E01003"</f>
        <v>202035E01003</v>
      </c>
      <c r="C3010" t="str">
        <f t="shared" si="206"/>
        <v>20</v>
      </c>
      <c r="D3010" t="s">
        <v>81</v>
      </c>
      <c r="E3010" t="str">
        <f t="shared" si="211"/>
        <v>470</v>
      </c>
      <c r="F3010" t="s">
        <v>3216</v>
      </c>
      <c r="G3010" t="str">
        <f>"2035"</f>
        <v>2035</v>
      </c>
      <c r="H3010" t="str">
        <f>"0001"</f>
        <v>0001</v>
      </c>
      <c r="I3010" t="s">
        <v>122</v>
      </c>
      <c r="J3010">
        <v>0</v>
      </c>
      <c r="K3010">
        <v>1</v>
      </c>
      <c r="L3010">
        <v>3</v>
      </c>
      <c r="M3010">
        <v>102</v>
      </c>
      <c r="N3010">
        <v>109</v>
      </c>
      <c r="O3010">
        <v>9</v>
      </c>
      <c r="P3010">
        <v>109</v>
      </c>
      <c r="Q3010">
        <v>2</v>
      </c>
      <c r="R3010">
        <v>23</v>
      </c>
      <c r="S3010">
        <v>1</v>
      </c>
      <c r="T3010">
        <v>4</v>
      </c>
      <c r="U3010">
        <v>12</v>
      </c>
      <c r="V3010">
        <v>1</v>
      </c>
      <c r="X3010">
        <v>33</v>
      </c>
      <c r="Z3010">
        <v>3</v>
      </c>
      <c r="AB3010">
        <v>3</v>
      </c>
      <c r="AC3010">
        <v>16</v>
      </c>
      <c r="AF3010">
        <v>1</v>
      </c>
      <c r="AG3010">
        <v>0</v>
      </c>
      <c r="AH3010">
        <v>0</v>
      </c>
      <c r="AI3010">
        <v>0</v>
      </c>
      <c r="AW3010">
        <v>0</v>
      </c>
      <c r="AX3010">
        <v>10</v>
      </c>
      <c r="AY3010">
        <v>109</v>
      </c>
      <c r="AZ3010">
        <v>109</v>
      </c>
      <c r="BA3010">
        <v>163</v>
      </c>
      <c r="BB3010">
        <v>48</v>
      </c>
      <c r="BD3010">
        <v>1</v>
      </c>
      <c r="BF3010" t="s">
        <v>3228</v>
      </c>
      <c r="BG3010" s="1">
        <v>44354.149305555555</v>
      </c>
      <c r="BH3010" s="1">
        <v>44354.151574074072</v>
      </c>
      <c r="BI3010" s="1">
        <v>44354.151979166665</v>
      </c>
      <c r="BJ3010" t="s">
        <v>85</v>
      </c>
      <c r="BK3010" t="s">
        <v>86</v>
      </c>
      <c r="BL3010" t="s">
        <v>87</v>
      </c>
    </row>
    <row r="3011" spans="1:64" x14ac:dyDescent="0.3">
      <c r="A3011" t="str">
        <f>"202036B0000"</f>
        <v>202036B0000</v>
      </c>
      <c r="B3011" t="str">
        <f>"202036B00003"</f>
        <v>202036B00003</v>
      </c>
      <c r="C3011" t="str">
        <f t="shared" si="206"/>
        <v>20</v>
      </c>
      <c r="D3011" t="s">
        <v>81</v>
      </c>
      <c r="E3011" t="str">
        <f t="shared" si="211"/>
        <v>470</v>
      </c>
      <c r="F3011" t="s">
        <v>3216</v>
      </c>
      <c r="G3011" t="str">
        <f>"2036"</f>
        <v>2036</v>
      </c>
      <c r="H3011" t="str">
        <f>"0000"</f>
        <v>0000</v>
      </c>
      <c r="I3011" t="s">
        <v>83</v>
      </c>
      <c r="J3011">
        <v>0</v>
      </c>
      <c r="K3011">
        <v>1</v>
      </c>
      <c r="L3011">
        <v>3</v>
      </c>
      <c r="M3011">
        <v>325</v>
      </c>
      <c r="N3011">
        <v>470</v>
      </c>
      <c r="O3011">
        <v>5</v>
      </c>
      <c r="P3011">
        <v>470</v>
      </c>
      <c r="Q3011">
        <v>2</v>
      </c>
      <c r="R3011">
        <v>85</v>
      </c>
      <c r="S3011">
        <v>1</v>
      </c>
      <c r="T3011">
        <v>7</v>
      </c>
      <c r="U3011">
        <v>62</v>
      </c>
      <c r="V3011">
        <v>55</v>
      </c>
      <c r="X3011">
        <v>115</v>
      </c>
      <c r="Z3011">
        <v>4</v>
      </c>
      <c r="AB3011">
        <v>33</v>
      </c>
      <c r="AC3011">
        <v>85</v>
      </c>
      <c r="AF3011">
        <v>3</v>
      </c>
      <c r="AG3011">
        <v>1</v>
      </c>
      <c r="AH3011">
        <v>0</v>
      </c>
      <c r="AI3011">
        <v>0</v>
      </c>
      <c r="AW3011">
        <v>0</v>
      </c>
      <c r="AX3011">
        <v>17</v>
      </c>
      <c r="AY3011">
        <v>470</v>
      </c>
      <c r="AZ3011">
        <v>470</v>
      </c>
      <c r="BA3011">
        <v>748</v>
      </c>
      <c r="BB3011">
        <v>48</v>
      </c>
      <c r="BD3011">
        <v>1</v>
      </c>
      <c r="BF3011" t="s">
        <v>3229</v>
      </c>
      <c r="BG3011" s="1">
        <v>44354.038194444445</v>
      </c>
      <c r="BH3011" s="1">
        <v>44354.047361111108</v>
      </c>
      <c r="BI3011" s="1">
        <v>44354.047974537039</v>
      </c>
      <c r="BJ3011" t="s">
        <v>85</v>
      </c>
      <c r="BK3011" t="s">
        <v>86</v>
      </c>
      <c r="BL3011" t="s">
        <v>87</v>
      </c>
    </row>
    <row r="3012" spans="1:64" x14ac:dyDescent="0.3">
      <c r="A3012" t="str">
        <f>"202036C0100"</f>
        <v>202036C0100</v>
      </c>
      <c r="B3012" t="str">
        <f>"202036C01003"</f>
        <v>202036C01003</v>
      </c>
      <c r="C3012" t="str">
        <f t="shared" si="206"/>
        <v>20</v>
      </c>
      <c r="D3012" t="s">
        <v>81</v>
      </c>
      <c r="E3012" t="str">
        <f t="shared" si="211"/>
        <v>470</v>
      </c>
      <c r="F3012" t="s">
        <v>3216</v>
      </c>
      <c r="G3012" t="str">
        <f>"2036"</f>
        <v>2036</v>
      </c>
      <c r="H3012" t="str">
        <f>"0001"</f>
        <v>0001</v>
      </c>
      <c r="I3012" t="s">
        <v>89</v>
      </c>
      <c r="J3012">
        <v>0</v>
      </c>
      <c r="K3012">
        <v>1</v>
      </c>
      <c r="L3012">
        <v>3</v>
      </c>
      <c r="M3012">
        <v>365</v>
      </c>
      <c r="N3012">
        <v>434</v>
      </c>
      <c r="O3012">
        <v>3</v>
      </c>
      <c r="P3012">
        <v>431</v>
      </c>
      <c r="Q3012">
        <v>5</v>
      </c>
      <c r="R3012">
        <v>97</v>
      </c>
      <c r="S3012">
        <v>2</v>
      </c>
      <c r="T3012">
        <v>8</v>
      </c>
      <c r="U3012">
        <v>65</v>
      </c>
      <c r="V3012">
        <v>42</v>
      </c>
      <c r="X3012">
        <v>102</v>
      </c>
      <c r="Z3012">
        <v>2</v>
      </c>
      <c r="AB3012">
        <v>24</v>
      </c>
      <c r="AC3012">
        <v>72</v>
      </c>
      <c r="AF3012">
        <v>5</v>
      </c>
      <c r="AG3012">
        <v>1</v>
      </c>
      <c r="AH3012" t="s">
        <v>95</v>
      </c>
      <c r="AI3012" t="s">
        <v>95</v>
      </c>
      <c r="AW3012" t="s">
        <v>95</v>
      </c>
      <c r="AX3012">
        <v>6</v>
      </c>
      <c r="AY3012">
        <v>431</v>
      </c>
      <c r="AZ3012">
        <v>431</v>
      </c>
      <c r="BA3012">
        <v>748</v>
      </c>
      <c r="BB3012">
        <v>48</v>
      </c>
      <c r="BC3012" t="s">
        <v>96</v>
      </c>
      <c r="BD3012">
        <v>1</v>
      </c>
      <c r="BF3012" t="s">
        <v>3230</v>
      </c>
      <c r="BG3012" s="1">
        <v>44354.041666666664</v>
      </c>
      <c r="BH3012" s="1">
        <v>44354.050497685188</v>
      </c>
      <c r="BI3012" s="1">
        <v>44354.051342592589</v>
      </c>
      <c r="BJ3012" t="s">
        <v>85</v>
      </c>
      <c r="BK3012" t="s">
        <v>86</v>
      </c>
      <c r="BL3012" t="s">
        <v>87</v>
      </c>
    </row>
    <row r="3013" spans="1:64" x14ac:dyDescent="0.3">
      <c r="A3013" t="str">
        <f>"202036C0200"</f>
        <v>202036C0200</v>
      </c>
      <c r="B3013" t="str">
        <f>"202036C02003"</f>
        <v>202036C02003</v>
      </c>
      <c r="C3013" t="str">
        <f t="shared" si="206"/>
        <v>20</v>
      </c>
      <c r="D3013" t="s">
        <v>81</v>
      </c>
      <c r="E3013" t="str">
        <f t="shared" si="211"/>
        <v>470</v>
      </c>
      <c r="F3013" t="s">
        <v>3216</v>
      </c>
      <c r="G3013" t="str">
        <f>"2036"</f>
        <v>2036</v>
      </c>
      <c r="H3013" t="str">
        <f>"0002"</f>
        <v>0002</v>
      </c>
      <c r="I3013" t="s">
        <v>89</v>
      </c>
      <c r="J3013">
        <v>0</v>
      </c>
      <c r="K3013">
        <v>1</v>
      </c>
      <c r="L3013">
        <v>3</v>
      </c>
      <c r="M3013">
        <v>376</v>
      </c>
      <c r="N3013">
        <v>428</v>
      </c>
      <c r="O3013">
        <v>8</v>
      </c>
      <c r="P3013">
        <v>428</v>
      </c>
      <c r="Q3013">
        <v>1</v>
      </c>
      <c r="R3013">
        <v>102</v>
      </c>
      <c r="S3013">
        <v>4</v>
      </c>
      <c r="T3013">
        <v>2</v>
      </c>
      <c r="U3013">
        <v>53</v>
      </c>
      <c r="V3013">
        <v>56</v>
      </c>
      <c r="X3013">
        <v>106</v>
      </c>
      <c r="Z3013">
        <v>0</v>
      </c>
      <c r="AB3013">
        <v>31</v>
      </c>
      <c r="AC3013">
        <v>58</v>
      </c>
      <c r="AF3013">
        <v>5</v>
      </c>
      <c r="AG3013">
        <v>0</v>
      </c>
      <c r="AH3013">
        <v>0</v>
      </c>
      <c r="AI3013">
        <v>1</v>
      </c>
      <c r="AW3013">
        <v>0</v>
      </c>
      <c r="AX3013">
        <v>9</v>
      </c>
      <c r="AY3013">
        <v>428</v>
      </c>
      <c r="AZ3013">
        <v>428</v>
      </c>
      <c r="BA3013">
        <v>747</v>
      </c>
      <c r="BB3013">
        <v>48</v>
      </c>
      <c r="BD3013">
        <v>1</v>
      </c>
      <c r="BF3013" t="s">
        <v>3231</v>
      </c>
      <c r="BG3013" s="1">
        <v>44354.04583333333</v>
      </c>
      <c r="BH3013" s="1">
        <v>44354.05327546296</v>
      </c>
      <c r="BI3013" s="1">
        <v>44354.054351851853</v>
      </c>
      <c r="BJ3013" t="s">
        <v>85</v>
      </c>
      <c r="BK3013" t="s">
        <v>86</v>
      </c>
      <c r="BL3013" t="s">
        <v>87</v>
      </c>
    </row>
    <row r="3014" spans="1:64" x14ac:dyDescent="0.3">
      <c r="A3014" t="str">
        <f>"202037B0000"</f>
        <v>202037B0000</v>
      </c>
      <c r="B3014" t="str">
        <f>"202037B00003"</f>
        <v>202037B00003</v>
      </c>
      <c r="C3014" t="str">
        <f t="shared" si="206"/>
        <v>20</v>
      </c>
      <c r="D3014" t="s">
        <v>81</v>
      </c>
      <c r="E3014" t="str">
        <f t="shared" si="211"/>
        <v>470</v>
      </c>
      <c r="F3014" t="s">
        <v>3216</v>
      </c>
      <c r="G3014" t="str">
        <f>"2037"</f>
        <v>2037</v>
      </c>
      <c r="H3014" t="str">
        <f>"0000"</f>
        <v>0000</v>
      </c>
      <c r="I3014" t="s">
        <v>83</v>
      </c>
      <c r="J3014">
        <v>0</v>
      </c>
      <c r="K3014">
        <v>1</v>
      </c>
      <c r="L3014">
        <v>3</v>
      </c>
      <c r="M3014" t="s">
        <v>92</v>
      </c>
      <c r="N3014" t="s">
        <v>92</v>
      </c>
      <c r="O3014" t="s">
        <v>92</v>
      </c>
      <c r="P3014" t="s">
        <v>92</v>
      </c>
      <c r="Q3014" t="s">
        <v>95</v>
      </c>
      <c r="R3014" t="s">
        <v>95</v>
      </c>
      <c r="S3014" t="s">
        <v>95</v>
      </c>
      <c r="T3014" t="s">
        <v>95</v>
      </c>
      <c r="U3014" t="s">
        <v>95</v>
      </c>
      <c r="V3014" t="s">
        <v>95</v>
      </c>
      <c r="X3014" t="s">
        <v>95</v>
      </c>
      <c r="Z3014" t="s">
        <v>95</v>
      </c>
      <c r="AB3014" t="s">
        <v>95</v>
      </c>
      <c r="AC3014" t="s">
        <v>95</v>
      </c>
      <c r="AF3014" t="s">
        <v>95</v>
      </c>
      <c r="AG3014" t="s">
        <v>95</v>
      </c>
      <c r="AH3014" t="s">
        <v>95</v>
      </c>
      <c r="AI3014" t="s">
        <v>95</v>
      </c>
      <c r="AW3014" t="s">
        <v>95</v>
      </c>
      <c r="AX3014" t="s">
        <v>95</v>
      </c>
      <c r="BA3014">
        <v>511</v>
      </c>
      <c r="BB3014">
        <v>48</v>
      </c>
      <c r="BC3014" t="s">
        <v>712</v>
      </c>
      <c r="BD3014">
        <v>0</v>
      </c>
      <c r="BF3014" t="s">
        <v>3232</v>
      </c>
      <c r="BG3014" s="1">
        <v>44354.15625</v>
      </c>
      <c r="BH3014" s="1">
        <v>44354.159097222226</v>
      </c>
      <c r="BI3014" s="1">
        <v>44354.16783564815</v>
      </c>
      <c r="BJ3014" t="s">
        <v>85</v>
      </c>
      <c r="BK3014" t="s">
        <v>86</v>
      </c>
      <c r="BL3014" t="s">
        <v>87</v>
      </c>
    </row>
    <row r="3015" spans="1:64" x14ac:dyDescent="0.3">
      <c r="A3015" t="str">
        <f>"202037C0100"</f>
        <v>202037C0100</v>
      </c>
      <c r="B3015" t="str">
        <f>"202037C01003"</f>
        <v>202037C01003</v>
      </c>
      <c r="C3015" t="str">
        <f t="shared" ref="C3015:C3078" si="212">"20"</f>
        <v>20</v>
      </c>
      <c r="D3015" t="s">
        <v>81</v>
      </c>
      <c r="E3015" t="str">
        <f t="shared" si="211"/>
        <v>470</v>
      </c>
      <c r="F3015" t="s">
        <v>3216</v>
      </c>
      <c r="G3015" t="str">
        <f>"2037"</f>
        <v>2037</v>
      </c>
      <c r="H3015" t="str">
        <f>"0001"</f>
        <v>0001</v>
      </c>
      <c r="I3015" t="s">
        <v>89</v>
      </c>
      <c r="J3015">
        <v>0</v>
      </c>
      <c r="K3015">
        <v>1</v>
      </c>
      <c r="L3015">
        <v>3</v>
      </c>
      <c r="M3015">
        <v>303</v>
      </c>
      <c r="N3015">
        <v>256</v>
      </c>
      <c r="O3015">
        <v>3</v>
      </c>
      <c r="P3015">
        <v>256</v>
      </c>
      <c r="Q3015">
        <v>2</v>
      </c>
      <c r="R3015">
        <v>38</v>
      </c>
      <c r="S3015">
        <v>4</v>
      </c>
      <c r="T3015">
        <v>6</v>
      </c>
      <c r="U3015">
        <v>29</v>
      </c>
      <c r="V3015">
        <v>14</v>
      </c>
      <c r="X3015">
        <v>49</v>
      </c>
      <c r="Z3015">
        <v>7</v>
      </c>
      <c r="AB3015">
        <v>58</v>
      </c>
      <c r="AC3015">
        <v>30</v>
      </c>
      <c r="AF3015">
        <v>3</v>
      </c>
      <c r="AG3015">
        <v>0</v>
      </c>
      <c r="AH3015">
        <v>0</v>
      </c>
      <c r="AI3015">
        <v>1</v>
      </c>
      <c r="AW3015">
        <v>0</v>
      </c>
      <c r="AX3015">
        <v>15</v>
      </c>
      <c r="AY3015">
        <v>256</v>
      </c>
      <c r="AZ3015">
        <v>256</v>
      </c>
      <c r="BA3015">
        <v>511</v>
      </c>
      <c r="BB3015">
        <v>48</v>
      </c>
      <c r="BD3015">
        <v>1</v>
      </c>
      <c r="BF3015" t="s">
        <v>3233</v>
      </c>
      <c r="BG3015" s="1">
        <v>44354.157638888886</v>
      </c>
      <c r="BH3015" s="1">
        <v>44354.160937499997</v>
      </c>
      <c r="BI3015" s="1">
        <v>44354.161354166667</v>
      </c>
      <c r="BJ3015" t="s">
        <v>85</v>
      </c>
      <c r="BK3015" t="s">
        <v>86</v>
      </c>
      <c r="BL3015" t="s">
        <v>87</v>
      </c>
    </row>
    <row r="3016" spans="1:64" x14ac:dyDescent="0.3">
      <c r="A3016" t="str">
        <f>"202038B0000"</f>
        <v>202038B0000</v>
      </c>
      <c r="B3016" t="str">
        <f>"202038B00003"</f>
        <v>202038B00003</v>
      </c>
      <c r="C3016" t="str">
        <f t="shared" si="212"/>
        <v>20</v>
      </c>
      <c r="D3016" t="s">
        <v>81</v>
      </c>
      <c r="E3016" t="str">
        <f t="shared" si="211"/>
        <v>470</v>
      </c>
      <c r="F3016" t="s">
        <v>3216</v>
      </c>
      <c r="G3016" t="str">
        <f>"2038"</f>
        <v>2038</v>
      </c>
      <c r="H3016" t="str">
        <f>"0000"</f>
        <v>0000</v>
      </c>
      <c r="I3016" t="s">
        <v>83</v>
      </c>
      <c r="J3016">
        <v>0</v>
      </c>
      <c r="K3016">
        <v>1</v>
      </c>
      <c r="L3016">
        <v>3</v>
      </c>
      <c r="M3016">
        <v>462</v>
      </c>
      <c r="N3016">
        <v>203</v>
      </c>
      <c r="O3016">
        <v>9</v>
      </c>
      <c r="P3016">
        <v>203</v>
      </c>
      <c r="Q3016">
        <v>4</v>
      </c>
      <c r="R3016">
        <v>31</v>
      </c>
      <c r="S3016">
        <v>13</v>
      </c>
      <c r="T3016">
        <v>14</v>
      </c>
      <c r="U3016">
        <v>31</v>
      </c>
      <c r="V3016">
        <v>15</v>
      </c>
      <c r="X3016">
        <v>40</v>
      </c>
      <c r="Z3016">
        <v>9</v>
      </c>
      <c r="AB3016">
        <v>11</v>
      </c>
      <c r="AC3016">
        <v>21</v>
      </c>
      <c r="AF3016">
        <v>0</v>
      </c>
      <c r="AG3016">
        <v>1</v>
      </c>
      <c r="AH3016">
        <v>0</v>
      </c>
      <c r="AI3016">
        <v>0</v>
      </c>
      <c r="AW3016">
        <v>0</v>
      </c>
      <c r="AX3016">
        <v>13</v>
      </c>
      <c r="AY3016">
        <v>203</v>
      </c>
      <c r="AZ3016">
        <v>203</v>
      </c>
      <c r="BA3016">
        <v>617</v>
      </c>
      <c r="BB3016">
        <v>48</v>
      </c>
      <c r="BD3016">
        <v>1</v>
      </c>
      <c r="BF3016" t="s">
        <v>3234</v>
      </c>
      <c r="BG3016" s="1">
        <v>44354.056250000001</v>
      </c>
      <c r="BH3016" s="1">
        <v>44354.066770833335</v>
      </c>
      <c r="BI3016" s="1">
        <v>44354.067800925928</v>
      </c>
      <c r="BJ3016" t="s">
        <v>85</v>
      </c>
      <c r="BK3016" t="s">
        <v>86</v>
      </c>
      <c r="BL3016" t="s">
        <v>87</v>
      </c>
    </row>
    <row r="3017" spans="1:64" x14ac:dyDescent="0.3">
      <c r="A3017" t="str">
        <f>"202039B0000"</f>
        <v>202039B0000</v>
      </c>
      <c r="B3017" t="str">
        <f>"202039B00003"</f>
        <v>202039B00003</v>
      </c>
      <c r="C3017" t="str">
        <f t="shared" si="212"/>
        <v>20</v>
      </c>
      <c r="D3017" t="s">
        <v>81</v>
      </c>
      <c r="E3017" t="str">
        <f t="shared" si="211"/>
        <v>470</v>
      </c>
      <c r="F3017" t="s">
        <v>3216</v>
      </c>
      <c r="G3017" t="str">
        <f>"2039"</f>
        <v>2039</v>
      </c>
      <c r="H3017" t="str">
        <f>"0000"</f>
        <v>0000</v>
      </c>
      <c r="I3017" t="s">
        <v>83</v>
      </c>
      <c r="J3017">
        <v>0</v>
      </c>
      <c r="K3017">
        <v>1</v>
      </c>
      <c r="L3017">
        <v>3</v>
      </c>
      <c r="M3017">
        <v>377</v>
      </c>
      <c r="N3017">
        <v>362</v>
      </c>
      <c r="O3017">
        <v>11</v>
      </c>
      <c r="P3017">
        <v>362</v>
      </c>
      <c r="Q3017">
        <v>4</v>
      </c>
      <c r="R3017">
        <v>51</v>
      </c>
      <c r="S3017">
        <v>3</v>
      </c>
      <c r="T3017">
        <v>6</v>
      </c>
      <c r="U3017">
        <v>20</v>
      </c>
      <c r="V3017">
        <v>36</v>
      </c>
      <c r="X3017">
        <v>131</v>
      </c>
      <c r="Z3017">
        <v>10</v>
      </c>
      <c r="AB3017">
        <v>40</v>
      </c>
      <c r="AC3017">
        <v>45</v>
      </c>
      <c r="AF3017">
        <v>1</v>
      </c>
      <c r="AG3017">
        <v>0</v>
      </c>
      <c r="AH3017">
        <v>0</v>
      </c>
      <c r="AI3017">
        <v>0</v>
      </c>
      <c r="AW3017">
        <v>0</v>
      </c>
      <c r="AX3017">
        <v>15</v>
      </c>
      <c r="AY3017">
        <v>362</v>
      </c>
      <c r="AZ3017">
        <v>362</v>
      </c>
      <c r="BA3017">
        <v>691</v>
      </c>
      <c r="BB3017">
        <v>48</v>
      </c>
      <c r="BD3017">
        <v>1</v>
      </c>
      <c r="BF3017" t="s">
        <v>3235</v>
      </c>
      <c r="BG3017" s="1">
        <v>44354.049305555556</v>
      </c>
      <c r="BH3017" s="1">
        <v>44354.056307870371</v>
      </c>
      <c r="BI3017" s="1">
        <v>44354.056759259256</v>
      </c>
      <c r="BJ3017" t="s">
        <v>85</v>
      </c>
      <c r="BK3017" t="s">
        <v>86</v>
      </c>
      <c r="BL3017" t="s">
        <v>87</v>
      </c>
    </row>
    <row r="3018" spans="1:64" x14ac:dyDescent="0.3">
      <c r="A3018" t="str">
        <f>"202039E0100"</f>
        <v>202039E0100</v>
      </c>
      <c r="B3018" t="str">
        <f>"202039E01003"</f>
        <v>202039E01003</v>
      </c>
      <c r="C3018" t="str">
        <f t="shared" si="212"/>
        <v>20</v>
      </c>
      <c r="D3018" t="s">
        <v>81</v>
      </c>
      <c r="E3018" t="str">
        <f t="shared" si="211"/>
        <v>470</v>
      </c>
      <c r="F3018" t="s">
        <v>3216</v>
      </c>
      <c r="G3018" t="str">
        <f>"2039"</f>
        <v>2039</v>
      </c>
      <c r="H3018" t="str">
        <f>"0001"</f>
        <v>0001</v>
      </c>
      <c r="I3018" t="s">
        <v>122</v>
      </c>
      <c r="J3018">
        <v>0</v>
      </c>
      <c r="K3018">
        <v>1</v>
      </c>
      <c r="L3018">
        <v>3</v>
      </c>
      <c r="M3018">
        <v>320</v>
      </c>
      <c r="N3018">
        <v>286</v>
      </c>
      <c r="O3018">
        <v>9</v>
      </c>
      <c r="P3018">
        <v>286</v>
      </c>
      <c r="Q3018">
        <v>2</v>
      </c>
      <c r="R3018">
        <v>51</v>
      </c>
      <c r="S3018">
        <v>5</v>
      </c>
      <c r="T3018">
        <v>4</v>
      </c>
      <c r="U3018">
        <v>17</v>
      </c>
      <c r="V3018">
        <v>6</v>
      </c>
      <c r="X3018">
        <v>76</v>
      </c>
      <c r="Z3018">
        <v>5</v>
      </c>
      <c r="AB3018">
        <v>54</v>
      </c>
      <c r="AC3018">
        <v>55</v>
      </c>
      <c r="AF3018">
        <v>0</v>
      </c>
      <c r="AG3018">
        <v>0</v>
      </c>
      <c r="AH3018">
        <v>0</v>
      </c>
      <c r="AI3018">
        <v>0</v>
      </c>
      <c r="AW3018">
        <v>0</v>
      </c>
      <c r="AX3018">
        <v>11</v>
      </c>
      <c r="AY3018">
        <v>286</v>
      </c>
      <c r="AZ3018">
        <v>286</v>
      </c>
      <c r="BA3018">
        <v>558</v>
      </c>
      <c r="BB3018">
        <v>48</v>
      </c>
      <c r="BD3018">
        <v>1</v>
      </c>
      <c r="BF3018" t="s">
        <v>3236</v>
      </c>
      <c r="BG3018" s="1">
        <v>44354.053472222222</v>
      </c>
      <c r="BH3018" s="1">
        <v>44354.059606481482</v>
      </c>
      <c r="BI3018" s="1">
        <v>44354.060150462959</v>
      </c>
      <c r="BJ3018" t="s">
        <v>85</v>
      </c>
      <c r="BK3018" t="s">
        <v>86</v>
      </c>
      <c r="BL3018" t="s">
        <v>87</v>
      </c>
    </row>
    <row r="3019" spans="1:64" x14ac:dyDescent="0.3">
      <c r="A3019" t="str">
        <f>"202039E0200"</f>
        <v>202039E0200</v>
      </c>
      <c r="B3019" t="str">
        <f>"202039E02003"</f>
        <v>202039E02003</v>
      </c>
      <c r="C3019" t="str">
        <f t="shared" si="212"/>
        <v>20</v>
      </c>
      <c r="D3019" t="s">
        <v>81</v>
      </c>
      <c r="E3019" t="str">
        <f t="shared" si="211"/>
        <v>470</v>
      </c>
      <c r="F3019" t="s">
        <v>3216</v>
      </c>
      <c r="G3019" t="str">
        <f>"2039"</f>
        <v>2039</v>
      </c>
      <c r="H3019" t="str">
        <f>"0002"</f>
        <v>0002</v>
      </c>
      <c r="I3019" t="s">
        <v>122</v>
      </c>
      <c r="J3019">
        <v>0</v>
      </c>
      <c r="K3019">
        <v>1</v>
      </c>
      <c r="L3019">
        <v>3</v>
      </c>
      <c r="M3019">
        <v>48</v>
      </c>
      <c r="N3019">
        <v>112</v>
      </c>
      <c r="O3019">
        <v>2</v>
      </c>
      <c r="P3019">
        <v>112</v>
      </c>
      <c r="Q3019">
        <v>0</v>
      </c>
      <c r="R3019">
        <v>110</v>
      </c>
      <c r="S3019">
        <v>0</v>
      </c>
      <c r="T3019">
        <v>0</v>
      </c>
      <c r="U3019">
        <v>0</v>
      </c>
      <c r="V3019">
        <v>0</v>
      </c>
      <c r="X3019">
        <v>2</v>
      </c>
      <c r="Z3019">
        <v>0</v>
      </c>
      <c r="AB3019">
        <v>0</v>
      </c>
      <c r="AC3019">
        <v>0</v>
      </c>
      <c r="AF3019">
        <v>0</v>
      </c>
      <c r="AG3019">
        <v>0</v>
      </c>
      <c r="AH3019">
        <v>0</v>
      </c>
      <c r="AI3019">
        <v>0</v>
      </c>
      <c r="AW3019">
        <v>0</v>
      </c>
      <c r="AX3019">
        <v>0</v>
      </c>
      <c r="AY3019">
        <v>112</v>
      </c>
      <c r="AZ3019">
        <v>112</v>
      </c>
      <c r="BA3019">
        <v>112</v>
      </c>
      <c r="BB3019">
        <v>48</v>
      </c>
      <c r="BD3019">
        <v>1</v>
      </c>
      <c r="BF3019" t="s">
        <v>3237</v>
      </c>
      <c r="BG3019" s="1">
        <v>44354.136111111111</v>
      </c>
      <c r="BH3019" s="1">
        <v>44354.139050925929</v>
      </c>
      <c r="BI3019" s="1">
        <v>44354.139699074076</v>
      </c>
      <c r="BJ3019" t="s">
        <v>85</v>
      </c>
      <c r="BK3019" t="s">
        <v>86</v>
      </c>
      <c r="BL3019" t="s">
        <v>87</v>
      </c>
    </row>
    <row r="3020" spans="1:64" x14ac:dyDescent="0.3">
      <c r="A3020" t="str">
        <f>"202040B0000"</f>
        <v>202040B0000</v>
      </c>
      <c r="B3020" t="str">
        <f>"202040B00003"</f>
        <v>202040B00003</v>
      </c>
      <c r="C3020" t="str">
        <f t="shared" si="212"/>
        <v>20</v>
      </c>
      <c r="D3020" t="s">
        <v>81</v>
      </c>
      <c r="E3020" t="str">
        <f t="shared" si="211"/>
        <v>470</v>
      </c>
      <c r="F3020" t="s">
        <v>3216</v>
      </c>
      <c r="G3020" t="str">
        <f>"2040"</f>
        <v>2040</v>
      </c>
      <c r="H3020" t="str">
        <f>"0000"</f>
        <v>0000</v>
      </c>
      <c r="I3020" t="s">
        <v>83</v>
      </c>
      <c r="J3020">
        <v>0</v>
      </c>
      <c r="K3020">
        <v>1</v>
      </c>
      <c r="L3020">
        <v>3</v>
      </c>
      <c r="M3020">
        <v>422</v>
      </c>
      <c r="N3020">
        <v>367</v>
      </c>
      <c r="O3020">
        <v>8</v>
      </c>
      <c r="P3020">
        <v>367</v>
      </c>
      <c r="Q3020">
        <v>0</v>
      </c>
      <c r="R3020">
        <v>20</v>
      </c>
      <c r="S3020">
        <v>2</v>
      </c>
      <c r="T3020">
        <v>5</v>
      </c>
      <c r="U3020">
        <v>36</v>
      </c>
      <c r="V3020">
        <v>7</v>
      </c>
      <c r="X3020">
        <v>67</v>
      </c>
      <c r="Z3020">
        <v>2</v>
      </c>
      <c r="AB3020">
        <v>110</v>
      </c>
      <c r="AC3020">
        <v>106</v>
      </c>
      <c r="AF3020">
        <v>0</v>
      </c>
      <c r="AG3020">
        <v>0</v>
      </c>
      <c r="AH3020">
        <v>0</v>
      </c>
      <c r="AI3020">
        <v>0</v>
      </c>
      <c r="AW3020">
        <v>0</v>
      </c>
      <c r="AX3020">
        <v>12</v>
      </c>
      <c r="AY3020">
        <v>367</v>
      </c>
      <c r="AZ3020">
        <v>367</v>
      </c>
      <c r="BA3020">
        <v>741</v>
      </c>
      <c r="BB3020">
        <v>48</v>
      </c>
      <c r="BD3020">
        <v>1</v>
      </c>
      <c r="BF3020" t="s">
        <v>3238</v>
      </c>
      <c r="BG3020" s="1">
        <v>44354.177083333336</v>
      </c>
      <c r="BH3020" s="1">
        <v>44354.178888888891</v>
      </c>
      <c r="BI3020" s="1">
        <v>44354.179606481484</v>
      </c>
      <c r="BJ3020" t="s">
        <v>85</v>
      </c>
      <c r="BK3020" t="s">
        <v>86</v>
      </c>
      <c r="BL3020" t="s">
        <v>1390</v>
      </c>
    </row>
    <row r="3021" spans="1:64" x14ac:dyDescent="0.3">
      <c r="A3021" t="str">
        <f>"202041B0000"</f>
        <v>202041B0000</v>
      </c>
      <c r="B3021" t="str">
        <f>"202041B00003"</f>
        <v>202041B00003</v>
      </c>
      <c r="C3021" t="str">
        <f t="shared" si="212"/>
        <v>20</v>
      </c>
      <c r="D3021" t="s">
        <v>81</v>
      </c>
      <c r="E3021" t="str">
        <f t="shared" si="211"/>
        <v>470</v>
      </c>
      <c r="F3021" t="s">
        <v>3216</v>
      </c>
      <c r="G3021" t="str">
        <f>"2041"</f>
        <v>2041</v>
      </c>
      <c r="H3021" t="str">
        <f>"0000"</f>
        <v>0000</v>
      </c>
      <c r="I3021" t="s">
        <v>83</v>
      </c>
      <c r="J3021">
        <v>0</v>
      </c>
      <c r="K3021">
        <v>1</v>
      </c>
      <c r="L3021">
        <v>3</v>
      </c>
      <c r="M3021">
        <v>397</v>
      </c>
      <c r="N3021">
        <v>387</v>
      </c>
      <c r="O3021">
        <v>10</v>
      </c>
      <c r="P3021">
        <v>387</v>
      </c>
      <c r="Q3021">
        <v>5</v>
      </c>
      <c r="R3021">
        <v>34</v>
      </c>
      <c r="S3021">
        <v>1</v>
      </c>
      <c r="T3021">
        <v>5</v>
      </c>
      <c r="U3021">
        <v>25</v>
      </c>
      <c r="V3021">
        <v>11</v>
      </c>
      <c r="X3021">
        <v>31</v>
      </c>
      <c r="Z3021">
        <v>3</v>
      </c>
      <c r="AB3021">
        <v>20</v>
      </c>
      <c r="AC3021">
        <v>216</v>
      </c>
      <c r="AF3021">
        <v>1</v>
      </c>
      <c r="AG3021">
        <v>0</v>
      </c>
      <c r="AH3021">
        <v>2</v>
      </c>
      <c r="AI3021">
        <v>0</v>
      </c>
      <c r="AW3021">
        <v>0</v>
      </c>
      <c r="AX3021">
        <v>33</v>
      </c>
      <c r="AY3021">
        <v>387</v>
      </c>
      <c r="AZ3021">
        <v>387</v>
      </c>
      <c r="BA3021">
        <v>736</v>
      </c>
      <c r="BB3021">
        <v>48</v>
      </c>
      <c r="BD3021">
        <v>1</v>
      </c>
      <c r="BF3021" t="s">
        <v>3239</v>
      </c>
      <c r="BG3021" s="1">
        <v>44354.152083333334</v>
      </c>
      <c r="BH3021" s="1">
        <v>44354.155277777776</v>
      </c>
      <c r="BI3021" s="1">
        <v>44354.155995370369</v>
      </c>
      <c r="BJ3021" t="s">
        <v>85</v>
      </c>
      <c r="BK3021" t="s">
        <v>86</v>
      </c>
      <c r="BL3021" t="s">
        <v>87</v>
      </c>
    </row>
    <row r="3022" spans="1:64" x14ac:dyDescent="0.3">
      <c r="A3022" t="str">
        <f>"202042B0000"</f>
        <v>202042B0000</v>
      </c>
      <c r="B3022" t="str">
        <f>"202042B00003"</f>
        <v>202042B00003</v>
      </c>
      <c r="C3022" t="str">
        <f t="shared" si="212"/>
        <v>20</v>
      </c>
      <c r="D3022" t="s">
        <v>81</v>
      </c>
      <c r="E3022" t="str">
        <f t="shared" si="211"/>
        <v>470</v>
      </c>
      <c r="F3022" t="s">
        <v>3216</v>
      </c>
      <c r="G3022" t="str">
        <f>"2042"</f>
        <v>2042</v>
      </c>
      <c r="H3022" t="str">
        <f>"0000"</f>
        <v>0000</v>
      </c>
      <c r="I3022" t="s">
        <v>83</v>
      </c>
      <c r="J3022">
        <v>0</v>
      </c>
      <c r="K3022">
        <v>1</v>
      </c>
      <c r="L3022">
        <v>3</v>
      </c>
      <c r="M3022">
        <v>253</v>
      </c>
      <c r="N3022">
        <v>412</v>
      </c>
      <c r="O3022">
        <v>6</v>
      </c>
      <c r="P3022">
        <v>412</v>
      </c>
      <c r="Q3022">
        <v>2</v>
      </c>
      <c r="R3022">
        <v>180</v>
      </c>
      <c r="S3022">
        <v>12</v>
      </c>
      <c r="T3022">
        <v>8</v>
      </c>
      <c r="U3022">
        <v>122</v>
      </c>
      <c r="V3022">
        <v>4</v>
      </c>
      <c r="X3022">
        <v>17</v>
      </c>
      <c r="Z3022">
        <v>1</v>
      </c>
      <c r="AB3022">
        <v>30</v>
      </c>
      <c r="AC3022">
        <v>25</v>
      </c>
      <c r="AF3022">
        <v>1</v>
      </c>
      <c r="AG3022">
        <v>1</v>
      </c>
      <c r="AH3022">
        <v>0</v>
      </c>
      <c r="AI3022">
        <v>1</v>
      </c>
      <c r="AW3022" t="s">
        <v>95</v>
      </c>
      <c r="AX3022">
        <v>9</v>
      </c>
      <c r="AY3022">
        <v>412</v>
      </c>
      <c r="AZ3022">
        <v>413</v>
      </c>
      <c r="BA3022">
        <v>618</v>
      </c>
      <c r="BB3022">
        <v>48</v>
      </c>
      <c r="BC3022" t="s">
        <v>96</v>
      </c>
      <c r="BD3022">
        <v>1</v>
      </c>
      <c r="BF3022" t="s">
        <v>3240</v>
      </c>
      <c r="BG3022" s="1">
        <v>44354.17083333333</v>
      </c>
      <c r="BH3022" s="1">
        <v>44354.172962962963</v>
      </c>
      <c r="BI3022" s="1">
        <v>44354.173946759256</v>
      </c>
      <c r="BJ3022" t="s">
        <v>85</v>
      </c>
      <c r="BK3022" t="s">
        <v>86</v>
      </c>
      <c r="BL3022" t="s">
        <v>87</v>
      </c>
    </row>
    <row r="3023" spans="1:64" x14ac:dyDescent="0.3">
      <c r="A3023" t="str">
        <f>"202042C0100"</f>
        <v>202042C0100</v>
      </c>
      <c r="B3023" t="str">
        <f>"202042C01003"</f>
        <v>202042C01003</v>
      </c>
      <c r="C3023" t="str">
        <f t="shared" si="212"/>
        <v>20</v>
      </c>
      <c r="D3023" t="s">
        <v>81</v>
      </c>
      <c r="E3023" t="str">
        <f t="shared" si="211"/>
        <v>470</v>
      </c>
      <c r="F3023" t="s">
        <v>3216</v>
      </c>
      <c r="G3023" t="str">
        <f>"2042"</f>
        <v>2042</v>
      </c>
      <c r="H3023" t="str">
        <f>"0001"</f>
        <v>0001</v>
      </c>
      <c r="I3023" t="s">
        <v>89</v>
      </c>
      <c r="J3023">
        <v>0</v>
      </c>
      <c r="K3023">
        <v>1</v>
      </c>
      <c r="L3023">
        <v>3</v>
      </c>
      <c r="M3023">
        <v>279</v>
      </c>
      <c r="N3023">
        <v>386</v>
      </c>
      <c r="O3023">
        <v>5</v>
      </c>
      <c r="P3023">
        <v>386</v>
      </c>
      <c r="Q3023">
        <v>3</v>
      </c>
      <c r="R3023">
        <v>138</v>
      </c>
      <c r="S3023">
        <v>6</v>
      </c>
      <c r="T3023">
        <v>10</v>
      </c>
      <c r="U3023">
        <v>114</v>
      </c>
      <c r="V3023">
        <v>2</v>
      </c>
      <c r="X3023">
        <v>12</v>
      </c>
      <c r="Z3023">
        <v>4</v>
      </c>
      <c r="AB3023">
        <v>36</v>
      </c>
      <c r="AC3023">
        <v>34</v>
      </c>
      <c r="AF3023">
        <v>2</v>
      </c>
      <c r="AG3023">
        <v>1</v>
      </c>
      <c r="AH3023">
        <v>0</v>
      </c>
      <c r="AI3023">
        <v>1</v>
      </c>
      <c r="AW3023">
        <v>0</v>
      </c>
      <c r="AX3023">
        <v>23</v>
      </c>
      <c r="AY3023">
        <v>386</v>
      </c>
      <c r="AZ3023">
        <v>386</v>
      </c>
      <c r="BA3023">
        <v>617</v>
      </c>
      <c r="BB3023">
        <v>48</v>
      </c>
      <c r="BD3023">
        <v>1</v>
      </c>
      <c r="BF3023" t="s">
        <v>3241</v>
      </c>
      <c r="BG3023" s="1">
        <v>44354.174305555556</v>
      </c>
      <c r="BH3023" s="1">
        <v>44354.178460648145</v>
      </c>
      <c r="BI3023" s="1">
        <v>44354.178668981483</v>
      </c>
      <c r="BJ3023" t="s">
        <v>85</v>
      </c>
      <c r="BK3023" t="s">
        <v>86</v>
      </c>
      <c r="BL3023" t="s">
        <v>87</v>
      </c>
    </row>
    <row r="3024" spans="1:64" x14ac:dyDescent="0.3">
      <c r="A3024" t="str">
        <f>"202042E0100"</f>
        <v>202042E0100</v>
      </c>
      <c r="B3024" t="str">
        <f>"202042E01003"</f>
        <v>202042E01003</v>
      </c>
      <c r="C3024" t="str">
        <f t="shared" si="212"/>
        <v>20</v>
      </c>
      <c r="D3024" t="s">
        <v>81</v>
      </c>
      <c r="E3024" t="str">
        <f t="shared" si="211"/>
        <v>470</v>
      </c>
      <c r="F3024" t="s">
        <v>3216</v>
      </c>
      <c r="G3024" t="str">
        <f>"2042"</f>
        <v>2042</v>
      </c>
      <c r="H3024" t="str">
        <f>"0001"</f>
        <v>0001</v>
      </c>
      <c r="I3024" t="s">
        <v>122</v>
      </c>
      <c r="J3024">
        <v>0</v>
      </c>
      <c r="K3024">
        <v>1</v>
      </c>
      <c r="L3024">
        <v>3</v>
      </c>
      <c r="M3024">
        <v>189</v>
      </c>
      <c r="N3024">
        <v>286</v>
      </c>
      <c r="O3024">
        <v>6</v>
      </c>
      <c r="P3024">
        <v>286</v>
      </c>
      <c r="Q3024">
        <v>1</v>
      </c>
      <c r="R3024">
        <v>195</v>
      </c>
      <c r="S3024">
        <v>3</v>
      </c>
      <c r="T3024">
        <v>2</v>
      </c>
      <c r="U3024">
        <v>23</v>
      </c>
      <c r="V3024">
        <v>12</v>
      </c>
      <c r="X3024">
        <v>9</v>
      </c>
      <c r="Z3024">
        <v>2</v>
      </c>
      <c r="AB3024">
        <v>15</v>
      </c>
      <c r="AC3024">
        <v>5</v>
      </c>
      <c r="AF3024">
        <v>1</v>
      </c>
      <c r="AG3024" t="s">
        <v>95</v>
      </c>
      <c r="AH3024" t="s">
        <v>95</v>
      </c>
      <c r="AI3024">
        <v>1</v>
      </c>
      <c r="AW3024" t="s">
        <v>95</v>
      </c>
      <c r="AX3024">
        <v>17</v>
      </c>
      <c r="AY3024">
        <v>286</v>
      </c>
      <c r="AZ3024">
        <v>286</v>
      </c>
      <c r="BA3024">
        <v>428</v>
      </c>
      <c r="BB3024">
        <v>48</v>
      </c>
      <c r="BC3024" t="s">
        <v>96</v>
      </c>
      <c r="BD3024">
        <v>1</v>
      </c>
      <c r="BF3024" t="s">
        <v>3242</v>
      </c>
      <c r="BG3024" s="1">
        <v>44354.177083333336</v>
      </c>
      <c r="BH3024" s="1">
        <v>44354.381678240738</v>
      </c>
      <c r="BI3024" s="1">
        <v>44354.382268518515</v>
      </c>
      <c r="BJ3024" t="s">
        <v>85</v>
      </c>
      <c r="BK3024" t="s">
        <v>86</v>
      </c>
      <c r="BL3024" t="s">
        <v>87</v>
      </c>
    </row>
    <row r="3025" spans="1:64" x14ac:dyDescent="0.3">
      <c r="A3025" t="str">
        <f>"202042E0101"</f>
        <v>202042E0101</v>
      </c>
      <c r="B3025" t="str">
        <f>"202042E01013"</f>
        <v>202042E01013</v>
      </c>
      <c r="C3025" t="str">
        <f t="shared" si="212"/>
        <v>20</v>
      </c>
      <c r="D3025" t="s">
        <v>81</v>
      </c>
      <c r="E3025" t="str">
        <f t="shared" si="211"/>
        <v>470</v>
      </c>
      <c r="F3025" t="s">
        <v>3216</v>
      </c>
      <c r="G3025" t="str">
        <f>"2042"</f>
        <v>2042</v>
      </c>
      <c r="H3025" t="str">
        <f>"0001"</f>
        <v>0001</v>
      </c>
      <c r="I3025" t="s">
        <v>122</v>
      </c>
      <c r="J3025">
        <v>1</v>
      </c>
      <c r="K3025">
        <v>1</v>
      </c>
      <c r="L3025">
        <v>3</v>
      </c>
      <c r="M3025">
        <v>180</v>
      </c>
      <c r="N3025" t="s">
        <v>131</v>
      </c>
      <c r="O3025" t="s">
        <v>131</v>
      </c>
      <c r="P3025" t="s">
        <v>131</v>
      </c>
      <c r="Q3025">
        <v>1</v>
      </c>
      <c r="R3025">
        <v>214</v>
      </c>
      <c r="S3025">
        <v>3</v>
      </c>
      <c r="T3025">
        <v>4</v>
      </c>
      <c r="U3025">
        <v>21</v>
      </c>
      <c r="V3025">
        <v>4</v>
      </c>
      <c r="X3025">
        <v>12</v>
      </c>
      <c r="Z3025">
        <v>1</v>
      </c>
      <c r="AB3025">
        <v>7</v>
      </c>
      <c r="AC3025">
        <v>6</v>
      </c>
      <c r="AF3025">
        <v>2</v>
      </c>
      <c r="AG3025">
        <v>0</v>
      </c>
      <c r="AH3025">
        <v>0</v>
      </c>
      <c r="AI3025">
        <v>1</v>
      </c>
      <c r="AW3025">
        <v>0</v>
      </c>
      <c r="AX3025" t="s">
        <v>131</v>
      </c>
      <c r="AY3025">
        <v>294</v>
      </c>
      <c r="AZ3025">
        <v>276</v>
      </c>
      <c r="BA3025">
        <v>428</v>
      </c>
      <c r="BB3025">
        <v>48</v>
      </c>
      <c r="BC3025" t="s">
        <v>96</v>
      </c>
      <c r="BD3025">
        <v>1</v>
      </c>
      <c r="BF3025" t="s">
        <v>3243</v>
      </c>
      <c r="BG3025" s="1">
        <v>44354.181944444441</v>
      </c>
      <c r="BH3025" s="1">
        <v>44354.213425925926</v>
      </c>
      <c r="BI3025" s="1">
        <v>44354.231157407405</v>
      </c>
      <c r="BJ3025" t="s">
        <v>85</v>
      </c>
      <c r="BK3025" t="s">
        <v>86</v>
      </c>
      <c r="BL3025" t="s">
        <v>1390</v>
      </c>
    </row>
    <row r="3026" spans="1:64" x14ac:dyDescent="0.3">
      <c r="A3026" t="str">
        <f>"202043B0000"</f>
        <v>202043B0000</v>
      </c>
      <c r="B3026" t="str">
        <f>"202043B00003"</f>
        <v>202043B00003</v>
      </c>
      <c r="C3026" t="str">
        <f t="shared" si="212"/>
        <v>20</v>
      </c>
      <c r="D3026" t="s">
        <v>81</v>
      </c>
      <c r="E3026" t="str">
        <f t="shared" si="211"/>
        <v>470</v>
      </c>
      <c r="F3026" t="s">
        <v>3216</v>
      </c>
      <c r="G3026" t="str">
        <f>"2043"</f>
        <v>2043</v>
      </c>
      <c r="H3026" t="str">
        <f>"0000"</f>
        <v>0000</v>
      </c>
      <c r="I3026" t="s">
        <v>83</v>
      </c>
      <c r="J3026">
        <v>0</v>
      </c>
      <c r="K3026">
        <v>1</v>
      </c>
      <c r="L3026">
        <v>3</v>
      </c>
      <c r="M3026">
        <v>232</v>
      </c>
      <c r="N3026">
        <v>194</v>
      </c>
      <c r="O3026">
        <v>9</v>
      </c>
      <c r="P3026" t="s">
        <v>92</v>
      </c>
      <c r="Q3026">
        <v>5</v>
      </c>
      <c r="R3026">
        <v>41</v>
      </c>
      <c r="S3026">
        <v>11</v>
      </c>
      <c r="T3026">
        <v>12</v>
      </c>
      <c r="U3026">
        <v>11</v>
      </c>
      <c r="V3026">
        <v>5</v>
      </c>
      <c r="X3026">
        <v>30</v>
      </c>
      <c r="Z3026">
        <v>10</v>
      </c>
      <c r="AB3026">
        <v>30</v>
      </c>
      <c r="AC3026">
        <v>16</v>
      </c>
      <c r="AF3026">
        <v>0</v>
      </c>
      <c r="AG3026">
        <v>0</v>
      </c>
      <c r="AH3026">
        <v>0</v>
      </c>
      <c r="AI3026">
        <v>1</v>
      </c>
      <c r="AW3026">
        <v>0</v>
      </c>
      <c r="AX3026">
        <v>21</v>
      </c>
      <c r="AY3026">
        <v>193</v>
      </c>
      <c r="AZ3026">
        <v>193</v>
      </c>
      <c r="BA3026">
        <v>378</v>
      </c>
      <c r="BB3026">
        <v>48</v>
      </c>
      <c r="BD3026">
        <v>1</v>
      </c>
      <c r="BF3026" t="s">
        <v>3244</v>
      </c>
      <c r="BG3026" s="1">
        <v>44354.306944444441</v>
      </c>
      <c r="BH3026" s="1">
        <v>44354.310034722221</v>
      </c>
      <c r="BI3026" s="1">
        <v>44354.31077546296</v>
      </c>
      <c r="BJ3026" t="s">
        <v>85</v>
      </c>
      <c r="BK3026" t="s">
        <v>86</v>
      </c>
      <c r="BL3026" t="s">
        <v>87</v>
      </c>
    </row>
    <row r="3027" spans="1:64" x14ac:dyDescent="0.3">
      <c r="A3027" t="str">
        <f>"202043C0100"</f>
        <v>202043C0100</v>
      </c>
      <c r="B3027" t="str">
        <f>"202043C01003"</f>
        <v>202043C01003</v>
      </c>
      <c r="C3027" t="str">
        <f t="shared" si="212"/>
        <v>20</v>
      </c>
      <c r="D3027" t="s">
        <v>81</v>
      </c>
      <c r="E3027" t="str">
        <f t="shared" si="211"/>
        <v>470</v>
      </c>
      <c r="F3027" t="s">
        <v>3216</v>
      </c>
      <c r="G3027" t="str">
        <f>"2043"</f>
        <v>2043</v>
      </c>
      <c r="H3027" t="str">
        <f>"0001"</f>
        <v>0001</v>
      </c>
      <c r="I3027" t="s">
        <v>89</v>
      </c>
      <c r="J3027">
        <v>0</v>
      </c>
      <c r="K3027">
        <v>1</v>
      </c>
      <c r="L3027">
        <v>3</v>
      </c>
      <c r="M3027">
        <v>221</v>
      </c>
      <c r="N3027">
        <v>205</v>
      </c>
      <c r="O3027">
        <v>9</v>
      </c>
      <c r="P3027">
        <v>206</v>
      </c>
      <c r="Q3027">
        <v>1</v>
      </c>
      <c r="R3027">
        <v>52</v>
      </c>
      <c r="S3027">
        <v>6</v>
      </c>
      <c r="T3027">
        <v>5</v>
      </c>
      <c r="U3027">
        <v>10</v>
      </c>
      <c r="V3027">
        <v>10</v>
      </c>
      <c r="X3027">
        <v>46</v>
      </c>
      <c r="Z3027">
        <v>4</v>
      </c>
      <c r="AB3027">
        <v>24</v>
      </c>
      <c r="AC3027">
        <v>9</v>
      </c>
      <c r="AF3027">
        <v>0</v>
      </c>
      <c r="AG3027">
        <v>0</v>
      </c>
      <c r="AH3027">
        <v>1</v>
      </c>
      <c r="AI3027">
        <v>2</v>
      </c>
      <c r="AW3027">
        <v>0</v>
      </c>
      <c r="AX3027">
        <v>36</v>
      </c>
      <c r="AY3027">
        <v>206</v>
      </c>
      <c r="AZ3027">
        <v>206</v>
      </c>
      <c r="BA3027">
        <v>378</v>
      </c>
      <c r="BB3027">
        <v>48</v>
      </c>
      <c r="BD3027">
        <v>1</v>
      </c>
      <c r="BF3027" t="s">
        <v>3245</v>
      </c>
      <c r="BG3027" s="1">
        <v>44354.30972222222</v>
      </c>
      <c r="BH3027" s="1">
        <v>44354.311921296299</v>
      </c>
      <c r="BI3027" s="1">
        <v>44354.312696759262</v>
      </c>
      <c r="BJ3027" t="s">
        <v>85</v>
      </c>
      <c r="BK3027" t="s">
        <v>86</v>
      </c>
      <c r="BL3027" t="s">
        <v>87</v>
      </c>
    </row>
    <row r="3028" spans="1:64" x14ac:dyDescent="0.3">
      <c r="A3028" t="str">
        <f>"202043E0100"</f>
        <v>202043E0100</v>
      </c>
      <c r="B3028" t="str">
        <f>"202043E01003"</f>
        <v>202043E01003</v>
      </c>
      <c r="C3028" t="str">
        <f t="shared" si="212"/>
        <v>20</v>
      </c>
      <c r="D3028" t="s">
        <v>81</v>
      </c>
      <c r="E3028" t="str">
        <f t="shared" si="211"/>
        <v>470</v>
      </c>
      <c r="F3028" t="s">
        <v>3216</v>
      </c>
      <c r="G3028" t="str">
        <f>"2043"</f>
        <v>2043</v>
      </c>
      <c r="H3028" t="str">
        <f>"0001"</f>
        <v>0001</v>
      </c>
      <c r="I3028" t="s">
        <v>122</v>
      </c>
      <c r="J3028">
        <v>0</v>
      </c>
      <c r="K3028">
        <v>1</v>
      </c>
      <c r="L3028">
        <v>3</v>
      </c>
      <c r="M3028">
        <v>467</v>
      </c>
      <c r="N3028">
        <v>320</v>
      </c>
      <c r="O3028">
        <v>320</v>
      </c>
      <c r="P3028" t="s">
        <v>92</v>
      </c>
      <c r="Q3028">
        <v>3</v>
      </c>
      <c r="R3028">
        <v>23</v>
      </c>
      <c r="S3028">
        <v>12</v>
      </c>
      <c r="T3028">
        <v>6</v>
      </c>
      <c r="U3028">
        <v>35</v>
      </c>
      <c r="V3028">
        <v>3</v>
      </c>
      <c r="X3028">
        <v>56</v>
      </c>
      <c r="Z3028">
        <v>7</v>
      </c>
      <c r="AB3028">
        <v>15</v>
      </c>
      <c r="AC3028">
        <v>129</v>
      </c>
      <c r="AF3028">
        <v>0</v>
      </c>
      <c r="AG3028">
        <v>0</v>
      </c>
      <c r="AH3028">
        <v>0</v>
      </c>
      <c r="AI3028">
        <v>0</v>
      </c>
      <c r="AW3028">
        <v>0</v>
      </c>
      <c r="AX3028">
        <v>0</v>
      </c>
      <c r="AY3028">
        <v>0</v>
      </c>
      <c r="AZ3028">
        <v>289</v>
      </c>
      <c r="BA3028">
        <v>729</v>
      </c>
      <c r="BB3028">
        <v>48</v>
      </c>
      <c r="BD3028">
        <v>1</v>
      </c>
      <c r="BF3028" t="s">
        <v>3246</v>
      </c>
      <c r="BG3028" s="1">
        <v>44354.318055555559</v>
      </c>
      <c r="BH3028" s="1">
        <v>44354.320081018515</v>
      </c>
      <c r="BI3028" s="1">
        <v>44354.320393518516</v>
      </c>
      <c r="BJ3028" t="s">
        <v>85</v>
      </c>
      <c r="BK3028" t="s">
        <v>86</v>
      </c>
      <c r="BL3028" t="s">
        <v>87</v>
      </c>
    </row>
    <row r="3029" spans="1:64" x14ac:dyDescent="0.3">
      <c r="A3029" t="str">
        <f>"202044B0000"</f>
        <v>202044B0000</v>
      </c>
      <c r="B3029" t="str">
        <f>"202044B00003"</f>
        <v>202044B00003</v>
      </c>
      <c r="C3029" t="str">
        <f t="shared" si="212"/>
        <v>20</v>
      </c>
      <c r="D3029" t="s">
        <v>81</v>
      </c>
      <c r="E3029" t="str">
        <f t="shared" si="211"/>
        <v>470</v>
      </c>
      <c r="F3029" t="s">
        <v>3216</v>
      </c>
      <c r="G3029" t="str">
        <f>"2044"</f>
        <v>2044</v>
      </c>
      <c r="H3029" t="str">
        <f>"0000"</f>
        <v>0000</v>
      </c>
      <c r="I3029" t="s">
        <v>83</v>
      </c>
      <c r="J3029">
        <v>0</v>
      </c>
      <c r="K3029">
        <v>1</v>
      </c>
      <c r="L3029">
        <v>3</v>
      </c>
      <c r="M3029">
        <v>314</v>
      </c>
      <c r="N3029">
        <v>378</v>
      </c>
      <c r="O3029">
        <v>4</v>
      </c>
      <c r="P3029">
        <v>378</v>
      </c>
      <c r="Q3029">
        <v>2</v>
      </c>
      <c r="R3029">
        <v>39</v>
      </c>
      <c r="S3029">
        <v>2</v>
      </c>
      <c r="T3029">
        <v>9</v>
      </c>
      <c r="U3029">
        <v>4</v>
      </c>
      <c r="V3029">
        <v>7</v>
      </c>
      <c r="X3029">
        <v>101</v>
      </c>
      <c r="Z3029">
        <v>4</v>
      </c>
      <c r="AB3029">
        <v>112</v>
      </c>
      <c r="AC3029">
        <v>73</v>
      </c>
      <c r="AF3029">
        <v>1</v>
      </c>
      <c r="AG3029">
        <v>1</v>
      </c>
      <c r="AH3029">
        <v>0</v>
      </c>
      <c r="AI3029">
        <v>0</v>
      </c>
      <c r="AW3029">
        <v>0</v>
      </c>
      <c r="AX3029">
        <v>23</v>
      </c>
      <c r="AY3029">
        <v>378</v>
      </c>
      <c r="AZ3029">
        <v>378</v>
      </c>
      <c r="BA3029">
        <v>644</v>
      </c>
      <c r="BB3029">
        <v>48</v>
      </c>
      <c r="BD3029">
        <v>1</v>
      </c>
      <c r="BF3029" t="s">
        <v>3247</v>
      </c>
      <c r="BG3029" s="1">
        <v>44354.14166666667</v>
      </c>
      <c r="BH3029" s="1">
        <v>44354.144814814812</v>
      </c>
      <c r="BI3029" s="1">
        <v>44354.145150462966</v>
      </c>
      <c r="BJ3029" t="s">
        <v>85</v>
      </c>
      <c r="BK3029" t="s">
        <v>86</v>
      </c>
      <c r="BL3029" t="s">
        <v>87</v>
      </c>
    </row>
    <row r="3030" spans="1:64" x14ac:dyDescent="0.3">
      <c r="A3030" t="str">
        <f>"202045B0000"</f>
        <v>202045B0000</v>
      </c>
      <c r="B3030" t="str">
        <f>"202045B00003"</f>
        <v>202045B00003</v>
      </c>
      <c r="C3030" t="str">
        <f t="shared" si="212"/>
        <v>20</v>
      </c>
      <c r="D3030" t="s">
        <v>81</v>
      </c>
      <c r="E3030" t="str">
        <f t="shared" si="211"/>
        <v>470</v>
      </c>
      <c r="F3030" t="s">
        <v>3216</v>
      </c>
      <c r="G3030" t="str">
        <f>"2045"</f>
        <v>2045</v>
      </c>
      <c r="H3030" t="str">
        <f>"0000"</f>
        <v>0000</v>
      </c>
      <c r="I3030" t="s">
        <v>83</v>
      </c>
      <c r="J3030">
        <v>0</v>
      </c>
      <c r="K3030">
        <v>1</v>
      </c>
      <c r="L3030">
        <v>3</v>
      </c>
      <c r="M3030">
        <v>448</v>
      </c>
      <c r="N3030" t="s">
        <v>131</v>
      </c>
      <c r="O3030">
        <v>8</v>
      </c>
      <c r="P3030">
        <v>448</v>
      </c>
      <c r="Q3030">
        <v>5</v>
      </c>
      <c r="R3030">
        <v>181</v>
      </c>
      <c r="S3030">
        <v>12</v>
      </c>
      <c r="T3030">
        <v>3</v>
      </c>
      <c r="U3030">
        <v>44</v>
      </c>
      <c r="V3030">
        <v>77</v>
      </c>
      <c r="X3030">
        <v>23</v>
      </c>
      <c r="Z3030">
        <v>2</v>
      </c>
      <c r="AB3030">
        <v>30</v>
      </c>
      <c r="AC3030">
        <v>29</v>
      </c>
      <c r="AF3030" t="s">
        <v>95</v>
      </c>
      <c r="AG3030" t="s">
        <v>95</v>
      </c>
      <c r="AH3030" t="s">
        <v>95</v>
      </c>
      <c r="AI3030" t="s">
        <v>95</v>
      </c>
      <c r="AW3030" t="s">
        <v>95</v>
      </c>
      <c r="AX3030" t="s">
        <v>95</v>
      </c>
      <c r="AY3030" t="s">
        <v>95</v>
      </c>
      <c r="AZ3030">
        <v>406</v>
      </c>
      <c r="BA3030">
        <v>744</v>
      </c>
      <c r="BB3030">
        <v>48</v>
      </c>
      <c r="BC3030" t="s">
        <v>96</v>
      </c>
      <c r="BD3030">
        <v>1</v>
      </c>
      <c r="BF3030" t="s">
        <v>3248</v>
      </c>
      <c r="BG3030" s="1">
        <v>44354.208333333336</v>
      </c>
      <c r="BH3030" s="1">
        <v>44354.210104166668</v>
      </c>
      <c r="BI3030" s="1">
        <v>44354.211574074077</v>
      </c>
      <c r="BJ3030" t="s">
        <v>85</v>
      </c>
      <c r="BK3030" t="s">
        <v>86</v>
      </c>
      <c r="BL3030" t="s">
        <v>87</v>
      </c>
    </row>
    <row r="3031" spans="1:64" x14ac:dyDescent="0.3">
      <c r="A3031" t="str">
        <f>"202045E0100"</f>
        <v>202045E0100</v>
      </c>
      <c r="B3031" t="str">
        <f>"202045E01003"</f>
        <v>202045E01003</v>
      </c>
      <c r="C3031" t="str">
        <f t="shared" si="212"/>
        <v>20</v>
      </c>
      <c r="D3031" t="s">
        <v>81</v>
      </c>
      <c r="E3031" t="str">
        <f t="shared" si="211"/>
        <v>470</v>
      </c>
      <c r="F3031" t="s">
        <v>3216</v>
      </c>
      <c r="G3031" t="str">
        <f>"2045"</f>
        <v>2045</v>
      </c>
      <c r="H3031" t="str">
        <f>"0001"</f>
        <v>0001</v>
      </c>
      <c r="I3031" t="s">
        <v>122</v>
      </c>
      <c r="J3031">
        <v>0</v>
      </c>
      <c r="K3031">
        <v>1</v>
      </c>
      <c r="L3031">
        <v>3</v>
      </c>
      <c r="M3031">
        <v>186</v>
      </c>
      <c r="N3031">
        <v>265</v>
      </c>
      <c r="O3031">
        <v>7</v>
      </c>
      <c r="P3031">
        <v>265</v>
      </c>
      <c r="Q3031">
        <v>0</v>
      </c>
      <c r="R3031">
        <v>12</v>
      </c>
      <c r="S3031">
        <v>0</v>
      </c>
      <c r="T3031">
        <v>5</v>
      </c>
      <c r="U3031">
        <v>36</v>
      </c>
      <c r="V3031">
        <v>1</v>
      </c>
      <c r="X3031">
        <v>7</v>
      </c>
      <c r="Z3031">
        <v>0</v>
      </c>
      <c r="AB3031">
        <v>3</v>
      </c>
      <c r="AC3031">
        <v>201</v>
      </c>
      <c r="AF3031" t="s">
        <v>95</v>
      </c>
      <c r="AG3031" t="s">
        <v>95</v>
      </c>
      <c r="AH3031" t="s">
        <v>95</v>
      </c>
      <c r="AI3031" t="s">
        <v>95</v>
      </c>
      <c r="AW3031" t="s">
        <v>95</v>
      </c>
      <c r="AX3031" t="s">
        <v>95</v>
      </c>
      <c r="AY3031" t="s">
        <v>95</v>
      </c>
      <c r="AZ3031">
        <v>265</v>
      </c>
      <c r="BA3031">
        <v>409</v>
      </c>
      <c r="BB3031">
        <v>48</v>
      </c>
      <c r="BC3031" t="s">
        <v>96</v>
      </c>
      <c r="BD3031">
        <v>1</v>
      </c>
      <c r="BF3031" t="s">
        <v>3249</v>
      </c>
      <c r="BG3031" s="1">
        <v>44354.213888888888</v>
      </c>
      <c r="BH3031" s="1">
        <v>44354.21675925926</v>
      </c>
      <c r="BI3031" s="1">
        <v>44354.217303240737</v>
      </c>
      <c r="BJ3031" t="s">
        <v>85</v>
      </c>
      <c r="BK3031" t="s">
        <v>86</v>
      </c>
      <c r="BL3031" t="s">
        <v>87</v>
      </c>
    </row>
    <row r="3032" spans="1:64" x14ac:dyDescent="0.3">
      <c r="A3032" t="str">
        <f>"202046B0000"</f>
        <v>202046B0000</v>
      </c>
      <c r="B3032" t="str">
        <f>"202046B00003"</f>
        <v>202046B00003</v>
      </c>
      <c r="C3032" t="str">
        <f t="shared" si="212"/>
        <v>20</v>
      </c>
      <c r="D3032" t="s">
        <v>81</v>
      </c>
      <c r="E3032" t="str">
        <f t="shared" si="211"/>
        <v>470</v>
      </c>
      <c r="F3032" t="s">
        <v>3216</v>
      </c>
      <c r="G3032" t="str">
        <f>"2046"</f>
        <v>2046</v>
      </c>
      <c r="H3032" t="str">
        <f>"0000"</f>
        <v>0000</v>
      </c>
      <c r="I3032" t="s">
        <v>83</v>
      </c>
      <c r="J3032">
        <v>0</v>
      </c>
      <c r="K3032">
        <v>1</v>
      </c>
      <c r="L3032">
        <v>3</v>
      </c>
      <c r="M3032">
        <v>111</v>
      </c>
      <c r="N3032">
        <v>207</v>
      </c>
      <c r="O3032">
        <v>5</v>
      </c>
      <c r="P3032" t="s">
        <v>92</v>
      </c>
      <c r="Q3032">
        <v>0</v>
      </c>
      <c r="R3032">
        <v>7</v>
      </c>
      <c r="S3032">
        <v>2</v>
      </c>
      <c r="T3032">
        <v>1</v>
      </c>
      <c r="U3032">
        <v>37</v>
      </c>
      <c r="V3032">
        <v>4</v>
      </c>
      <c r="X3032">
        <v>142</v>
      </c>
      <c r="Z3032">
        <v>1</v>
      </c>
      <c r="AB3032">
        <v>4</v>
      </c>
      <c r="AC3032">
        <v>0</v>
      </c>
      <c r="AF3032">
        <v>0</v>
      </c>
      <c r="AG3032">
        <v>0</v>
      </c>
      <c r="AH3032">
        <v>0</v>
      </c>
      <c r="AI3032">
        <v>0</v>
      </c>
      <c r="AW3032">
        <v>0</v>
      </c>
      <c r="AX3032">
        <v>4</v>
      </c>
      <c r="AY3032">
        <v>202</v>
      </c>
      <c r="AZ3032">
        <v>202</v>
      </c>
      <c r="BA3032">
        <v>265</v>
      </c>
      <c r="BB3032">
        <v>48</v>
      </c>
      <c r="BD3032">
        <v>1</v>
      </c>
      <c r="BF3032" t="s">
        <v>3250</v>
      </c>
      <c r="BG3032" s="1">
        <v>44354.168749999997</v>
      </c>
      <c r="BH3032" s="1">
        <v>44354.171805555554</v>
      </c>
      <c r="BI3032" s="1">
        <v>44354.172199074077</v>
      </c>
      <c r="BJ3032" t="s">
        <v>85</v>
      </c>
      <c r="BK3032" t="s">
        <v>86</v>
      </c>
      <c r="BL3032" t="s">
        <v>87</v>
      </c>
    </row>
    <row r="3033" spans="1:64" x14ac:dyDescent="0.3">
      <c r="A3033" t="str">
        <f>"202046E0100"</f>
        <v>202046E0100</v>
      </c>
      <c r="B3033" t="str">
        <f>"202046E01003"</f>
        <v>202046E01003</v>
      </c>
      <c r="C3033" t="str">
        <f t="shared" si="212"/>
        <v>20</v>
      </c>
      <c r="D3033" t="s">
        <v>81</v>
      </c>
      <c r="E3033" t="str">
        <f t="shared" si="211"/>
        <v>470</v>
      </c>
      <c r="F3033" t="s">
        <v>3216</v>
      </c>
      <c r="G3033" t="str">
        <f>"2046"</f>
        <v>2046</v>
      </c>
      <c r="H3033" t="str">
        <f>"0001"</f>
        <v>0001</v>
      </c>
      <c r="I3033" t="s">
        <v>122</v>
      </c>
      <c r="J3033">
        <v>0</v>
      </c>
      <c r="K3033">
        <v>1</v>
      </c>
      <c r="L3033">
        <v>3</v>
      </c>
      <c r="M3033">
        <v>60</v>
      </c>
      <c r="N3033">
        <v>418</v>
      </c>
      <c r="O3033">
        <v>2</v>
      </c>
      <c r="P3033">
        <v>418</v>
      </c>
      <c r="Q3033">
        <v>0</v>
      </c>
      <c r="R3033">
        <v>0</v>
      </c>
      <c r="S3033">
        <v>1</v>
      </c>
      <c r="T3033">
        <v>0</v>
      </c>
      <c r="U3033">
        <v>28</v>
      </c>
      <c r="V3033">
        <v>0</v>
      </c>
      <c r="X3033">
        <v>387</v>
      </c>
      <c r="Z3033">
        <v>0</v>
      </c>
      <c r="AB3033">
        <v>0</v>
      </c>
      <c r="AC3033">
        <v>0</v>
      </c>
      <c r="AF3033">
        <v>0</v>
      </c>
      <c r="AG3033">
        <v>0</v>
      </c>
      <c r="AH3033">
        <v>0</v>
      </c>
      <c r="AI3033">
        <v>0</v>
      </c>
      <c r="AW3033">
        <v>0</v>
      </c>
      <c r="AX3033">
        <v>2</v>
      </c>
      <c r="AY3033">
        <v>418</v>
      </c>
      <c r="AZ3033">
        <v>418</v>
      </c>
      <c r="BA3033">
        <v>430</v>
      </c>
      <c r="BB3033">
        <v>48</v>
      </c>
      <c r="BD3033">
        <v>1</v>
      </c>
      <c r="BF3033" t="s">
        <v>3251</v>
      </c>
      <c r="BG3033" s="1">
        <v>44354.160416666666</v>
      </c>
      <c r="BH3033" s="1">
        <v>44354.163275462961</v>
      </c>
      <c r="BI3033" s="1">
        <v>44354.163680555554</v>
      </c>
      <c r="BJ3033" t="s">
        <v>85</v>
      </c>
      <c r="BK3033" t="s">
        <v>86</v>
      </c>
      <c r="BL3033" t="s">
        <v>87</v>
      </c>
    </row>
    <row r="3034" spans="1:64" x14ac:dyDescent="0.3">
      <c r="A3034" t="str">
        <f>"202046E0200"</f>
        <v>202046E0200</v>
      </c>
      <c r="B3034" t="str">
        <f>"202046E02003"</f>
        <v>202046E02003</v>
      </c>
      <c r="C3034" t="str">
        <f t="shared" si="212"/>
        <v>20</v>
      </c>
      <c r="D3034" t="s">
        <v>81</v>
      </c>
      <c r="E3034" t="str">
        <f t="shared" si="211"/>
        <v>470</v>
      </c>
      <c r="F3034" t="s">
        <v>3216</v>
      </c>
      <c r="G3034" t="str">
        <f>"2046"</f>
        <v>2046</v>
      </c>
      <c r="H3034" t="str">
        <f>"0002"</f>
        <v>0002</v>
      </c>
      <c r="I3034" t="s">
        <v>122</v>
      </c>
      <c r="J3034">
        <v>0</v>
      </c>
      <c r="K3034">
        <v>1</v>
      </c>
      <c r="L3034">
        <v>3</v>
      </c>
      <c r="M3034">
        <v>89</v>
      </c>
      <c r="N3034">
        <v>565</v>
      </c>
      <c r="O3034">
        <v>0</v>
      </c>
      <c r="P3034">
        <v>565</v>
      </c>
      <c r="Q3034">
        <v>0</v>
      </c>
      <c r="R3034">
        <v>53</v>
      </c>
      <c r="S3034">
        <v>0</v>
      </c>
      <c r="T3034">
        <v>1</v>
      </c>
      <c r="U3034">
        <v>16</v>
      </c>
      <c r="V3034">
        <v>147</v>
      </c>
      <c r="X3034">
        <v>316</v>
      </c>
      <c r="Z3034">
        <v>0</v>
      </c>
      <c r="AB3034">
        <v>19</v>
      </c>
      <c r="AC3034">
        <v>10</v>
      </c>
      <c r="AF3034">
        <v>0</v>
      </c>
      <c r="AG3034">
        <v>0</v>
      </c>
      <c r="AH3034">
        <v>0</v>
      </c>
      <c r="AI3034">
        <v>0</v>
      </c>
      <c r="AW3034">
        <v>0</v>
      </c>
      <c r="AX3034">
        <v>3</v>
      </c>
      <c r="AY3034">
        <v>565</v>
      </c>
      <c r="AZ3034">
        <v>565</v>
      </c>
      <c r="BA3034">
        <v>606</v>
      </c>
      <c r="BB3034">
        <v>48</v>
      </c>
      <c r="BD3034">
        <v>1</v>
      </c>
      <c r="BF3034" t="s">
        <v>3252</v>
      </c>
      <c r="BG3034" s="1">
        <v>44354.102083333331</v>
      </c>
      <c r="BH3034" s="1">
        <v>44354.105486111112</v>
      </c>
      <c r="BI3034" s="1">
        <v>44354.106180555558</v>
      </c>
      <c r="BJ3034" t="s">
        <v>85</v>
      </c>
      <c r="BK3034" t="s">
        <v>86</v>
      </c>
      <c r="BL3034" t="s">
        <v>87</v>
      </c>
    </row>
    <row r="3035" spans="1:64" x14ac:dyDescent="0.3">
      <c r="A3035" t="str">
        <f>"202047B0000"</f>
        <v>202047B0000</v>
      </c>
      <c r="B3035" t="str">
        <f>"202047B00003"</f>
        <v>202047B00003</v>
      </c>
      <c r="C3035" t="str">
        <f t="shared" si="212"/>
        <v>20</v>
      </c>
      <c r="D3035" t="s">
        <v>81</v>
      </c>
      <c r="E3035" t="str">
        <f t="shared" si="211"/>
        <v>470</v>
      </c>
      <c r="F3035" t="s">
        <v>3216</v>
      </c>
      <c r="G3035" t="str">
        <f>"2047"</f>
        <v>2047</v>
      </c>
      <c r="H3035" t="str">
        <f>"0000"</f>
        <v>0000</v>
      </c>
      <c r="I3035" t="s">
        <v>83</v>
      </c>
      <c r="J3035">
        <v>0</v>
      </c>
      <c r="K3035">
        <v>1</v>
      </c>
      <c r="L3035">
        <v>3</v>
      </c>
      <c r="M3035">
        <v>198</v>
      </c>
      <c r="N3035">
        <v>389</v>
      </c>
      <c r="O3035">
        <v>1</v>
      </c>
      <c r="P3035" t="s">
        <v>131</v>
      </c>
      <c r="Q3035">
        <v>0</v>
      </c>
      <c r="R3035">
        <v>10</v>
      </c>
      <c r="S3035">
        <v>4</v>
      </c>
      <c r="T3035">
        <v>0</v>
      </c>
      <c r="U3035">
        <v>31</v>
      </c>
      <c r="V3035">
        <v>4</v>
      </c>
      <c r="X3035">
        <v>323</v>
      </c>
      <c r="Z3035">
        <v>3</v>
      </c>
      <c r="AB3035">
        <v>5</v>
      </c>
      <c r="AC3035">
        <v>2</v>
      </c>
      <c r="AF3035">
        <v>0</v>
      </c>
      <c r="AG3035">
        <v>0</v>
      </c>
      <c r="AH3035">
        <v>0</v>
      </c>
      <c r="AI3035">
        <v>0</v>
      </c>
      <c r="AW3035">
        <v>0</v>
      </c>
      <c r="AX3035">
        <v>5</v>
      </c>
      <c r="AY3035">
        <v>387</v>
      </c>
      <c r="AZ3035">
        <v>387</v>
      </c>
      <c r="BA3035">
        <v>538</v>
      </c>
      <c r="BB3035">
        <v>48</v>
      </c>
      <c r="BD3035">
        <v>1</v>
      </c>
      <c r="BF3035" t="s">
        <v>3253</v>
      </c>
      <c r="BG3035" s="1">
        <v>44354.168749999997</v>
      </c>
      <c r="BH3035" s="1">
        <v>44354.185891203706</v>
      </c>
      <c r="BI3035" s="1">
        <v>44354.187557870369</v>
      </c>
      <c r="BJ3035" t="s">
        <v>85</v>
      </c>
      <c r="BK3035" t="s">
        <v>86</v>
      </c>
      <c r="BL3035" t="s">
        <v>87</v>
      </c>
    </row>
    <row r="3036" spans="1:64" x14ac:dyDescent="0.3">
      <c r="A3036" t="str">
        <f>"202047E0100"</f>
        <v>202047E0100</v>
      </c>
      <c r="B3036" t="str">
        <f>"202047E01003"</f>
        <v>202047E01003</v>
      </c>
      <c r="C3036" t="str">
        <f t="shared" si="212"/>
        <v>20</v>
      </c>
      <c r="D3036" t="s">
        <v>81</v>
      </c>
      <c r="E3036" t="str">
        <f t="shared" si="211"/>
        <v>470</v>
      </c>
      <c r="F3036" t="s">
        <v>3216</v>
      </c>
      <c r="G3036" t="str">
        <f>"2047"</f>
        <v>2047</v>
      </c>
      <c r="H3036" t="str">
        <f>"0001"</f>
        <v>0001</v>
      </c>
      <c r="I3036" t="s">
        <v>122</v>
      </c>
      <c r="J3036">
        <v>0</v>
      </c>
      <c r="K3036">
        <v>1</v>
      </c>
      <c r="L3036">
        <v>3</v>
      </c>
      <c r="M3036">
        <v>229</v>
      </c>
      <c r="N3036">
        <v>215</v>
      </c>
      <c r="O3036">
        <v>4</v>
      </c>
      <c r="P3036">
        <v>246</v>
      </c>
      <c r="Q3036">
        <v>0</v>
      </c>
      <c r="R3036">
        <v>231</v>
      </c>
      <c r="S3036">
        <v>0</v>
      </c>
      <c r="T3036">
        <v>0</v>
      </c>
      <c r="U3036">
        <v>0</v>
      </c>
      <c r="V3036">
        <v>3</v>
      </c>
      <c r="X3036">
        <v>3</v>
      </c>
      <c r="Z3036">
        <v>0</v>
      </c>
      <c r="AB3036">
        <v>1</v>
      </c>
      <c r="AC3036">
        <v>3</v>
      </c>
      <c r="AF3036">
        <v>0</v>
      </c>
      <c r="AG3036">
        <v>0</v>
      </c>
      <c r="AH3036">
        <v>0</v>
      </c>
      <c r="AI3036">
        <v>0</v>
      </c>
      <c r="AW3036">
        <v>0</v>
      </c>
      <c r="AX3036">
        <v>5</v>
      </c>
      <c r="AY3036">
        <v>246</v>
      </c>
      <c r="AZ3036">
        <v>246</v>
      </c>
      <c r="BA3036">
        <v>427</v>
      </c>
      <c r="BB3036">
        <v>48</v>
      </c>
      <c r="BD3036">
        <v>1</v>
      </c>
      <c r="BF3036" t="s">
        <v>3254</v>
      </c>
      <c r="BG3036" s="1">
        <v>44354.202777777777</v>
      </c>
      <c r="BH3036" s="1">
        <v>44354.207361111112</v>
      </c>
      <c r="BI3036" s="1">
        <v>44354.207835648151</v>
      </c>
      <c r="BJ3036" t="s">
        <v>85</v>
      </c>
      <c r="BK3036" t="s">
        <v>86</v>
      </c>
      <c r="BL3036" t="s">
        <v>87</v>
      </c>
    </row>
    <row r="3037" spans="1:64" x14ac:dyDescent="0.3">
      <c r="A3037" t="str">
        <f>"202047E0101"</f>
        <v>202047E0101</v>
      </c>
      <c r="B3037" t="str">
        <f>"202047E01013"</f>
        <v>202047E01013</v>
      </c>
      <c r="C3037" t="str">
        <f t="shared" si="212"/>
        <v>20</v>
      </c>
      <c r="D3037" t="s">
        <v>81</v>
      </c>
      <c r="E3037" t="str">
        <f t="shared" si="211"/>
        <v>470</v>
      </c>
      <c r="F3037" t="s">
        <v>3216</v>
      </c>
      <c r="G3037" t="str">
        <f>"2047"</f>
        <v>2047</v>
      </c>
      <c r="H3037" t="str">
        <f>"0001"</f>
        <v>0001</v>
      </c>
      <c r="I3037" t="s">
        <v>122</v>
      </c>
      <c r="J3037">
        <v>1</v>
      </c>
      <c r="K3037">
        <v>1</v>
      </c>
      <c r="L3037">
        <v>3</v>
      </c>
      <c r="M3037">
        <v>226</v>
      </c>
      <c r="N3037">
        <v>249</v>
      </c>
      <c r="O3037">
        <v>3</v>
      </c>
      <c r="P3037">
        <v>249</v>
      </c>
      <c r="Q3037">
        <v>0</v>
      </c>
      <c r="R3037">
        <v>238</v>
      </c>
      <c r="S3037">
        <v>0</v>
      </c>
      <c r="T3037">
        <v>0</v>
      </c>
      <c r="U3037">
        <v>3</v>
      </c>
      <c r="V3037">
        <v>2</v>
      </c>
      <c r="X3037">
        <v>2</v>
      </c>
      <c r="Z3037">
        <v>0</v>
      </c>
      <c r="AB3037">
        <v>2</v>
      </c>
      <c r="AC3037">
        <v>0</v>
      </c>
      <c r="AF3037">
        <v>1</v>
      </c>
      <c r="AG3037">
        <v>0</v>
      </c>
      <c r="AH3037">
        <v>0</v>
      </c>
      <c r="AI3037">
        <v>0</v>
      </c>
      <c r="AW3037">
        <v>0</v>
      </c>
      <c r="AX3037">
        <v>1</v>
      </c>
      <c r="AY3037">
        <v>249</v>
      </c>
      <c r="AZ3037">
        <v>249</v>
      </c>
      <c r="BA3037">
        <v>427</v>
      </c>
      <c r="BB3037">
        <v>48</v>
      </c>
      <c r="BD3037">
        <v>1</v>
      </c>
      <c r="BF3037" t="s">
        <v>3255</v>
      </c>
      <c r="BG3037" s="1">
        <v>44354.205555555556</v>
      </c>
      <c r="BH3037" s="1">
        <v>44354.207673611112</v>
      </c>
      <c r="BI3037" s="1">
        <v>44354.208101851851</v>
      </c>
      <c r="BJ3037" t="s">
        <v>85</v>
      </c>
      <c r="BK3037" t="s">
        <v>86</v>
      </c>
      <c r="BL3037" t="s">
        <v>87</v>
      </c>
    </row>
    <row r="3038" spans="1:64" x14ac:dyDescent="0.3">
      <c r="A3038" t="str">
        <f>"202048B0000"</f>
        <v>202048B0000</v>
      </c>
      <c r="B3038" t="str">
        <f>"202048B00003"</f>
        <v>202048B00003</v>
      </c>
      <c r="C3038" t="str">
        <f t="shared" si="212"/>
        <v>20</v>
      </c>
      <c r="D3038" t="s">
        <v>81</v>
      </c>
      <c r="E3038" t="str">
        <f t="shared" si="211"/>
        <v>470</v>
      </c>
      <c r="F3038" t="s">
        <v>3216</v>
      </c>
      <c r="G3038" t="str">
        <f>"2048"</f>
        <v>2048</v>
      </c>
      <c r="H3038" t="str">
        <f>"0000"</f>
        <v>0000</v>
      </c>
      <c r="I3038" t="s">
        <v>83</v>
      </c>
      <c r="J3038">
        <v>0</v>
      </c>
      <c r="K3038">
        <v>1</v>
      </c>
      <c r="L3038">
        <v>3</v>
      </c>
      <c r="M3038">
        <v>310</v>
      </c>
      <c r="N3038">
        <v>368</v>
      </c>
      <c r="O3038">
        <v>0</v>
      </c>
      <c r="P3038">
        <v>368</v>
      </c>
      <c r="Q3038">
        <v>1</v>
      </c>
      <c r="R3038">
        <v>2</v>
      </c>
      <c r="S3038">
        <v>8</v>
      </c>
      <c r="T3038" t="s">
        <v>95</v>
      </c>
      <c r="U3038">
        <v>30</v>
      </c>
      <c r="V3038" t="s">
        <v>95</v>
      </c>
      <c r="X3038">
        <v>323</v>
      </c>
      <c r="Z3038">
        <v>1</v>
      </c>
      <c r="AB3038">
        <v>1</v>
      </c>
      <c r="AC3038" t="s">
        <v>95</v>
      </c>
      <c r="AF3038" t="s">
        <v>95</v>
      </c>
      <c r="AG3038" t="s">
        <v>95</v>
      </c>
      <c r="AH3038" t="s">
        <v>95</v>
      </c>
      <c r="AI3038" t="s">
        <v>95</v>
      </c>
      <c r="AW3038" t="s">
        <v>95</v>
      </c>
      <c r="AX3038">
        <v>2</v>
      </c>
      <c r="AY3038">
        <v>368</v>
      </c>
      <c r="AZ3038">
        <v>368</v>
      </c>
      <c r="BA3038">
        <v>630</v>
      </c>
      <c r="BB3038">
        <v>48</v>
      </c>
      <c r="BC3038" t="s">
        <v>96</v>
      </c>
      <c r="BD3038">
        <v>1</v>
      </c>
      <c r="BF3038" t="s">
        <v>3256</v>
      </c>
      <c r="BG3038" s="1">
        <v>44354.39166666667</v>
      </c>
      <c r="BH3038" s="1">
        <v>44354.394155092596</v>
      </c>
      <c r="BI3038" s="1">
        <v>44354.396192129629</v>
      </c>
      <c r="BJ3038" t="s">
        <v>85</v>
      </c>
      <c r="BK3038" t="s">
        <v>86</v>
      </c>
      <c r="BL3038" t="s">
        <v>87</v>
      </c>
    </row>
    <row r="3039" spans="1:64" x14ac:dyDescent="0.3">
      <c r="A3039" t="str">
        <f>"202048E0100"</f>
        <v>202048E0100</v>
      </c>
      <c r="B3039" t="str">
        <f>"202048E01003"</f>
        <v>202048E01003</v>
      </c>
      <c r="C3039" t="str">
        <f t="shared" si="212"/>
        <v>20</v>
      </c>
      <c r="D3039" t="s">
        <v>81</v>
      </c>
      <c r="E3039" t="str">
        <f t="shared" si="211"/>
        <v>470</v>
      </c>
      <c r="F3039" t="s">
        <v>3216</v>
      </c>
      <c r="G3039" t="str">
        <f>"2048"</f>
        <v>2048</v>
      </c>
      <c r="H3039" t="str">
        <f>"0001"</f>
        <v>0001</v>
      </c>
      <c r="I3039" t="s">
        <v>122</v>
      </c>
      <c r="J3039">
        <v>0</v>
      </c>
      <c r="K3039">
        <v>1</v>
      </c>
      <c r="L3039">
        <v>3</v>
      </c>
      <c r="M3039">
        <v>88</v>
      </c>
      <c r="N3039">
        <v>274</v>
      </c>
      <c r="O3039">
        <v>0</v>
      </c>
      <c r="P3039">
        <v>275</v>
      </c>
      <c r="Q3039">
        <v>2</v>
      </c>
      <c r="R3039">
        <v>6</v>
      </c>
      <c r="S3039">
        <v>1</v>
      </c>
      <c r="T3039">
        <v>1</v>
      </c>
      <c r="U3039">
        <v>51</v>
      </c>
      <c r="V3039">
        <v>1</v>
      </c>
      <c r="X3039">
        <v>211</v>
      </c>
      <c r="Z3039">
        <v>0</v>
      </c>
      <c r="AB3039">
        <v>0</v>
      </c>
      <c r="AC3039">
        <v>1</v>
      </c>
      <c r="AF3039">
        <v>0</v>
      </c>
      <c r="AG3039">
        <v>0</v>
      </c>
      <c r="AH3039">
        <v>0</v>
      </c>
      <c r="AI3039">
        <v>0</v>
      </c>
      <c r="AW3039">
        <v>0</v>
      </c>
      <c r="AX3039">
        <v>1</v>
      </c>
      <c r="AY3039">
        <v>275</v>
      </c>
      <c r="AZ3039">
        <v>275</v>
      </c>
      <c r="BA3039">
        <v>315</v>
      </c>
      <c r="BB3039">
        <v>48</v>
      </c>
      <c r="BD3039">
        <v>1</v>
      </c>
      <c r="BF3039" t="s">
        <v>3257</v>
      </c>
      <c r="BG3039" s="1">
        <v>44354.393750000003</v>
      </c>
      <c r="BH3039" s="1">
        <v>44354.396134259259</v>
      </c>
      <c r="BI3039" s="1">
        <v>44354.396620370368</v>
      </c>
      <c r="BJ3039" t="s">
        <v>85</v>
      </c>
      <c r="BK3039" t="s">
        <v>86</v>
      </c>
      <c r="BL3039" t="s">
        <v>87</v>
      </c>
    </row>
    <row r="3040" spans="1:64" x14ac:dyDescent="0.3">
      <c r="A3040" t="str">
        <f>"202048E0200"</f>
        <v>202048E0200</v>
      </c>
      <c r="B3040" t="str">
        <f>"202048E02003"</f>
        <v>202048E02003</v>
      </c>
      <c r="C3040" t="str">
        <f t="shared" si="212"/>
        <v>20</v>
      </c>
      <c r="D3040" t="s">
        <v>81</v>
      </c>
      <c r="E3040" t="str">
        <f t="shared" si="211"/>
        <v>470</v>
      </c>
      <c r="F3040" t="s">
        <v>3216</v>
      </c>
      <c r="G3040" t="str">
        <f>"2048"</f>
        <v>2048</v>
      </c>
      <c r="H3040" t="str">
        <f>"0002"</f>
        <v>0002</v>
      </c>
      <c r="I3040" t="s">
        <v>122</v>
      </c>
      <c r="J3040">
        <v>0</v>
      </c>
      <c r="K3040">
        <v>1</v>
      </c>
      <c r="L3040">
        <v>3</v>
      </c>
      <c r="M3040">
        <v>131</v>
      </c>
      <c r="N3040">
        <v>158</v>
      </c>
      <c r="O3040">
        <v>1</v>
      </c>
      <c r="P3040">
        <v>158</v>
      </c>
      <c r="Q3040">
        <v>1</v>
      </c>
      <c r="R3040">
        <v>4</v>
      </c>
      <c r="S3040" t="s">
        <v>95</v>
      </c>
      <c r="T3040" t="s">
        <v>95</v>
      </c>
      <c r="U3040">
        <v>2</v>
      </c>
      <c r="V3040">
        <v>1</v>
      </c>
      <c r="X3040">
        <v>148</v>
      </c>
      <c r="Z3040" t="s">
        <v>95</v>
      </c>
      <c r="AB3040" t="s">
        <v>95</v>
      </c>
      <c r="AC3040">
        <v>1</v>
      </c>
      <c r="AF3040" t="s">
        <v>95</v>
      </c>
      <c r="AG3040" t="s">
        <v>95</v>
      </c>
      <c r="AH3040" t="s">
        <v>95</v>
      </c>
      <c r="AI3040" t="s">
        <v>95</v>
      </c>
      <c r="AW3040" t="s">
        <v>95</v>
      </c>
      <c r="AX3040">
        <v>1</v>
      </c>
      <c r="AY3040">
        <v>158</v>
      </c>
      <c r="AZ3040">
        <v>158</v>
      </c>
      <c r="BA3040">
        <v>241</v>
      </c>
      <c r="BB3040">
        <v>48</v>
      </c>
      <c r="BC3040" t="s">
        <v>96</v>
      </c>
      <c r="BD3040">
        <v>1</v>
      </c>
      <c r="BF3040" t="s">
        <v>3258</v>
      </c>
      <c r="BG3040" s="1">
        <v>44354.405555555553</v>
      </c>
      <c r="BH3040" s="1">
        <v>44354.408564814818</v>
      </c>
      <c r="BI3040" s="1">
        <v>44354.408958333333</v>
      </c>
      <c r="BJ3040" t="s">
        <v>85</v>
      </c>
      <c r="BK3040" t="s">
        <v>86</v>
      </c>
      <c r="BL3040" t="s">
        <v>87</v>
      </c>
    </row>
    <row r="3041" spans="1:64" x14ac:dyDescent="0.3">
      <c r="A3041" t="str">
        <f>"202048E0300"</f>
        <v>202048E0300</v>
      </c>
      <c r="B3041" t="str">
        <f>"202048E03003"</f>
        <v>202048E03003</v>
      </c>
      <c r="C3041" t="str">
        <f t="shared" si="212"/>
        <v>20</v>
      </c>
      <c r="D3041" t="s">
        <v>81</v>
      </c>
      <c r="E3041" t="str">
        <f t="shared" si="211"/>
        <v>470</v>
      </c>
      <c r="F3041" t="s">
        <v>3216</v>
      </c>
      <c r="G3041" t="str">
        <f>"2048"</f>
        <v>2048</v>
      </c>
      <c r="H3041" t="str">
        <f>"0003"</f>
        <v>0003</v>
      </c>
      <c r="I3041" t="s">
        <v>122</v>
      </c>
      <c r="J3041">
        <v>0</v>
      </c>
      <c r="K3041">
        <v>1</v>
      </c>
      <c r="L3041">
        <v>3</v>
      </c>
      <c r="M3041">
        <v>65</v>
      </c>
      <c r="N3041">
        <v>247</v>
      </c>
      <c r="O3041">
        <v>247</v>
      </c>
      <c r="P3041">
        <v>247</v>
      </c>
      <c r="Q3041">
        <v>0</v>
      </c>
      <c r="R3041">
        <v>0</v>
      </c>
      <c r="S3041">
        <v>0</v>
      </c>
      <c r="T3041">
        <v>0</v>
      </c>
      <c r="U3041">
        <v>6</v>
      </c>
      <c r="V3041">
        <v>0</v>
      </c>
      <c r="X3041">
        <v>240</v>
      </c>
      <c r="Z3041">
        <v>0</v>
      </c>
      <c r="AB3041">
        <v>0</v>
      </c>
      <c r="AC3041">
        <v>0</v>
      </c>
      <c r="AF3041">
        <v>0</v>
      </c>
      <c r="AG3041">
        <v>0</v>
      </c>
      <c r="AH3041">
        <v>0</v>
      </c>
      <c r="AI3041">
        <v>0</v>
      </c>
      <c r="AW3041">
        <v>0</v>
      </c>
      <c r="AX3041">
        <v>0</v>
      </c>
      <c r="AY3041">
        <v>247</v>
      </c>
      <c r="AZ3041">
        <v>246</v>
      </c>
      <c r="BA3041">
        <v>264</v>
      </c>
      <c r="BB3041">
        <v>48</v>
      </c>
      <c r="BD3041">
        <v>1</v>
      </c>
      <c r="BF3041" t="s">
        <v>3259</v>
      </c>
      <c r="BG3041" s="1">
        <v>44354.397222222222</v>
      </c>
      <c r="BH3041" s="1">
        <v>44354.399502314816</v>
      </c>
      <c r="BI3041" s="1">
        <v>44354.400347222225</v>
      </c>
      <c r="BJ3041" t="s">
        <v>85</v>
      </c>
      <c r="BK3041" t="s">
        <v>86</v>
      </c>
      <c r="BL3041" t="s">
        <v>87</v>
      </c>
    </row>
    <row r="3042" spans="1:64" x14ac:dyDescent="0.3">
      <c r="A3042" t="str">
        <f>"202049B0000"</f>
        <v>202049B0000</v>
      </c>
      <c r="B3042" t="str">
        <f>"202049B00003"</f>
        <v>202049B00003</v>
      </c>
      <c r="C3042" t="str">
        <f t="shared" si="212"/>
        <v>20</v>
      </c>
      <c r="D3042" t="s">
        <v>81</v>
      </c>
      <c r="E3042" t="str">
        <f t="shared" si="211"/>
        <v>470</v>
      </c>
      <c r="F3042" t="s">
        <v>3216</v>
      </c>
      <c r="G3042" t="str">
        <f>"2049"</f>
        <v>2049</v>
      </c>
      <c r="H3042" t="str">
        <f>"0000"</f>
        <v>0000</v>
      </c>
      <c r="I3042" t="s">
        <v>83</v>
      </c>
      <c r="J3042">
        <v>0</v>
      </c>
      <c r="K3042">
        <v>1</v>
      </c>
      <c r="L3042">
        <v>3</v>
      </c>
      <c r="M3042" t="s">
        <v>92</v>
      </c>
      <c r="N3042" t="s">
        <v>92</v>
      </c>
      <c r="O3042" t="s">
        <v>92</v>
      </c>
      <c r="P3042">
        <v>211</v>
      </c>
      <c r="Q3042">
        <v>0</v>
      </c>
      <c r="R3042">
        <v>24</v>
      </c>
      <c r="S3042">
        <v>0</v>
      </c>
      <c r="T3042">
        <v>1</v>
      </c>
      <c r="U3042">
        <v>10</v>
      </c>
      <c r="V3042">
        <v>4</v>
      </c>
      <c r="X3042">
        <v>172</v>
      </c>
      <c r="Z3042">
        <v>0</v>
      </c>
      <c r="AB3042">
        <v>3</v>
      </c>
      <c r="AC3042">
        <v>1</v>
      </c>
      <c r="AF3042">
        <v>0</v>
      </c>
      <c r="AG3042">
        <v>0</v>
      </c>
      <c r="AH3042">
        <v>0</v>
      </c>
      <c r="AI3042">
        <v>0</v>
      </c>
      <c r="AW3042">
        <v>0</v>
      </c>
      <c r="AX3042">
        <v>0</v>
      </c>
      <c r="AY3042" t="s">
        <v>131</v>
      </c>
      <c r="AZ3042">
        <v>215</v>
      </c>
      <c r="BA3042">
        <v>378</v>
      </c>
      <c r="BB3042">
        <v>48</v>
      </c>
      <c r="BD3042">
        <v>1</v>
      </c>
      <c r="BF3042" t="s">
        <v>3260</v>
      </c>
      <c r="BG3042" s="1">
        <v>44354.402777777781</v>
      </c>
      <c r="BH3042" s="1">
        <v>44354.406307870369</v>
      </c>
      <c r="BI3042" s="1">
        <v>44354.410208333335</v>
      </c>
      <c r="BJ3042" t="s">
        <v>85</v>
      </c>
      <c r="BK3042" t="s">
        <v>86</v>
      </c>
      <c r="BL3042" t="s">
        <v>87</v>
      </c>
    </row>
    <row r="3043" spans="1:64" x14ac:dyDescent="0.3">
      <c r="A3043" t="str">
        <f>"202049C0100"</f>
        <v>202049C0100</v>
      </c>
      <c r="B3043" t="str">
        <f>"202049C01003"</f>
        <v>202049C01003</v>
      </c>
      <c r="C3043" t="str">
        <f t="shared" si="212"/>
        <v>20</v>
      </c>
      <c r="D3043" t="s">
        <v>81</v>
      </c>
      <c r="E3043" t="str">
        <f t="shared" si="211"/>
        <v>470</v>
      </c>
      <c r="F3043" t="s">
        <v>3216</v>
      </c>
      <c r="G3043" t="str">
        <f>"2049"</f>
        <v>2049</v>
      </c>
      <c r="H3043" t="str">
        <f>"0001"</f>
        <v>0001</v>
      </c>
      <c r="I3043" t="s">
        <v>89</v>
      </c>
      <c r="J3043">
        <v>0</v>
      </c>
      <c r="K3043">
        <v>1</v>
      </c>
      <c r="L3043">
        <v>3</v>
      </c>
      <c r="M3043">
        <v>212</v>
      </c>
      <c r="N3043">
        <v>214</v>
      </c>
      <c r="O3043">
        <v>0</v>
      </c>
      <c r="P3043">
        <v>214</v>
      </c>
      <c r="Q3043">
        <v>0</v>
      </c>
      <c r="R3043">
        <v>15</v>
      </c>
      <c r="S3043">
        <v>0</v>
      </c>
      <c r="T3043">
        <v>0</v>
      </c>
      <c r="U3043">
        <v>4</v>
      </c>
      <c r="V3043">
        <v>3</v>
      </c>
      <c r="X3043">
        <v>186</v>
      </c>
      <c r="Z3043">
        <v>2</v>
      </c>
      <c r="AB3043">
        <v>3</v>
      </c>
      <c r="AC3043">
        <v>1</v>
      </c>
      <c r="AF3043">
        <v>0</v>
      </c>
      <c r="AG3043">
        <v>0</v>
      </c>
      <c r="AH3043">
        <v>0</v>
      </c>
      <c r="AI3043">
        <v>0</v>
      </c>
      <c r="AW3043">
        <v>0</v>
      </c>
      <c r="AX3043">
        <v>0</v>
      </c>
      <c r="AY3043">
        <v>214</v>
      </c>
      <c r="AZ3043">
        <v>214</v>
      </c>
      <c r="BA3043">
        <v>378</v>
      </c>
      <c r="BB3043">
        <v>48</v>
      </c>
      <c r="BD3043">
        <v>1</v>
      </c>
      <c r="BF3043" t="s">
        <v>3261</v>
      </c>
      <c r="BG3043" s="1">
        <v>44354.399305555555</v>
      </c>
      <c r="BH3043" s="1">
        <v>44354.401643518519</v>
      </c>
      <c r="BI3043" s="1">
        <v>44354.402488425927</v>
      </c>
      <c r="BJ3043" t="s">
        <v>85</v>
      </c>
      <c r="BK3043" t="s">
        <v>86</v>
      </c>
      <c r="BL3043" t="s">
        <v>87</v>
      </c>
    </row>
    <row r="3044" spans="1:64" x14ac:dyDescent="0.3">
      <c r="A3044" t="str">
        <f>"202453B0000"</f>
        <v>202453B0000</v>
      </c>
      <c r="B3044" t="str">
        <f>"202453B00003"</f>
        <v>202453B00003</v>
      </c>
      <c r="C3044" t="str">
        <f t="shared" si="212"/>
        <v>20</v>
      </c>
      <c r="D3044" t="s">
        <v>81</v>
      </c>
      <c r="E3044" t="str">
        <f t="shared" si="211"/>
        <v>470</v>
      </c>
      <c r="F3044" t="s">
        <v>3216</v>
      </c>
      <c r="G3044" t="str">
        <f>"2453"</f>
        <v>2453</v>
      </c>
      <c r="H3044" t="str">
        <f>"0000"</f>
        <v>0000</v>
      </c>
      <c r="I3044" t="s">
        <v>83</v>
      </c>
      <c r="J3044">
        <v>0</v>
      </c>
      <c r="K3044">
        <v>1</v>
      </c>
      <c r="L3044">
        <v>3</v>
      </c>
      <c r="M3044">
        <v>105</v>
      </c>
      <c r="N3044">
        <v>149</v>
      </c>
      <c r="O3044">
        <v>5</v>
      </c>
      <c r="P3044">
        <v>149</v>
      </c>
      <c r="Q3044">
        <v>0</v>
      </c>
      <c r="R3044">
        <v>114</v>
      </c>
      <c r="S3044">
        <v>2</v>
      </c>
      <c r="T3044">
        <v>0</v>
      </c>
      <c r="U3044">
        <v>5</v>
      </c>
      <c r="V3044">
        <v>2</v>
      </c>
      <c r="X3044">
        <v>7</v>
      </c>
      <c r="Z3044">
        <v>1</v>
      </c>
      <c r="AB3044">
        <v>0</v>
      </c>
      <c r="AC3044">
        <v>6</v>
      </c>
      <c r="AF3044">
        <v>2</v>
      </c>
      <c r="AG3044">
        <v>1</v>
      </c>
      <c r="AH3044">
        <v>0</v>
      </c>
      <c r="AI3044">
        <v>1</v>
      </c>
      <c r="AW3044">
        <v>0</v>
      </c>
      <c r="AX3044">
        <v>7</v>
      </c>
      <c r="AY3044">
        <v>149</v>
      </c>
      <c r="AZ3044">
        <v>148</v>
      </c>
      <c r="BA3044">
        <v>206</v>
      </c>
      <c r="BB3044">
        <v>48</v>
      </c>
      <c r="BD3044">
        <v>1</v>
      </c>
      <c r="BF3044" t="s">
        <v>3262</v>
      </c>
      <c r="BG3044" s="1">
        <v>44354.145138888889</v>
      </c>
      <c r="BH3044" s="1">
        <v>44354.147523148145</v>
      </c>
      <c r="BI3044" s="1">
        <v>44354.148599537039</v>
      </c>
      <c r="BJ3044" t="s">
        <v>85</v>
      </c>
      <c r="BK3044" t="s">
        <v>86</v>
      </c>
      <c r="BL3044" t="s">
        <v>87</v>
      </c>
    </row>
    <row r="3045" spans="1:64" x14ac:dyDescent="0.3">
      <c r="A3045" t="str">
        <f>"202057B0000"</f>
        <v>202057B0000</v>
      </c>
      <c r="B3045" t="str">
        <f>"202057B00003"</f>
        <v>202057B00003</v>
      </c>
      <c r="C3045" t="str">
        <f t="shared" si="212"/>
        <v>20</v>
      </c>
      <c r="D3045" t="s">
        <v>81</v>
      </c>
      <c r="E3045" t="str">
        <f t="shared" ref="E3045:E3050" si="213">"473"</f>
        <v>473</v>
      </c>
      <c r="F3045" t="s">
        <v>3263</v>
      </c>
      <c r="G3045" t="str">
        <f>"2057"</f>
        <v>2057</v>
      </c>
      <c r="H3045" t="str">
        <f>"0000"</f>
        <v>0000</v>
      </c>
      <c r="I3045" t="s">
        <v>83</v>
      </c>
      <c r="J3045">
        <v>0</v>
      </c>
      <c r="K3045">
        <v>1</v>
      </c>
      <c r="L3045">
        <v>3</v>
      </c>
      <c r="BA3045">
        <v>445</v>
      </c>
      <c r="BB3045">
        <v>44</v>
      </c>
      <c r="BC3045" t="s">
        <v>161</v>
      </c>
      <c r="BD3045">
        <v>0</v>
      </c>
      <c r="BF3045" t="s">
        <v>3264</v>
      </c>
      <c r="BG3045" s="1">
        <v>44354.522916666669</v>
      </c>
      <c r="BH3045" s="1">
        <v>44354.538078703707</v>
      </c>
      <c r="BI3045" s="1">
        <v>44354.538078703707</v>
      </c>
      <c r="BJ3045" t="s">
        <v>85</v>
      </c>
      <c r="BK3045" t="s">
        <v>86</v>
      </c>
      <c r="BL3045" t="s">
        <v>87</v>
      </c>
    </row>
    <row r="3046" spans="1:64" x14ac:dyDescent="0.3">
      <c r="A3046" t="str">
        <f>"202057C0100"</f>
        <v>202057C0100</v>
      </c>
      <c r="B3046" t="str">
        <f>"202057C01003"</f>
        <v>202057C01003</v>
      </c>
      <c r="C3046" t="str">
        <f t="shared" si="212"/>
        <v>20</v>
      </c>
      <c r="D3046" t="s">
        <v>81</v>
      </c>
      <c r="E3046" t="str">
        <f t="shared" si="213"/>
        <v>473</v>
      </c>
      <c r="F3046" t="s">
        <v>3263</v>
      </c>
      <c r="G3046" t="str">
        <f>"2057"</f>
        <v>2057</v>
      </c>
      <c r="H3046" t="str">
        <f>"0001"</f>
        <v>0001</v>
      </c>
      <c r="I3046" t="s">
        <v>89</v>
      </c>
      <c r="J3046">
        <v>0</v>
      </c>
      <c r="K3046">
        <v>1</v>
      </c>
      <c r="L3046">
        <v>3</v>
      </c>
      <c r="BA3046">
        <v>444</v>
      </c>
      <c r="BB3046">
        <v>44</v>
      </c>
      <c r="BC3046" t="s">
        <v>161</v>
      </c>
      <c r="BD3046">
        <v>0</v>
      </c>
      <c r="BF3046" t="s">
        <v>3265</v>
      </c>
      <c r="BG3046" s="1">
        <v>44354.522916666669</v>
      </c>
      <c r="BH3046" s="1">
        <v>44354.537928240738</v>
      </c>
      <c r="BI3046" s="1">
        <v>44354.537928240738</v>
      </c>
      <c r="BJ3046" t="s">
        <v>85</v>
      </c>
      <c r="BK3046" t="s">
        <v>86</v>
      </c>
      <c r="BL3046" t="s">
        <v>87</v>
      </c>
    </row>
    <row r="3047" spans="1:64" x14ac:dyDescent="0.3">
      <c r="A3047" t="str">
        <f>"202058B0000"</f>
        <v>202058B0000</v>
      </c>
      <c r="B3047" t="str">
        <f>"202058B00003"</f>
        <v>202058B00003</v>
      </c>
      <c r="C3047" t="str">
        <f t="shared" si="212"/>
        <v>20</v>
      </c>
      <c r="D3047" t="s">
        <v>81</v>
      </c>
      <c r="E3047" t="str">
        <f t="shared" si="213"/>
        <v>473</v>
      </c>
      <c r="F3047" t="s">
        <v>3263</v>
      </c>
      <c r="G3047" t="str">
        <f>"2058"</f>
        <v>2058</v>
      </c>
      <c r="H3047" t="str">
        <f>"0000"</f>
        <v>0000</v>
      </c>
      <c r="I3047" t="s">
        <v>83</v>
      </c>
      <c r="J3047">
        <v>0</v>
      </c>
      <c r="K3047">
        <v>1</v>
      </c>
      <c r="L3047">
        <v>3</v>
      </c>
      <c r="BA3047">
        <v>563</v>
      </c>
      <c r="BB3047">
        <v>44</v>
      </c>
      <c r="BC3047" t="s">
        <v>161</v>
      </c>
      <c r="BD3047">
        <v>0</v>
      </c>
      <c r="BF3047" t="s">
        <v>3266</v>
      </c>
      <c r="BG3047" s="1">
        <v>44354.522916666669</v>
      </c>
      <c r="BH3047" s="1">
        <v>44354.537754629629</v>
      </c>
      <c r="BI3047" s="1">
        <v>44354.537754629629</v>
      </c>
      <c r="BJ3047" t="s">
        <v>85</v>
      </c>
      <c r="BK3047" t="s">
        <v>86</v>
      </c>
      <c r="BL3047" t="s">
        <v>87</v>
      </c>
    </row>
    <row r="3048" spans="1:64" x14ac:dyDescent="0.3">
      <c r="A3048" t="str">
        <f>"202058C0100"</f>
        <v>202058C0100</v>
      </c>
      <c r="B3048" t="str">
        <f>"202058C01003"</f>
        <v>202058C01003</v>
      </c>
      <c r="C3048" t="str">
        <f t="shared" si="212"/>
        <v>20</v>
      </c>
      <c r="D3048" t="s">
        <v>81</v>
      </c>
      <c r="E3048" t="str">
        <f t="shared" si="213"/>
        <v>473</v>
      </c>
      <c r="F3048" t="s">
        <v>3263</v>
      </c>
      <c r="G3048" t="str">
        <f>"2058"</f>
        <v>2058</v>
      </c>
      <c r="H3048" t="str">
        <f>"0001"</f>
        <v>0001</v>
      </c>
      <c r="I3048" t="s">
        <v>89</v>
      </c>
      <c r="J3048">
        <v>0</v>
      </c>
      <c r="K3048">
        <v>1</v>
      </c>
      <c r="L3048">
        <v>3</v>
      </c>
      <c r="BA3048">
        <v>563</v>
      </c>
      <c r="BB3048">
        <v>44</v>
      </c>
      <c r="BC3048" t="s">
        <v>161</v>
      </c>
      <c r="BD3048">
        <v>0</v>
      </c>
      <c r="BF3048" t="s">
        <v>3267</v>
      </c>
      <c r="BG3048" s="1">
        <v>44354.522916666669</v>
      </c>
      <c r="BH3048" s="1">
        <v>44354.537557870368</v>
      </c>
      <c r="BI3048" s="1">
        <v>44354.537557870368</v>
      </c>
      <c r="BJ3048" t="s">
        <v>85</v>
      </c>
      <c r="BK3048" t="s">
        <v>86</v>
      </c>
      <c r="BL3048" t="s">
        <v>87</v>
      </c>
    </row>
    <row r="3049" spans="1:64" x14ac:dyDescent="0.3">
      <c r="A3049" t="str">
        <f>"202058C0200"</f>
        <v>202058C0200</v>
      </c>
      <c r="B3049" t="str">
        <f>"202058C02003"</f>
        <v>202058C02003</v>
      </c>
      <c r="C3049" t="str">
        <f t="shared" si="212"/>
        <v>20</v>
      </c>
      <c r="D3049" t="s">
        <v>81</v>
      </c>
      <c r="E3049" t="str">
        <f t="shared" si="213"/>
        <v>473</v>
      </c>
      <c r="F3049" t="s">
        <v>3263</v>
      </c>
      <c r="G3049" t="str">
        <f>"2058"</f>
        <v>2058</v>
      </c>
      <c r="H3049" t="str">
        <f>"0002"</f>
        <v>0002</v>
      </c>
      <c r="I3049" t="s">
        <v>89</v>
      </c>
      <c r="J3049">
        <v>0</v>
      </c>
      <c r="K3049">
        <v>1</v>
      </c>
      <c r="L3049">
        <v>3</v>
      </c>
      <c r="BA3049">
        <v>562</v>
      </c>
      <c r="BB3049">
        <v>44</v>
      </c>
      <c r="BC3049" t="s">
        <v>161</v>
      </c>
      <c r="BD3049">
        <v>0</v>
      </c>
      <c r="BF3049" t="s">
        <v>3268</v>
      </c>
      <c r="BG3049" s="1">
        <v>44354.522916666669</v>
      </c>
      <c r="BH3049" s="1">
        <v>44354.537372685183</v>
      </c>
      <c r="BI3049" s="1">
        <v>44354.537372685183</v>
      </c>
      <c r="BJ3049" t="s">
        <v>85</v>
      </c>
      <c r="BK3049" t="s">
        <v>86</v>
      </c>
      <c r="BL3049" t="s">
        <v>87</v>
      </c>
    </row>
    <row r="3050" spans="1:64" x14ac:dyDescent="0.3">
      <c r="A3050" t="str">
        <f>"202059B0000"</f>
        <v>202059B0000</v>
      </c>
      <c r="B3050" t="str">
        <f>"202059B00003"</f>
        <v>202059B00003</v>
      </c>
      <c r="C3050" t="str">
        <f t="shared" si="212"/>
        <v>20</v>
      </c>
      <c r="D3050" t="s">
        <v>81</v>
      </c>
      <c r="E3050" t="str">
        <f t="shared" si="213"/>
        <v>473</v>
      </c>
      <c r="F3050" t="s">
        <v>3263</v>
      </c>
      <c r="G3050" t="str">
        <f>"2059"</f>
        <v>2059</v>
      </c>
      <c r="H3050" t="str">
        <f>"0000"</f>
        <v>0000</v>
      </c>
      <c r="I3050" t="s">
        <v>83</v>
      </c>
      <c r="J3050">
        <v>0</v>
      </c>
      <c r="K3050">
        <v>1</v>
      </c>
      <c r="L3050">
        <v>3</v>
      </c>
      <c r="M3050">
        <v>155</v>
      </c>
      <c r="N3050">
        <v>193</v>
      </c>
      <c r="O3050">
        <v>0</v>
      </c>
      <c r="P3050">
        <v>193</v>
      </c>
      <c r="Q3050">
        <v>0</v>
      </c>
      <c r="R3050">
        <v>4</v>
      </c>
      <c r="T3050">
        <v>0</v>
      </c>
      <c r="U3050">
        <v>1</v>
      </c>
      <c r="V3050">
        <v>1</v>
      </c>
      <c r="W3050">
        <v>1</v>
      </c>
      <c r="X3050">
        <v>175</v>
      </c>
      <c r="Y3050">
        <v>3</v>
      </c>
      <c r="Z3050">
        <v>0</v>
      </c>
      <c r="AA3050">
        <v>1</v>
      </c>
      <c r="AB3050">
        <v>0</v>
      </c>
      <c r="AU3050">
        <v>0</v>
      </c>
      <c r="AW3050">
        <v>0</v>
      </c>
      <c r="AX3050">
        <v>7</v>
      </c>
      <c r="AY3050">
        <v>193</v>
      </c>
      <c r="AZ3050">
        <v>193</v>
      </c>
      <c r="BA3050">
        <v>304</v>
      </c>
      <c r="BB3050">
        <v>44</v>
      </c>
      <c r="BD3050">
        <v>1</v>
      </c>
      <c r="BF3050" t="s">
        <v>3269</v>
      </c>
      <c r="BG3050" s="1">
        <v>44354.21597222222</v>
      </c>
      <c r="BH3050" s="1">
        <v>44354.217673611114</v>
      </c>
      <c r="BI3050" s="1">
        <v>44354.217928240738</v>
      </c>
      <c r="BJ3050" t="s">
        <v>85</v>
      </c>
      <c r="BK3050" t="s">
        <v>86</v>
      </c>
      <c r="BL3050" t="s">
        <v>87</v>
      </c>
    </row>
    <row r="3051" spans="1:64" x14ac:dyDescent="0.3">
      <c r="A3051" t="str">
        <f>"202062B0000"</f>
        <v>202062B0000</v>
      </c>
      <c r="B3051" t="str">
        <f>"202062B00003"</f>
        <v>202062B00003</v>
      </c>
      <c r="C3051" t="str">
        <f t="shared" si="212"/>
        <v>20</v>
      </c>
      <c r="D3051" t="s">
        <v>81</v>
      </c>
      <c r="E3051" t="str">
        <f>"475"</f>
        <v>475</v>
      </c>
      <c r="F3051" t="s">
        <v>3270</v>
      </c>
      <c r="G3051" t="str">
        <f>"2062"</f>
        <v>2062</v>
      </c>
      <c r="H3051" t="str">
        <f>"0000"</f>
        <v>0000</v>
      </c>
      <c r="I3051" t="s">
        <v>83</v>
      </c>
      <c r="J3051">
        <v>0</v>
      </c>
      <c r="K3051">
        <v>1</v>
      </c>
      <c r="L3051">
        <v>3</v>
      </c>
      <c r="M3051">
        <v>155</v>
      </c>
      <c r="N3051">
        <v>437</v>
      </c>
      <c r="O3051">
        <v>0</v>
      </c>
      <c r="P3051">
        <v>437</v>
      </c>
      <c r="Q3051">
        <v>0</v>
      </c>
      <c r="R3051">
        <v>222</v>
      </c>
      <c r="S3051">
        <v>1</v>
      </c>
      <c r="T3051">
        <v>1</v>
      </c>
      <c r="U3051">
        <v>0</v>
      </c>
      <c r="X3051">
        <v>206</v>
      </c>
      <c r="Z3051">
        <v>1</v>
      </c>
      <c r="AB3051">
        <v>0</v>
      </c>
      <c r="AF3051">
        <v>0</v>
      </c>
      <c r="AG3051">
        <v>0</v>
      </c>
      <c r="AH3051">
        <v>0</v>
      </c>
      <c r="AI3051">
        <v>0</v>
      </c>
      <c r="AW3051">
        <v>0</v>
      </c>
      <c r="AX3051">
        <v>6</v>
      </c>
      <c r="AY3051">
        <v>0</v>
      </c>
      <c r="AZ3051">
        <v>437</v>
      </c>
      <c r="BA3051">
        <v>548</v>
      </c>
      <c r="BB3051">
        <v>44</v>
      </c>
      <c r="BD3051">
        <v>1</v>
      </c>
      <c r="BF3051" t="s">
        <v>3271</v>
      </c>
      <c r="BG3051" s="1">
        <v>44354.520138888889</v>
      </c>
      <c r="BH3051" s="1">
        <v>44354.52306712963</v>
      </c>
      <c r="BI3051" s="1">
        <v>44354.523587962962</v>
      </c>
      <c r="BJ3051" t="s">
        <v>85</v>
      </c>
      <c r="BK3051" t="s">
        <v>86</v>
      </c>
      <c r="BL3051" t="s">
        <v>87</v>
      </c>
    </row>
    <row r="3052" spans="1:64" x14ac:dyDescent="0.3">
      <c r="A3052" t="str">
        <f>"202062C0100"</f>
        <v>202062C0100</v>
      </c>
      <c r="B3052" t="str">
        <f>"202062C01003"</f>
        <v>202062C01003</v>
      </c>
      <c r="C3052" t="str">
        <f t="shared" si="212"/>
        <v>20</v>
      </c>
      <c r="D3052" t="s">
        <v>81</v>
      </c>
      <c r="E3052" t="str">
        <f>"475"</f>
        <v>475</v>
      </c>
      <c r="F3052" t="s">
        <v>3270</v>
      </c>
      <c r="G3052" t="str">
        <f>"2062"</f>
        <v>2062</v>
      </c>
      <c r="H3052" t="str">
        <f>"0001"</f>
        <v>0001</v>
      </c>
      <c r="I3052" t="s">
        <v>89</v>
      </c>
      <c r="J3052">
        <v>0</v>
      </c>
      <c r="K3052">
        <v>1</v>
      </c>
      <c r="L3052">
        <v>3</v>
      </c>
      <c r="M3052">
        <v>158</v>
      </c>
      <c r="N3052">
        <v>592</v>
      </c>
      <c r="O3052">
        <v>0</v>
      </c>
      <c r="P3052">
        <v>434</v>
      </c>
      <c r="Q3052">
        <v>1</v>
      </c>
      <c r="R3052">
        <v>166</v>
      </c>
      <c r="S3052">
        <v>3</v>
      </c>
      <c r="T3052">
        <v>1</v>
      </c>
      <c r="U3052">
        <v>0</v>
      </c>
      <c r="X3052">
        <v>255</v>
      </c>
      <c r="Z3052">
        <v>2</v>
      </c>
      <c r="AB3052">
        <v>1</v>
      </c>
      <c r="AF3052">
        <v>3</v>
      </c>
      <c r="AG3052">
        <v>0</v>
      </c>
      <c r="AH3052">
        <v>0</v>
      </c>
      <c r="AI3052">
        <v>0</v>
      </c>
      <c r="AW3052">
        <v>0</v>
      </c>
      <c r="AX3052">
        <v>2</v>
      </c>
      <c r="AY3052">
        <v>434</v>
      </c>
      <c r="AZ3052">
        <v>434</v>
      </c>
      <c r="BA3052">
        <v>548</v>
      </c>
      <c r="BB3052">
        <v>44</v>
      </c>
      <c r="BD3052">
        <v>1</v>
      </c>
      <c r="BF3052" t="s">
        <v>3272</v>
      </c>
      <c r="BG3052" s="1">
        <v>44354.519444444442</v>
      </c>
      <c r="BH3052" s="1">
        <v>44354.523125</v>
      </c>
      <c r="BI3052" s="1">
        <v>44354.523761574077</v>
      </c>
      <c r="BJ3052" t="s">
        <v>85</v>
      </c>
      <c r="BK3052" t="s">
        <v>86</v>
      </c>
      <c r="BL3052" t="s">
        <v>87</v>
      </c>
    </row>
    <row r="3053" spans="1:64" x14ac:dyDescent="0.3">
      <c r="A3053" t="str">
        <f>"202062C0200"</f>
        <v>202062C0200</v>
      </c>
      <c r="B3053" t="str">
        <f>"202062C02003"</f>
        <v>202062C02003</v>
      </c>
      <c r="C3053" t="str">
        <f t="shared" si="212"/>
        <v>20</v>
      </c>
      <c r="D3053" t="s">
        <v>81</v>
      </c>
      <c r="E3053" t="str">
        <f>"475"</f>
        <v>475</v>
      </c>
      <c r="F3053" t="s">
        <v>3270</v>
      </c>
      <c r="G3053" t="str">
        <f>"2062"</f>
        <v>2062</v>
      </c>
      <c r="H3053" t="str">
        <f>"0002"</f>
        <v>0002</v>
      </c>
      <c r="I3053" t="s">
        <v>89</v>
      </c>
      <c r="J3053">
        <v>0</v>
      </c>
      <c r="K3053">
        <v>1</v>
      </c>
      <c r="L3053">
        <v>3</v>
      </c>
      <c r="M3053">
        <v>155</v>
      </c>
      <c r="N3053" t="s">
        <v>92</v>
      </c>
      <c r="O3053">
        <v>1</v>
      </c>
      <c r="P3053" t="s">
        <v>92</v>
      </c>
      <c r="Q3053">
        <v>2</v>
      </c>
      <c r="R3053">
        <v>211</v>
      </c>
      <c r="S3053">
        <v>1</v>
      </c>
      <c r="T3053">
        <v>0</v>
      </c>
      <c r="U3053">
        <v>0</v>
      </c>
      <c r="X3053">
        <v>213</v>
      </c>
      <c r="Z3053">
        <v>0</v>
      </c>
      <c r="AB3053">
        <v>0</v>
      </c>
      <c r="AF3053">
        <v>2</v>
      </c>
      <c r="AG3053">
        <v>0</v>
      </c>
      <c r="AH3053">
        <v>0</v>
      </c>
      <c r="AI3053">
        <v>0</v>
      </c>
      <c r="AW3053">
        <v>0</v>
      </c>
      <c r="AX3053">
        <v>6</v>
      </c>
      <c r="AY3053">
        <v>436</v>
      </c>
      <c r="AZ3053">
        <v>435</v>
      </c>
      <c r="BA3053">
        <v>547</v>
      </c>
      <c r="BB3053">
        <v>44</v>
      </c>
      <c r="BD3053">
        <v>1</v>
      </c>
      <c r="BF3053" t="s">
        <v>3273</v>
      </c>
      <c r="BG3053" s="1">
        <v>44353.931631944448</v>
      </c>
      <c r="BH3053" s="1">
        <v>44353.960486111115</v>
      </c>
      <c r="BI3053" s="1">
        <v>44353.961365740739</v>
      </c>
      <c r="BJ3053" t="s">
        <v>197</v>
      </c>
      <c r="BK3053" t="s">
        <v>198</v>
      </c>
      <c r="BL3053" t="s">
        <v>87</v>
      </c>
    </row>
    <row r="3054" spans="1:64" x14ac:dyDescent="0.3">
      <c r="A3054" t="str">
        <f>"202063B0000"</f>
        <v>202063B0000</v>
      </c>
      <c r="B3054" t="str">
        <f>"202063B00003"</f>
        <v>202063B00003</v>
      </c>
      <c r="C3054" t="str">
        <f t="shared" si="212"/>
        <v>20</v>
      </c>
      <c r="D3054" t="s">
        <v>81</v>
      </c>
      <c r="E3054" t="str">
        <f>"475"</f>
        <v>475</v>
      </c>
      <c r="F3054" t="s">
        <v>3270</v>
      </c>
      <c r="G3054" t="str">
        <f>"2063"</f>
        <v>2063</v>
      </c>
      <c r="H3054" t="str">
        <f>"0000"</f>
        <v>0000</v>
      </c>
      <c r="I3054" t="s">
        <v>83</v>
      </c>
      <c r="J3054">
        <v>0</v>
      </c>
      <c r="K3054">
        <v>1</v>
      </c>
      <c r="L3054">
        <v>3</v>
      </c>
      <c r="M3054">
        <v>137</v>
      </c>
      <c r="N3054">
        <v>377</v>
      </c>
      <c r="O3054">
        <v>0</v>
      </c>
      <c r="P3054">
        <v>377</v>
      </c>
      <c r="Q3054">
        <v>1</v>
      </c>
      <c r="R3054">
        <v>136</v>
      </c>
      <c r="S3054">
        <v>2</v>
      </c>
      <c r="T3054">
        <v>2</v>
      </c>
      <c r="U3054">
        <v>3</v>
      </c>
      <c r="X3054">
        <v>222</v>
      </c>
      <c r="Z3054">
        <v>2</v>
      </c>
      <c r="AB3054">
        <v>1</v>
      </c>
      <c r="AF3054" t="s">
        <v>95</v>
      </c>
      <c r="AG3054" t="s">
        <v>95</v>
      </c>
      <c r="AH3054" t="s">
        <v>95</v>
      </c>
      <c r="AI3054" t="s">
        <v>95</v>
      </c>
      <c r="AW3054" t="s">
        <v>95</v>
      </c>
      <c r="AX3054">
        <v>8</v>
      </c>
      <c r="AY3054">
        <v>377</v>
      </c>
      <c r="AZ3054">
        <v>377</v>
      </c>
      <c r="BA3054">
        <v>462</v>
      </c>
      <c r="BB3054">
        <v>44</v>
      </c>
      <c r="BC3054" t="s">
        <v>96</v>
      </c>
      <c r="BD3054">
        <v>1</v>
      </c>
      <c r="BF3054" t="s">
        <v>3274</v>
      </c>
      <c r="BG3054" s="1">
        <v>44353.881793981483</v>
      </c>
      <c r="BH3054" s="1">
        <v>44353.959976851853</v>
      </c>
      <c r="BI3054" s="1">
        <v>44353.960682870369</v>
      </c>
      <c r="BJ3054" t="s">
        <v>197</v>
      </c>
      <c r="BK3054" t="s">
        <v>198</v>
      </c>
      <c r="BL3054" t="s">
        <v>87</v>
      </c>
    </row>
    <row r="3055" spans="1:64" x14ac:dyDescent="0.3">
      <c r="A3055" t="str">
        <f>"202064B0000"</f>
        <v>202064B0000</v>
      </c>
      <c r="B3055" t="str">
        <f>"202064B00003"</f>
        <v>202064B00003</v>
      </c>
      <c r="C3055" t="str">
        <f t="shared" si="212"/>
        <v>20</v>
      </c>
      <c r="D3055" t="s">
        <v>81</v>
      </c>
      <c r="E3055" t="str">
        <f>"475"</f>
        <v>475</v>
      </c>
      <c r="F3055" t="s">
        <v>3270</v>
      </c>
      <c r="G3055" t="str">
        <f>"2064"</f>
        <v>2064</v>
      </c>
      <c r="H3055" t="str">
        <f>"0000"</f>
        <v>0000</v>
      </c>
      <c r="I3055" t="s">
        <v>83</v>
      </c>
      <c r="J3055">
        <v>0</v>
      </c>
      <c r="K3055">
        <v>1</v>
      </c>
      <c r="L3055">
        <v>3</v>
      </c>
      <c r="M3055">
        <v>277</v>
      </c>
      <c r="N3055">
        <v>460</v>
      </c>
      <c r="O3055" t="s">
        <v>92</v>
      </c>
      <c r="P3055">
        <v>460</v>
      </c>
      <c r="Q3055">
        <v>0</v>
      </c>
      <c r="R3055">
        <v>217</v>
      </c>
      <c r="S3055">
        <v>2</v>
      </c>
      <c r="T3055">
        <v>7</v>
      </c>
      <c r="U3055">
        <v>2</v>
      </c>
      <c r="X3055">
        <v>206</v>
      </c>
      <c r="Z3055">
        <v>6</v>
      </c>
      <c r="AB3055">
        <v>2</v>
      </c>
      <c r="AF3055">
        <v>3</v>
      </c>
      <c r="AG3055" t="s">
        <v>95</v>
      </c>
      <c r="AH3055" t="s">
        <v>95</v>
      </c>
      <c r="AI3055" t="s">
        <v>95</v>
      </c>
      <c r="AW3055" t="s">
        <v>95</v>
      </c>
      <c r="AX3055">
        <v>20</v>
      </c>
      <c r="AY3055">
        <v>460</v>
      </c>
      <c r="AZ3055">
        <v>465</v>
      </c>
      <c r="BA3055">
        <v>692</v>
      </c>
      <c r="BB3055">
        <v>44</v>
      </c>
      <c r="BC3055" t="s">
        <v>96</v>
      </c>
      <c r="BD3055">
        <v>1</v>
      </c>
      <c r="BF3055" t="s">
        <v>3275</v>
      </c>
      <c r="BG3055" s="1">
        <v>44354.520138888889</v>
      </c>
      <c r="BH3055" s="1">
        <v>44354.523611111108</v>
      </c>
      <c r="BI3055" s="1">
        <v>44354.524351851855</v>
      </c>
      <c r="BJ3055" t="s">
        <v>85</v>
      </c>
      <c r="BK3055" t="s">
        <v>86</v>
      </c>
      <c r="BL3055" t="s">
        <v>87</v>
      </c>
    </row>
    <row r="3056" spans="1:64" x14ac:dyDescent="0.3">
      <c r="A3056" t="str">
        <f>"202077B0000"</f>
        <v>202077B0000</v>
      </c>
      <c r="B3056" t="str">
        <f>"202077B00003"</f>
        <v>202077B00003</v>
      </c>
      <c r="C3056" t="str">
        <f t="shared" si="212"/>
        <v>20</v>
      </c>
      <c r="D3056" t="s">
        <v>81</v>
      </c>
      <c r="E3056" t="str">
        <f t="shared" ref="E3056:E3065" si="214">"481"</f>
        <v>481</v>
      </c>
      <c r="F3056" t="s">
        <v>3276</v>
      </c>
      <c r="G3056" t="str">
        <f>"2077"</f>
        <v>2077</v>
      </c>
      <c r="H3056" t="str">
        <f>"0000"</f>
        <v>0000</v>
      </c>
      <c r="I3056" t="s">
        <v>83</v>
      </c>
      <c r="J3056">
        <v>0</v>
      </c>
      <c r="K3056">
        <v>1</v>
      </c>
      <c r="L3056">
        <v>3</v>
      </c>
      <c r="M3056">
        <v>189</v>
      </c>
      <c r="N3056">
        <v>436</v>
      </c>
      <c r="O3056">
        <v>2</v>
      </c>
      <c r="P3056">
        <v>436</v>
      </c>
      <c r="Q3056">
        <v>1</v>
      </c>
      <c r="R3056">
        <v>153</v>
      </c>
      <c r="S3056">
        <v>7</v>
      </c>
      <c r="T3056">
        <v>1</v>
      </c>
      <c r="U3056">
        <v>56</v>
      </c>
      <c r="X3056">
        <v>156</v>
      </c>
      <c r="Z3056">
        <v>0</v>
      </c>
      <c r="AA3056">
        <v>4</v>
      </c>
      <c r="AC3056">
        <v>47</v>
      </c>
      <c r="AF3056">
        <v>3</v>
      </c>
      <c r="AG3056">
        <v>0</v>
      </c>
      <c r="AH3056">
        <v>0</v>
      </c>
      <c r="AI3056">
        <v>0</v>
      </c>
      <c r="AU3056">
        <v>0</v>
      </c>
      <c r="AW3056">
        <v>0</v>
      </c>
      <c r="AX3056">
        <v>8</v>
      </c>
      <c r="AY3056">
        <v>436</v>
      </c>
      <c r="AZ3056">
        <v>436</v>
      </c>
      <c r="BA3056">
        <v>579</v>
      </c>
      <c r="BB3056">
        <v>46</v>
      </c>
      <c r="BD3056">
        <v>1</v>
      </c>
      <c r="BF3056" t="s">
        <v>3277</v>
      </c>
      <c r="BG3056" s="1">
        <v>44353.94332175926</v>
      </c>
      <c r="BH3056" s="1">
        <v>44353.946250000001</v>
      </c>
      <c r="BI3056" s="1">
        <v>44353.946701388886</v>
      </c>
      <c r="BJ3056" t="s">
        <v>197</v>
      </c>
      <c r="BK3056" t="s">
        <v>198</v>
      </c>
      <c r="BL3056" t="s">
        <v>87</v>
      </c>
    </row>
    <row r="3057" spans="1:64" x14ac:dyDescent="0.3">
      <c r="A3057" t="str">
        <f>"202078B0000"</f>
        <v>202078B0000</v>
      </c>
      <c r="B3057" t="str">
        <f>"202078B00003"</f>
        <v>202078B00003</v>
      </c>
      <c r="C3057" t="str">
        <f t="shared" si="212"/>
        <v>20</v>
      </c>
      <c r="D3057" t="s">
        <v>81</v>
      </c>
      <c r="E3057" t="str">
        <f t="shared" si="214"/>
        <v>481</v>
      </c>
      <c r="F3057" t="s">
        <v>3276</v>
      </c>
      <c r="G3057" t="str">
        <f>"2078"</f>
        <v>2078</v>
      </c>
      <c r="H3057" t="str">
        <f>"0000"</f>
        <v>0000</v>
      </c>
      <c r="I3057" t="s">
        <v>83</v>
      </c>
      <c r="J3057">
        <v>0</v>
      </c>
      <c r="K3057">
        <v>1</v>
      </c>
      <c r="L3057">
        <v>3</v>
      </c>
      <c r="BA3057">
        <v>379</v>
      </c>
      <c r="BB3057">
        <v>46</v>
      </c>
      <c r="BC3057" t="s">
        <v>161</v>
      </c>
      <c r="BD3057">
        <v>0</v>
      </c>
      <c r="BF3057" t="s">
        <v>3278</v>
      </c>
      <c r="BG3057" s="1">
        <v>44354.494444444441</v>
      </c>
      <c r="BH3057" s="1">
        <v>44354.495706018519</v>
      </c>
      <c r="BI3057" s="1">
        <v>44354.495706018519</v>
      </c>
      <c r="BJ3057" t="s">
        <v>85</v>
      </c>
      <c r="BK3057" t="s">
        <v>86</v>
      </c>
      <c r="BL3057" t="s">
        <v>87</v>
      </c>
    </row>
    <row r="3058" spans="1:64" x14ac:dyDescent="0.3">
      <c r="A3058" t="str">
        <f>"202078C0100"</f>
        <v>202078C0100</v>
      </c>
      <c r="B3058" t="str">
        <f>"202078C01003"</f>
        <v>202078C01003</v>
      </c>
      <c r="C3058" t="str">
        <f t="shared" si="212"/>
        <v>20</v>
      </c>
      <c r="D3058" t="s">
        <v>81</v>
      </c>
      <c r="E3058" t="str">
        <f t="shared" si="214"/>
        <v>481</v>
      </c>
      <c r="F3058" t="s">
        <v>3276</v>
      </c>
      <c r="G3058" t="str">
        <f>"2078"</f>
        <v>2078</v>
      </c>
      <c r="H3058" t="str">
        <f>"0001"</f>
        <v>0001</v>
      </c>
      <c r="I3058" t="s">
        <v>89</v>
      </c>
      <c r="J3058">
        <v>0</v>
      </c>
      <c r="K3058">
        <v>1</v>
      </c>
      <c r="L3058">
        <v>3</v>
      </c>
      <c r="BA3058">
        <v>379</v>
      </c>
      <c r="BB3058">
        <v>46</v>
      </c>
      <c r="BC3058" t="s">
        <v>161</v>
      </c>
      <c r="BD3058">
        <v>0</v>
      </c>
      <c r="BF3058" t="s">
        <v>3279</v>
      </c>
      <c r="BG3058" s="1">
        <v>44354.461111111108</v>
      </c>
      <c r="BH3058" s="1">
        <v>44354.47760416667</v>
      </c>
      <c r="BI3058" s="1">
        <v>44354.47760416667</v>
      </c>
      <c r="BJ3058" t="s">
        <v>85</v>
      </c>
      <c r="BK3058" t="s">
        <v>86</v>
      </c>
      <c r="BL3058" t="s">
        <v>87</v>
      </c>
    </row>
    <row r="3059" spans="1:64" x14ac:dyDescent="0.3">
      <c r="A3059" t="str">
        <f>"202079B0000"</f>
        <v>202079B0000</v>
      </c>
      <c r="B3059" t="str">
        <f>"202079B00003"</f>
        <v>202079B00003</v>
      </c>
      <c r="C3059" t="str">
        <f t="shared" si="212"/>
        <v>20</v>
      </c>
      <c r="D3059" t="s">
        <v>81</v>
      </c>
      <c r="E3059" t="str">
        <f t="shared" si="214"/>
        <v>481</v>
      </c>
      <c r="F3059" t="s">
        <v>3276</v>
      </c>
      <c r="G3059" t="str">
        <f>"2079"</f>
        <v>2079</v>
      </c>
      <c r="H3059" t="str">
        <f>"0000"</f>
        <v>0000</v>
      </c>
      <c r="I3059" t="s">
        <v>83</v>
      </c>
      <c r="J3059">
        <v>0</v>
      </c>
      <c r="K3059">
        <v>1</v>
      </c>
      <c r="L3059">
        <v>3</v>
      </c>
      <c r="BA3059">
        <v>519</v>
      </c>
      <c r="BB3059">
        <v>46</v>
      </c>
      <c r="BC3059" t="s">
        <v>161</v>
      </c>
      <c r="BD3059">
        <v>0</v>
      </c>
      <c r="BF3059" t="s">
        <v>3280</v>
      </c>
      <c r="BG3059" s="1">
        <v>44354.461111111108</v>
      </c>
      <c r="BH3059" s="1">
        <v>44354.478634259256</v>
      </c>
      <c r="BI3059" s="1">
        <v>44354.478634259256</v>
      </c>
      <c r="BJ3059" t="s">
        <v>85</v>
      </c>
      <c r="BK3059" t="s">
        <v>86</v>
      </c>
      <c r="BL3059" t="s">
        <v>87</v>
      </c>
    </row>
    <row r="3060" spans="1:64" x14ac:dyDescent="0.3">
      <c r="A3060" t="str">
        <f>"202079C0100"</f>
        <v>202079C0100</v>
      </c>
      <c r="B3060" t="str">
        <f>"202079C01003"</f>
        <v>202079C01003</v>
      </c>
      <c r="C3060" t="str">
        <f t="shared" si="212"/>
        <v>20</v>
      </c>
      <c r="D3060" t="s">
        <v>81</v>
      </c>
      <c r="E3060" t="str">
        <f t="shared" si="214"/>
        <v>481</v>
      </c>
      <c r="F3060" t="s">
        <v>3276</v>
      </c>
      <c r="G3060" t="str">
        <f>"2079"</f>
        <v>2079</v>
      </c>
      <c r="H3060" t="str">
        <f>"0001"</f>
        <v>0001</v>
      </c>
      <c r="I3060" t="s">
        <v>89</v>
      </c>
      <c r="J3060">
        <v>0</v>
      </c>
      <c r="K3060">
        <v>1</v>
      </c>
      <c r="L3060">
        <v>3</v>
      </c>
      <c r="BA3060">
        <v>519</v>
      </c>
      <c r="BB3060">
        <v>46</v>
      </c>
      <c r="BC3060" t="s">
        <v>161</v>
      </c>
      <c r="BD3060">
        <v>0</v>
      </c>
      <c r="BF3060" t="s">
        <v>3281</v>
      </c>
      <c r="BG3060" s="1">
        <v>44354.461805555555</v>
      </c>
      <c r="BH3060" s="1">
        <v>44354.479884259257</v>
      </c>
      <c r="BI3060" s="1">
        <v>44354.479884259257</v>
      </c>
      <c r="BJ3060" t="s">
        <v>85</v>
      </c>
      <c r="BK3060" t="s">
        <v>86</v>
      </c>
      <c r="BL3060" t="s">
        <v>87</v>
      </c>
    </row>
    <row r="3061" spans="1:64" x14ac:dyDescent="0.3">
      <c r="A3061" t="str">
        <f>"202080B0000"</f>
        <v>202080B0000</v>
      </c>
      <c r="B3061" t="str">
        <f>"202080B00003"</f>
        <v>202080B00003</v>
      </c>
      <c r="C3061" t="str">
        <f t="shared" si="212"/>
        <v>20</v>
      </c>
      <c r="D3061" t="s">
        <v>81</v>
      </c>
      <c r="E3061" t="str">
        <f t="shared" si="214"/>
        <v>481</v>
      </c>
      <c r="F3061" t="s">
        <v>3276</v>
      </c>
      <c r="G3061" t="str">
        <f>"2080"</f>
        <v>2080</v>
      </c>
      <c r="H3061" t="str">
        <f>"0000"</f>
        <v>0000</v>
      </c>
      <c r="I3061" t="s">
        <v>83</v>
      </c>
      <c r="J3061">
        <v>0</v>
      </c>
      <c r="K3061">
        <v>1</v>
      </c>
      <c r="L3061">
        <v>3</v>
      </c>
      <c r="BA3061">
        <v>463</v>
      </c>
      <c r="BB3061">
        <v>46</v>
      </c>
      <c r="BC3061" t="s">
        <v>161</v>
      </c>
      <c r="BD3061">
        <v>0</v>
      </c>
      <c r="BF3061" t="s">
        <v>3282</v>
      </c>
      <c r="BG3061" s="1">
        <v>44354.461805555555</v>
      </c>
      <c r="BH3061" s="1">
        <v>44354.479189814818</v>
      </c>
      <c r="BI3061" s="1">
        <v>44354.479189814818</v>
      </c>
      <c r="BJ3061" t="s">
        <v>85</v>
      </c>
      <c r="BK3061" t="s">
        <v>86</v>
      </c>
      <c r="BL3061" t="s">
        <v>87</v>
      </c>
    </row>
    <row r="3062" spans="1:64" x14ac:dyDescent="0.3">
      <c r="A3062" t="str">
        <f>"202080E0100"</f>
        <v>202080E0100</v>
      </c>
      <c r="B3062" t="str">
        <f>"202080E01003"</f>
        <v>202080E01003</v>
      </c>
      <c r="C3062" t="str">
        <f t="shared" si="212"/>
        <v>20</v>
      </c>
      <c r="D3062" t="s">
        <v>81</v>
      </c>
      <c r="E3062" t="str">
        <f t="shared" si="214"/>
        <v>481</v>
      </c>
      <c r="F3062" t="s">
        <v>3276</v>
      </c>
      <c r="G3062" t="str">
        <f>"2080"</f>
        <v>2080</v>
      </c>
      <c r="H3062" t="str">
        <f>"0001"</f>
        <v>0001</v>
      </c>
      <c r="I3062" t="s">
        <v>122</v>
      </c>
      <c r="J3062">
        <v>0</v>
      </c>
      <c r="K3062">
        <v>1</v>
      </c>
      <c r="L3062">
        <v>3</v>
      </c>
      <c r="BA3062">
        <v>342</v>
      </c>
      <c r="BB3062">
        <v>46</v>
      </c>
      <c r="BC3062" t="s">
        <v>161</v>
      </c>
      <c r="BD3062">
        <v>0</v>
      </c>
      <c r="BF3062" t="s">
        <v>3283</v>
      </c>
      <c r="BG3062" s="1">
        <v>44354.494444444441</v>
      </c>
      <c r="BH3062" s="1">
        <v>44354.496446759258</v>
      </c>
      <c r="BI3062" s="1">
        <v>44354.496446759258</v>
      </c>
      <c r="BJ3062" t="s">
        <v>85</v>
      </c>
      <c r="BK3062" t="s">
        <v>86</v>
      </c>
      <c r="BL3062" t="s">
        <v>87</v>
      </c>
    </row>
    <row r="3063" spans="1:64" x14ac:dyDescent="0.3">
      <c r="A3063" t="str">
        <f>"202081B0000"</f>
        <v>202081B0000</v>
      </c>
      <c r="B3063" t="str">
        <f>"202081B00003"</f>
        <v>202081B00003</v>
      </c>
      <c r="C3063" t="str">
        <f t="shared" si="212"/>
        <v>20</v>
      </c>
      <c r="D3063" t="s">
        <v>81</v>
      </c>
      <c r="E3063" t="str">
        <f t="shared" si="214"/>
        <v>481</v>
      </c>
      <c r="F3063" t="s">
        <v>3276</v>
      </c>
      <c r="G3063" t="str">
        <f>"2081"</f>
        <v>2081</v>
      </c>
      <c r="H3063" t="str">
        <f>"0000"</f>
        <v>0000</v>
      </c>
      <c r="I3063" t="s">
        <v>83</v>
      </c>
      <c r="J3063">
        <v>0</v>
      </c>
      <c r="K3063">
        <v>1</v>
      </c>
      <c r="L3063">
        <v>3</v>
      </c>
      <c r="BA3063">
        <v>480</v>
      </c>
      <c r="BB3063">
        <v>46</v>
      </c>
      <c r="BC3063" t="s">
        <v>161</v>
      </c>
      <c r="BD3063">
        <v>0</v>
      </c>
      <c r="BF3063" t="s">
        <v>3284</v>
      </c>
      <c r="BG3063" s="1">
        <v>44354.461805555555</v>
      </c>
      <c r="BH3063" s="1">
        <v>44354.480300925927</v>
      </c>
      <c r="BI3063" s="1">
        <v>44354.480300925927</v>
      </c>
      <c r="BJ3063" t="s">
        <v>85</v>
      </c>
      <c r="BK3063" t="s">
        <v>86</v>
      </c>
      <c r="BL3063" t="s">
        <v>87</v>
      </c>
    </row>
    <row r="3064" spans="1:64" x14ac:dyDescent="0.3">
      <c r="A3064" t="str">
        <f>"202082B0000"</f>
        <v>202082B0000</v>
      </c>
      <c r="B3064" t="str">
        <f>"202082B00003"</f>
        <v>202082B00003</v>
      </c>
      <c r="C3064" t="str">
        <f t="shared" si="212"/>
        <v>20</v>
      </c>
      <c r="D3064" t="s">
        <v>81</v>
      </c>
      <c r="E3064" t="str">
        <f t="shared" si="214"/>
        <v>481</v>
      </c>
      <c r="F3064" t="s">
        <v>3276</v>
      </c>
      <c r="G3064" t="str">
        <f>"2082"</f>
        <v>2082</v>
      </c>
      <c r="H3064" t="str">
        <f>"0000"</f>
        <v>0000</v>
      </c>
      <c r="I3064" t="s">
        <v>83</v>
      </c>
      <c r="J3064">
        <v>0</v>
      </c>
      <c r="K3064">
        <v>1</v>
      </c>
      <c r="L3064">
        <v>3</v>
      </c>
      <c r="BA3064">
        <v>190</v>
      </c>
      <c r="BB3064">
        <v>46</v>
      </c>
      <c r="BC3064" t="s">
        <v>161</v>
      </c>
      <c r="BD3064">
        <v>0</v>
      </c>
      <c r="BF3064" t="s">
        <v>3285</v>
      </c>
      <c r="BG3064" s="1">
        <v>44354.461805555555</v>
      </c>
      <c r="BH3064" s="1">
        <v>44354.480821759258</v>
      </c>
      <c r="BI3064" s="1">
        <v>44354.480821759258</v>
      </c>
      <c r="BJ3064" t="s">
        <v>85</v>
      </c>
      <c r="BK3064" t="s">
        <v>86</v>
      </c>
      <c r="BL3064" t="s">
        <v>87</v>
      </c>
    </row>
    <row r="3065" spans="1:64" x14ac:dyDescent="0.3">
      <c r="A3065" t="str">
        <f>"202083B0000"</f>
        <v>202083B0000</v>
      </c>
      <c r="B3065" t="str">
        <f>"202083B00003"</f>
        <v>202083B00003</v>
      </c>
      <c r="C3065" t="str">
        <f t="shared" si="212"/>
        <v>20</v>
      </c>
      <c r="D3065" t="s">
        <v>81</v>
      </c>
      <c r="E3065" t="str">
        <f t="shared" si="214"/>
        <v>481</v>
      </c>
      <c r="F3065" t="s">
        <v>3276</v>
      </c>
      <c r="G3065" t="str">
        <f>"2083"</f>
        <v>2083</v>
      </c>
      <c r="H3065" t="str">
        <f>"0000"</f>
        <v>0000</v>
      </c>
      <c r="I3065" t="s">
        <v>83</v>
      </c>
      <c r="J3065">
        <v>0</v>
      </c>
      <c r="K3065">
        <v>1</v>
      </c>
      <c r="L3065">
        <v>3</v>
      </c>
      <c r="BA3065">
        <v>561</v>
      </c>
      <c r="BB3065">
        <v>46</v>
      </c>
      <c r="BC3065" t="s">
        <v>161</v>
      </c>
      <c r="BD3065">
        <v>0</v>
      </c>
      <c r="BF3065" t="s">
        <v>3286</v>
      </c>
      <c r="BG3065" s="1">
        <v>44354.461805555555</v>
      </c>
      <c r="BH3065" s="1">
        <v>44354.48101851852</v>
      </c>
      <c r="BI3065" s="1">
        <v>44354.48101851852</v>
      </c>
      <c r="BJ3065" t="s">
        <v>85</v>
      </c>
      <c r="BK3065" t="s">
        <v>86</v>
      </c>
      <c r="BL3065" t="s">
        <v>87</v>
      </c>
    </row>
    <row r="3066" spans="1:64" x14ac:dyDescent="0.3">
      <c r="A3066" t="str">
        <f>"202088B0000"</f>
        <v>202088B0000</v>
      </c>
      <c r="B3066" t="str">
        <f>"202088B00003"</f>
        <v>202088B00003</v>
      </c>
      <c r="C3066" t="str">
        <f t="shared" si="212"/>
        <v>20</v>
      </c>
      <c r="D3066" t="s">
        <v>81</v>
      </c>
      <c r="E3066" t="str">
        <f t="shared" ref="E3066:E3097" si="215">"484"</f>
        <v>484</v>
      </c>
      <c r="F3066" t="s">
        <v>3287</v>
      </c>
      <c r="G3066" t="str">
        <f>"2088"</f>
        <v>2088</v>
      </c>
      <c r="H3066" t="str">
        <f>"0000"</f>
        <v>0000</v>
      </c>
      <c r="I3066" t="s">
        <v>83</v>
      </c>
      <c r="J3066">
        <v>0</v>
      </c>
      <c r="K3066">
        <v>1</v>
      </c>
      <c r="L3066">
        <v>3</v>
      </c>
      <c r="M3066">
        <v>289</v>
      </c>
      <c r="N3066">
        <v>360</v>
      </c>
      <c r="O3066">
        <v>0</v>
      </c>
      <c r="P3066">
        <v>360</v>
      </c>
      <c r="Q3066">
        <v>4</v>
      </c>
      <c r="R3066">
        <v>82</v>
      </c>
      <c r="S3066">
        <v>105</v>
      </c>
      <c r="T3066">
        <v>2</v>
      </c>
      <c r="U3066">
        <v>0</v>
      </c>
      <c r="V3066">
        <v>12</v>
      </c>
      <c r="W3066">
        <v>6</v>
      </c>
      <c r="X3066">
        <v>142</v>
      </c>
      <c r="Y3066">
        <v>1</v>
      </c>
      <c r="Z3066">
        <v>1</v>
      </c>
      <c r="AA3066">
        <v>0</v>
      </c>
      <c r="AB3066">
        <v>1</v>
      </c>
      <c r="AW3066">
        <v>0</v>
      </c>
      <c r="AX3066">
        <v>4</v>
      </c>
      <c r="AY3066">
        <v>360</v>
      </c>
      <c r="AZ3066">
        <v>360</v>
      </c>
      <c r="BA3066">
        <v>605</v>
      </c>
      <c r="BB3066">
        <v>44</v>
      </c>
      <c r="BD3066">
        <v>1</v>
      </c>
      <c r="BF3066" t="s">
        <v>3288</v>
      </c>
      <c r="BG3066" s="1">
        <v>44354.198611111111</v>
      </c>
      <c r="BH3066" s="1">
        <v>44354.202719907407</v>
      </c>
      <c r="BI3066" s="1">
        <v>44354.203321759262</v>
      </c>
      <c r="BJ3066" t="s">
        <v>85</v>
      </c>
      <c r="BK3066" t="s">
        <v>86</v>
      </c>
      <c r="BL3066" t="s">
        <v>87</v>
      </c>
    </row>
    <row r="3067" spans="1:64" x14ac:dyDescent="0.3">
      <c r="A3067" t="str">
        <f>"202088C0100"</f>
        <v>202088C0100</v>
      </c>
      <c r="B3067" t="str">
        <f>"202088C01003"</f>
        <v>202088C01003</v>
      </c>
      <c r="C3067" t="str">
        <f t="shared" si="212"/>
        <v>20</v>
      </c>
      <c r="D3067" t="s">
        <v>81</v>
      </c>
      <c r="E3067" t="str">
        <f t="shared" si="215"/>
        <v>484</v>
      </c>
      <c r="F3067" t="s">
        <v>3287</v>
      </c>
      <c r="G3067" t="str">
        <f>"2088"</f>
        <v>2088</v>
      </c>
      <c r="H3067" t="str">
        <f>"0001"</f>
        <v>0001</v>
      </c>
      <c r="I3067" t="s">
        <v>89</v>
      </c>
      <c r="J3067">
        <v>0</v>
      </c>
      <c r="K3067">
        <v>1</v>
      </c>
      <c r="L3067">
        <v>3</v>
      </c>
      <c r="M3067">
        <v>286</v>
      </c>
      <c r="N3067">
        <v>363</v>
      </c>
      <c r="O3067">
        <v>2</v>
      </c>
      <c r="P3067">
        <v>363</v>
      </c>
      <c r="Q3067">
        <v>4</v>
      </c>
      <c r="R3067">
        <v>81</v>
      </c>
      <c r="S3067">
        <v>122</v>
      </c>
      <c r="T3067">
        <v>5</v>
      </c>
      <c r="U3067">
        <v>1</v>
      </c>
      <c r="V3067">
        <v>7</v>
      </c>
      <c r="W3067">
        <v>5</v>
      </c>
      <c r="X3067">
        <v>126</v>
      </c>
      <c r="Y3067">
        <v>3</v>
      </c>
      <c r="Z3067">
        <v>1</v>
      </c>
      <c r="AA3067">
        <v>5</v>
      </c>
      <c r="AB3067">
        <v>1</v>
      </c>
      <c r="AW3067">
        <v>0</v>
      </c>
      <c r="AX3067">
        <v>2</v>
      </c>
      <c r="AY3067">
        <v>363</v>
      </c>
      <c r="AZ3067">
        <v>363</v>
      </c>
      <c r="BA3067">
        <v>605</v>
      </c>
      <c r="BB3067">
        <v>44</v>
      </c>
      <c r="BD3067">
        <v>1</v>
      </c>
      <c r="BF3067" t="s">
        <v>3289</v>
      </c>
      <c r="BG3067" s="1">
        <v>44354.198611111111</v>
      </c>
      <c r="BH3067" s="1">
        <v>44354.204942129632</v>
      </c>
      <c r="BI3067" s="1">
        <v>44354.205277777779</v>
      </c>
      <c r="BJ3067" t="s">
        <v>85</v>
      </c>
      <c r="BK3067" t="s">
        <v>86</v>
      </c>
      <c r="BL3067" t="s">
        <v>87</v>
      </c>
    </row>
    <row r="3068" spans="1:64" x14ac:dyDescent="0.3">
      <c r="A3068" t="str">
        <f>"202088C0200"</f>
        <v>202088C0200</v>
      </c>
      <c r="B3068" t="str">
        <f>"202088C02003"</f>
        <v>202088C02003</v>
      </c>
      <c r="C3068" t="str">
        <f t="shared" si="212"/>
        <v>20</v>
      </c>
      <c r="D3068" t="s">
        <v>81</v>
      </c>
      <c r="E3068" t="str">
        <f t="shared" si="215"/>
        <v>484</v>
      </c>
      <c r="F3068" t="s">
        <v>3287</v>
      </c>
      <c r="G3068" t="str">
        <f>"2088"</f>
        <v>2088</v>
      </c>
      <c r="H3068" t="str">
        <f>"0002"</f>
        <v>0002</v>
      </c>
      <c r="I3068" t="s">
        <v>89</v>
      </c>
      <c r="J3068">
        <v>0</v>
      </c>
      <c r="K3068">
        <v>1</v>
      </c>
      <c r="L3068">
        <v>3</v>
      </c>
      <c r="BA3068">
        <v>605</v>
      </c>
      <c r="BB3068">
        <v>44</v>
      </c>
      <c r="BC3068" t="s">
        <v>381</v>
      </c>
      <c r="BD3068">
        <v>0</v>
      </c>
      <c r="BF3068" t="s">
        <v>3290</v>
      </c>
      <c r="BG3068" s="1">
        <v>44354.216666666667</v>
      </c>
      <c r="BH3068" s="1">
        <v>44354.718587962961</v>
      </c>
      <c r="BI3068" s="1">
        <v>44354.718587962961</v>
      </c>
      <c r="BJ3068" t="s">
        <v>85</v>
      </c>
      <c r="BK3068" t="s">
        <v>86</v>
      </c>
      <c r="BL3068" t="s">
        <v>87</v>
      </c>
    </row>
    <row r="3069" spans="1:64" x14ac:dyDescent="0.3">
      <c r="A3069" t="str">
        <f>"202088S0100"</f>
        <v>202088S0100</v>
      </c>
      <c r="B3069" t="str">
        <f>"202088S01003E"</f>
        <v>202088S01003E</v>
      </c>
      <c r="C3069" t="str">
        <f t="shared" si="212"/>
        <v>20</v>
      </c>
      <c r="D3069" t="s">
        <v>81</v>
      </c>
      <c r="E3069" t="str">
        <f t="shared" si="215"/>
        <v>484</v>
      </c>
      <c r="F3069" t="s">
        <v>3287</v>
      </c>
      <c r="G3069" t="str">
        <f>"2088"</f>
        <v>2088</v>
      </c>
      <c r="H3069" t="str">
        <f>"0001"</f>
        <v>0001</v>
      </c>
      <c r="I3069" t="s">
        <v>99</v>
      </c>
      <c r="J3069">
        <v>0</v>
      </c>
      <c r="K3069">
        <v>1</v>
      </c>
      <c r="L3069" t="s">
        <v>100</v>
      </c>
      <c r="BA3069">
        <v>0</v>
      </c>
      <c r="BB3069">
        <v>44</v>
      </c>
      <c r="BC3069" t="s">
        <v>381</v>
      </c>
      <c r="BD3069">
        <v>0</v>
      </c>
      <c r="BF3069" t="s">
        <v>3291</v>
      </c>
      <c r="BG3069" s="1">
        <v>44354.21597222222</v>
      </c>
      <c r="BH3069" s="1">
        <v>44354.71733796296</v>
      </c>
      <c r="BI3069" s="1">
        <v>44354.71733796296</v>
      </c>
      <c r="BJ3069" t="s">
        <v>85</v>
      </c>
      <c r="BK3069" t="s">
        <v>86</v>
      </c>
      <c r="BL3069" t="s">
        <v>87</v>
      </c>
    </row>
    <row r="3070" spans="1:64" x14ac:dyDescent="0.3">
      <c r="A3070" t="str">
        <f>"202089B0000"</f>
        <v>202089B0000</v>
      </c>
      <c r="B3070" t="str">
        <f>"202089B00003"</f>
        <v>202089B00003</v>
      </c>
      <c r="C3070" t="str">
        <f t="shared" si="212"/>
        <v>20</v>
      </c>
      <c r="D3070" t="s">
        <v>81</v>
      </c>
      <c r="E3070" t="str">
        <f t="shared" si="215"/>
        <v>484</v>
      </c>
      <c r="F3070" t="s">
        <v>3287</v>
      </c>
      <c r="G3070" t="str">
        <f>"2089"</f>
        <v>2089</v>
      </c>
      <c r="H3070" t="str">
        <f>"0000"</f>
        <v>0000</v>
      </c>
      <c r="I3070" t="s">
        <v>83</v>
      </c>
      <c r="J3070">
        <v>0</v>
      </c>
      <c r="K3070">
        <v>1</v>
      </c>
      <c r="L3070">
        <v>3</v>
      </c>
      <c r="M3070">
        <v>269</v>
      </c>
      <c r="N3070">
        <v>382</v>
      </c>
      <c r="O3070">
        <v>10</v>
      </c>
      <c r="P3070">
        <v>382</v>
      </c>
      <c r="Q3070">
        <v>3</v>
      </c>
      <c r="R3070">
        <v>104</v>
      </c>
      <c r="S3070">
        <v>89</v>
      </c>
      <c r="T3070">
        <v>0</v>
      </c>
      <c r="U3070">
        <v>1</v>
      </c>
      <c r="V3070">
        <v>22</v>
      </c>
      <c r="W3070">
        <v>3</v>
      </c>
      <c r="X3070">
        <v>148</v>
      </c>
      <c r="Y3070">
        <v>0</v>
      </c>
      <c r="Z3070">
        <v>0</v>
      </c>
      <c r="AA3070">
        <v>2</v>
      </c>
      <c r="AB3070">
        <v>5</v>
      </c>
      <c r="AW3070" t="s">
        <v>95</v>
      </c>
      <c r="AX3070">
        <v>5</v>
      </c>
      <c r="AY3070">
        <v>382</v>
      </c>
      <c r="AZ3070">
        <v>382</v>
      </c>
      <c r="BA3070">
        <v>607</v>
      </c>
      <c r="BB3070">
        <v>44</v>
      </c>
      <c r="BC3070" t="s">
        <v>96</v>
      </c>
      <c r="BD3070">
        <v>1</v>
      </c>
      <c r="BF3070" t="s">
        <v>3292</v>
      </c>
      <c r="BG3070" s="1">
        <v>44353.983460648145</v>
      </c>
      <c r="BH3070" s="1">
        <v>44353.984826388885</v>
      </c>
      <c r="BI3070" s="1">
        <v>44353.985462962963</v>
      </c>
      <c r="BJ3070" t="s">
        <v>197</v>
      </c>
      <c r="BK3070" t="s">
        <v>198</v>
      </c>
      <c r="BL3070" t="s">
        <v>87</v>
      </c>
    </row>
    <row r="3071" spans="1:64" x14ac:dyDescent="0.3">
      <c r="A3071" t="str">
        <f>"202089C0100"</f>
        <v>202089C0100</v>
      </c>
      <c r="B3071" t="str">
        <f>"202089C01003"</f>
        <v>202089C01003</v>
      </c>
      <c r="C3071" t="str">
        <f t="shared" si="212"/>
        <v>20</v>
      </c>
      <c r="D3071" t="s">
        <v>81</v>
      </c>
      <c r="E3071" t="str">
        <f t="shared" si="215"/>
        <v>484</v>
      </c>
      <c r="F3071" t="s">
        <v>3287</v>
      </c>
      <c r="G3071" t="str">
        <f>"2089"</f>
        <v>2089</v>
      </c>
      <c r="H3071" t="str">
        <f>"0001"</f>
        <v>0001</v>
      </c>
      <c r="I3071" t="s">
        <v>89</v>
      </c>
      <c r="J3071">
        <v>0</v>
      </c>
      <c r="K3071">
        <v>1</v>
      </c>
      <c r="L3071">
        <v>3</v>
      </c>
      <c r="M3071">
        <v>278</v>
      </c>
      <c r="N3071">
        <v>360</v>
      </c>
      <c r="O3071">
        <v>8</v>
      </c>
      <c r="P3071" t="s">
        <v>92</v>
      </c>
      <c r="Q3071">
        <v>1</v>
      </c>
      <c r="R3071">
        <v>73</v>
      </c>
      <c r="S3071">
        <v>79</v>
      </c>
      <c r="T3071">
        <v>3</v>
      </c>
      <c r="U3071">
        <v>0</v>
      </c>
      <c r="V3071">
        <v>24</v>
      </c>
      <c r="W3071">
        <v>7</v>
      </c>
      <c r="X3071">
        <v>168</v>
      </c>
      <c r="Y3071">
        <v>0</v>
      </c>
      <c r="Z3071">
        <v>0</v>
      </c>
      <c r="AA3071">
        <v>3</v>
      </c>
      <c r="AB3071">
        <v>5</v>
      </c>
      <c r="AW3071">
        <v>0</v>
      </c>
      <c r="AX3071">
        <v>9</v>
      </c>
      <c r="AY3071">
        <v>372</v>
      </c>
      <c r="AZ3071">
        <v>372</v>
      </c>
      <c r="BA3071">
        <v>607</v>
      </c>
      <c r="BB3071">
        <v>44</v>
      </c>
      <c r="BD3071">
        <v>1</v>
      </c>
      <c r="BF3071" t="s">
        <v>3293</v>
      </c>
      <c r="BG3071" s="1">
        <v>44354.017928240741</v>
      </c>
      <c r="BH3071" s="1">
        <v>44354.025937500002</v>
      </c>
      <c r="BI3071" s="1">
        <v>44354.02648148148</v>
      </c>
      <c r="BJ3071" t="s">
        <v>197</v>
      </c>
      <c r="BK3071" t="s">
        <v>198</v>
      </c>
      <c r="BL3071" t="s">
        <v>87</v>
      </c>
    </row>
    <row r="3072" spans="1:64" x14ac:dyDescent="0.3">
      <c r="A3072" t="str">
        <f>"202089C0200"</f>
        <v>202089C0200</v>
      </c>
      <c r="B3072" t="str">
        <f>"202089C02003"</f>
        <v>202089C02003</v>
      </c>
      <c r="C3072" t="str">
        <f t="shared" si="212"/>
        <v>20</v>
      </c>
      <c r="D3072" t="s">
        <v>81</v>
      </c>
      <c r="E3072" t="str">
        <f t="shared" si="215"/>
        <v>484</v>
      </c>
      <c r="F3072" t="s">
        <v>3287</v>
      </c>
      <c r="G3072" t="str">
        <f>"2089"</f>
        <v>2089</v>
      </c>
      <c r="H3072" t="str">
        <f>"0002"</f>
        <v>0002</v>
      </c>
      <c r="I3072" t="s">
        <v>89</v>
      </c>
      <c r="J3072">
        <v>0</v>
      </c>
      <c r="K3072">
        <v>1</v>
      </c>
      <c r="L3072">
        <v>3</v>
      </c>
      <c r="M3072">
        <v>281</v>
      </c>
      <c r="N3072">
        <v>370</v>
      </c>
      <c r="O3072">
        <v>9</v>
      </c>
      <c r="P3072">
        <v>370</v>
      </c>
      <c r="Q3072">
        <v>0</v>
      </c>
      <c r="R3072">
        <v>72</v>
      </c>
      <c r="S3072">
        <v>98</v>
      </c>
      <c r="T3072">
        <v>2</v>
      </c>
      <c r="U3072">
        <v>1</v>
      </c>
      <c r="V3072">
        <v>21</v>
      </c>
      <c r="W3072">
        <v>3</v>
      </c>
      <c r="X3072">
        <v>152</v>
      </c>
      <c r="Y3072">
        <v>1</v>
      </c>
      <c r="Z3072">
        <v>3</v>
      </c>
      <c r="AA3072">
        <v>5</v>
      </c>
      <c r="AB3072">
        <v>11</v>
      </c>
      <c r="AW3072">
        <v>0</v>
      </c>
      <c r="AX3072">
        <v>1</v>
      </c>
      <c r="AY3072">
        <v>370</v>
      </c>
      <c r="AZ3072">
        <v>370</v>
      </c>
      <c r="BA3072">
        <v>607</v>
      </c>
      <c r="BB3072">
        <v>44</v>
      </c>
      <c r="BD3072">
        <v>1</v>
      </c>
      <c r="BF3072" t="s">
        <v>3294</v>
      </c>
      <c r="BG3072" s="1">
        <v>44353.950972222221</v>
      </c>
      <c r="BH3072" s="1">
        <v>44353.952453703707</v>
      </c>
      <c r="BI3072" s="1">
        <v>44353.953310185185</v>
      </c>
      <c r="BJ3072" t="s">
        <v>197</v>
      </c>
      <c r="BK3072" t="s">
        <v>198</v>
      </c>
      <c r="BL3072" t="s">
        <v>87</v>
      </c>
    </row>
    <row r="3073" spans="1:64" x14ac:dyDescent="0.3">
      <c r="A3073" t="str">
        <f>"202090B0000"</f>
        <v>202090B0000</v>
      </c>
      <c r="B3073" t="str">
        <f>"202090B00003"</f>
        <v>202090B00003</v>
      </c>
      <c r="C3073" t="str">
        <f t="shared" si="212"/>
        <v>20</v>
      </c>
      <c r="D3073" t="s">
        <v>81</v>
      </c>
      <c r="E3073" t="str">
        <f t="shared" si="215"/>
        <v>484</v>
      </c>
      <c r="F3073" t="s">
        <v>3287</v>
      </c>
      <c r="G3073" t="str">
        <f>"2090"</f>
        <v>2090</v>
      </c>
      <c r="H3073" t="str">
        <f>"0000"</f>
        <v>0000</v>
      </c>
      <c r="I3073" t="s">
        <v>83</v>
      </c>
      <c r="J3073">
        <v>0</v>
      </c>
      <c r="K3073">
        <v>1</v>
      </c>
      <c r="L3073">
        <v>3</v>
      </c>
      <c r="BA3073">
        <v>584</v>
      </c>
      <c r="BB3073">
        <v>44</v>
      </c>
      <c r="BC3073" t="s">
        <v>381</v>
      </c>
      <c r="BD3073">
        <v>0</v>
      </c>
      <c r="BF3073" t="s">
        <v>3295</v>
      </c>
      <c r="BG3073" s="1">
        <v>44354.216666666667</v>
      </c>
      <c r="BH3073" s="1">
        <v>44354.718923611108</v>
      </c>
      <c r="BI3073" s="1">
        <v>44354.718923611108</v>
      </c>
      <c r="BJ3073" t="s">
        <v>85</v>
      </c>
      <c r="BK3073" t="s">
        <v>86</v>
      </c>
      <c r="BL3073" t="s">
        <v>87</v>
      </c>
    </row>
    <row r="3074" spans="1:64" x14ac:dyDescent="0.3">
      <c r="A3074" t="str">
        <f>"202090C0100"</f>
        <v>202090C0100</v>
      </c>
      <c r="B3074" t="str">
        <f>"202090C01003"</f>
        <v>202090C01003</v>
      </c>
      <c r="C3074" t="str">
        <f t="shared" si="212"/>
        <v>20</v>
      </c>
      <c r="D3074" t="s">
        <v>81</v>
      </c>
      <c r="E3074" t="str">
        <f t="shared" si="215"/>
        <v>484</v>
      </c>
      <c r="F3074" t="s">
        <v>3287</v>
      </c>
      <c r="G3074" t="str">
        <f>"2090"</f>
        <v>2090</v>
      </c>
      <c r="H3074" t="str">
        <f>"0001"</f>
        <v>0001</v>
      </c>
      <c r="I3074" t="s">
        <v>89</v>
      </c>
      <c r="J3074">
        <v>0</v>
      </c>
      <c r="K3074">
        <v>1</v>
      </c>
      <c r="L3074">
        <v>3</v>
      </c>
      <c r="BA3074">
        <v>584</v>
      </c>
      <c r="BB3074">
        <v>44</v>
      </c>
      <c r="BC3074" t="s">
        <v>381</v>
      </c>
      <c r="BD3074">
        <v>0</v>
      </c>
      <c r="BF3074" t="s">
        <v>3296</v>
      </c>
      <c r="BG3074" s="1">
        <v>44354.216666666667</v>
      </c>
      <c r="BH3074" s="1">
        <v>44354.719212962962</v>
      </c>
      <c r="BI3074" s="1">
        <v>44354.719212962962</v>
      </c>
      <c r="BJ3074" t="s">
        <v>85</v>
      </c>
      <c r="BK3074" t="s">
        <v>86</v>
      </c>
      <c r="BL3074" t="s">
        <v>87</v>
      </c>
    </row>
    <row r="3075" spans="1:64" x14ac:dyDescent="0.3">
      <c r="A3075" t="str">
        <f>"202091B0000"</f>
        <v>202091B0000</v>
      </c>
      <c r="B3075" t="str">
        <f>"202091B00003"</f>
        <v>202091B00003</v>
      </c>
      <c r="C3075" t="str">
        <f t="shared" si="212"/>
        <v>20</v>
      </c>
      <c r="D3075" t="s">
        <v>81</v>
      </c>
      <c r="E3075" t="str">
        <f t="shared" si="215"/>
        <v>484</v>
      </c>
      <c r="F3075" t="s">
        <v>3287</v>
      </c>
      <c r="G3075" t="str">
        <f>"2091"</f>
        <v>2091</v>
      </c>
      <c r="H3075" t="str">
        <f>"0000"</f>
        <v>0000</v>
      </c>
      <c r="I3075" t="s">
        <v>83</v>
      </c>
      <c r="J3075">
        <v>0</v>
      </c>
      <c r="K3075">
        <v>1</v>
      </c>
      <c r="L3075">
        <v>3</v>
      </c>
      <c r="BA3075">
        <v>571</v>
      </c>
      <c r="BB3075">
        <v>44</v>
      </c>
      <c r="BC3075" t="s">
        <v>381</v>
      </c>
      <c r="BD3075">
        <v>0</v>
      </c>
      <c r="BF3075" t="s">
        <v>3297</v>
      </c>
      <c r="BG3075" s="1">
        <v>44354.239583333336</v>
      </c>
      <c r="BH3075" s="1">
        <v>44354.740925925929</v>
      </c>
      <c r="BI3075" s="1">
        <v>44354.740925925929</v>
      </c>
      <c r="BJ3075" t="s">
        <v>85</v>
      </c>
      <c r="BK3075" t="s">
        <v>86</v>
      </c>
      <c r="BL3075" t="s">
        <v>87</v>
      </c>
    </row>
    <row r="3076" spans="1:64" x14ac:dyDescent="0.3">
      <c r="A3076" t="str">
        <f>"202091C0100"</f>
        <v>202091C0100</v>
      </c>
      <c r="B3076" t="str">
        <f>"202091C01003"</f>
        <v>202091C01003</v>
      </c>
      <c r="C3076" t="str">
        <f t="shared" si="212"/>
        <v>20</v>
      </c>
      <c r="D3076" t="s">
        <v>81</v>
      </c>
      <c r="E3076" t="str">
        <f t="shared" si="215"/>
        <v>484</v>
      </c>
      <c r="F3076" t="s">
        <v>3287</v>
      </c>
      <c r="G3076" t="str">
        <f>"2091"</f>
        <v>2091</v>
      </c>
      <c r="H3076" t="str">
        <f>"0001"</f>
        <v>0001</v>
      </c>
      <c r="I3076" t="s">
        <v>89</v>
      </c>
      <c r="J3076">
        <v>0</v>
      </c>
      <c r="K3076">
        <v>1</v>
      </c>
      <c r="L3076">
        <v>3</v>
      </c>
      <c r="BA3076">
        <v>571</v>
      </c>
      <c r="BB3076">
        <v>44</v>
      </c>
      <c r="BC3076" t="s">
        <v>381</v>
      </c>
      <c r="BD3076">
        <v>0</v>
      </c>
      <c r="BF3076" t="s">
        <v>3298</v>
      </c>
      <c r="BG3076" s="1">
        <v>44354.217361111114</v>
      </c>
      <c r="BH3076" s="1">
        <v>44354.71947916667</v>
      </c>
      <c r="BI3076" s="1">
        <v>44354.71947916667</v>
      </c>
      <c r="BJ3076" t="s">
        <v>85</v>
      </c>
      <c r="BK3076" t="s">
        <v>86</v>
      </c>
      <c r="BL3076" t="s">
        <v>87</v>
      </c>
    </row>
    <row r="3077" spans="1:64" x14ac:dyDescent="0.3">
      <c r="A3077" t="str">
        <f>"202091C0200"</f>
        <v>202091C0200</v>
      </c>
      <c r="B3077" t="str">
        <f>"202091C02003"</f>
        <v>202091C02003</v>
      </c>
      <c r="C3077" t="str">
        <f t="shared" si="212"/>
        <v>20</v>
      </c>
      <c r="D3077" t="s">
        <v>81</v>
      </c>
      <c r="E3077" t="str">
        <f t="shared" si="215"/>
        <v>484</v>
      </c>
      <c r="F3077" t="s">
        <v>3287</v>
      </c>
      <c r="G3077" t="str">
        <f>"2091"</f>
        <v>2091</v>
      </c>
      <c r="H3077" t="str">
        <f>"0002"</f>
        <v>0002</v>
      </c>
      <c r="I3077" t="s">
        <v>89</v>
      </c>
      <c r="J3077">
        <v>0</v>
      </c>
      <c r="K3077">
        <v>1</v>
      </c>
      <c r="L3077">
        <v>3</v>
      </c>
      <c r="M3077">
        <v>267</v>
      </c>
      <c r="N3077">
        <v>349</v>
      </c>
      <c r="O3077">
        <v>6</v>
      </c>
      <c r="P3077">
        <v>341</v>
      </c>
      <c r="Q3077">
        <v>3</v>
      </c>
      <c r="R3077">
        <v>65</v>
      </c>
      <c r="S3077">
        <v>125</v>
      </c>
      <c r="T3077">
        <v>7</v>
      </c>
      <c r="U3077">
        <v>1</v>
      </c>
      <c r="V3077">
        <v>3</v>
      </c>
      <c r="W3077">
        <v>11</v>
      </c>
      <c r="X3077">
        <v>112</v>
      </c>
      <c r="Y3077">
        <v>0</v>
      </c>
      <c r="Z3077">
        <v>2</v>
      </c>
      <c r="AA3077">
        <v>0</v>
      </c>
      <c r="AB3077">
        <v>4</v>
      </c>
      <c r="AW3077">
        <v>0</v>
      </c>
      <c r="AX3077">
        <v>8</v>
      </c>
      <c r="AY3077">
        <v>341</v>
      </c>
      <c r="AZ3077">
        <v>341</v>
      </c>
      <c r="BA3077">
        <v>571</v>
      </c>
      <c r="BB3077">
        <v>44</v>
      </c>
      <c r="BD3077">
        <v>1</v>
      </c>
      <c r="BF3077" t="s">
        <v>3299</v>
      </c>
      <c r="BG3077" s="1">
        <v>44354.198611111111</v>
      </c>
      <c r="BH3077" s="1">
        <v>44354.206736111111</v>
      </c>
      <c r="BI3077" s="1">
        <v>44354.206990740742</v>
      </c>
      <c r="BJ3077" t="s">
        <v>85</v>
      </c>
      <c r="BK3077" t="s">
        <v>86</v>
      </c>
      <c r="BL3077" t="s">
        <v>87</v>
      </c>
    </row>
    <row r="3078" spans="1:64" x14ac:dyDescent="0.3">
      <c r="A3078" t="str">
        <f>"202092B0000"</f>
        <v>202092B0000</v>
      </c>
      <c r="B3078" t="str">
        <f>"202092B00003"</f>
        <v>202092B00003</v>
      </c>
      <c r="C3078" t="str">
        <f t="shared" si="212"/>
        <v>20</v>
      </c>
      <c r="D3078" t="s">
        <v>81</v>
      </c>
      <c r="E3078" t="str">
        <f t="shared" si="215"/>
        <v>484</v>
      </c>
      <c r="F3078" t="s">
        <v>3287</v>
      </c>
      <c r="G3078" t="str">
        <f>"2092"</f>
        <v>2092</v>
      </c>
      <c r="H3078" t="str">
        <f>"0000"</f>
        <v>0000</v>
      </c>
      <c r="I3078" t="s">
        <v>83</v>
      </c>
      <c r="J3078">
        <v>0</v>
      </c>
      <c r="K3078">
        <v>1</v>
      </c>
      <c r="L3078">
        <v>3</v>
      </c>
      <c r="BA3078">
        <v>559</v>
      </c>
      <c r="BB3078">
        <v>44</v>
      </c>
      <c r="BC3078" t="s">
        <v>381</v>
      </c>
      <c r="BD3078">
        <v>0</v>
      </c>
      <c r="BF3078" t="s">
        <v>3300</v>
      </c>
      <c r="BG3078" s="1">
        <v>44354.218055555553</v>
      </c>
      <c r="BH3078" s="1">
        <v>44354.720717592594</v>
      </c>
      <c r="BI3078" s="1">
        <v>44354.720717592594</v>
      </c>
      <c r="BJ3078" t="s">
        <v>85</v>
      </c>
      <c r="BK3078" t="s">
        <v>86</v>
      </c>
      <c r="BL3078" t="s">
        <v>87</v>
      </c>
    </row>
    <row r="3079" spans="1:64" x14ac:dyDescent="0.3">
      <c r="A3079" t="str">
        <f>"202092C0100"</f>
        <v>202092C0100</v>
      </c>
      <c r="B3079" t="str">
        <f>"202092C01003"</f>
        <v>202092C01003</v>
      </c>
      <c r="C3079" t="str">
        <f t="shared" ref="C3079:C3142" si="216">"20"</f>
        <v>20</v>
      </c>
      <c r="D3079" t="s">
        <v>81</v>
      </c>
      <c r="E3079" t="str">
        <f t="shared" si="215"/>
        <v>484</v>
      </c>
      <c r="F3079" t="s">
        <v>3287</v>
      </c>
      <c r="G3079" t="str">
        <f>"2092"</f>
        <v>2092</v>
      </c>
      <c r="H3079" t="str">
        <f>"0001"</f>
        <v>0001</v>
      </c>
      <c r="I3079" t="s">
        <v>89</v>
      </c>
      <c r="J3079">
        <v>0</v>
      </c>
      <c r="K3079">
        <v>1</v>
      </c>
      <c r="L3079">
        <v>3</v>
      </c>
      <c r="BA3079">
        <v>559</v>
      </c>
      <c r="BB3079">
        <v>44</v>
      </c>
      <c r="BC3079" t="s">
        <v>381</v>
      </c>
      <c r="BD3079">
        <v>0</v>
      </c>
      <c r="BF3079" t="s">
        <v>3301</v>
      </c>
      <c r="BG3079" s="1">
        <v>44354.218055555553</v>
      </c>
      <c r="BH3079" s="1">
        <v>44354.720462962963</v>
      </c>
      <c r="BI3079" s="1">
        <v>44354.720462962963</v>
      </c>
      <c r="BJ3079" t="s">
        <v>85</v>
      </c>
      <c r="BK3079" t="s">
        <v>86</v>
      </c>
      <c r="BL3079" t="s">
        <v>87</v>
      </c>
    </row>
    <row r="3080" spans="1:64" x14ac:dyDescent="0.3">
      <c r="A3080" t="str">
        <f>"202092C0200"</f>
        <v>202092C0200</v>
      </c>
      <c r="B3080" t="str">
        <f>"202092C02003"</f>
        <v>202092C02003</v>
      </c>
      <c r="C3080" t="str">
        <f t="shared" si="216"/>
        <v>20</v>
      </c>
      <c r="D3080" t="s">
        <v>81</v>
      </c>
      <c r="E3080" t="str">
        <f t="shared" si="215"/>
        <v>484</v>
      </c>
      <c r="F3080" t="s">
        <v>3287</v>
      </c>
      <c r="G3080" t="str">
        <f>"2092"</f>
        <v>2092</v>
      </c>
      <c r="H3080" t="str">
        <f>"0002"</f>
        <v>0002</v>
      </c>
      <c r="I3080" t="s">
        <v>89</v>
      </c>
      <c r="J3080">
        <v>0</v>
      </c>
      <c r="K3080">
        <v>1</v>
      </c>
      <c r="L3080">
        <v>3</v>
      </c>
      <c r="BA3080">
        <v>559</v>
      </c>
      <c r="BB3080">
        <v>44</v>
      </c>
      <c r="BC3080" t="s">
        <v>381</v>
      </c>
      <c r="BD3080">
        <v>0</v>
      </c>
      <c r="BF3080" t="s">
        <v>3302</v>
      </c>
      <c r="BG3080" s="1">
        <v>44354.218055555553</v>
      </c>
      <c r="BH3080" s="1">
        <v>44354.720868055556</v>
      </c>
      <c r="BI3080" s="1">
        <v>44354.720868055556</v>
      </c>
      <c r="BJ3080" t="s">
        <v>85</v>
      </c>
      <c r="BK3080" t="s">
        <v>86</v>
      </c>
      <c r="BL3080" t="s">
        <v>87</v>
      </c>
    </row>
    <row r="3081" spans="1:64" x14ac:dyDescent="0.3">
      <c r="A3081" t="str">
        <f>"202093B0000"</f>
        <v>202093B0000</v>
      </c>
      <c r="B3081" t="str">
        <f>"202093B00003"</f>
        <v>202093B00003</v>
      </c>
      <c r="C3081" t="str">
        <f t="shared" si="216"/>
        <v>20</v>
      </c>
      <c r="D3081" t="s">
        <v>81</v>
      </c>
      <c r="E3081" t="str">
        <f t="shared" si="215"/>
        <v>484</v>
      </c>
      <c r="F3081" t="s">
        <v>3287</v>
      </c>
      <c r="G3081" t="str">
        <f>"2093"</f>
        <v>2093</v>
      </c>
      <c r="H3081" t="str">
        <f>"0000"</f>
        <v>0000</v>
      </c>
      <c r="I3081" t="s">
        <v>83</v>
      </c>
      <c r="J3081">
        <v>0</v>
      </c>
      <c r="K3081">
        <v>1</v>
      </c>
      <c r="L3081">
        <v>3</v>
      </c>
      <c r="BA3081">
        <v>747</v>
      </c>
      <c r="BB3081">
        <v>44</v>
      </c>
      <c r="BC3081" t="s">
        <v>381</v>
      </c>
      <c r="BD3081">
        <v>0</v>
      </c>
      <c r="BF3081" t="s">
        <v>3303</v>
      </c>
      <c r="BG3081" s="1">
        <v>44354.218055555553</v>
      </c>
      <c r="BH3081" s="1">
        <v>44354.721238425926</v>
      </c>
      <c r="BI3081" s="1">
        <v>44354.721238425926</v>
      </c>
      <c r="BJ3081" t="s">
        <v>85</v>
      </c>
      <c r="BK3081" t="s">
        <v>86</v>
      </c>
      <c r="BL3081" t="s">
        <v>87</v>
      </c>
    </row>
    <row r="3082" spans="1:64" x14ac:dyDescent="0.3">
      <c r="A3082" t="str">
        <f>"202093C0100"</f>
        <v>202093C0100</v>
      </c>
      <c r="B3082" t="str">
        <f>"202093C01003"</f>
        <v>202093C01003</v>
      </c>
      <c r="C3082" t="str">
        <f t="shared" si="216"/>
        <v>20</v>
      </c>
      <c r="D3082" t="s">
        <v>81</v>
      </c>
      <c r="E3082" t="str">
        <f t="shared" si="215"/>
        <v>484</v>
      </c>
      <c r="F3082" t="s">
        <v>3287</v>
      </c>
      <c r="G3082" t="str">
        <f>"2093"</f>
        <v>2093</v>
      </c>
      <c r="H3082" t="str">
        <f>"0001"</f>
        <v>0001</v>
      </c>
      <c r="I3082" t="s">
        <v>89</v>
      </c>
      <c r="J3082">
        <v>0</v>
      </c>
      <c r="K3082">
        <v>1</v>
      </c>
      <c r="L3082">
        <v>3</v>
      </c>
      <c r="BA3082">
        <v>746</v>
      </c>
      <c r="BB3082">
        <v>44</v>
      </c>
      <c r="BC3082" t="s">
        <v>381</v>
      </c>
      <c r="BD3082">
        <v>0</v>
      </c>
      <c r="BF3082" t="s">
        <v>3304</v>
      </c>
      <c r="BG3082" s="1">
        <v>44354.218055555553</v>
      </c>
      <c r="BH3082" s="1">
        <v>44354.721030092594</v>
      </c>
      <c r="BI3082" s="1">
        <v>44354.721030092594</v>
      </c>
      <c r="BJ3082" t="s">
        <v>85</v>
      </c>
      <c r="BK3082" t="s">
        <v>86</v>
      </c>
      <c r="BL3082" t="s">
        <v>87</v>
      </c>
    </row>
    <row r="3083" spans="1:64" x14ac:dyDescent="0.3">
      <c r="A3083" t="str">
        <f>"202094B0000"</f>
        <v>202094B0000</v>
      </c>
      <c r="B3083" t="str">
        <f>"202094B00003"</f>
        <v>202094B00003</v>
      </c>
      <c r="C3083" t="str">
        <f t="shared" si="216"/>
        <v>20</v>
      </c>
      <c r="D3083" t="s">
        <v>81</v>
      </c>
      <c r="E3083" t="str">
        <f t="shared" si="215"/>
        <v>484</v>
      </c>
      <c r="F3083" t="s">
        <v>3287</v>
      </c>
      <c r="G3083" t="str">
        <f>"2094"</f>
        <v>2094</v>
      </c>
      <c r="H3083" t="str">
        <f>"0000"</f>
        <v>0000</v>
      </c>
      <c r="I3083" t="s">
        <v>83</v>
      </c>
      <c r="J3083">
        <v>0</v>
      </c>
      <c r="K3083">
        <v>1</v>
      </c>
      <c r="L3083">
        <v>3</v>
      </c>
      <c r="BA3083">
        <v>633</v>
      </c>
      <c r="BB3083">
        <v>44</v>
      </c>
      <c r="BC3083" t="s">
        <v>381</v>
      </c>
      <c r="BD3083">
        <v>0</v>
      </c>
      <c r="BF3083" t="s">
        <v>3305</v>
      </c>
      <c r="BG3083" s="1">
        <v>44354.21875</v>
      </c>
      <c r="BH3083" s="1">
        <v>44354.721921296295</v>
      </c>
      <c r="BI3083" s="1">
        <v>44354.721921296295</v>
      </c>
      <c r="BJ3083" t="s">
        <v>85</v>
      </c>
      <c r="BK3083" t="s">
        <v>86</v>
      </c>
      <c r="BL3083" t="s">
        <v>87</v>
      </c>
    </row>
    <row r="3084" spans="1:64" x14ac:dyDescent="0.3">
      <c r="A3084" t="str">
        <f>"202094C0100"</f>
        <v>202094C0100</v>
      </c>
      <c r="B3084" t="str">
        <f>"202094C01003"</f>
        <v>202094C01003</v>
      </c>
      <c r="C3084" t="str">
        <f t="shared" si="216"/>
        <v>20</v>
      </c>
      <c r="D3084" t="s">
        <v>81</v>
      </c>
      <c r="E3084" t="str">
        <f t="shared" si="215"/>
        <v>484</v>
      </c>
      <c r="F3084" t="s">
        <v>3287</v>
      </c>
      <c r="G3084" t="str">
        <f>"2094"</f>
        <v>2094</v>
      </c>
      <c r="H3084" t="str">
        <f>"0001"</f>
        <v>0001</v>
      </c>
      <c r="I3084" t="s">
        <v>89</v>
      </c>
      <c r="J3084">
        <v>0</v>
      </c>
      <c r="K3084">
        <v>1</v>
      </c>
      <c r="L3084">
        <v>3</v>
      </c>
      <c r="BA3084">
        <v>633</v>
      </c>
      <c r="BB3084">
        <v>44</v>
      </c>
      <c r="BC3084" t="s">
        <v>381</v>
      </c>
      <c r="BD3084">
        <v>0</v>
      </c>
      <c r="BF3084" t="s">
        <v>3306</v>
      </c>
      <c r="BG3084" s="1">
        <v>44354.218055555553</v>
      </c>
      <c r="BH3084" s="1">
        <v>44354.721782407411</v>
      </c>
      <c r="BI3084" s="1">
        <v>44354.721782407411</v>
      </c>
      <c r="BJ3084" t="s">
        <v>85</v>
      </c>
      <c r="BK3084" t="s">
        <v>86</v>
      </c>
      <c r="BL3084" t="s">
        <v>87</v>
      </c>
    </row>
    <row r="3085" spans="1:64" x14ac:dyDescent="0.3">
      <c r="A3085" t="str">
        <f>"202094C0200"</f>
        <v>202094C0200</v>
      </c>
      <c r="B3085" t="str">
        <f>"202094C02003"</f>
        <v>202094C02003</v>
      </c>
      <c r="C3085" t="str">
        <f t="shared" si="216"/>
        <v>20</v>
      </c>
      <c r="D3085" t="s">
        <v>81</v>
      </c>
      <c r="E3085" t="str">
        <f t="shared" si="215"/>
        <v>484</v>
      </c>
      <c r="F3085" t="s">
        <v>3287</v>
      </c>
      <c r="G3085" t="str">
        <f>"2094"</f>
        <v>2094</v>
      </c>
      <c r="H3085" t="str">
        <f>"0002"</f>
        <v>0002</v>
      </c>
      <c r="I3085" t="s">
        <v>89</v>
      </c>
      <c r="J3085">
        <v>0</v>
      </c>
      <c r="K3085">
        <v>1</v>
      </c>
      <c r="L3085">
        <v>3</v>
      </c>
      <c r="BA3085">
        <v>633</v>
      </c>
      <c r="BB3085">
        <v>44</v>
      </c>
      <c r="BC3085" t="s">
        <v>381</v>
      </c>
      <c r="BD3085">
        <v>0</v>
      </c>
      <c r="BF3085" t="s">
        <v>3307</v>
      </c>
      <c r="BG3085" s="1">
        <v>44354.218055555553</v>
      </c>
      <c r="BH3085" s="1">
        <v>44354.721504629626</v>
      </c>
      <c r="BI3085" s="1">
        <v>44354.721504629626</v>
      </c>
      <c r="BJ3085" t="s">
        <v>85</v>
      </c>
      <c r="BK3085" t="s">
        <v>86</v>
      </c>
      <c r="BL3085" t="s">
        <v>87</v>
      </c>
    </row>
    <row r="3086" spans="1:64" x14ac:dyDescent="0.3">
      <c r="A3086" t="str">
        <f>"202095B0000"</f>
        <v>202095B0000</v>
      </c>
      <c r="B3086" t="str">
        <f>"202095B00003"</f>
        <v>202095B00003</v>
      </c>
      <c r="C3086" t="str">
        <f t="shared" si="216"/>
        <v>20</v>
      </c>
      <c r="D3086" t="s">
        <v>81</v>
      </c>
      <c r="E3086" t="str">
        <f t="shared" si="215"/>
        <v>484</v>
      </c>
      <c r="F3086" t="s">
        <v>3287</v>
      </c>
      <c r="G3086" t="str">
        <f>"2095"</f>
        <v>2095</v>
      </c>
      <c r="H3086" t="str">
        <f>"0000"</f>
        <v>0000</v>
      </c>
      <c r="I3086" t="s">
        <v>83</v>
      </c>
      <c r="J3086">
        <v>0</v>
      </c>
      <c r="K3086">
        <v>1</v>
      </c>
      <c r="L3086">
        <v>3</v>
      </c>
      <c r="BA3086">
        <v>624</v>
      </c>
      <c r="BB3086">
        <v>44</v>
      </c>
      <c r="BC3086" t="s">
        <v>381</v>
      </c>
      <c r="BD3086">
        <v>0</v>
      </c>
      <c r="BF3086" t="s">
        <v>3308</v>
      </c>
      <c r="BG3086" s="1">
        <v>44354.218055555553</v>
      </c>
      <c r="BH3086" s="1">
        <v>44354.721365740741</v>
      </c>
      <c r="BI3086" s="1">
        <v>44354.721365740741</v>
      </c>
      <c r="BJ3086" t="s">
        <v>85</v>
      </c>
      <c r="BK3086" t="s">
        <v>86</v>
      </c>
      <c r="BL3086" t="s">
        <v>87</v>
      </c>
    </row>
    <row r="3087" spans="1:64" x14ac:dyDescent="0.3">
      <c r="A3087" t="str">
        <f>"202095C0100"</f>
        <v>202095C0100</v>
      </c>
      <c r="B3087" t="str">
        <f>"202095C01003"</f>
        <v>202095C01003</v>
      </c>
      <c r="C3087" t="str">
        <f t="shared" si="216"/>
        <v>20</v>
      </c>
      <c r="D3087" t="s">
        <v>81</v>
      </c>
      <c r="E3087" t="str">
        <f t="shared" si="215"/>
        <v>484</v>
      </c>
      <c r="F3087" t="s">
        <v>3287</v>
      </c>
      <c r="G3087" t="str">
        <f>"2095"</f>
        <v>2095</v>
      </c>
      <c r="H3087" t="str">
        <f>"0001"</f>
        <v>0001</v>
      </c>
      <c r="I3087" t="s">
        <v>89</v>
      </c>
      <c r="J3087">
        <v>0</v>
      </c>
      <c r="K3087">
        <v>1</v>
      </c>
      <c r="L3087">
        <v>3</v>
      </c>
      <c r="M3087">
        <v>249</v>
      </c>
      <c r="N3087">
        <v>421</v>
      </c>
      <c r="O3087">
        <v>4</v>
      </c>
      <c r="P3087">
        <v>419</v>
      </c>
      <c r="Q3087">
        <v>7</v>
      </c>
      <c r="R3087">
        <v>107</v>
      </c>
      <c r="S3087">
        <v>93</v>
      </c>
      <c r="T3087">
        <v>2</v>
      </c>
      <c r="U3087">
        <v>3</v>
      </c>
      <c r="V3087">
        <v>17</v>
      </c>
      <c r="W3087">
        <v>8</v>
      </c>
      <c r="X3087">
        <v>159</v>
      </c>
      <c r="Y3087">
        <v>1</v>
      </c>
      <c r="Z3087">
        <v>1</v>
      </c>
      <c r="AA3087">
        <v>7</v>
      </c>
      <c r="AB3087">
        <v>10</v>
      </c>
      <c r="AW3087">
        <v>0</v>
      </c>
      <c r="AX3087">
        <v>4</v>
      </c>
      <c r="AY3087">
        <v>419</v>
      </c>
      <c r="AZ3087">
        <v>419</v>
      </c>
      <c r="BA3087">
        <v>624</v>
      </c>
      <c r="BB3087">
        <v>44</v>
      </c>
      <c r="BD3087">
        <v>1</v>
      </c>
      <c r="BF3087" t="s">
        <v>3309</v>
      </c>
      <c r="BG3087" s="1">
        <v>44354.198611111111</v>
      </c>
      <c r="BH3087" s="1">
        <v>44354.203472222223</v>
      </c>
      <c r="BI3087" s="1">
        <v>44354.204039351855</v>
      </c>
      <c r="BJ3087" t="s">
        <v>85</v>
      </c>
      <c r="BK3087" t="s">
        <v>86</v>
      </c>
      <c r="BL3087" t="s">
        <v>87</v>
      </c>
    </row>
    <row r="3088" spans="1:64" x14ac:dyDescent="0.3">
      <c r="A3088" t="str">
        <f>"202096B0000"</f>
        <v>202096B0000</v>
      </c>
      <c r="B3088" t="str">
        <f>"202096B00003"</f>
        <v>202096B00003</v>
      </c>
      <c r="C3088" t="str">
        <f t="shared" si="216"/>
        <v>20</v>
      </c>
      <c r="D3088" t="s">
        <v>81</v>
      </c>
      <c r="E3088" t="str">
        <f t="shared" si="215"/>
        <v>484</v>
      </c>
      <c r="F3088" t="s">
        <v>3287</v>
      </c>
      <c r="G3088" t="str">
        <f>"2096"</f>
        <v>2096</v>
      </c>
      <c r="H3088" t="str">
        <f>"0000"</f>
        <v>0000</v>
      </c>
      <c r="I3088" t="s">
        <v>83</v>
      </c>
      <c r="J3088">
        <v>0</v>
      </c>
      <c r="K3088">
        <v>1</v>
      </c>
      <c r="L3088">
        <v>3</v>
      </c>
      <c r="BA3088">
        <v>721</v>
      </c>
      <c r="BB3088">
        <v>44</v>
      </c>
      <c r="BC3088" t="s">
        <v>381</v>
      </c>
      <c r="BD3088">
        <v>0</v>
      </c>
      <c r="BF3088" t="s">
        <v>3310</v>
      </c>
      <c r="BG3088" s="1">
        <v>44354.21875</v>
      </c>
      <c r="BH3088" s="1">
        <v>44354.722175925926</v>
      </c>
      <c r="BI3088" s="1">
        <v>44354.722175925926</v>
      </c>
      <c r="BJ3088" t="s">
        <v>85</v>
      </c>
      <c r="BK3088" t="s">
        <v>86</v>
      </c>
      <c r="BL3088" t="s">
        <v>87</v>
      </c>
    </row>
    <row r="3089" spans="1:64" x14ac:dyDescent="0.3">
      <c r="A3089" t="str">
        <f>"202096C0100"</f>
        <v>202096C0100</v>
      </c>
      <c r="B3089" t="str">
        <f>"202096C01003"</f>
        <v>202096C01003</v>
      </c>
      <c r="C3089" t="str">
        <f t="shared" si="216"/>
        <v>20</v>
      </c>
      <c r="D3089" t="s">
        <v>81</v>
      </c>
      <c r="E3089" t="str">
        <f t="shared" si="215"/>
        <v>484</v>
      </c>
      <c r="F3089" t="s">
        <v>3287</v>
      </c>
      <c r="G3089" t="str">
        <f>"2096"</f>
        <v>2096</v>
      </c>
      <c r="H3089" t="str">
        <f>"0001"</f>
        <v>0001</v>
      </c>
      <c r="I3089" t="s">
        <v>89</v>
      </c>
      <c r="J3089">
        <v>0</v>
      </c>
      <c r="K3089">
        <v>1</v>
      </c>
      <c r="L3089">
        <v>3</v>
      </c>
      <c r="BA3089">
        <v>721</v>
      </c>
      <c r="BB3089">
        <v>44</v>
      </c>
      <c r="BC3089" t="s">
        <v>381</v>
      </c>
      <c r="BD3089">
        <v>0</v>
      </c>
      <c r="BF3089" t="s">
        <v>3311</v>
      </c>
      <c r="BG3089" s="1">
        <v>44354.21875</v>
      </c>
      <c r="BH3089" s="1">
        <v>44354.722048611111</v>
      </c>
      <c r="BI3089" s="1">
        <v>44354.722048611111</v>
      </c>
      <c r="BJ3089" t="s">
        <v>85</v>
      </c>
      <c r="BK3089" t="s">
        <v>86</v>
      </c>
      <c r="BL3089" t="s">
        <v>87</v>
      </c>
    </row>
    <row r="3090" spans="1:64" x14ac:dyDescent="0.3">
      <c r="A3090" t="str">
        <f>"202097B0000"</f>
        <v>202097B0000</v>
      </c>
      <c r="B3090" t="str">
        <f>"202097B00003"</f>
        <v>202097B00003</v>
      </c>
      <c r="C3090" t="str">
        <f t="shared" si="216"/>
        <v>20</v>
      </c>
      <c r="D3090" t="s">
        <v>81</v>
      </c>
      <c r="E3090" t="str">
        <f t="shared" si="215"/>
        <v>484</v>
      </c>
      <c r="F3090" t="s">
        <v>3287</v>
      </c>
      <c r="G3090" t="str">
        <f>"2097"</f>
        <v>2097</v>
      </c>
      <c r="H3090" t="str">
        <f>"0000"</f>
        <v>0000</v>
      </c>
      <c r="I3090" t="s">
        <v>83</v>
      </c>
      <c r="J3090">
        <v>0</v>
      </c>
      <c r="K3090">
        <v>1</v>
      </c>
      <c r="L3090">
        <v>3</v>
      </c>
      <c r="BA3090">
        <v>720</v>
      </c>
      <c r="BB3090">
        <v>44</v>
      </c>
      <c r="BC3090" t="s">
        <v>381</v>
      </c>
      <c r="BD3090">
        <v>0</v>
      </c>
      <c r="BF3090" t="s">
        <v>3312</v>
      </c>
      <c r="BG3090" s="1">
        <v>44354.219444444447</v>
      </c>
      <c r="BH3090" s="1">
        <v>44354.722615740742</v>
      </c>
      <c r="BI3090" s="1">
        <v>44354.722615740742</v>
      </c>
      <c r="BJ3090" t="s">
        <v>85</v>
      </c>
      <c r="BK3090" t="s">
        <v>86</v>
      </c>
      <c r="BL3090" t="s">
        <v>87</v>
      </c>
    </row>
    <row r="3091" spans="1:64" x14ac:dyDescent="0.3">
      <c r="A3091" t="str">
        <f>"202097C0100"</f>
        <v>202097C0100</v>
      </c>
      <c r="B3091" t="str">
        <f>"202097C01003"</f>
        <v>202097C01003</v>
      </c>
      <c r="C3091" t="str">
        <f t="shared" si="216"/>
        <v>20</v>
      </c>
      <c r="D3091" t="s">
        <v>81</v>
      </c>
      <c r="E3091" t="str">
        <f t="shared" si="215"/>
        <v>484</v>
      </c>
      <c r="F3091" t="s">
        <v>3287</v>
      </c>
      <c r="G3091" t="str">
        <f>"2097"</f>
        <v>2097</v>
      </c>
      <c r="H3091" t="str">
        <f>"0001"</f>
        <v>0001</v>
      </c>
      <c r="I3091" t="s">
        <v>89</v>
      </c>
      <c r="J3091">
        <v>0</v>
      </c>
      <c r="K3091">
        <v>1</v>
      </c>
      <c r="L3091">
        <v>3</v>
      </c>
      <c r="BA3091">
        <v>719</v>
      </c>
      <c r="BB3091">
        <v>44</v>
      </c>
      <c r="BC3091" t="s">
        <v>381</v>
      </c>
      <c r="BD3091">
        <v>0</v>
      </c>
      <c r="BF3091" t="s">
        <v>3313</v>
      </c>
      <c r="BG3091" s="1">
        <v>44354.219444444447</v>
      </c>
      <c r="BH3091" s="1">
        <v>44354.72246527778</v>
      </c>
      <c r="BI3091" s="1">
        <v>44354.72246527778</v>
      </c>
      <c r="BJ3091" t="s">
        <v>85</v>
      </c>
      <c r="BK3091" t="s">
        <v>86</v>
      </c>
      <c r="BL3091" t="s">
        <v>87</v>
      </c>
    </row>
    <row r="3092" spans="1:64" x14ac:dyDescent="0.3">
      <c r="A3092" t="str">
        <f>"202097C0200"</f>
        <v>202097C0200</v>
      </c>
      <c r="B3092" t="str">
        <f>"202097C02003"</f>
        <v>202097C02003</v>
      </c>
      <c r="C3092" t="str">
        <f t="shared" si="216"/>
        <v>20</v>
      </c>
      <c r="D3092" t="s">
        <v>81</v>
      </c>
      <c r="E3092" t="str">
        <f t="shared" si="215"/>
        <v>484</v>
      </c>
      <c r="F3092" t="s">
        <v>3287</v>
      </c>
      <c r="G3092" t="str">
        <f>"2097"</f>
        <v>2097</v>
      </c>
      <c r="H3092" t="str">
        <f>"0002"</f>
        <v>0002</v>
      </c>
      <c r="I3092" t="s">
        <v>89</v>
      </c>
      <c r="J3092">
        <v>0</v>
      </c>
      <c r="K3092">
        <v>1</v>
      </c>
      <c r="L3092">
        <v>3</v>
      </c>
      <c r="BA3092">
        <v>719</v>
      </c>
      <c r="BB3092">
        <v>44</v>
      </c>
      <c r="BC3092" t="s">
        <v>381</v>
      </c>
      <c r="BD3092">
        <v>0</v>
      </c>
      <c r="BF3092" t="s">
        <v>3314</v>
      </c>
      <c r="BG3092" s="1">
        <v>44354.21875</v>
      </c>
      <c r="BH3092" s="1">
        <v>44354.722326388888</v>
      </c>
      <c r="BI3092" s="1">
        <v>44354.722326388888</v>
      </c>
      <c r="BJ3092" t="s">
        <v>85</v>
      </c>
      <c r="BK3092" t="s">
        <v>86</v>
      </c>
      <c r="BL3092" t="s">
        <v>87</v>
      </c>
    </row>
    <row r="3093" spans="1:64" x14ac:dyDescent="0.3">
      <c r="A3093" t="str">
        <f>"202098B0000"</f>
        <v>202098B0000</v>
      </c>
      <c r="B3093" t="str">
        <f>"202098B00003"</f>
        <v>202098B00003</v>
      </c>
      <c r="C3093" t="str">
        <f t="shared" si="216"/>
        <v>20</v>
      </c>
      <c r="D3093" t="s">
        <v>81</v>
      </c>
      <c r="E3093" t="str">
        <f t="shared" si="215"/>
        <v>484</v>
      </c>
      <c r="F3093" t="s">
        <v>3287</v>
      </c>
      <c r="G3093" t="str">
        <f>"2098"</f>
        <v>2098</v>
      </c>
      <c r="H3093" t="str">
        <f>"0000"</f>
        <v>0000</v>
      </c>
      <c r="I3093" t="s">
        <v>83</v>
      </c>
      <c r="J3093">
        <v>0</v>
      </c>
      <c r="K3093">
        <v>1</v>
      </c>
      <c r="L3093">
        <v>3</v>
      </c>
      <c r="BA3093">
        <v>650</v>
      </c>
      <c r="BB3093">
        <v>44</v>
      </c>
      <c r="BC3093" t="s">
        <v>381</v>
      </c>
      <c r="BD3093">
        <v>0</v>
      </c>
      <c r="BF3093" t="s">
        <v>3315</v>
      </c>
      <c r="BG3093" s="1">
        <v>44354.220138888886</v>
      </c>
      <c r="BH3093" s="1">
        <v>44354.723182870373</v>
      </c>
      <c r="BI3093" s="1">
        <v>44354.723182870373</v>
      </c>
      <c r="BJ3093" t="s">
        <v>85</v>
      </c>
      <c r="BK3093" t="s">
        <v>86</v>
      </c>
      <c r="BL3093" t="s">
        <v>87</v>
      </c>
    </row>
    <row r="3094" spans="1:64" x14ac:dyDescent="0.3">
      <c r="A3094" t="str">
        <f>"202098C0100"</f>
        <v>202098C0100</v>
      </c>
      <c r="B3094" t="str">
        <f>"202098C01003"</f>
        <v>202098C01003</v>
      </c>
      <c r="C3094" t="str">
        <f t="shared" si="216"/>
        <v>20</v>
      </c>
      <c r="D3094" t="s">
        <v>81</v>
      </c>
      <c r="E3094" t="str">
        <f t="shared" si="215"/>
        <v>484</v>
      </c>
      <c r="F3094" t="s">
        <v>3287</v>
      </c>
      <c r="G3094" t="str">
        <f>"2098"</f>
        <v>2098</v>
      </c>
      <c r="H3094" t="str">
        <f>"0001"</f>
        <v>0001</v>
      </c>
      <c r="I3094" t="s">
        <v>89</v>
      </c>
      <c r="J3094">
        <v>0</v>
      </c>
      <c r="K3094">
        <v>1</v>
      </c>
      <c r="L3094">
        <v>3</v>
      </c>
      <c r="BA3094">
        <v>650</v>
      </c>
      <c r="BB3094">
        <v>44</v>
      </c>
      <c r="BC3094" t="s">
        <v>381</v>
      </c>
      <c r="BD3094">
        <v>0</v>
      </c>
      <c r="BF3094" t="s">
        <v>3316</v>
      </c>
      <c r="BG3094" s="1">
        <v>44354.220138888886</v>
      </c>
      <c r="BH3094" s="1">
        <v>44354.722870370373</v>
      </c>
      <c r="BI3094" s="1">
        <v>44354.722870370373</v>
      </c>
      <c r="BJ3094" t="s">
        <v>85</v>
      </c>
      <c r="BK3094" t="s">
        <v>86</v>
      </c>
      <c r="BL3094" t="s">
        <v>87</v>
      </c>
    </row>
    <row r="3095" spans="1:64" x14ac:dyDescent="0.3">
      <c r="A3095" t="str">
        <f>"202098C0200"</f>
        <v>202098C0200</v>
      </c>
      <c r="B3095" t="str">
        <f>"202098C02003"</f>
        <v>202098C02003</v>
      </c>
      <c r="C3095" t="str">
        <f t="shared" si="216"/>
        <v>20</v>
      </c>
      <c r="D3095" t="s">
        <v>81</v>
      </c>
      <c r="E3095" t="str">
        <f t="shared" si="215"/>
        <v>484</v>
      </c>
      <c r="F3095" t="s">
        <v>3287</v>
      </c>
      <c r="G3095" t="str">
        <f>"2098"</f>
        <v>2098</v>
      </c>
      <c r="H3095" t="str">
        <f>"0002"</f>
        <v>0002</v>
      </c>
      <c r="I3095" t="s">
        <v>89</v>
      </c>
      <c r="J3095">
        <v>0</v>
      </c>
      <c r="K3095">
        <v>1</v>
      </c>
      <c r="L3095">
        <v>3</v>
      </c>
      <c r="BA3095">
        <v>650</v>
      </c>
      <c r="BB3095">
        <v>44</v>
      </c>
      <c r="BC3095" t="s">
        <v>381</v>
      </c>
      <c r="BD3095">
        <v>0</v>
      </c>
      <c r="BF3095" t="s">
        <v>3317</v>
      </c>
      <c r="BG3095" s="1">
        <v>44354.220138888886</v>
      </c>
      <c r="BH3095" s="1">
        <v>44354.723009259258</v>
      </c>
      <c r="BI3095" s="1">
        <v>44354.723009259258</v>
      </c>
      <c r="BJ3095" t="s">
        <v>85</v>
      </c>
      <c r="BK3095" t="s">
        <v>86</v>
      </c>
      <c r="BL3095" t="s">
        <v>87</v>
      </c>
    </row>
    <row r="3096" spans="1:64" x14ac:dyDescent="0.3">
      <c r="A3096" t="str">
        <f>"202098C0300"</f>
        <v>202098C0300</v>
      </c>
      <c r="B3096" t="str">
        <f>"202098C03003"</f>
        <v>202098C03003</v>
      </c>
      <c r="C3096" t="str">
        <f t="shared" si="216"/>
        <v>20</v>
      </c>
      <c r="D3096" t="s">
        <v>81</v>
      </c>
      <c r="E3096" t="str">
        <f t="shared" si="215"/>
        <v>484</v>
      </c>
      <c r="F3096" t="s">
        <v>3287</v>
      </c>
      <c r="G3096" t="str">
        <f>"2098"</f>
        <v>2098</v>
      </c>
      <c r="H3096" t="str">
        <f>"0003"</f>
        <v>0003</v>
      </c>
      <c r="I3096" t="s">
        <v>89</v>
      </c>
      <c r="J3096">
        <v>0</v>
      </c>
      <c r="K3096">
        <v>1</v>
      </c>
      <c r="L3096">
        <v>3</v>
      </c>
      <c r="BA3096">
        <v>650</v>
      </c>
      <c r="BB3096">
        <v>44</v>
      </c>
      <c r="BC3096" t="s">
        <v>381</v>
      </c>
      <c r="BD3096">
        <v>0</v>
      </c>
      <c r="BF3096" t="s">
        <v>3318</v>
      </c>
      <c r="BG3096" s="1">
        <v>44354.220138888886</v>
      </c>
      <c r="BH3096" s="1">
        <v>44354.722754629627</v>
      </c>
      <c r="BI3096" s="1">
        <v>44354.722754629627</v>
      </c>
      <c r="BJ3096" t="s">
        <v>85</v>
      </c>
      <c r="BK3096" t="s">
        <v>86</v>
      </c>
      <c r="BL3096" t="s">
        <v>87</v>
      </c>
    </row>
    <row r="3097" spans="1:64" x14ac:dyDescent="0.3">
      <c r="A3097" t="str">
        <f>"202099B0000"</f>
        <v>202099B0000</v>
      </c>
      <c r="B3097" t="str">
        <f>"202099B00003"</f>
        <v>202099B00003</v>
      </c>
      <c r="C3097" t="str">
        <f t="shared" si="216"/>
        <v>20</v>
      </c>
      <c r="D3097" t="s">
        <v>81</v>
      </c>
      <c r="E3097" t="str">
        <f t="shared" si="215"/>
        <v>484</v>
      </c>
      <c r="F3097" t="s">
        <v>3287</v>
      </c>
      <c r="G3097" t="str">
        <f>"2099"</f>
        <v>2099</v>
      </c>
      <c r="H3097" t="str">
        <f>"0000"</f>
        <v>0000</v>
      </c>
      <c r="I3097" t="s">
        <v>83</v>
      </c>
      <c r="J3097">
        <v>0</v>
      </c>
      <c r="K3097">
        <v>1</v>
      </c>
      <c r="L3097">
        <v>3</v>
      </c>
      <c r="M3097">
        <v>289</v>
      </c>
      <c r="N3097">
        <v>383</v>
      </c>
      <c r="O3097">
        <v>3</v>
      </c>
      <c r="P3097">
        <v>383</v>
      </c>
      <c r="Q3097">
        <v>1</v>
      </c>
      <c r="R3097">
        <v>86</v>
      </c>
      <c r="S3097">
        <v>117</v>
      </c>
      <c r="T3097">
        <v>1</v>
      </c>
      <c r="U3097">
        <v>0</v>
      </c>
      <c r="V3097">
        <v>17</v>
      </c>
      <c r="W3097">
        <v>17</v>
      </c>
      <c r="X3097">
        <v>120</v>
      </c>
      <c r="Y3097">
        <v>2</v>
      </c>
      <c r="Z3097">
        <v>4</v>
      </c>
      <c r="AA3097">
        <v>7</v>
      </c>
      <c r="AB3097">
        <v>1</v>
      </c>
      <c r="AW3097" t="s">
        <v>95</v>
      </c>
      <c r="AX3097">
        <v>10</v>
      </c>
      <c r="AY3097">
        <v>383</v>
      </c>
      <c r="AZ3097">
        <v>383</v>
      </c>
      <c r="BA3097">
        <v>628</v>
      </c>
      <c r="BB3097">
        <v>44</v>
      </c>
      <c r="BC3097" t="s">
        <v>96</v>
      </c>
      <c r="BD3097">
        <v>1</v>
      </c>
      <c r="BF3097" t="s">
        <v>3319</v>
      </c>
      <c r="BG3097" s="1">
        <v>44353.877256944441</v>
      </c>
      <c r="BH3097" s="1">
        <v>44353.881851851853</v>
      </c>
      <c r="BI3097" s="1">
        <v>44353.883125</v>
      </c>
      <c r="BJ3097" t="s">
        <v>197</v>
      </c>
      <c r="BK3097" t="s">
        <v>198</v>
      </c>
      <c r="BL3097" t="s">
        <v>87</v>
      </c>
    </row>
    <row r="3098" spans="1:64" x14ac:dyDescent="0.3">
      <c r="A3098" t="str">
        <f>"202099C0100"</f>
        <v>202099C0100</v>
      </c>
      <c r="B3098" t="str">
        <f>"202099C01003"</f>
        <v>202099C01003</v>
      </c>
      <c r="C3098" t="str">
        <f t="shared" si="216"/>
        <v>20</v>
      </c>
      <c r="D3098" t="s">
        <v>81</v>
      </c>
      <c r="E3098" t="str">
        <f t="shared" ref="E3098:E3134" si="217">"484"</f>
        <v>484</v>
      </c>
      <c r="F3098" t="s">
        <v>3287</v>
      </c>
      <c r="G3098" t="str">
        <f>"2099"</f>
        <v>2099</v>
      </c>
      <c r="H3098" t="str">
        <f>"0001"</f>
        <v>0001</v>
      </c>
      <c r="I3098" t="s">
        <v>89</v>
      </c>
      <c r="J3098">
        <v>0</v>
      </c>
      <c r="K3098">
        <v>1</v>
      </c>
      <c r="L3098">
        <v>3</v>
      </c>
      <c r="M3098">
        <v>252</v>
      </c>
      <c r="N3098">
        <v>422</v>
      </c>
      <c r="O3098">
        <v>2</v>
      </c>
      <c r="P3098">
        <v>419</v>
      </c>
      <c r="Q3098">
        <v>3</v>
      </c>
      <c r="R3098">
        <v>54</v>
      </c>
      <c r="S3098">
        <v>113</v>
      </c>
      <c r="T3098">
        <v>2</v>
      </c>
      <c r="U3098">
        <v>14</v>
      </c>
      <c r="V3098">
        <v>14</v>
      </c>
      <c r="W3098">
        <v>15</v>
      </c>
      <c r="X3098">
        <v>169</v>
      </c>
      <c r="Y3098">
        <v>6</v>
      </c>
      <c r="Z3098">
        <v>2</v>
      </c>
      <c r="AA3098">
        <v>12</v>
      </c>
      <c r="AB3098">
        <v>9</v>
      </c>
      <c r="AW3098">
        <v>0</v>
      </c>
      <c r="AX3098">
        <v>6</v>
      </c>
      <c r="AY3098">
        <v>419</v>
      </c>
      <c r="AZ3098">
        <v>419</v>
      </c>
      <c r="BA3098">
        <v>628</v>
      </c>
      <c r="BB3098">
        <v>44</v>
      </c>
      <c r="BD3098">
        <v>1</v>
      </c>
      <c r="BF3098" t="s">
        <v>3320</v>
      </c>
      <c r="BG3098" s="1">
        <v>44353.856030092589</v>
      </c>
      <c r="BH3098" s="1">
        <v>44353.859131944446</v>
      </c>
      <c r="BI3098" s="1">
        <v>44353.860034722224</v>
      </c>
      <c r="BJ3098" t="s">
        <v>197</v>
      </c>
      <c r="BK3098" t="s">
        <v>198</v>
      </c>
      <c r="BL3098" t="s">
        <v>87</v>
      </c>
    </row>
    <row r="3099" spans="1:64" x14ac:dyDescent="0.3">
      <c r="A3099" t="str">
        <f>"202099C0200"</f>
        <v>202099C0200</v>
      </c>
      <c r="B3099" t="str">
        <f>"202099C02003"</f>
        <v>202099C02003</v>
      </c>
      <c r="C3099" t="str">
        <f t="shared" si="216"/>
        <v>20</v>
      </c>
      <c r="D3099" t="s">
        <v>81</v>
      </c>
      <c r="E3099" t="str">
        <f t="shared" si="217"/>
        <v>484</v>
      </c>
      <c r="F3099" t="s">
        <v>3287</v>
      </c>
      <c r="G3099" t="str">
        <f>"2099"</f>
        <v>2099</v>
      </c>
      <c r="H3099" t="str">
        <f>"0002"</f>
        <v>0002</v>
      </c>
      <c r="I3099" t="s">
        <v>89</v>
      </c>
      <c r="J3099">
        <v>0</v>
      </c>
      <c r="K3099">
        <v>1</v>
      </c>
      <c r="L3099">
        <v>3</v>
      </c>
      <c r="M3099">
        <v>285</v>
      </c>
      <c r="N3099">
        <v>386</v>
      </c>
      <c r="O3099">
        <v>1</v>
      </c>
      <c r="P3099">
        <v>386</v>
      </c>
      <c r="Q3099">
        <v>2</v>
      </c>
      <c r="R3099">
        <v>86</v>
      </c>
      <c r="S3099">
        <v>103</v>
      </c>
      <c r="T3099">
        <v>3</v>
      </c>
      <c r="U3099">
        <v>0</v>
      </c>
      <c r="V3099">
        <v>7</v>
      </c>
      <c r="W3099">
        <v>11</v>
      </c>
      <c r="X3099">
        <v>157</v>
      </c>
      <c r="Y3099">
        <v>2</v>
      </c>
      <c r="Z3099">
        <v>3</v>
      </c>
      <c r="AA3099">
        <v>4</v>
      </c>
      <c r="AB3099">
        <v>1</v>
      </c>
      <c r="AW3099">
        <v>0</v>
      </c>
      <c r="AX3099">
        <v>7</v>
      </c>
      <c r="AY3099">
        <v>386</v>
      </c>
      <c r="AZ3099">
        <v>386</v>
      </c>
      <c r="BA3099">
        <v>628</v>
      </c>
      <c r="BB3099">
        <v>44</v>
      </c>
      <c r="BD3099">
        <v>1</v>
      </c>
      <c r="BF3099" t="s">
        <v>3321</v>
      </c>
      <c r="BG3099" s="1">
        <v>44353.883333333331</v>
      </c>
      <c r="BH3099" s="1">
        <v>44353.88484953704</v>
      </c>
      <c r="BI3099" s="1">
        <v>44353.886157407411</v>
      </c>
      <c r="BJ3099" t="s">
        <v>197</v>
      </c>
      <c r="BK3099" t="s">
        <v>198</v>
      </c>
      <c r="BL3099" t="s">
        <v>87</v>
      </c>
    </row>
    <row r="3100" spans="1:64" x14ac:dyDescent="0.3">
      <c r="A3100" t="str">
        <f>"202099C0300"</f>
        <v>202099C0300</v>
      </c>
      <c r="B3100" t="str">
        <f>"202099C03003"</f>
        <v>202099C03003</v>
      </c>
      <c r="C3100" t="str">
        <f t="shared" si="216"/>
        <v>20</v>
      </c>
      <c r="D3100" t="s">
        <v>81</v>
      </c>
      <c r="E3100" t="str">
        <f t="shared" si="217"/>
        <v>484</v>
      </c>
      <c r="F3100" t="s">
        <v>3287</v>
      </c>
      <c r="G3100" t="str">
        <f>"2099"</f>
        <v>2099</v>
      </c>
      <c r="H3100" t="str">
        <f>"0003"</f>
        <v>0003</v>
      </c>
      <c r="I3100" t="s">
        <v>89</v>
      </c>
      <c r="J3100">
        <v>0</v>
      </c>
      <c r="K3100">
        <v>1</v>
      </c>
      <c r="L3100">
        <v>3</v>
      </c>
      <c r="M3100">
        <v>219</v>
      </c>
      <c r="N3100">
        <v>411</v>
      </c>
      <c r="O3100">
        <v>5</v>
      </c>
      <c r="P3100">
        <v>411</v>
      </c>
      <c r="Q3100">
        <v>7</v>
      </c>
      <c r="R3100">
        <v>74</v>
      </c>
      <c r="S3100">
        <v>113</v>
      </c>
      <c r="T3100">
        <v>1</v>
      </c>
      <c r="U3100">
        <v>18</v>
      </c>
      <c r="V3100">
        <v>7</v>
      </c>
      <c r="W3100">
        <v>21</v>
      </c>
      <c r="X3100">
        <v>121</v>
      </c>
      <c r="Y3100">
        <v>5</v>
      </c>
      <c r="Z3100">
        <v>4</v>
      </c>
      <c r="AA3100">
        <v>13</v>
      </c>
      <c r="AB3100">
        <v>16</v>
      </c>
      <c r="AW3100">
        <v>0</v>
      </c>
      <c r="AX3100">
        <v>7</v>
      </c>
      <c r="AY3100">
        <v>411</v>
      </c>
      <c r="AZ3100">
        <v>407</v>
      </c>
      <c r="BA3100">
        <v>628</v>
      </c>
      <c r="BB3100">
        <v>44</v>
      </c>
      <c r="BD3100">
        <v>1</v>
      </c>
      <c r="BF3100" t="s">
        <v>3322</v>
      </c>
      <c r="BG3100" s="1">
        <v>44353.853229166663</v>
      </c>
      <c r="BH3100" s="1">
        <v>44353.856608796297</v>
      </c>
      <c r="BI3100" s="1">
        <v>44353.857361111113</v>
      </c>
      <c r="BJ3100" t="s">
        <v>197</v>
      </c>
      <c r="BK3100" t="s">
        <v>198</v>
      </c>
      <c r="BL3100" t="s">
        <v>87</v>
      </c>
    </row>
    <row r="3101" spans="1:64" x14ac:dyDescent="0.3">
      <c r="A3101" t="str">
        <f>"202100B0000"</f>
        <v>202100B0000</v>
      </c>
      <c r="B3101" t="str">
        <f>"202100B00003"</f>
        <v>202100B00003</v>
      </c>
      <c r="C3101" t="str">
        <f t="shared" si="216"/>
        <v>20</v>
      </c>
      <c r="D3101" t="s">
        <v>81</v>
      </c>
      <c r="E3101" t="str">
        <f t="shared" si="217"/>
        <v>484</v>
      </c>
      <c r="F3101" t="s">
        <v>3287</v>
      </c>
      <c r="G3101" t="str">
        <f t="shared" ref="G3101:G3106" si="218">"2100"</f>
        <v>2100</v>
      </c>
      <c r="H3101" t="str">
        <f>"0000"</f>
        <v>0000</v>
      </c>
      <c r="I3101" t="s">
        <v>83</v>
      </c>
      <c r="J3101">
        <v>0</v>
      </c>
      <c r="K3101">
        <v>1</v>
      </c>
      <c r="L3101">
        <v>3</v>
      </c>
      <c r="M3101">
        <v>333</v>
      </c>
      <c r="N3101">
        <v>401</v>
      </c>
      <c r="O3101">
        <v>5</v>
      </c>
      <c r="P3101">
        <v>401</v>
      </c>
      <c r="Q3101">
        <v>3</v>
      </c>
      <c r="R3101">
        <v>69</v>
      </c>
      <c r="S3101">
        <v>136</v>
      </c>
      <c r="T3101">
        <v>1</v>
      </c>
      <c r="U3101">
        <v>4</v>
      </c>
      <c r="V3101">
        <v>33</v>
      </c>
      <c r="W3101">
        <v>9</v>
      </c>
      <c r="X3101">
        <v>124</v>
      </c>
      <c r="Y3101">
        <v>2</v>
      </c>
      <c r="Z3101">
        <v>1</v>
      </c>
      <c r="AA3101">
        <v>1</v>
      </c>
      <c r="AB3101">
        <v>10</v>
      </c>
      <c r="AW3101" t="s">
        <v>95</v>
      </c>
      <c r="AX3101">
        <v>8</v>
      </c>
      <c r="AY3101">
        <v>401</v>
      </c>
      <c r="AZ3101">
        <v>401</v>
      </c>
      <c r="BA3101">
        <v>690</v>
      </c>
      <c r="BB3101">
        <v>44</v>
      </c>
      <c r="BC3101" t="s">
        <v>96</v>
      </c>
      <c r="BD3101">
        <v>1</v>
      </c>
      <c r="BF3101" t="s">
        <v>3323</v>
      </c>
      <c r="BG3101" s="1">
        <v>44353.918912037036</v>
      </c>
      <c r="BH3101" s="1">
        <v>44353.921747685185</v>
      </c>
      <c r="BI3101" s="1">
        <v>44353.922060185185</v>
      </c>
      <c r="BJ3101" t="s">
        <v>197</v>
      </c>
      <c r="BK3101" t="s">
        <v>198</v>
      </c>
      <c r="BL3101" t="s">
        <v>87</v>
      </c>
    </row>
    <row r="3102" spans="1:64" x14ac:dyDescent="0.3">
      <c r="A3102" t="str">
        <f>"202100C0100"</f>
        <v>202100C0100</v>
      </c>
      <c r="B3102" t="str">
        <f>"202100C01003"</f>
        <v>202100C01003</v>
      </c>
      <c r="C3102" t="str">
        <f t="shared" si="216"/>
        <v>20</v>
      </c>
      <c r="D3102" t="s">
        <v>81</v>
      </c>
      <c r="E3102" t="str">
        <f t="shared" si="217"/>
        <v>484</v>
      </c>
      <c r="F3102" t="s">
        <v>3287</v>
      </c>
      <c r="G3102" t="str">
        <f t="shared" si="218"/>
        <v>2100</v>
      </c>
      <c r="H3102" t="str">
        <f>"0001"</f>
        <v>0001</v>
      </c>
      <c r="I3102" t="s">
        <v>89</v>
      </c>
      <c r="J3102">
        <v>0</v>
      </c>
      <c r="K3102">
        <v>1</v>
      </c>
      <c r="L3102">
        <v>3</v>
      </c>
      <c r="M3102" t="s">
        <v>92</v>
      </c>
      <c r="N3102" t="s">
        <v>92</v>
      </c>
      <c r="O3102" t="s">
        <v>92</v>
      </c>
      <c r="P3102">
        <v>404</v>
      </c>
      <c r="Q3102">
        <v>6</v>
      </c>
      <c r="R3102">
        <v>96</v>
      </c>
      <c r="S3102">
        <v>126</v>
      </c>
      <c r="T3102">
        <v>2</v>
      </c>
      <c r="U3102">
        <v>3</v>
      </c>
      <c r="V3102">
        <v>28</v>
      </c>
      <c r="W3102">
        <v>7</v>
      </c>
      <c r="X3102">
        <v>19</v>
      </c>
      <c r="Y3102">
        <v>0</v>
      </c>
      <c r="Z3102">
        <v>2</v>
      </c>
      <c r="AA3102">
        <v>2</v>
      </c>
      <c r="AB3102">
        <v>8</v>
      </c>
      <c r="AW3102">
        <v>0</v>
      </c>
      <c r="AX3102">
        <v>5</v>
      </c>
      <c r="AY3102">
        <v>404</v>
      </c>
      <c r="AZ3102">
        <v>304</v>
      </c>
      <c r="BA3102">
        <v>689</v>
      </c>
      <c r="BB3102">
        <v>44</v>
      </c>
      <c r="BD3102">
        <v>1</v>
      </c>
      <c r="BF3102" t="s">
        <v>3324</v>
      </c>
      <c r="BG3102" s="1">
        <v>44353.96435185185</v>
      </c>
      <c r="BH3102" s="1">
        <v>44353.996388888889</v>
      </c>
      <c r="BI3102" s="1">
        <v>44354.021585648145</v>
      </c>
      <c r="BJ3102" t="s">
        <v>197</v>
      </c>
      <c r="BK3102" t="s">
        <v>198</v>
      </c>
      <c r="BL3102" t="s">
        <v>87</v>
      </c>
    </row>
    <row r="3103" spans="1:64" x14ac:dyDescent="0.3">
      <c r="A3103" t="str">
        <f>"202100C0200"</f>
        <v>202100C0200</v>
      </c>
      <c r="B3103" t="str">
        <f>"202100C02003"</f>
        <v>202100C02003</v>
      </c>
      <c r="C3103" t="str">
        <f t="shared" si="216"/>
        <v>20</v>
      </c>
      <c r="D3103" t="s">
        <v>81</v>
      </c>
      <c r="E3103" t="str">
        <f t="shared" si="217"/>
        <v>484</v>
      </c>
      <c r="F3103" t="s">
        <v>3287</v>
      </c>
      <c r="G3103" t="str">
        <f t="shared" si="218"/>
        <v>2100</v>
      </c>
      <c r="H3103" t="str">
        <f>"0002"</f>
        <v>0002</v>
      </c>
      <c r="I3103" t="s">
        <v>89</v>
      </c>
      <c r="J3103">
        <v>0</v>
      </c>
      <c r="K3103">
        <v>1</v>
      </c>
      <c r="L3103">
        <v>3</v>
      </c>
      <c r="M3103">
        <v>321</v>
      </c>
      <c r="N3103">
        <v>412</v>
      </c>
      <c r="O3103">
        <v>6</v>
      </c>
      <c r="P3103">
        <v>412</v>
      </c>
      <c r="Q3103">
        <v>2</v>
      </c>
      <c r="R3103">
        <v>88</v>
      </c>
      <c r="S3103">
        <v>119</v>
      </c>
      <c r="T3103">
        <v>4</v>
      </c>
      <c r="U3103">
        <v>0</v>
      </c>
      <c r="V3103">
        <v>52</v>
      </c>
      <c r="W3103">
        <v>11</v>
      </c>
      <c r="X3103">
        <v>119</v>
      </c>
      <c r="Y3103">
        <v>0</v>
      </c>
      <c r="Z3103">
        <v>4</v>
      </c>
      <c r="AA3103">
        <v>4</v>
      </c>
      <c r="AB3103">
        <v>2</v>
      </c>
      <c r="AW3103">
        <v>1</v>
      </c>
      <c r="AX3103">
        <v>6</v>
      </c>
      <c r="AY3103">
        <v>412</v>
      </c>
      <c r="AZ3103">
        <v>412</v>
      </c>
      <c r="BA3103">
        <v>689</v>
      </c>
      <c r="BB3103">
        <v>44</v>
      </c>
      <c r="BD3103">
        <v>1</v>
      </c>
      <c r="BF3103" t="s">
        <v>3325</v>
      </c>
      <c r="BG3103" s="1">
        <v>44353.938692129632</v>
      </c>
      <c r="BH3103" s="1">
        <v>44353.941168981481</v>
      </c>
      <c r="BI3103" s="1">
        <v>44353.941782407404</v>
      </c>
      <c r="BJ3103" t="s">
        <v>197</v>
      </c>
      <c r="BK3103" t="s">
        <v>198</v>
      </c>
      <c r="BL3103" t="s">
        <v>87</v>
      </c>
    </row>
    <row r="3104" spans="1:64" x14ac:dyDescent="0.3">
      <c r="A3104" t="str">
        <f>"202100E0100"</f>
        <v>202100E0100</v>
      </c>
      <c r="B3104" t="str">
        <f>"202100E01003"</f>
        <v>202100E01003</v>
      </c>
      <c r="C3104" t="str">
        <f t="shared" si="216"/>
        <v>20</v>
      </c>
      <c r="D3104" t="s">
        <v>81</v>
      </c>
      <c r="E3104" t="str">
        <f t="shared" si="217"/>
        <v>484</v>
      </c>
      <c r="F3104" t="s">
        <v>3287</v>
      </c>
      <c r="G3104" t="str">
        <f t="shared" si="218"/>
        <v>2100</v>
      </c>
      <c r="H3104" t="str">
        <f>"0001"</f>
        <v>0001</v>
      </c>
      <c r="I3104" t="s">
        <v>122</v>
      </c>
      <c r="J3104">
        <v>0</v>
      </c>
      <c r="K3104">
        <v>1</v>
      </c>
      <c r="L3104">
        <v>3</v>
      </c>
      <c r="M3104">
        <v>340</v>
      </c>
      <c r="N3104">
        <v>378</v>
      </c>
      <c r="O3104">
        <v>10</v>
      </c>
      <c r="P3104">
        <v>374</v>
      </c>
      <c r="Q3104">
        <v>6</v>
      </c>
      <c r="R3104">
        <v>69</v>
      </c>
      <c r="S3104">
        <v>149</v>
      </c>
      <c r="T3104">
        <v>1</v>
      </c>
      <c r="U3104">
        <v>6</v>
      </c>
      <c r="V3104">
        <v>20</v>
      </c>
      <c r="W3104">
        <v>11</v>
      </c>
      <c r="X3104">
        <v>95</v>
      </c>
      <c r="Y3104">
        <v>0</v>
      </c>
      <c r="Z3104">
        <v>1</v>
      </c>
      <c r="AA3104">
        <v>2</v>
      </c>
      <c r="AB3104">
        <v>6</v>
      </c>
      <c r="AW3104">
        <v>8</v>
      </c>
      <c r="AX3104">
        <v>8</v>
      </c>
      <c r="AY3104">
        <v>374</v>
      </c>
      <c r="AZ3104">
        <v>382</v>
      </c>
      <c r="BA3104">
        <v>674</v>
      </c>
      <c r="BB3104">
        <v>44</v>
      </c>
      <c r="BD3104">
        <v>1</v>
      </c>
      <c r="BF3104" t="s">
        <v>3326</v>
      </c>
      <c r="BG3104" s="1">
        <v>44354.066550925927</v>
      </c>
      <c r="BH3104" s="1">
        <v>44354.071226851855</v>
      </c>
      <c r="BI3104" s="1">
        <v>44354.072650462964</v>
      </c>
      <c r="BJ3104" t="s">
        <v>197</v>
      </c>
      <c r="BK3104" t="s">
        <v>198</v>
      </c>
      <c r="BL3104" t="s">
        <v>87</v>
      </c>
    </row>
    <row r="3105" spans="1:64" x14ac:dyDescent="0.3">
      <c r="A3105" t="str">
        <f>"202100E0101"</f>
        <v>202100E0101</v>
      </c>
      <c r="B3105" t="str">
        <f>"202100E01013"</f>
        <v>202100E01013</v>
      </c>
      <c r="C3105" t="str">
        <f t="shared" si="216"/>
        <v>20</v>
      </c>
      <c r="D3105" t="s">
        <v>81</v>
      </c>
      <c r="E3105" t="str">
        <f t="shared" si="217"/>
        <v>484</v>
      </c>
      <c r="F3105" t="s">
        <v>3287</v>
      </c>
      <c r="G3105" t="str">
        <f t="shared" si="218"/>
        <v>2100</v>
      </c>
      <c r="H3105" t="str">
        <f>"0001"</f>
        <v>0001</v>
      </c>
      <c r="I3105" t="s">
        <v>122</v>
      </c>
      <c r="J3105">
        <v>1</v>
      </c>
      <c r="K3105">
        <v>1</v>
      </c>
      <c r="L3105">
        <v>3</v>
      </c>
      <c r="M3105">
        <v>341</v>
      </c>
      <c r="N3105">
        <v>377</v>
      </c>
      <c r="O3105">
        <v>7</v>
      </c>
      <c r="P3105">
        <v>380</v>
      </c>
      <c r="Q3105">
        <v>2</v>
      </c>
      <c r="R3105">
        <v>78</v>
      </c>
      <c r="S3105">
        <v>131</v>
      </c>
      <c r="T3105">
        <v>1</v>
      </c>
      <c r="U3105">
        <v>5</v>
      </c>
      <c r="V3105">
        <v>7</v>
      </c>
      <c r="W3105">
        <v>14</v>
      </c>
      <c r="X3105">
        <v>120</v>
      </c>
      <c r="Y3105">
        <v>0</v>
      </c>
      <c r="Z3105">
        <v>0</v>
      </c>
      <c r="AA3105">
        <v>3</v>
      </c>
      <c r="AB3105">
        <v>2</v>
      </c>
      <c r="AW3105" t="s">
        <v>95</v>
      </c>
      <c r="AX3105">
        <v>17</v>
      </c>
      <c r="AY3105">
        <v>380</v>
      </c>
      <c r="AZ3105">
        <v>380</v>
      </c>
      <c r="BA3105">
        <v>674</v>
      </c>
      <c r="BB3105">
        <v>44</v>
      </c>
      <c r="BC3105" t="s">
        <v>96</v>
      </c>
      <c r="BD3105">
        <v>1</v>
      </c>
      <c r="BF3105" t="s">
        <v>3327</v>
      </c>
      <c r="BG3105" s="1">
        <v>44354.018553240741</v>
      </c>
      <c r="BH3105" s="1">
        <v>44354.026817129627</v>
      </c>
      <c r="BI3105" s="1">
        <v>44354.027303240742</v>
      </c>
      <c r="BJ3105" t="s">
        <v>197</v>
      </c>
      <c r="BK3105" t="s">
        <v>198</v>
      </c>
      <c r="BL3105" t="s">
        <v>87</v>
      </c>
    </row>
    <row r="3106" spans="1:64" x14ac:dyDescent="0.3">
      <c r="A3106" t="str">
        <f>"202100E0102"</f>
        <v>202100E0102</v>
      </c>
      <c r="B3106" t="str">
        <f>"202100E01023"</f>
        <v>202100E01023</v>
      </c>
      <c r="C3106" t="str">
        <f t="shared" si="216"/>
        <v>20</v>
      </c>
      <c r="D3106" t="s">
        <v>81</v>
      </c>
      <c r="E3106" t="str">
        <f t="shared" si="217"/>
        <v>484</v>
      </c>
      <c r="F3106" t="s">
        <v>3287</v>
      </c>
      <c r="G3106" t="str">
        <f t="shared" si="218"/>
        <v>2100</v>
      </c>
      <c r="H3106" t="str">
        <f>"0001"</f>
        <v>0001</v>
      </c>
      <c r="I3106" t="s">
        <v>122</v>
      </c>
      <c r="J3106">
        <v>2</v>
      </c>
      <c r="K3106">
        <v>1</v>
      </c>
      <c r="L3106">
        <v>3</v>
      </c>
      <c r="M3106">
        <v>335</v>
      </c>
      <c r="N3106">
        <v>381</v>
      </c>
      <c r="O3106">
        <v>7</v>
      </c>
      <c r="P3106">
        <v>382</v>
      </c>
      <c r="Q3106">
        <v>4</v>
      </c>
      <c r="R3106">
        <v>74</v>
      </c>
      <c r="S3106">
        <v>133</v>
      </c>
      <c r="T3106">
        <v>2</v>
      </c>
      <c r="U3106">
        <v>2</v>
      </c>
      <c r="V3106">
        <v>17</v>
      </c>
      <c r="W3106">
        <v>6</v>
      </c>
      <c r="X3106">
        <v>117</v>
      </c>
      <c r="Y3106">
        <v>0</v>
      </c>
      <c r="Z3106">
        <v>0</v>
      </c>
      <c r="AA3106">
        <v>7</v>
      </c>
      <c r="AB3106">
        <v>8</v>
      </c>
      <c r="AW3106">
        <v>0</v>
      </c>
      <c r="AX3106">
        <v>12</v>
      </c>
      <c r="AY3106">
        <v>382</v>
      </c>
      <c r="AZ3106">
        <v>382</v>
      </c>
      <c r="BA3106">
        <v>673</v>
      </c>
      <c r="BB3106">
        <v>44</v>
      </c>
      <c r="BD3106">
        <v>1</v>
      </c>
      <c r="BF3106" t="s">
        <v>3328</v>
      </c>
      <c r="BG3106" s="1">
        <v>44354.552083333336</v>
      </c>
      <c r="BH3106" s="1">
        <v>44354.5625</v>
      </c>
      <c r="BI3106" s="1">
        <v>44354.563703703701</v>
      </c>
      <c r="BJ3106" t="s">
        <v>85</v>
      </c>
      <c r="BK3106" t="s">
        <v>86</v>
      </c>
      <c r="BL3106" t="s">
        <v>87</v>
      </c>
    </row>
    <row r="3107" spans="1:64" x14ac:dyDescent="0.3">
      <c r="A3107" t="str">
        <f>"202101B0000"</f>
        <v>202101B0000</v>
      </c>
      <c r="B3107" t="str">
        <f>"202101B00003"</f>
        <v>202101B00003</v>
      </c>
      <c r="C3107" t="str">
        <f t="shared" si="216"/>
        <v>20</v>
      </c>
      <c r="D3107" t="s">
        <v>81</v>
      </c>
      <c r="E3107" t="str">
        <f t="shared" si="217"/>
        <v>484</v>
      </c>
      <c r="F3107" t="s">
        <v>3287</v>
      </c>
      <c r="G3107" t="str">
        <f>"2101"</f>
        <v>2101</v>
      </c>
      <c r="H3107" t="str">
        <f>"0000"</f>
        <v>0000</v>
      </c>
      <c r="I3107" t="s">
        <v>83</v>
      </c>
      <c r="J3107">
        <v>0</v>
      </c>
      <c r="K3107">
        <v>1</v>
      </c>
      <c r="L3107">
        <v>3</v>
      </c>
      <c r="M3107">
        <v>223</v>
      </c>
      <c r="N3107">
        <v>11</v>
      </c>
      <c r="O3107">
        <v>5</v>
      </c>
      <c r="P3107">
        <v>257</v>
      </c>
      <c r="Q3107">
        <v>11</v>
      </c>
      <c r="R3107">
        <v>65</v>
      </c>
      <c r="S3107">
        <v>93</v>
      </c>
      <c r="T3107">
        <v>2</v>
      </c>
      <c r="U3107">
        <v>4</v>
      </c>
      <c r="V3107">
        <v>2</v>
      </c>
      <c r="W3107">
        <v>4</v>
      </c>
      <c r="X3107">
        <v>54</v>
      </c>
      <c r="Y3107">
        <v>2</v>
      </c>
      <c r="Z3107">
        <v>4</v>
      </c>
      <c r="AA3107">
        <v>7</v>
      </c>
      <c r="AB3107">
        <v>1</v>
      </c>
      <c r="AW3107">
        <v>0</v>
      </c>
      <c r="AX3107">
        <v>8</v>
      </c>
      <c r="AY3107">
        <v>257</v>
      </c>
      <c r="AZ3107">
        <v>257</v>
      </c>
      <c r="BA3107">
        <v>436</v>
      </c>
      <c r="BB3107">
        <v>44</v>
      </c>
      <c r="BD3107">
        <v>1</v>
      </c>
      <c r="BF3107" t="s">
        <v>3329</v>
      </c>
      <c r="BG3107" s="1">
        <v>44354.198611111111</v>
      </c>
      <c r="BH3107" s="1">
        <v>44354.208587962959</v>
      </c>
      <c r="BI3107" s="1">
        <v>44354.209143518521</v>
      </c>
      <c r="BJ3107" t="s">
        <v>85</v>
      </c>
      <c r="BK3107" t="s">
        <v>86</v>
      </c>
      <c r="BL3107" t="s">
        <v>87</v>
      </c>
    </row>
    <row r="3108" spans="1:64" x14ac:dyDescent="0.3">
      <c r="A3108" t="str">
        <f>"202101C0100"</f>
        <v>202101C0100</v>
      </c>
      <c r="B3108" t="str">
        <f>"202101C01003"</f>
        <v>202101C01003</v>
      </c>
      <c r="C3108" t="str">
        <f t="shared" si="216"/>
        <v>20</v>
      </c>
      <c r="D3108" t="s">
        <v>81</v>
      </c>
      <c r="E3108" t="str">
        <f t="shared" si="217"/>
        <v>484</v>
      </c>
      <c r="F3108" t="s">
        <v>3287</v>
      </c>
      <c r="G3108" t="str">
        <f>"2101"</f>
        <v>2101</v>
      </c>
      <c r="H3108" t="str">
        <f>"0001"</f>
        <v>0001</v>
      </c>
      <c r="I3108" t="s">
        <v>89</v>
      </c>
      <c r="J3108">
        <v>0</v>
      </c>
      <c r="K3108">
        <v>1</v>
      </c>
      <c r="L3108">
        <v>3</v>
      </c>
      <c r="M3108">
        <v>188</v>
      </c>
      <c r="N3108">
        <v>292</v>
      </c>
      <c r="O3108">
        <v>2</v>
      </c>
      <c r="P3108">
        <v>290</v>
      </c>
      <c r="Q3108">
        <v>5</v>
      </c>
      <c r="R3108">
        <v>62</v>
      </c>
      <c r="S3108">
        <v>108</v>
      </c>
      <c r="T3108">
        <v>1</v>
      </c>
      <c r="U3108">
        <v>4</v>
      </c>
      <c r="V3108">
        <v>3</v>
      </c>
      <c r="W3108">
        <v>1</v>
      </c>
      <c r="X3108">
        <v>81</v>
      </c>
      <c r="Y3108">
        <v>0</v>
      </c>
      <c r="Z3108">
        <v>0</v>
      </c>
      <c r="AA3108">
        <v>6</v>
      </c>
      <c r="AB3108">
        <v>1</v>
      </c>
      <c r="AW3108">
        <v>0</v>
      </c>
      <c r="AX3108">
        <v>18</v>
      </c>
      <c r="AY3108">
        <v>290</v>
      </c>
      <c r="AZ3108">
        <v>290</v>
      </c>
      <c r="BA3108">
        <v>435</v>
      </c>
      <c r="BB3108">
        <v>44</v>
      </c>
      <c r="BD3108">
        <v>1</v>
      </c>
      <c r="BF3108" t="s">
        <v>3330</v>
      </c>
      <c r="BG3108" s="1">
        <v>44354.198611111111</v>
      </c>
      <c r="BH3108" s="1">
        <v>44354.20888888889</v>
      </c>
      <c r="BI3108" s="1">
        <v>44354.209606481483</v>
      </c>
      <c r="BJ3108" t="s">
        <v>85</v>
      </c>
      <c r="BK3108" t="s">
        <v>86</v>
      </c>
      <c r="BL3108" t="s">
        <v>87</v>
      </c>
    </row>
    <row r="3109" spans="1:64" x14ac:dyDescent="0.3">
      <c r="A3109" t="str">
        <f>"202102B0000"</f>
        <v>202102B0000</v>
      </c>
      <c r="B3109" t="str">
        <f>"202102B00003"</f>
        <v>202102B00003</v>
      </c>
      <c r="C3109" t="str">
        <f t="shared" si="216"/>
        <v>20</v>
      </c>
      <c r="D3109" t="s">
        <v>81</v>
      </c>
      <c r="E3109" t="str">
        <f t="shared" si="217"/>
        <v>484</v>
      </c>
      <c r="F3109" t="s">
        <v>3287</v>
      </c>
      <c r="G3109" t="str">
        <f>"2102"</f>
        <v>2102</v>
      </c>
      <c r="H3109" t="str">
        <f>"0000"</f>
        <v>0000</v>
      </c>
      <c r="I3109" t="s">
        <v>83</v>
      </c>
      <c r="J3109">
        <v>0</v>
      </c>
      <c r="K3109">
        <v>1</v>
      </c>
      <c r="L3109">
        <v>3</v>
      </c>
      <c r="BA3109">
        <v>425</v>
      </c>
      <c r="BB3109">
        <v>44</v>
      </c>
      <c r="BC3109" t="s">
        <v>381</v>
      </c>
      <c r="BD3109">
        <v>0</v>
      </c>
      <c r="BF3109" t="s">
        <v>3331</v>
      </c>
      <c r="BG3109" s="1">
        <v>44354.220833333333</v>
      </c>
      <c r="BH3109" s="1">
        <v>44354.723495370374</v>
      </c>
      <c r="BI3109" s="1">
        <v>44354.723495370374</v>
      </c>
      <c r="BJ3109" t="s">
        <v>85</v>
      </c>
      <c r="BK3109" t="s">
        <v>86</v>
      </c>
      <c r="BL3109" t="s">
        <v>87</v>
      </c>
    </row>
    <row r="3110" spans="1:64" x14ac:dyDescent="0.3">
      <c r="A3110" t="str">
        <f>"202102C0100"</f>
        <v>202102C0100</v>
      </c>
      <c r="B3110" t="str">
        <f>"202102C01003"</f>
        <v>202102C01003</v>
      </c>
      <c r="C3110" t="str">
        <f t="shared" si="216"/>
        <v>20</v>
      </c>
      <c r="D3110" t="s">
        <v>81</v>
      </c>
      <c r="E3110" t="str">
        <f t="shared" si="217"/>
        <v>484</v>
      </c>
      <c r="F3110" t="s">
        <v>3287</v>
      </c>
      <c r="G3110" t="str">
        <f>"2102"</f>
        <v>2102</v>
      </c>
      <c r="H3110" t="str">
        <f>"0001"</f>
        <v>0001</v>
      </c>
      <c r="I3110" t="s">
        <v>89</v>
      </c>
      <c r="J3110">
        <v>0</v>
      </c>
      <c r="K3110">
        <v>1</v>
      </c>
      <c r="L3110">
        <v>3</v>
      </c>
      <c r="BA3110">
        <v>425</v>
      </c>
      <c r="BB3110">
        <v>44</v>
      </c>
      <c r="BC3110" t="s">
        <v>381</v>
      </c>
      <c r="BD3110">
        <v>0</v>
      </c>
      <c r="BF3110" t="s">
        <v>3332</v>
      </c>
      <c r="BG3110" s="1">
        <v>44354.220833333333</v>
      </c>
      <c r="BH3110" s="1">
        <v>44354.723344907405</v>
      </c>
      <c r="BI3110" s="1">
        <v>44354.723344907405</v>
      </c>
      <c r="BJ3110" t="s">
        <v>85</v>
      </c>
      <c r="BK3110" t="s">
        <v>86</v>
      </c>
      <c r="BL3110" t="s">
        <v>87</v>
      </c>
    </row>
    <row r="3111" spans="1:64" x14ac:dyDescent="0.3">
      <c r="A3111" t="str">
        <f>"202103B0000"</f>
        <v>202103B0000</v>
      </c>
      <c r="B3111" t="str">
        <f>"202103B00003"</f>
        <v>202103B00003</v>
      </c>
      <c r="C3111" t="str">
        <f t="shared" si="216"/>
        <v>20</v>
      </c>
      <c r="D3111" t="s">
        <v>81</v>
      </c>
      <c r="E3111" t="str">
        <f t="shared" si="217"/>
        <v>484</v>
      </c>
      <c r="F3111" t="s">
        <v>3287</v>
      </c>
      <c r="G3111" t="str">
        <f>"2103"</f>
        <v>2103</v>
      </c>
      <c r="H3111" t="str">
        <f>"0000"</f>
        <v>0000</v>
      </c>
      <c r="I3111" t="s">
        <v>83</v>
      </c>
      <c r="J3111">
        <v>0</v>
      </c>
      <c r="K3111">
        <v>1</v>
      </c>
      <c r="L3111">
        <v>3</v>
      </c>
      <c r="M3111">
        <v>179</v>
      </c>
      <c r="N3111">
        <v>317</v>
      </c>
      <c r="O3111">
        <v>0</v>
      </c>
      <c r="P3111">
        <v>316</v>
      </c>
      <c r="Q3111">
        <v>1</v>
      </c>
      <c r="R3111">
        <v>80</v>
      </c>
      <c r="S3111">
        <v>86</v>
      </c>
      <c r="T3111">
        <v>0</v>
      </c>
      <c r="U3111">
        <v>2</v>
      </c>
      <c r="V3111">
        <v>4</v>
      </c>
      <c r="W3111">
        <v>4</v>
      </c>
      <c r="X3111">
        <v>122</v>
      </c>
      <c r="Y3111">
        <v>3</v>
      </c>
      <c r="Z3111">
        <v>1</v>
      </c>
      <c r="AA3111">
        <v>5</v>
      </c>
      <c r="AB3111">
        <v>1</v>
      </c>
      <c r="AW3111" t="s">
        <v>95</v>
      </c>
      <c r="AX3111">
        <v>7</v>
      </c>
      <c r="AY3111">
        <v>316</v>
      </c>
      <c r="AZ3111">
        <v>316</v>
      </c>
      <c r="BA3111">
        <v>451</v>
      </c>
      <c r="BB3111">
        <v>44</v>
      </c>
      <c r="BC3111" t="s">
        <v>96</v>
      </c>
      <c r="BD3111">
        <v>1</v>
      </c>
      <c r="BF3111" t="s">
        <v>3333</v>
      </c>
      <c r="BG3111" s="1">
        <v>44354.552777777775</v>
      </c>
      <c r="BH3111" s="1">
        <v>44354.561099537037</v>
      </c>
      <c r="BI3111" s="1">
        <v>44354.561388888891</v>
      </c>
      <c r="BJ3111" t="s">
        <v>85</v>
      </c>
      <c r="BK3111" t="s">
        <v>86</v>
      </c>
      <c r="BL3111" t="s">
        <v>87</v>
      </c>
    </row>
    <row r="3112" spans="1:64" x14ac:dyDescent="0.3">
      <c r="A3112" t="str">
        <f>"202103E0100"</f>
        <v>202103E0100</v>
      </c>
      <c r="B3112" t="str">
        <f>"202103E01003"</f>
        <v>202103E01003</v>
      </c>
      <c r="C3112" t="str">
        <f t="shared" si="216"/>
        <v>20</v>
      </c>
      <c r="D3112" t="s">
        <v>81</v>
      </c>
      <c r="E3112" t="str">
        <f t="shared" si="217"/>
        <v>484</v>
      </c>
      <c r="F3112" t="s">
        <v>3287</v>
      </c>
      <c r="G3112" t="str">
        <f>"2103"</f>
        <v>2103</v>
      </c>
      <c r="H3112" t="str">
        <f>"0001"</f>
        <v>0001</v>
      </c>
      <c r="I3112" t="s">
        <v>122</v>
      </c>
      <c r="J3112">
        <v>0</v>
      </c>
      <c r="K3112">
        <v>1</v>
      </c>
      <c r="L3112">
        <v>3</v>
      </c>
      <c r="BA3112">
        <v>672</v>
      </c>
      <c r="BB3112">
        <v>44</v>
      </c>
      <c r="BC3112" t="s">
        <v>381</v>
      </c>
      <c r="BD3112">
        <v>0</v>
      </c>
      <c r="BF3112" t="s">
        <v>3334</v>
      </c>
      <c r="BG3112" s="1">
        <v>44354.220833333333</v>
      </c>
      <c r="BH3112" s="1">
        <v>44354.723726851851</v>
      </c>
      <c r="BI3112" s="1">
        <v>44354.723726851851</v>
      </c>
      <c r="BJ3112" t="s">
        <v>85</v>
      </c>
      <c r="BK3112" t="s">
        <v>86</v>
      </c>
      <c r="BL3112" t="s">
        <v>87</v>
      </c>
    </row>
    <row r="3113" spans="1:64" x14ac:dyDescent="0.3">
      <c r="A3113" t="str">
        <f>"202103E0200"</f>
        <v>202103E0200</v>
      </c>
      <c r="B3113" t="str">
        <f>"202103E02003"</f>
        <v>202103E02003</v>
      </c>
      <c r="C3113" t="str">
        <f t="shared" si="216"/>
        <v>20</v>
      </c>
      <c r="D3113" t="s">
        <v>81</v>
      </c>
      <c r="E3113" t="str">
        <f t="shared" si="217"/>
        <v>484</v>
      </c>
      <c r="F3113" t="s">
        <v>3287</v>
      </c>
      <c r="G3113" t="str">
        <f>"2103"</f>
        <v>2103</v>
      </c>
      <c r="H3113" t="str">
        <f>"0002"</f>
        <v>0002</v>
      </c>
      <c r="I3113" t="s">
        <v>122</v>
      </c>
      <c r="J3113">
        <v>0</v>
      </c>
      <c r="K3113">
        <v>1</v>
      </c>
      <c r="L3113">
        <v>3</v>
      </c>
      <c r="M3113">
        <v>161</v>
      </c>
      <c r="N3113">
        <v>236</v>
      </c>
      <c r="O3113">
        <v>0</v>
      </c>
      <c r="P3113">
        <v>233</v>
      </c>
      <c r="Q3113" t="s">
        <v>95</v>
      </c>
      <c r="R3113">
        <v>43</v>
      </c>
      <c r="S3113">
        <v>69</v>
      </c>
      <c r="T3113" t="s">
        <v>95</v>
      </c>
      <c r="U3113">
        <v>2</v>
      </c>
      <c r="V3113">
        <v>3</v>
      </c>
      <c r="W3113">
        <v>12</v>
      </c>
      <c r="X3113">
        <v>93</v>
      </c>
      <c r="Y3113" t="s">
        <v>95</v>
      </c>
      <c r="Z3113" t="s">
        <v>95</v>
      </c>
      <c r="AA3113" t="s">
        <v>95</v>
      </c>
      <c r="AB3113" t="s">
        <v>95</v>
      </c>
      <c r="AW3113" t="s">
        <v>95</v>
      </c>
      <c r="AX3113">
        <v>11</v>
      </c>
      <c r="AY3113" t="s">
        <v>95</v>
      </c>
      <c r="AZ3113">
        <v>233</v>
      </c>
      <c r="BA3113">
        <v>354</v>
      </c>
      <c r="BB3113">
        <v>44</v>
      </c>
      <c r="BC3113" t="s">
        <v>96</v>
      </c>
      <c r="BD3113">
        <v>1</v>
      </c>
      <c r="BF3113" t="s">
        <v>3335</v>
      </c>
      <c r="BG3113" s="1">
        <v>44354.553472222222</v>
      </c>
      <c r="BH3113" s="1">
        <v>44354.561064814814</v>
      </c>
      <c r="BI3113" s="1">
        <v>44354.562083333331</v>
      </c>
      <c r="BJ3113" t="s">
        <v>85</v>
      </c>
      <c r="BK3113" t="s">
        <v>86</v>
      </c>
      <c r="BL3113" t="s">
        <v>87</v>
      </c>
    </row>
    <row r="3114" spans="1:64" x14ac:dyDescent="0.3">
      <c r="A3114" t="str">
        <f>"202104B0000"</f>
        <v>202104B0000</v>
      </c>
      <c r="B3114" t="str">
        <f>"202104B00003"</f>
        <v>202104B00003</v>
      </c>
      <c r="C3114" t="str">
        <f t="shared" si="216"/>
        <v>20</v>
      </c>
      <c r="D3114" t="s">
        <v>81</v>
      </c>
      <c r="E3114" t="str">
        <f t="shared" si="217"/>
        <v>484</v>
      </c>
      <c r="F3114" t="s">
        <v>3287</v>
      </c>
      <c r="G3114" t="str">
        <f>"2104"</f>
        <v>2104</v>
      </c>
      <c r="H3114" t="str">
        <f>"0000"</f>
        <v>0000</v>
      </c>
      <c r="I3114" t="s">
        <v>83</v>
      </c>
      <c r="J3114">
        <v>0</v>
      </c>
      <c r="K3114">
        <v>1</v>
      </c>
      <c r="L3114">
        <v>3</v>
      </c>
      <c r="M3114" t="s">
        <v>92</v>
      </c>
      <c r="N3114" t="s">
        <v>92</v>
      </c>
      <c r="O3114" t="s">
        <v>92</v>
      </c>
      <c r="P3114">
        <v>327</v>
      </c>
      <c r="Q3114">
        <v>3</v>
      </c>
      <c r="R3114">
        <v>80</v>
      </c>
      <c r="S3114">
        <v>92</v>
      </c>
      <c r="T3114">
        <v>2</v>
      </c>
      <c r="U3114">
        <v>2</v>
      </c>
      <c r="V3114">
        <v>4</v>
      </c>
      <c r="W3114">
        <v>9</v>
      </c>
      <c r="X3114">
        <v>110</v>
      </c>
      <c r="Y3114">
        <v>0</v>
      </c>
      <c r="Z3114">
        <v>1</v>
      </c>
      <c r="AA3114">
        <v>6</v>
      </c>
      <c r="AB3114">
        <v>2</v>
      </c>
      <c r="AW3114">
        <v>0</v>
      </c>
      <c r="AX3114">
        <v>16</v>
      </c>
      <c r="AY3114">
        <v>327</v>
      </c>
      <c r="AZ3114">
        <v>327</v>
      </c>
      <c r="BA3114">
        <v>508</v>
      </c>
      <c r="BB3114">
        <v>44</v>
      </c>
      <c r="BD3114">
        <v>1</v>
      </c>
      <c r="BF3114" t="s">
        <v>3336</v>
      </c>
      <c r="BG3114" s="1">
        <v>44354.28402777778</v>
      </c>
      <c r="BH3114" s="1">
        <v>44354.293124999997</v>
      </c>
      <c r="BI3114" s="1">
        <v>44354.295451388891</v>
      </c>
      <c r="BJ3114" t="s">
        <v>85</v>
      </c>
      <c r="BK3114" t="s">
        <v>86</v>
      </c>
      <c r="BL3114" t="s">
        <v>87</v>
      </c>
    </row>
    <row r="3115" spans="1:64" x14ac:dyDescent="0.3">
      <c r="A3115" t="str">
        <f>"202104C0100"</f>
        <v>202104C0100</v>
      </c>
      <c r="B3115" t="str">
        <f>"202104C01003"</f>
        <v>202104C01003</v>
      </c>
      <c r="C3115" t="str">
        <f t="shared" si="216"/>
        <v>20</v>
      </c>
      <c r="D3115" t="s">
        <v>81</v>
      </c>
      <c r="E3115" t="str">
        <f t="shared" si="217"/>
        <v>484</v>
      </c>
      <c r="F3115" t="s">
        <v>3287</v>
      </c>
      <c r="G3115" t="str">
        <f>"2104"</f>
        <v>2104</v>
      </c>
      <c r="H3115" t="str">
        <f>"0001"</f>
        <v>0001</v>
      </c>
      <c r="I3115" t="s">
        <v>89</v>
      </c>
      <c r="J3115">
        <v>0</v>
      </c>
      <c r="K3115">
        <v>1</v>
      </c>
      <c r="L3115">
        <v>3</v>
      </c>
      <c r="M3115" t="s">
        <v>92</v>
      </c>
      <c r="N3115" t="s">
        <v>92</v>
      </c>
      <c r="O3115" t="s">
        <v>92</v>
      </c>
      <c r="P3115" t="s">
        <v>92</v>
      </c>
      <c r="Q3115">
        <v>3</v>
      </c>
      <c r="R3115">
        <v>88</v>
      </c>
      <c r="S3115">
        <v>83</v>
      </c>
      <c r="T3115">
        <v>2</v>
      </c>
      <c r="U3115">
        <v>5</v>
      </c>
      <c r="V3115">
        <v>7</v>
      </c>
      <c r="W3115">
        <v>7</v>
      </c>
      <c r="X3115">
        <v>115</v>
      </c>
      <c r="Y3115">
        <v>1</v>
      </c>
      <c r="Z3115">
        <v>2</v>
      </c>
      <c r="AA3115">
        <v>2</v>
      </c>
      <c r="AB3115">
        <v>10</v>
      </c>
      <c r="AW3115" t="s">
        <v>95</v>
      </c>
      <c r="AX3115">
        <v>8</v>
      </c>
      <c r="AY3115">
        <v>333</v>
      </c>
      <c r="AZ3115">
        <v>333</v>
      </c>
      <c r="BA3115">
        <v>508</v>
      </c>
      <c r="BB3115">
        <v>44</v>
      </c>
      <c r="BC3115" t="s">
        <v>96</v>
      </c>
      <c r="BD3115">
        <v>1</v>
      </c>
      <c r="BF3115" t="s">
        <v>3337</v>
      </c>
      <c r="BG3115" s="1">
        <v>44353.913865740738</v>
      </c>
      <c r="BH3115" s="1">
        <v>44353.915162037039</v>
      </c>
      <c r="BI3115" s="1">
        <v>44353.915636574071</v>
      </c>
      <c r="BJ3115" t="s">
        <v>197</v>
      </c>
      <c r="BK3115" t="s">
        <v>198</v>
      </c>
      <c r="BL3115" t="s">
        <v>87</v>
      </c>
    </row>
    <row r="3116" spans="1:64" x14ac:dyDescent="0.3">
      <c r="A3116" t="str">
        <f>"202104C0200"</f>
        <v>202104C0200</v>
      </c>
      <c r="B3116" t="str">
        <f>"202104C02003"</f>
        <v>202104C02003</v>
      </c>
      <c r="C3116" t="str">
        <f t="shared" si="216"/>
        <v>20</v>
      </c>
      <c r="D3116" t="s">
        <v>81</v>
      </c>
      <c r="E3116" t="str">
        <f t="shared" si="217"/>
        <v>484</v>
      </c>
      <c r="F3116" t="s">
        <v>3287</v>
      </c>
      <c r="G3116" t="str">
        <f>"2104"</f>
        <v>2104</v>
      </c>
      <c r="H3116" t="str">
        <f>"0002"</f>
        <v>0002</v>
      </c>
      <c r="I3116" t="s">
        <v>89</v>
      </c>
      <c r="J3116">
        <v>0</v>
      </c>
      <c r="K3116">
        <v>1</v>
      </c>
      <c r="L3116">
        <v>3</v>
      </c>
      <c r="BA3116">
        <v>507</v>
      </c>
      <c r="BB3116">
        <v>44</v>
      </c>
      <c r="BC3116" t="s">
        <v>381</v>
      </c>
      <c r="BD3116">
        <v>0</v>
      </c>
      <c r="BF3116" t="s">
        <v>3338</v>
      </c>
      <c r="BG3116" s="1">
        <v>44354.220833333333</v>
      </c>
      <c r="BH3116" s="1">
        <v>44354.723935185182</v>
      </c>
      <c r="BI3116" s="1">
        <v>44354.723935185182</v>
      </c>
      <c r="BJ3116" t="s">
        <v>85</v>
      </c>
      <c r="BK3116" t="s">
        <v>86</v>
      </c>
      <c r="BL3116" t="s">
        <v>87</v>
      </c>
    </row>
    <row r="3117" spans="1:64" x14ac:dyDescent="0.3">
      <c r="A3117" t="str">
        <f>"202105B0000"</f>
        <v>202105B0000</v>
      </c>
      <c r="B3117" t="str">
        <f>"202105B00003"</f>
        <v>202105B00003</v>
      </c>
      <c r="C3117" t="str">
        <f t="shared" si="216"/>
        <v>20</v>
      </c>
      <c r="D3117" t="s">
        <v>81</v>
      </c>
      <c r="E3117" t="str">
        <f t="shared" si="217"/>
        <v>484</v>
      </c>
      <c r="F3117" t="s">
        <v>3287</v>
      </c>
      <c r="G3117" t="str">
        <f>"2105"</f>
        <v>2105</v>
      </c>
      <c r="H3117" t="str">
        <f>"0000"</f>
        <v>0000</v>
      </c>
      <c r="I3117" t="s">
        <v>83</v>
      </c>
      <c r="J3117">
        <v>0</v>
      </c>
      <c r="K3117">
        <v>1</v>
      </c>
      <c r="L3117">
        <v>3</v>
      </c>
      <c r="M3117">
        <v>326</v>
      </c>
      <c r="N3117">
        <v>409</v>
      </c>
      <c r="O3117">
        <v>0</v>
      </c>
      <c r="P3117">
        <v>411</v>
      </c>
      <c r="Q3117">
        <v>3</v>
      </c>
      <c r="R3117">
        <v>91</v>
      </c>
      <c r="S3117">
        <v>53</v>
      </c>
      <c r="T3117">
        <v>1</v>
      </c>
      <c r="U3117">
        <v>4</v>
      </c>
      <c r="V3117">
        <v>10</v>
      </c>
      <c r="W3117">
        <v>8</v>
      </c>
      <c r="X3117">
        <v>196</v>
      </c>
      <c r="Y3117">
        <v>0</v>
      </c>
      <c r="Z3117">
        <v>3</v>
      </c>
      <c r="AA3117">
        <v>5</v>
      </c>
      <c r="AB3117">
        <v>26</v>
      </c>
      <c r="AW3117">
        <v>0</v>
      </c>
      <c r="AX3117">
        <v>11</v>
      </c>
      <c r="AY3117">
        <v>411</v>
      </c>
      <c r="AZ3117">
        <v>411</v>
      </c>
      <c r="BA3117">
        <v>693</v>
      </c>
      <c r="BB3117">
        <v>44</v>
      </c>
      <c r="BD3117">
        <v>1</v>
      </c>
      <c r="BF3117" t="s">
        <v>3339</v>
      </c>
      <c r="BG3117" s="1">
        <v>44354.284722222219</v>
      </c>
      <c r="BH3117" s="1">
        <v>44354.288530092592</v>
      </c>
      <c r="BI3117" s="1">
        <v>44354.289155092592</v>
      </c>
      <c r="BJ3117" t="s">
        <v>85</v>
      </c>
      <c r="BK3117" t="s">
        <v>86</v>
      </c>
      <c r="BL3117" t="s">
        <v>87</v>
      </c>
    </row>
    <row r="3118" spans="1:64" x14ac:dyDescent="0.3">
      <c r="A3118" t="str">
        <f>"202105C0100"</f>
        <v>202105C0100</v>
      </c>
      <c r="B3118" t="str">
        <f>"202105C01003"</f>
        <v>202105C01003</v>
      </c>
      <c r="C3118" t="str">
        <f t="shared" si="216"/>
        <v>20</v>
      </c>
      <c r="D3118" t="s">
        <v>81</v>
      </c>
      <c r="E3118" t="str">
        <f t="shared" si="217"/>
        <v>484</v>
      </c>
      <c r="F3118" t="s">
        <v>3287</v>
      </c>
      <c r="G3118" t="str">
        <f>"2105"</f>
        <v>2105</v>
      </c>
      <c r="H3118" t="str">
        <f>"0001"</f>
        <v>0001</v>
      </c>
      <c r="I3118" t="s">
        <v>89</v>
      </c>
      <c r="J3118">
        <v>0</v>
      </c>
      <c r="K3118">
        <v>1</v>
      </c>
      <c r="L3118">
        <v>3</v>
      </c>
      <c r="M3118">
        <v>340</v>
      </c>
      <c r="N3118">
        <v>397</v>
      </c>
      <c r="O3118">
        <v>0</v>
      </c>
      <c r="P3118">
        <v>397</v>
      </c>
      <c r="Q3118">
        <v>2</v>
      </c>
      <c r="R3118">
        <v>117</v>
      </c>
      <c r="S3118">
        <v>58</v>
      </c>
      <c r="T3118">
        <v>3</v>
      </c>
      <c r="U3118">
        <v>3</v>
      </c>
      <c r="V3118">
        <v>6</v>
      </c>
      <c r="W3118">
        <v>4</v>
      </c>
      <c r="X3118">
        <v>162</v>
      </c>
      <c r="Y3118">
        <v>1</v>
      </c>
      <c r="Z3118">
        <v>7</v>
      </c>
      <c r="AA3118">
        <v>2</v>
      </c>
      <c r="AB3118">
        <v>21</v>
      </c>
      <c r="AW3118">
        <v>0</v>
      </c>
      <c r="AX3118">
        <v>11</v>
      </c>
      <c r="AY3118">
        <v>397</v>
      </c>
      <c r="AZ3118">
        <v>397</v>
      </c>
      <c r="BA3118">
        <v>693</v>
      </c>
      <c r="BB3118">
        <v>44</v>
      </c>
      <c r="BD3118">
        <v>1</v>
      </c>
      <c r="BF3118" t="s">
        <v>3340</v>
      </c>
      <c r="BG3118" s="1">
        <v>44354.292361111111</v>
      </c>
      <c r="BH3118" s="1">
        <v>44354.294548611113</v>
      </c>
      <c r="BI3118" s="1">
        <v>44354.295636574076</v>
      </c>
      <c r="BJ3118" t="s">
        <v>85</v>
      </c>
      <c r="BK3118" t="s">
        <v>86</v>
      </c>
      <c r="BL3118" t="s">
        <v>87</v>
      </c>
    </row>
    <row r="3119" spans="1:64" x14ac:dyDescent="0.3">
      <c r="A3119" t="str">
        <f>"202106B0000"</f>
        <v>202106B0000</v>
      </c>
      <c r="B3119" t="str">
        <f>"202106B00003"</f>
        <v>202106B00003</v>
      </c>
      <c r="C3119" t="str">
        <f t="shared" si="216"/>
        <v>20</v>
      </c>
      <c r="D3119" t="s">
        <v>81</v>
      </c>
      <c r="E3119" t="str">
        <f t="shared" si="217"/>
        <v>484</v>
      </c>
      <c r="F3119" t="s">
        <v>3287</v>
      </c>
      <c r="G3119" t="str">
        <f>"2106"</f>
        <v>2106</v>
      </c>
      <c r="H3119" t="str">
        <f>"0000"</f>
        <v>0000</v>
      </c>
      <c r="I3119" t="s">
        <v>83</v>
      </c>
      <c r="J3119">
        <v>0</v>
      </c>
      <c r="K3119">
        <v>1</v>
      </c>
      <c r="L3119">
        <v>3</v>
      </c>
      <c r="M3119">
        <v>467</v>
      </c>
      <c r="N3119">
        <v>489</v>
      </c>
      <c r="O3119">
        <v>0</v>
      </c>
      <c r="P3119">
        <v>489</v>
      </c>
      <c r="Q3119">
        <v>6</v>
      </c>
      <c r="R3119">
        <v>148</v>
      </c>
      <c r="S3119">
        <v>224</v>
      </c>
      <c r="T3119">
        <v>3</v>
      </c>
      <c r="U3119">
        <v>2</v>
      </c>
      <c r="V3119">
        <v>9</v>
      </c>
      <c r="W3119">
        <v>2</v>
      </c>
      <c r="X3119">
        <v>79</v>
      </c>
      <c r="Y3119">
        <v>0</v>
      </c>
      <c r="Z3119">
        <v>0</v>
      </c>
      <c r="AA3119">
        <v>4</v>
      </c>
      <c r="AB3119">
        <v>3</v>
      </c>
      <c r="AW3119">
        <v>0</v>
      </c>
      <c r="AX3119">
        <v>9</v>
      </c>
      <c r="AY3119">
        <v>489</v>
      </c>
      <c r="AZ3119">
        <v>489</v>
      </c>
      <c r="BA3119">
        <v>682</v>
      </c>
      <c r="BB3119">
        <v>44</v>
      </c>
      <c r="BD3119">
        <v>1</v>
      </c>
      <c r="BF3119" t="s">
        <v>3341</v>
      </c>
      <c r="BG3119" s="1">
        <v>44354.553472222222</v>
      </c>
      <c r="BH3119" s="1">
        <v>44354.558923611112</v>
      </c>
      <c r="BI3119" s="1">
        <v>44354.559317129628</v>
      </c>
      <c r="BJ3119" t="s">
        <v>85</v>
      </c>
      <c r="BK3119" t="s">
        <v>86</v>
      </c>
      <c r="BL3119" t="s">
        <v>87</v>
      </c>
    </row>
    <row r="3120" spans="1:64" x14ac:dyDescent="0.3">
      <c r="A3120" t="str">
        <f>"202106C0100"</f>
        <v>202106C0100</v>
      </c>
      <c r="B3120" t="str">
        <f>"202106C01003"</f>
        <v>202106C01003</v>
      </c>
      <c r="C3120" t="str">
        <f t="shared" si="216"/>
        <v>20</v>
      </c>
      <c r="D3120" t="s">
        <v>81</v>
      </c>
      <c r="E3120" t="str">
        <f t="shared" si="217"/>
        <v>484</v>
      </c>
      <c r="F3120" t="s">
        <v>3287</v>
      </c>
      <c r="G3120" t="str">
        <f>"2106"</f>
        <v>2106</v>
      </c>
      <c r="H3120" t="str">
        <f>"0001"</f>
        <v>0001</v>
      </c>
      <c r="I3120" t="s">
        <v>89</v>
      </c>
      <c r="J3120">
        <v>0</v>
      </c>
      <c r="K3120">
        <v>1</v>
      </c>
      <c r="L3120">
        <v>3</v>
      </c>
      <c r="M3120">
        <v>232</v>
      </c>
      <c r="N3120">
        <v>493</v>
      </c>
      <c r="O3120">
        <v>0</v>
      </c>
      <c r="P3120">
        <v>493</v>
      </c>
      <c r="Q3120">
        <v>2</v>
      </c>
      <c r="R3120">
        <v>138</v>
      </c>
      <c r="S3120">
        <v>234</v>
      </c>
      <c r="T3120">
        <v>3</v>
      </c>
      <c r="U3120">
        <v>4</v>
      </c>
      <c r="V3120">
        <v>5</v>
      </c>
      <c r="W3120">
        <v>1</v>
      </c>
      <c r="X3120">
        <v>85</v>
      </c>
      <c r="Y3120">
        <v>0</v>
      </c>
      <c r="Z3120">
        <v>0</v>
      </c>
      <c r="AA3120">
        <v>4</v>
      </c>
      <c r="AB3120">
        <v>6</v>
      </c>
      <c r="AW3120">
        <v>0</v>
      </c>
      <c r="AX3120">
        <v>11</v>
      </c>
      <c r="AY3120">
        <v>493</v>
      </c>
      <c r="AZ3120">
        <v>493</v>
      </c>
      <c r="BA3120">
        <v>681</v>
      </c>
      <c r="BB3120">
        <v>44</v>
      </c>
      <c r="BD3120">
        <v>1</v>
      </c>
      <c r="BF3120" t="s">
        <v>3342</v>
      </c>
      <c r="BG3120" s="1">
        <v>44354.553472222222</v>
      </c>
      <c r="BH3120" s="1">
        <v>44354.560057870367</v>
      </c>
      <c r="BI3120" s="1">
        <v>44354.560798611114</v>
      </c>
      <c r="BJ3120" t="s">
        <v>85</v>
      </c>
      <c r="BK3120" t="s">
        <v>86</v>
      </c>
      <c r="BL3120" t="s">
        <v>87</v>
      </c>
    </row>
    <row r="3121" spans="1:64" x14ac:dyDescent="0.3">
      <c r="A3121" t="str">
        <f>"202106E0100"</f>
        <v>202106E0100</v>
      </c>
      <c r="B3121" t="str">
        <f>"202106E01003"</f>
        <v>202106E01003</v>
      </c>
      <c r="C3121" t="str">
        <f t="shared" si="216"/>
        <v>20</v>
      </c>
      <c r="D3121" t="s">
        <v>81</v>
      </c>
      <c r="E3121" t="str">
        <f t="shared" si="217"/>
        <v>484</v>
      </c>
      <c r="F3121" t="s">
        <v>3287</v>
      </c>
      <c r="G3121" t="str">
        <f>"2106"</f>
        <v>2106</v>
      </c>
      <c r="H3121" t="str">
        <f>"0001"</f>
        <v>0001</v>
      </c>
      <c r="I3121" t="s">
        <v>122</v>
      </c>
      <c r="J3121">
        <v>0</v>
      </c>
      <c r="K3121">
        <v>1</v>
      </c>
      <c r="L3121">
        <v>3</v>
      </c>
      <c r="BA3121">
        <v>162</v>
      </c>
      <c r="BB3121">
        <v>44</v>
      </c>
      <c r="BC3121" t="s">
        <v>381</v>
      </c>
      <c r="BD3121">
        <v>0</v>
      </c>
      <c r="BF3121" t="s">
        <v>3343</v>
      </c>
      <c r="BG3121" s="1">
        <v>44354.22152777778</v>
      </c>
      <c r="BH3121" s="1">
        <v>44354.724108796298</v>
      </c>
      <c r="BI3121" s="1">
        <v>44354.724108796298</v>
      </c>
      <c r="BJ3121" t="s">
        <v>85</v>
      </c>
      <c r="BK3121" t="s">
        <v>86</v>
      </c>
      <c r="BL3121" t="s">
        <v>87</v>
      </c>
    </row>
    <row r="3122" spans="1:64" x14ac:dyDescent="0.3">
      <c r="A3122" t="str">
        <f>"202107B0000"</f>
        <v>202107B0000</v>
      </c>
      <c r="B3122" t="str">
        <f>"202107B00003"</f>
        <v>202107B00003</v>
      </c>
      <c r="C3122" t="str">
        <f t="shared" si="216"/>
        <v>20</v>
      </c>
      <c r="D3122" t="s">
        <v>81</v>
      </c>
      <c r="E3122" t="str">
        <f t="shared" si="217"/>
        <v>484</v>
      </c>
      <c r="F3122" t="s">
        <v>3287</v>
      </c>
      <c r="G3122" t="str">
        <f>"2107"</f>
        <v>2107</v>
      </c>
      <c r="H3122" t="str">
        <f>"0000"</f>
        <v>0000</v>
      </c>
      <c r="I3122" t="s">
        <v>83</v>
      </c>
      <c r="J3122">
        <v>0</v>
      </c>
      <c r="K3122">
        <v>1</v>
      </c>
      <c r="L3122">
        <v>3</v>
      </c>
      <c r="M3122">
        <v>193</v>
      </c>
      <c r="N3122">
        <v>313</v>
      </c>
      <c r="O3122">
        <v>10</v>
      </c>
      <c r="P3122">
        <v>313</v>
      </c>
      <c r="Q3122">
        <v>0</v>
      </c>
      <c r="R3122">
        <v>76</v>
      </c>
      <c r="S3122">
        <v>129</v>
      </c>
      <c r="T3122">
        <v>2</v>
      </c>
      <c r="U3122">
        <v>1</v>
      </c>
      <c r="V3122">
        <v>2</v>
      </c>
      <c r="W3122">
        <v>0</v>
      </c>
      <c r="X3122">
        <v>83</v>
      </c>
      <c r="Y3122">
        <v>0</v>
      </c>
      <c r="Z3122">
        <v>4</v>
      </c>
      <c r="AA3122">
        <v>6</v>
      </c>
      <c r="AB3122">
        <v>1</v>
      </c>
      <c r="AW3122">
        <v>0</v>
      </c>
      <c r="AX3122">
        <v>9</v>
      </c>
      <c r="AY3122">
        <v>313</v>
      </c>
      <c r="AZ3122">
        <v>313</v>
      </c>
      <c r="BA3122">
        <v>462</v>
      </c>
      <c r="BB3122">
        <v>44</v>
      </c>
      <c r="BD3122">
        <v>1</v>
      </c>
      <c r="BF3122" t="s">
        <v>3344</v>
      </c>
      <c r="BG3122" s="1">
        <v>44354.550694444442</v>
      </c>
      <c r="BH3122" s="1">
        <v>44354.562488425923</v>
      </c>
      <c r="BI3122" s="1">
        <v>44354.563055555554</v>
      </c>
      <c r="BJ3122" t="s">
        <v>85</v>
      </c>
      <c r="BK3122" t="s">
        <v>86</v>
      </c>
      <c r="BL3122" t="s">
        <v>87</v>
      </c>
    </row>
    <row r="3123" spans="1:64" x14ac:dyDescent="0.3">
      <c r="A3123" t="str">
        <f>"202107E0100"</f>
        <v>202107E0100</v>
      </c>
      <c r="B3123" t="str">
        <f>"202107E01003"</f>
        <v>202107E01003</v>
      </c>
      <c r="C3123" t="str">
        <f t="shared" si="216"/>
        <v>20</v>
      </c>
      <c r="D3123" t="s">
        <v>81</v>
      </c>
      <c r="E3123" t="str">
        <f t="shared" si="217"/>
        <v>484</v>
      </c>
      <c r="F3123" t="s">
        <v>3287</v>
      </c>
      <c r="G3123" t="str">
        <f>"2107"</f>
        <v>2107</v>
      </c>
      <c r="H3123" t="str">
        <f>"0001"</f>
        <v>0001</v>
      </c>
      <c r="I3123" t="s">
        <v>122</v>
      </c>
      <c r="J3123">
        <v>0</v>
      </c>
      <c r="K3123">
        <v>1</v>
      </c>
      <c r="L3123">
        <v>3</v>
      </c>
      <c r="M3123">
        <v>81</v>
      </c>
      <c r="N3123">
        <v>134</v>
      </c>
      <c r="O3123" t="s">
        <v>131</v>
      </c>
      <c r="P3123">
        <v>134</v>
      </c>
      <c r="Q3123">
        <v>0</v>
      </c>
      <c r="R3123">
        <v>15</v>
      </c>
      <c r="S3123">
        <v>60</v>
      </c>
      <c r="T3123">
        <v>0</v>
      </c>
      <c r="U3123">
        <v>0</v>
      </c>
      <c r="V3123">
        <v>1</v>
      </c>
      <c r="W3123">
        <v>0</v>
      </c>
      <c r="X3123">
        <v>50</v>
      </c>
      <c r="Y3123">
        <v>0</v>
      </c>
      <c r="Z3123">
        <v>1</v>
      </c>
      <c r="AA3123">
        <v>1</v>
      </c>
      <c r="AB3123">
        <v>4</v>
      </c>
      <c r="AW3123">
        <v>0</v>
      </c>
      <c r="AX3123">
        <v>2</v>
      </c>
      <c r="AY3123">
        <v>134</v>
      </c>
      <c r="AZ3123">
        <v>134</v>
      </c>
      <c r="BA3123">
        <v>172</v>
      </c>
      <c r="BB3123">
        <v>44</v>
      </c>
      <c r="BD3123">
        <v>1</v>
      </c>
      <c r="BF3123" t="s">
        <v>3345</v>
      </c>
      <c r="BG3123" s="1">
        <v>44354.199305555558</v>
      </c>
      <c r="BH3123" s="1">
        <v>44354.201053240744</v>
      </c>
      <c r="BI3123" s="1">
        <v>44354.201469907406</v>
      </c>
      <c r="BJ3123" t="s">
        <v>85</v>
      </c>
      <c r="BK3123" t="s">
        <v>86</v>
      </c>
      <c r="BL3123" t="s">
        <v>87</v>
      </c>
    </row>
    <row r="3124" spans="1:64" x14ac:dyDescent="0.3">
      <c r="A3124" t="str">
        <f>"202107E0200"</f>
        <v>202107E0200</v>
      </c>
      <c r="B3124" t="str">
        <f>"202107E02003"</f>
        <v>202107E02003</v>
      </c>
      <c r="C3124" t="str">
        <f t="shared" si="216"/>
        <v>20</v>
      </c>
      <c r="D3124" t="s">
        <v>81</v>
      </c>
      <c r="E3124" t="str">
        <f t="shared" si="217"/>
        <v>484</v>
      </c>
      <c r="F3124" t="s">
        <v>3287</v>
      </c>
      <c r="G3124" t="str">
        <f>"2107"</f>
        <v>2107</v>
      </c>
      <c r="H3124" t="str">
        <f>"0002"</f>
        <v>0002</v>
      </c>
      <c r="I3124" t="s">
        <v>122</v>
      </c>
      <c r="J3124">
        <v>0</v>
      </c>
      <c r="K3124">
        <v>1</v>
      </c>
      <c r="L3124">
        <v>3</v>
      </c>
      <c r="M3124">
        <v>179</v>
      </c>
      <c r="N3124">
        <v>261</v>
      </c>
      <c r="O3124">
        <v>0</v>
      </c>
      <c r="P3124">
        <v>261</v>
      </c>
      <c r="Q3124">
        <v>2</v>
      </c>
      <c r="R3124">
        <v>29</v>
      </c>
      <c r="S3124">
        <v>127</v>
      </c>
      <c r="T3124">
        <v>1</v>
      </c>
      <c r="U3124">
        <v>0</v>
      </c>
      <c r="V3124">
        <v>10</v>
      </c>
      <c r="W3124">
        <v>3</v>
      </c>
      <c r="X3124">
        <v>65</v>
      </c>
      <c r="Y3124">
        <v>0</v>
      </c>
      <c r="Z3124">
        <v>4</v>
      </c>
      <c r="AA3124">
        <v>4</v>
      </c>
      <c r="AB3124">
        <v>8</v>
      </c>
      <c r="AW3124">
        <v>0</v>
      </c>
      <c r="AX3124">
        <v>8</v>
      </c>
      <c r="AY3124">
        <v>261</v>
      </c>
      <c r="AZ3124">
        <v>261</v>
      </c>
      <c r="BA3124">
        <v>396</v>
      </c>
      <c r="BB3124">
        <v>44</v>
      </c>
      <c r="BD3124">
        <v>1</v>
      </c>
      <c r="BF3124" t="s">
        <v>3346</v>
      </c>
      <c r="BG3124" s="1">
        <v>44354.553472222222</v>
      </c>
      <c r="BH3124" s="1">
        <v>44354.56113425926</v>
      </c>
      <c r="BI3124" s="1">
        <v>44354.561701388891</v>
      </c>
      <c r="BJ3124" t="s">
        <v>85</v>
      </c>
      <c r="BK3124" t="s">
        <v>86</v>
      </c>
      <c r="BL3124" t="s">
        <v>87</v>
      </c>
    </row>
    <row r="3125" spans="1:64" x14ac:dyDescent="0.3">
      <c r="A3125" t="str">
        <f>"202108B0000"</f>
        <v>202108B0000</v>
      </c>
      <c r="B3125" t="str">
        <f>"202108B00003"</f>
        <v>202108B00003</v>
      </c>
      <c r="C3125" t="str">
        <f t="shared" si="216"/>
        <v>20</v>
      </c>
      <c r="D3125" t="s">
        <v>81</v>
      </c>
      <c r="E3125" t="str">
        <f t="shared" si="217"/>
        <v>484</v>
      </c>
      <c r="F3125" t="s">
        <v>3287</v>
      </c>
      <c r="G3125" t="str">
        <f>"2108"</f>
        <v>2108</v>
      </c>
      <c r="H3125" t="str">
        <f>"0000"</f>
        <v>0000</v>
      </c>
      <c r="I3125" t="s">
        <v>83</v>
      </c>
      <c r="J3125">
        <v>0</v>
      </c>
      <c r="K3125">
        <v>1</v>
      </c>
      <c r="L3125">
        <v>3</v>
      </c>
      <c r="M3125">
        <v>229</v>
      </c>
      <c r="N3125">
        <v>736</v>
      </c>
      <c r="O3125">
        <v>0</v>
      </c>
      <c r="P3125">
        <v>507</v>
      </c>
      <c r="Q3125">
        <v>4</v>
      </c>
      <c r="R3125">
        <v>106</v>
      </c>
      <c r="S3125">
        <v>110</v>
      </c>
      <c r="T3125">
        <v>2</v>
      </c>
      <c r="U3125">
        <v>10</v>
      </c>
      <c r="V3125">
        <v>4</v>
      </c>
      <c r="W3125">
        <v>3</v>
      </c>
      <c r="X3125">
        <v>242</v>
      </c>
      <c r="Y3125">
        <v>4</v>
      </c>
      <c r="Z3125">
        <v>2</v>
      </c>
      <c r="AA3125">
        <v>6</v>
      </c>
      <c r="AB3125">
        <v>5</v>
      </c>
      <c r="AW3125" t="s">
        <v>95</v>
      </c>
      <c r="AX3125">
        <v>9</v>
      </c>
      <c r="AY3125">
        <v>507</v>
      </c>
      <c r="AZ3125">
        <v>507</v>
      </c>
      <c r="BA3125">
        <v>692</v>
      </c>
      <c r="BB3125">
        <v>44</v>
      </c>
      <c r="BC3125" t="s">
        <v>96</v>
      </c>
      <c r="BD3125">
        <v>1</v>
      </c>
      <c r="BF3125" t="s">
        <v>3347</v>
      </c>
      <c r="BG3125" s="1">
        <v>44354.550694444442</v>
      </c>
      <c r="BH3125" s="1">
        <v>44354.554386574076</v>
      </c>
      <c r="BI3125" s="1">
        <v>44354.554976851854</v>
      </c>
      <c r="BJ3125" t="s">
        <v>85</v>
      </c>
      <c r="BK3125" t="s">
        <v>86</v>
      </c>
      <c r="BL3125" t="s">
        <v>87</v>
      </c>
    </row>
    <row r="3126" spans="1:64" x14ac:dyDescent="0.3">
      <c r="A3126" t="str">
        <f>"202108C0100"</f>
        <v>202108C0100</v>
      </c>
      <c r="B3126" t="str">
        <f>"202108C01003"</f>
        <v>202108C01003</v>
      </c>
      <c r="C3126" t="str">
        <f t="shared" si="216"/>
        <v>20</v>
      </c>
      <c r="D3126" t="s">
        <v>81</v>
      </c>
      <c r="E3126" t="str">
        <f t="shared" si="217"/>
        <v>484</v>
      </c>
      <c r="F3126" t="s">
        <v>3287</v>
      </c>
      <c r="G3126" t="str">
        <f>"2108"</f>
        <v>2108</v>
      </c>
      <c r="H3126" t="str">
        <f>"0001"</f>
        <v>0001</v>
      </c>
      <c r="I3126" t="s">
        <v>89</v>
      </c>
      <c r="J3126">
        <v>0</v>
      </c>
      <c r="K3126">
        <v>1</v>
      </c>
      <c r="L3126">
        <v>3</v>
      </c>
      <c r="M3126">
        <v>224</v>
      </c>
      <c r="N3126">
        <v>511</v>
      </c>
      <c r="O3126">
        <v>1</v>
      </c>
      <c r="P3126" t="s">
        <v>92</v>
      </c>
      <c r="Q3126">
        <v>2</v>
      </c>
      <c r="R3126">
        <v>166</v>
      </c>
      <c r="S3126">
        <v>95</v>
      </c>
      <c r="T3126">
        <v>2</v>
      </c>
      <c r="U3126">
        <v>2</v>
      </c>
      <c r="V3126">
        <v>5</v>
      </c>
      <c r="W3126">
        <v>1</v>
      </c>
      <c r="X3126">
        <v>208</v>
      </c>
      <c r="Y3126">
        <v>1</v>
      </c>
      <c r="Z3126">
        <v>6</v>
      </c>
      <c r="AA3126">
        <v>4</v>
      </c>
      <c r="AB3126">
        <v>5</v>
      </c>
      <c r="AW3126" t="s">
        <v>95</v>
      </c>
      <c r="AX3126">
        <v>14</v>
      </c>
      <c r="AY3126">
        <v>511</v>
      </c>
      <c r="AZ3126">
        <v>511</v>
      </c>
      <c r="BA3126">
        <v>691</v>
      </c>
      <c r="BB3126">
        <v>44</v>
      </c>
      <c r="BC3126" t="s">
        <v>96</v>
      </c>
      <c r="BD3126">
        <v>1</v>
      </c>
      <c r="BF3126" t="s">
        <v>3348</v>
      </c>
      <c r="BG3126" s="1">
        <v>44354.551388888889</v>
      </c>
      <c r="BH3126" s="1">
        <v>44354.558379629627</v>
      </c>
      <c r="BI3126" s="1">
        <v>44354.558993055558</v>
      </c>
      <c r="BJ3126" t="s">
        <v>85</v>
      </c>
      <c r="BK3126" t="s">
        <v>86</v>
      </c>
      <c r="BL3126" t="s">
        <v>87</v>
      </c>
    </row>
    <row r="3127" spans="1:64" x14ac:dyDescent="0.3">
      <c r="A3127" t="str">
        <f>"202109B0000"</f>
        <v>202109B0000</v>
      </c>
      <c r="B3127" t="str">
        <f>"202109B00003"</f>
        <v>202109B00003</v>
      </c>
      <c r="C3127" t="str">
        <f t="shared" si="216"/>
        <v>20</v>
      </c>
      <c r="D3127" t="s">
        <v>81</v>
      </c>
      <c r="E3127" t="str">
        <f t="shared" si="217"/>
        <v>484</v>
      </c>
      <c r="F3127" t="s">
        <v>3287</v>
      </c>
      <c r="G3127" t="str">
        <f>"2109"</f>
        <v>2109</v>
      </c>
      <c r="H3127" t="str">
        <f>"0000"</f>
        <v>0000</v>
      </c>
      <c r="I3127" t="s">
        <v>83</v>
      </c>
      <c r="J3127">
        <v>0</v>
      </c>
      <c r="K3127">
        <v>1</v>
      </c>
      <c r="L3127">
        <v>3</v>
      </c>
      <c r="M3127">
        <v>246</v>
      </c>
      <c r="N3127">
        <v>414</v>
      </c>
      <c r="O3127">
        <v>0</v>
      </c>
      <c r="P3127">
        <v>415</v>
      </c>
      <c r="Q3127">
        <v>2</v>
      </c>
      <c r="R3127">
        <v>126</v>
      </c>
      <c r="S3127">
        <v>137</v>
      </c>
      <c r="T3127">
        <v>0</v>
      </c>
      <c r="U3127">
        <v>10</v>
      </c>
      <c r="V3127">
        <v>6</v>
      </c>
      <c r="W3127">
        <v>3</v>
      </c>
      <c r="X3127">
        <v>104</v>
      </c>
      <c r="Y3127">
        <v>0</v>
      </c>
      <c r="Z3127">
        <v>4</v>
      </c>
      <c r="AA3127">
        <v>6</v>
      </c>
      <c r="AB3127">
        <v>0</v>
      </c>
      <c r="AW3127" t="s">
        <v>95</v>
      </c>
      <c r="AX3127" t="s">
        <v>95</v>
      </c>
      <c r="AY3127" t="s">
        <v>95</v>
      </c>
      <c r="AZ3127">
        <v>398</v>
      </c>
      <c r="BA3127">
        <v>616</v>
      </c>
      <c r="BB3127">
        <v>44</v>
      </c>
      <c r="BC3127" t="s">
        <v>96</v>
      </c>
      <c r="BD3127">
        <v>1</v>
      </c>
      <c r="BF3127" t="s">
        <v>3349</v>
      </c>
      <c r="BG3127" s="1">
        <v>44354.552777777775</v>
      </c>
      <c r="BH3127" s="1">
        <v>44354.56045138889</v>
      </c>
      <c r="BI3127" s="1">
        <v>44354.561412037037</v>
      </c>
      <c r="BJ3127" t="s">
        <v>85</v>
      </c>
      <c r="BK3127" t="s">
        <v>86</v>
      </c>
      <c r="BL3127" t="s">
        <v>87</v>
      </c>
    </row>
    <row r="3128" spans="1:64" x14ac:dyDescent="0.3">
      <c r="A3128" t="str">
        <f>"202109E0100"</f>
        <v>202109E0100</v>
      </c>
      <c r="B3128" t="str">
        <f>"202109E01003"</f>
        <v>202109E01003</v>
      </c>
      <c r="C3128" t="str">
        <f t="shared" si="216"/>
        <v>20</v>
      </c>
      <c r="D3128" t="s">
        <v>81</v>
      </c>
      <c r="E3128" t="str">
        <f t="shared" si="217"/>
        <v>484</v>
      </c>
      <c r="F3128" t="s">
        <v>3287</v>
      </c>
      <c r="G3128" t="str">
        <f>"2109"</f>
        <v>2109</v>
      </c>
      <c r="H3128" t="str">
        <f>"0001"</f>
        <v>0001</v>
      </c>
      <c r="I3128" t="s">
        <v>122</v>
      </c>
      <c r="J3128">
        <v>0</v>
      </c>
      <c r="K3128">
        <v>1</v>
      </c>
      <c r="L3128">
        <v>3</v>
      </c>
      <c r="M3128">
        <v>261</v>
      </c>
      <c r="N3128">
        <v>337</v>
      </c>
      <c r="O3128">
        <v>1</v>
      </c>
      <c r="P3128">
        <v>337</v>
      </c>
      <c r="Q3128">
        <v>0</v>
      </c>
      <c r="R3128">
        <v>72</v>
      </c>
      <c r="S3128">
        <v>113</v>
      </c>
      <c r="T3128">
        <v>1</v>
      </c>
      <c r="U3128">
        <v>2</v>
      </c>
      <c r="V3128">
        <v>6</v>
      </c>
      <c r="W3128">
        <v>3</v>
      </c>
      <c r="X3128">
        <v>117</v>
      </c>
      <c r="Y3128">
        <v>0</v>
      </c>
      <c r="Z3128">
        <v>4</v>
      </c>
      <c r="AA3128">
        <v>3</v>
      </c>
      <c r="AB3128">
        <v>4</v>
      </c>
      <c r="AW3128">
        <v>0</v>
      </c>
      <c r="AX3128">
        <v>12</v>
      </c>
      <c r="AY3128">
        <v>337</v>
      </c>
      <c r="AZ3128">
        <v>337</v>
      </c>
      <c r="BA3128">
        <v>554</v>
      </c>
      <c r="BB3128">
        <v>44</v>
      </c>
      <c r="BD3128">
        <v>1</v>
      </c>
      <c r="BF3128" t="s">
        <v>3350</v>
      </c>
      <c r="BG3128" s="1">
        <v>44354.551388888889</v>
      </c>
      <c r="BH3128" s="1">
        <v>44354.554502314815</v>
      </c>
      <c r="BI3128" s="1">
        <v>44354.556574074071</v>
      </c>
      <c r="BJ3128" t="s">
        <v>85</v>
      </c>
      <c r="BK3128" t="s">
        <v>86</v>
      </c>
      <c r="BL3128" t="s">
        <v>87</v>
      </c>
    </row>
    <row r="3129" spans="1:64" x14ac:dyDescent="0.3">
      <c r="A3129" t="str">
        <f>"202110B0000"</f>
        <v>202110B0000</v>
      </c>
      <c r="B3129" t="str">
        <f>"202110B00003"</f>
        <v>202110B00003</v>
      </c>
      <c r="C3129" t="str">
        <f t="shared" si="216"/>
        <v>20</v>
      </c>
      <c r="D3129" t="s">
        <v>81</v>
      </c>
      <c r="E3129" t="str">
        <f t="shared" si="217"/>
        <v>484</v>
      </c>
      <c r="F3129" t="s">
        <v>3287</v>
      </c>
      <c r="G3129" t="str">
        <f>"2110"</f>
        <v>2110</v>
      </c>
      <c r="H3129" t="str">
        <f>"0000"</f>
        <v>0000</v>
      </c>
      <c r="I3129" t="s">
        <v>83</v>
      </c>
      <c r="J3129">
        <v>0</v>
      </c>
      <c r="K3129">
        <v>1</v>
      </c>
      <c r="L3129">
        <v>3</v>
      </c>
      <c r="M3129">
        <v>191</v>
      </c>
      <c r="N3129">
        <v>232</v>
      </c>
      <c r="O3129">
        <v>1</v>
      </c>
      <c r="P3129">
        <v>232</v>
      </c>
      <c r="Q3129">
        <v>0</v>
      </c>
      <c r="R3129">
        <v>56</v>
      </c>
      <c r="S3129">
        <v>68</v>
      </c>
      <c r="T3129">
        <v>1</v>
      </c>
      <c r="U3129">
        <v>2</v>
      </c>
      <c r="V3129">
        <v>3</v>
      </c>
      <c r="W3129">
        <v>8</v>
      </c>
      <c r="X3129">
        <v>74</v>
      </c>
      <c r="Y3129">
        <v>3</v>
      </c>
      <c r="Z3129">
        <v>2</v>
      </c>
      <c r="AA3129">
        <v>4</v>
      </c>
      <c r="AB3129">
        <v>7</v>
      </c>
      <c r="AW3129">
        <v>0</v>
      </c>
      <c r="AX3129">
        <v>4</v>
      </c>
      <c r="AY3129">
        <v>232</v>
      </c>
      <c r="AZ3129">
        <v>232</v>
      </c>
      <c r="BA3129">
        <v>379</v>
      </c>
      <c r="BB3129">
        <v>44</v>
      </c>
      <c r="BD3129">
        <v>1</v>
      </c>
      <c r="BF3129" t="s">
        <v>3351</v>
      </c>
      <c r="BG3129" s="1">
        <v>44354.199305555558</v>
      </c>
      <c r="BH3129" s="1">
        <v>44354.209085648145</v>
      </c>
      <c r="BI3129" s="1">
        <v>44354.212210648147</v>
      </c>
      <c r="BJ3129" t="s">
        <v>85</v>
      </c>
      <c r="BK3129" t="s">
        <v>86</v>
      </c>
      <c r="BL3129" t="s">
        <v>87</v>
      </c>
    </row>
    <row r="3130" spans="1:64" x14ac:dyDescent="0.3">
      <c r="A3130" t="str">
        <f>"202110C0100"</f>
        <v>202110C0100</v>
      </c>
      <c r="B3130" t="str">
        <f>"202110C01003"</f>
        <v>202110C01003</v>
      </c>
      <c r="C3130" t="str">
        <f t="shared" si="216"/>
        <v>20</v>
      </c>
      <c r="D3130" t="s">
        <v>81</v>
      </c>
      <c r="E3130" t="str">
        <f t="shared" si="217"/>
        <v>484</v>
      </c>
      <c r="F3130" t="s">
        <v>3287</v>
      </c>
      <c r="G3130" t="str">
        <f>"2110"</f>
        <v>2110</v>
      </c>
      <c r="H3130" t="str">
        <f>"0001"</f>
        <v>0001</v>
      </c>
      <c r="I3130" t="s">
        <v>89</v>
      </c>
      <c r="J3130">
        <v>0</v>
      </c>
      <c r="K3130">
        <v>1</v>
      </c>
      <c r="L3130">
        <v>3</v>
      </c>
      <c r="BA3130">
        <v>378</v>
      </c>
      <c r="BB3130">
        <v>44</v>
      </c>
      <c r="BC3130" t="s">
        <v>381</v>
      </c>
      <c r="BD3130">
        <v>0</v>
      </c>
      <c r="BF3130" t="s">
        <v>3352</v>
      </c>
      <c r="BG3130" s="1">
        <v>44354.22152777778</v>
      </c>
      <c r="BH3130" s="1">
        <v>44354.725219907406</v>
      </c>
      <c r="BI3130" s="1">
        <v>44354.725219907406</v>
      </c>
      <c r="BJ3130" t="s">
        <v>85</v>
      </c>
      <c r="BK3130" t="s">
        <v>86</v>
      </c>
      <c r="BL3130" t="s">
        <v>87</v>
      </c>
    </row>
    <row r="3131" spans="1:64" x14ac:dyDescent="0.3">
      <c r="A3131" t="str">
        <f>"202110E0100"</f>
        <v>202110E0100</v>
      </c>
      <c r="B3131" t="str">
        <f>"202110E01003"</f>
        <v>202110E01003</v>
      </c>
      <c r="C3131" t="str">
        <f t="shared" si="216"/>
        <v>20</v>
      </c>
      <c r="D3131" t="s">
        <v>81</v>
      </c>
      <c r="E3131" t="str">
        <f t="shared" si="217"/>
        <v>484</v>
      </c>
      <c r="F3131" t="s">
        <v>3287</v>
      </c>
      <c r="G3131" t="str">
        <f>"2110"</f>
        <v>2110</v>
      </c>
      <c r="H3131" t="str">
        <f>"0001"</f>
        <v>0001</v>
      </c>
      <c r="I3131" t="s">
        <v>122</v>
      </c>
      <c r="J3131">
        <v>0</v>
      </c>
      <c r="K3131">
        <v>1</v>
      </c>
      <c r="L3131">
        <v>3</v>
      </c>
      <c r="BA3131">
        <v>426</v>
      </c>
      <c r="BB3131">
        <v>44</v>
      </c>
      <c r="BC3131" t="s">
        <v>381</v>
      </c>
      <c r="BD3131">
        <v>0</v>
      </c>
      <c r="BF3131" t="s">
        <v>3353</v>
      </c>
      <c r="BG3131" s="1">
        <v>44354.22152777778</v>
      </c>
      <c r="BH3131" s="1">
        <v>44354.724664351852</v>
      </c>
      <c r="BI3131" s="1">
        <v>44354.724664351852</v>
      </c>
      <c r="BJ3131" t="s">
        <v>85</v>
      </c>
      <c r="BK3131" t="s">
        <v>86</v>
      </c>
      <c r="BL3131" t="s">
        <v>87</v>
      </c>
    </row>
    <row r="3132" spans="1:64" x14ac:dyDescent="0.3">
      <c r="A3132" t="str">
        <f>"202111B0000"</f>
        <v>202111B0000</v>
      </c>
      <c r="B3132" t="str">
        <f>"202111B00003"</f>
        <v>202111B00003</v>
      </c>
      <c r="C3132" t="str">
        <f t="shared" si="216"/>
        <v>20</v>
      </c>
      <c r="D3132" t="s">
        <v>81</v>
      </c>
      <c r="E3132" t="str">
        <f t="shared" si="217"/>
        <v>484</v>
      </c>
      <c r="F3132" t="s">
        <v>3287</v>
      </c>
      <c r="G3132" t="str">
        <f>"2111"</f>
        <v>2111</v>
      </c>
      <c r="H3132" t="str">
        <f>"0000"</f>
        <v>0000</v>
      </c>
      <c r="I3132" t="s">
        <v>83</v>
      </c>
      <c r="J3132">
        <v>0</v>
      </c>
      <c r="K3132">
        <v>1</v>
      </c>
      <c r="L3132">
        <v>3</v>
      </c>
      <c r="M3132">
        <v>249</v>
      </c>
      <c r="N3132">
        <v>354</v>
      </c>
      <c r="O3132">
        <v>0</v>
      </c>
      <c r="P3132">
        <v>354</v>
      </c>
      <c r="Q3132">
        <v>1</v>
      </c>
      <c r="R3132">
        <v>81</v>
      </c>
      <c r="S3132">
        <v>104</v>
      </c>
      <c r="T3132">
        <v>2</v>
      </c>
      <c r="U3132">
        <v>3</v>
      </c>
      <c r="V3132">
        <v>3</v>
      </c>
      <c r="W3132">
        <v>4</v>
      </c>
      <c r="X3132">
        <v>90</v>
      </c>
      <c r="Y3132">
        <v>7</v>
      </c>
      <c r="Z3132">
        <v>6</v>
      </c>
      <c r="AA3132">
        <v>8</v>
      </c>
      <c r="AB3132">
        <v>36</v>
      </c>
      <c r="AW3132">
        <v>0</v>
      </c>
      <c r="AX3132">
        <v>9</v>
      </c>
      <c r="AY3132">
        <v>354</v>
      </c>
      <c r="AZ3132">
        <v>354</v>
      </c>
      <c r="BA3132">
        <v>559</v>
      </c>
      <c r="BB3132">
        <v>44</v>
      </c>
      <c r="BD3132">
        <v>1</v>
      </c>
      <c r="BF3132" t="s">
        <v>3354</v>
      </c>
      <c r="BG3132" s="1">
        <v>44354.161111111112</v>
      </c>
      <c r="BH3132" s="1">
        <v>44354.168055555558</v>
      </c>
      <c r="BI3132" s="1">
        <v>44354.169340277775</v>
      </c>
      <c r="BJ3132" t="s">
        <v>85</v>
      </c>
      <c r="BK3132" t="s">
        <v>86</v>
      </c>
      <c r="BL3132" t="s">
        <v>87</v>
      </c>
    </row>
    <row r="3133" spans="1:64" x14ac:dyDescent="0.3">
      <c r="A3133" t="str">
        <f>"202111C0100"</f>
        <v>202111C0100</v>
      </c>
      <c r="B3133" t="str">
        <f>"202111C01003"</f>
        <v>202111C01003</v>
      </c>
      <c r="C3133" t="str">
        <f t="shared" si="216"/>
        <v>20</v>
      </c>
      <c r="D3133" t="s">
        <v>81</v>
      </c>
      <c r="E3133" t="str">
        <f t="shared" si="217"/>
        <v>484</v>
      </c>
      <c r="F3133" t="s">
        <v>3287</v>
      </c>
      <c r="G3133" t="str">
        <f>"2111"</f>
        <v>2111</v>
      </c>
      <c r="H3133" t="str">
        <f>"0001"</f>
        <v>0001</v>
      </c>
      <c r="I3133" t="s">
        <v>89</v>
      </c>
      <c r="J3133">
        <v>0</v>
      </c>
      <c r="K3133">
        <v>1</v>
      </c>
      <c r="L3133">
        <v>3</v>
      </c>
      <c r="M3133">
        <v>263</v>
      </c>
      <c r="N3133">
        <v>340</v>
      </c>
      <c r="O3133">
        <v>0</v>
      </c>
      <c r="P3133">
        <v>340</v>
      </c>
      <c r="Q3133">
        <v>0</v>
      </c>
      <c r="R3133">
        <v>99</v>
      </c>
      <c r="S3133">
        <v>81</v>
      </c>
      <c r="T3133">
        <v>5</v>
      </c>
      <c r="U3133">
        <v>3</v>
      </c>
      <c r="V3133">
        <v>7</v>
      </c>
      <c r="W3133">
        <v>2</v>
      </c>
      <c r="X3133">
        <v>104</v>
      </c>
      <c r="Y3133">
        <v>2</v>
      </c>
      <c r="Z3133">
        <v>3</v>
      </c>
      <c r="AA3133">
        <v>6</v>
      </c>
      <c r="AB3133">
        <v>11</v>
      </c>
      <c r="AW3133">
        <v>0</v>
      </c>
      <c r="AX3133">
        <v>16</v>
      </c>
      <c r="AY3133">
        <v>340</v>
      </c>
      <c r="AZ3133">
        <v>339</v>
      </c>
      <c r="BA3133">
        <v>559</v>
      </c>
      <c r="BB3133">
        <v>44</v>
      </c>
      <c r="BD3133">
        <v>1</v>
      </c>
      <c r="BF3133" t="s">
        <v>3355</v>
      </c>
      <c r="BG3133" s="1">
        <v>44354.15347222222</v>
      </c>
      <c r="BH3133" s="1">
        <v>44354.159942129627</v>
      </c>
      <c r="BI3133" s="1">
        <v>44354.160381944443</v>
      </c>
      <c r="BJ3133" t="s">
        <v>85</v>
      </c>
      <c r="BK3133" t="s">
        <v>86</v>
      </c>
      <c r="BL3133" t="s">
        <v>87</v>
      </c>
    </row>
    <row r="3134" spans="1:64" x14ac:dyDescent="0.3">
      <c r="A3134" t="str">
        <f>"202111C0200"</f>
        <v>202111C0200</v>
      </c>
      <c r="B3134" t="str">
        <f>"202111C02003"</f>
        <v>202111C02003</v>
      </c>
      <c r="C3134" t="str">
        <f t="shared" si="216"/>
        <v>20</v>
      </c>
      <c r="D3134" t="s">
        <v>81</v>
      </c>
      <c r="E3134" t="str">
        <f t="shared" si="217"/>
        <v>484</v>
      </c>
      <c r="F3134" t="s">
        <v>3287</v>
      </c>
      <c r="G3134" t="str">
        <f>"2111"</f>
        <v>2111</v>
      </c>
      <c r="H3134" t="str">
        <f>"0002"</f>
        <v>0002</v>
      </c>
      <c r="I3134" t="s">
        <v>89</v>
      </c>
      <c r="J3134">
        <v>0</v>
      </c>
      <c r="K3134">
        <v>1</v>
      </c>
      <c r="L3134">
        <v>3</v>
      </c>
      <c r="M3134">
        <v>267</v>
      </c>
      <c r="N3134">
        <v>335</v>
      </c>
      <c r="O3134">
        <v>0</v>
      </c>
      <c r="P3134">
        <v>335</v>
      </c>
      <c r="Q3134">
        <v>2</v>
      </c>
      <c r="R3134">
        <v>108</v>
      </c>
      <c r="S3134">
        <v>65</v>
      </c>
      <c r="T3134">
        <v>1</v>
      </c>
      <c r="U3134">
        <v>7</v>
      </c>
      <c r="V3134">
        <v>6</v>
      </c>
      <c r="W3134">
        <v>4</v>
      </c>
      <c r="X3134">
        <v>104</v>
      </c>
      <c r="Y3134">
        <v>12</v>
      </c>
      <c r="Z3134">
        <v>5</v>
      </c>
      <c r="AA3134">
        <v>1</v>
      </c>
      <c r="AB3134">
        <v>10</v>
      </c>
      <c r="AW3134">
        <v>0</v>
      </c>
      <c r="AX3134">
        <v>10</v>
      </c>
      <c r="AY3134">
        <v>335</v>
      </c>
      <c r="AZ3134">
        <v>335</v>
      </c>
      <c r="BA3134">
        <v>558</v>
      </c>
      <c r="BB3134">
        <v>44</v>
      </c>
      <c r="BD3134">
        <v>1</v>
      </c>
      <c r="BF3134" t="s">
        <v>3356</v>
      </c>
      <c r="BG3134" s="1">
        <v>44354.15</v>
      </c>
      <c r="BH3134" s="1">
        <v>44354.154756944445</v>
      </c>
      <c r="BI3134" s="1">
        <v>44354.15552083333</v>
      </c>
      <c r="BJ3134" t="s">
        <v>85</v>
      </c>
      <c r="BK3134" t="s">
        <v>86</v>
      </c>
      <c r="BL3134" t="s">
        <v>87</v>
      </c>
    </row>
    <row r="3135" spans="1:64" x14ac:dyDescent="0.3">
      <c r="A3135" t="str">
        <f>"202112B0000"</f>
        <v>202112B0000</v>
      </c>
      <c r="B3135" t="str">
        <f>"202112B00003"</f>
        <v>202112B00003</v>
      </c>
      <c r="C3135" t="str">
        <f t="shared" si="216"/>
        <v>20</v>
      </c>
      <c r="D3135" t="s">
        <v>81</v>
      </c>
      <c r="E3135" t="str">
        <f t="shared" ref="E3135:E3146" si="219">"485"</f>
        <v>485</v>
      </c>
      <c r="F3135" t="s">
        <v>3357</v>
      </c>
      <c r="G3135" t="str">
        <f>"2112"</f>
        <v>2112</v>
      </c>
      <c r="H3135" t="str">
        <f>"0000"</f>
        <v>0000</v>
      </c>
      <c r="I3135" t="s">
        <v>83</v>
      </c>
      <c r="J3135">
        <v>0</v>
      </c>
      <c r="K3135">
        <v>1</v>
      </c>
      <c r="L3135">
        <v>3</v>
      </c>
      <c r="M3135">
        <v>226</v>
      </c>
      <c r="N3135">
        <v>529</v>
      </c>
      <c r="O3135">
        <v>0</v>
      </c>
      <c r="P3135">
        <v>529</v>
      </c>
      <c r="Q3135">
        <v>15</v>
      </c>
      <c r="R3135">
        <v>119</v>
      </c>
      <c r="S3135">
        <v>1</v>
      </c>
      <c r="T3135">
        <v>0</v>
      </c>
      <c r="U3135">
        <v>7</v>
      </c>
      <c r="V3135">
        <v>61</v>
      </c>
      <c r="X3135">
        <v>151</v>
      </c>
      <c r="Z3135">
        <v>3</v>
      </c>
      <c r="AA3135">
        <v>163</v>
      </c>
      <c r="AU3135">
        <v>0</v>
      </c>
      <c r="AW3135">
        <v>0</v>
      </c>
      <c r="AX3135">
        <v>9</v>
      </c>
      <c r="AY3135">
        <v>529</v>
      </c>
      <c r="AZ3135">
        <v>529</v>
      </c>
      <c r="BA3135">
        <v>711</v>
      </c>
      <c r="BB3135">
        <v>44</v>
      </c>
      <c r="BD3135">
        <v>1</v>
      </c>
      <c r="BF3135" t="s">
        <v>3358</v>
      </c>
      <c r="BG3135" s="1">
        <v>44354.112500000003</v>
      </c>
      <c r="BH3135" s="1">
        <v>44354.117777777778</v>
      </c>
      <c r="BI3135" s="1">
        <v>44354.118368055555</v>
      </c>
      <c r="BJ3135" t="s">
        <v>85</v>
      </c>
      <c r="BK3135" t="s">
        <v>86</v>
      </c>
      <c r="BL3135" t="s">
        <v>87</v>
      </c>
    </row>
    <row r="3136" spans="1:64" x14ac:dyDescent="0.3">
      <c r="A3136" t="str">
        <f>"202112C0100"</f>
        <v>202112C0100</v>
      </c>
      <c r="B3136" t="str">
        <f>"202112C01003"</f>
        <v>202112C01003</v>
      </c>
      <c r="C3136" t="str">
        <f t="shared" si="216"/>
        <v>20</v>
      </c>
      <c r="D3136" t="s">
        <v>81</v>
      </c>
      <c r="E3136" t="str">
        <f t="shared" si="219"/>
        <v>485</v>
      </c>
      <c r="F3136" t="s">
        <v>3357</v>
      </c>
      <c r="G3136" t="str">
        <f>"2112"</f>
        <v>2112</v>
      </c>
      <c r="H3136" t="str">
        <f>"0001"</f>
        <v>0001</v>
      </c>
      <c r="I3136" t="s">
        <v>89</v>
      </c>
      <c r="J3136">
        <v>0</v>
      </c>
      <c r="K3136">
        <v>1</v>
      </c>
      <c r="L3136">
        <v>3</v>
      </c>
      <c r="M3136">
        <v>219</v>
      </c>
      <c r="N3136">
        <v>536</v>
      </c>
      <c r="O3136">
        <v>0</v>
      </c>
      <c r="P3136">
        <v>536</v>
      </c>
      <c r="Q3136">
        <v>33</v>
      </c>
      <c r="R3136">
        <v>115</v>
      </c>
      <c r="S3136">
        <v>1</v>
      </c>
      <c r="T3136">
        <v>0</v>
      </c>
      <c r="U3136">
        <v>5</v>
      </c>
      <c r="V3136">
        <v>34</v>
      </c>
      <c r="X3136">
        <v>145</v>
      </c>
      <c r="Z3136">
        <v>0</v>
      </c>
      <c r="AA3136">
        <v>189</v>
      </c>
      <c r="AU3136">
        <v>0</v>
      </c>
      <c r="AW3136">
        <v>1</v>
      </c>
      <c r="AX3136">
        <v>13</v>
      </c>
      <c r="AY3136">
        <v>536</v>
      </c>
      <c r="AZ3136">
        <v>536</v>
      </c>
      <c r="BA3136">
        <v>711</v>
      </c>
      <c r="BB3136">
        <v>44</v>
      </c>
      <c r="BD3136">
        <v>1</v>
      </c>
      <c r="BF3136" t="s">
        <v>3359</v>
      </c>
      <c r="BG3136" s="1">
        <v>44354.117361111108</v>
      </c>
      <c r="BH3136" s="1">
        <v>44354.120462962965</v>
      </c>
      <c r="BI3136" s="1">
        <v>44354.121157407404</v>
      </c>
      <c r="BJ3136" t="s">
        <v>85</v>
      </c>
      <c r="BK3136" t="s">
        <v>86</v>
      </c>
      <c r="BL3136" t="s">
        <v>87</v>
      </c>
    </row>
    <row r="3137" spans="1:64" x14ac:dyDescent="0.3">
      <c r="A3137" t="str">
        <f>"202112C0200"</f>
        <v>202112C0200</v>
      </c>
      <c r="B3137" t="str">
        <f>"202112C02003"</f>
        <v>202112C02003</v>
      </c>
      <c r="C3137" t="str">
        <f t="shared" si="216"/>
        <v>20</v>
      </c>
      <c r="D3137" t="s">
        <v>81</v>
      </c>
      <c r="E3137" t="str">
        <f t="shared" si="219"/>
        <v>485</v>
      </c>
      <c r="F3137" t="s">
        <v>3357</v>
      </c>
      <c r="G3137" t="str">
        <f>"2112"</f>
        <v>2112</v>
      </c>
      <c r="H3137" t="str">
        <f>"0002"</f>
        <v>0002</v>
      </c>
      <c r="I3137" t="s">
        <v>89</v>
      </c>
      <c r="J3137">
        <v>0</v>
      </c>
      <c r="K3137">
        <v>1</v>
      </c>
      <c r="L3137">
        <v>3</v>
      </c>
      <c r="M3137">
        <v>238</v>
      </c>
      <c r="N3137">
        <v>516</v>
      </c>
      <c r="O3137">
        <v>1</v>
      </c>
      <c r="P3137">
        <v>516</v>
      </c>
      <c r="Q3137">
        <v>21</v>
      </c>
      <c r="R3137">
        <v>124</v>
      </c>
      <c r="S3137">
        <v>0</v>
      </c>
      <c r="T3137">
        <v>1</v>
      </c>
      <c r="U3137">
        <v>6</v>
      </c>
      <c r="V3137">
        <v>42</v>
      </c>
      <c r="X3137">
        <v>138</v>
      </c>
      <c r="Z3137">
        <v>2</v>
      </c>
      <c r="AA3137">
        <v>164</v>
      </c>
      <c r="AU3137">
        <v>0</v>
      </c>
      <c r="AW3137">
        <v>0</v>
      </c>
      <c r="AX3137">
        <v>18</v>
      </c>
      <c r="AY3137">
        <v>516</v>
      </c>
      <c r="AZ3137">
        <v>516</v>
      </c>
      <c r="BA3137">
        <v>710</v>
      </c>
      <c r="BB3137">
        <v>44</v>
      </c>
      <c r="BD3137">
        <v>1</v>
      </c>
      <c r="BF3137" t="s">
        <v>3360</v>
      </c>
      <c r="BG3137" s="1">
        <v>44354.121527777781</v>
      </c>
      <c r="BH3137" s="1">
        <v>44354.125208333331</v>
      </c>
      <c r="BI3137" s="1">
        <v>44354.125949074078</v>
      </c>
      <c r="BJ3137" t="s">
        <v>85</v>
      </c>
      <c r="BK3137" t="s">
        <v>86</v>
      </c>
      <c r="BL3137" t="s">
        <v>87</v>
      </c>
    </row>
    <row r="3138" spans="1:64" x14ac:dyDescent="0.3">
      <c r="A3138" t="str">
        <f>"202113B0000"</f>
        <v>202113B0000</v>
      </c>
      <c r="B3138" t="str">
        <f>"202113B00003"</f>
        <v>202113B00003</v>
      </c>
      <c r="C3138" t="str">
        <f t="shared" si="216"/>
        <v>20</v>
      </c>
      <c r="D3138" t="s">
        <v>81</v>
      </c>
      <c r="E3138" t="str">
        <f t="shared" si="219"/>
        <v>485</v>
      </c>
      <c r="F3138" t="s">
        <v>3357</v>
      </c>
      <c r="G3138" t="str">
        <f>"2113"</f>
        <v>2113</v>
      </c>
      <c r="H3138" t="str">
        <f>"0000"</f>
        <v>0000</v>
      </c>
      <c r="I3138" t="s">
        <v>83</v>
      </c>
      <c r="J3138">
        <v>0</v>
      </c>
      <c r="K3138">
        <v>1</v>
      </c>
      <c r="L3138">
        <v>3</v>
      </c>
      <c r="M3138">
        <v>250</v>
      </c>
      <c r="N3138">
        <v>468</v>
      </c>
      <c r="O3138">
        <v>1</v>
      </c>
      <c r="P3138">
        <v>468</v>
      </c>
      <c r="Q3138">
        <v>11</v>
      </c>
      <c r="R3138">
        <v>103</v>
      </c>
      <c r="S3138">
        <v>3</v>
      </c>
      <c r="T3138">
        <v>1</v>
      </c>
      <c r="U3138">
        <v>20</v>
      </c>
      <c r="V3138">
        <v>55</v>
      </c>
      <c r="X3138">
        <v>120</v>
      </c>
      <c r="Z3138">
        <v>4</v>
      </c>
      <c r="AA3138">
        <v>139</v>
      </c>
      <c r="AU3138">
        <v>0</v>
      </c>
      <c r="AW3138">
        <v>0</v>
      </c>
      <c r="AX3138">
        <v>12</v>
      </c>
      <c r="AY3138">
        <v>468</v>
      </c>
      <c r="AZ3138">
        <v>468</v>
      </c>
      <c r="BA3138">
        <v>674</v>
      </c>
      <c r="BB3138">
        <v>44</v>
      </c>
      <c r="BD3138">
        <v>1</v>
      </c>
      <c r="BF3138" t="s">
        <v>3361</v>
      </c>
      <c r="BG3138" s="1">
        <v>44354.125694444447</v>
      </c>
      <c r="BH3138" s="1">
        <v>44354.132175925923</v>
      </c>
      <c r="BI3138" s="1">
        <v>44354.133344907408</v>
      </c>
      <c r="BJ3138" t="s">
        <v>85</v>
      </c>
      <c r="BK3138" t="s">
        <v>86</v>
      </c>
      <c r="BL3138" t="s">
        <v>87</v>
      </c>
    </row>
    <row r="3139" spans="1:64" x14ac:dyDescent="0.3">
      <c r="A3139" t="str">
        <f>"202113C0100"</f>
        <v>202113C0100</v>
      </c>
      <c r="B3139" t="str">
        <f>"202113C01003"</f>
        <v>202113C01003</v>
      </c>
      <c r="C3139" t="str">
        <f t="shared" si="216"/>
        <v>20</v>
      </c>
      <c r="D3139" t="s">
        <v>81</v>
      </c>
      <c r="E3139" t="str">
        <f t="shared" si="219"/>
        <v>485</v>
      </c>
      <c r="F3139" t="s">
        <v>3357</v>
      </c>
      <c r="G3139" t="str">
        <f>"2113"</f>
        <v>2113</v>
      </c>
      <c r="H3139" t="str">
        <f>"0001"</f>
        <v>0001</v>
      </c>
      <c r="I3139" t="s">
        <v>89</v>
      </c>
      <c r="J3139">
        <v>0</v>
      </c>
      <c r="K3139">
        <v>1</v>
      </c>
      <c r="L3139">
        <v>3</v>
      </c>
      <c r="M3139">
        <v>282</v>
      </c>
      <c r="N3139">
        <v>436</v>
      </c>
      <c r="O3139">
        <v>0</v>
      </c>
      <c r="P3139">
        <v>436</v>
      </c>
      <c r="Q3139">
        <v>16</v>
      </c>
      <c r="R3139">
        <v>100</v>
      </c>
      <c r="S3139">
        <v>0</v>
      </c>
      <c r="T3139">
        <v>1</v>
      </c>
      <c r="U3139">
        <v>4</v>
      </c>
      <c r="V3139">
        <v>62</v>
      </c>
      <c r="X3139">
        <v>111</v>
      </c>
      <c r="Z3139">
        <v>6</v>
      </c>
      <c r="AA3139">
        <v>122</v>
      </c>
      <c r="AU3139">
        <v>0</v>
      </c>
      <c r="AW3139">
        <v>0</v>
      </c>
      <c r="AX3139">
        <v>14</v>
      </c>
      <c r="AY3139">
        <v>436</v>
      </c>
      <c r="AZ3139">
        <v>436</v>
      </c>
      <c r="BA3139">
        <v>674</v>
      </c>
      <c r="BB3139">
        <v>44</v>
      </c>
      <c r="BD3139">
        <v>1</v>
      </c>
      <c r="BF3139" t="s">
        <v>3362</v>
      </c>
      <c r="BG3139" s="1">
        <v>44354.135416666664</v>
      </c>
      <c r="BH3139" s="1">
        <v>44354.137141203704</v>
      </c>
      <c r="BI3139" s="1">
        <v>44354.137627314813</v>
      </c>
      <c r="BJ3139" t="s">
        <v>85</v>
      </c>
      <c r="BK3139" t="s">
        <v>86</v>
      </c>
      <c r="BL3139" t="s">
        <v>87</v>
      </c>
    </row>
    <row r="3140" spans="1:64" x14ac:dyDescent="0.3">
      <c r="A3140" t="str">
        <f>"202113C0200"</f>
        <v>202113C0200</v>
      </c>
      <c r="B3140" t="str">
        <f>"202113C02003"</f>
        <v>202113C02003</v>
      </c>
      <c r="C3140" t="str">
        <f t="shared" si="216"/>
        <v>20</v>
      </c>
      <c r="D3140" t="s">
        <v>81</v>
      </c>
      <c r="E3140" t="str">
        <f t="shared" si="219"/>
        <v>485</v>
      </c>
      <c r="F3140" t="s">
        <v>3357</v>
      </c>
      <c r="G3140" t="str">
        <f>"2113"</f>
        <v>2113</v>
      </c>
      <c r="H3140" t="str">
        <f>"0002"</f>
        <v>0002</v>
      </c>
      <c r="I3140" t="s">
        <v>89</v>
      </c>
      <c r="J3140">
        <v>0</v>
      </c>
      <c r="K3140">
        <v>1</v>
      </c>
      <c r="L3140">
        <v>3</v>
      </c>
      <c r="M3140">
        <v>260</v>
      </c>
      <c r="N3140">
        <v>458</v>
      </c>
      <c r="O3140">
        <v>5</v>
      </c>
      <c r="P3140">
        <v>458</v>
      </c>
      <c r="Q3140">
        <v>22</v>
      </c>
      <c r="R3140">
        <v>85</v>
      </c>
      <c r="S3140">
        <v>2</v>
      </c>
      <c r="T3140">
        <v>2</v>
      </c>
      <c r="U3140">
        <v>15</v>
      </c>
      <c r="V3140">
        <v>62</v>
      </c>
      <c r="X3140">
        <v>158</v>
      </c>
      <c r="Z3140">
        <v>3</v>
      </c>
      <c r="AA3140">
        <v>99</v>
      </c>
      <c r="AU3140">
        <v>0</v>
      </c>
      <c r="AW3140">
        <v>0</v>
      </c>
      <c r="AX3140">
        <v>10</v>
      </c>
      <c r="AY3140">
        <v>458</v>
      </c>
      <c r="AZ3140">
        <v>458</v>
      </c>
      <c r="BA3140">
        <v>674</v>
      </c>
      <c r="BB3140">
        <v>44</v>
      </c>
      <c r="BD3140">
        <v>1</v>
      </c>
      <c r="BF3140" t="s">
        <v>3363</v>
      </c>
      <c r="BG3140" s="1">
        <v>44354.138194444444</v>
      </c>
      <c r="BH3140" s="1">
        <v>44354.142071759263</v>
      </c>
      <c r="BI3140" s="1">
        <v>44354.142453703702</v>
      </c>
      <c r="BJ3140" t="s">
        <v>85</v>
      </c>
      <c r="BK3140" t="s">
        <v>86</v>
      </c>
      <c r="BL3140" t="s">
        <v>87</v>
      </c>
    </row>
    <row r="3141" spans="1:64" x14ac:dyDescent="0.3">
      <c r="A3141" t="str">
        <f>"202114B0000"</f>
        <v>202114B0000</v>
      </c>
      <c r="B3141" t="str">
        <f>"202114B00003"</f>
        <v>202114B00003</v>
      </c>
      <c r="C3141" t="str">
        <f t="shared" si="216"/>
        <v>20</v>
      </c>
      <c r="D3141" t="s">
        <v>81</v>
      </c>
      <c r="E3141" t="str">
        <f t="shared" si="219"/>
        <v>485</v>
      </c>
      <c r="F3141" t="s">
        <v>3357</v>
      </c>
      <c r="G3141" t="str">
        <f>"2114"</f>
        <v>2114</v>
      </c>
      <c r="H3141" t="str">
        <f>"0000"</f>
        <v>0000</v>
      </c>
      <c r="I3141" t="s">
        <v>83</v>
      </c>
      <c r="J3141">
        <v>0</v>
      </c>
      <c r="K3141">
        <v>1</v>
      </c>
      <c r="L3141">
        <v>3</v>
      </c>
      <c r="M3141">
        <v>256</v>
      </c>
      <c r="N3141">
        <v>393</v>
      </c>
      <c r="O3141">
        <v>0</v>
      </c>
      <c r="P3141">
        <v>1</v>
      </c>
      <c r="Q3141">
        <v>19</v>
      </c>
      <c r="R3141">
        <v>90</v>
      </c>
      <c r="S3141">
        <v>1</v>
      </c>
      <c r="T3141">
        <v>1</v>
      </c>
      <c r="U3141">
        <v>10</v>
      </c>
      <c r="V3141">
        <v>50</v>
      </c>
      <c r="X3141">
        <v>108</v>
      </c>
      <c r="Z3141">
        <v>1</v>
      </c>
      <c r="AA3141">
        <v>101</v>
      </c>
      <c r="AU3141">
        <v>0</v>
      </c>
      <c r="AW3141">
        <v>0</v>
      </c>
      <c r="AX3141">
        <v>12</v>
      </c>
      <c r="AY3141">
        <v>393</v>
      </c>
      <c r="AZ3141">
        <v>393</v>
      </c>
      <c r="BA3141">
        <v>605</v>
      </c>
      <c r="BB3141">
        <v>44</v>
      </c>
      <c r="BD3141">
        <v>1</v>
      </c>
      <c r="BF3141" t="s">
        <v>3364</v>
      </c>
      <c r="BG3141" s="1">
        <v>44353.970833333333</v>
      </c>
      <c r="BH3141" s="1">
        <v>44354.003854166665</v>
      </c>
      <c r="BI3141" s="1">
        <v>44354.00445601852</v>
      </c>
      <c r="BJ3141" t="s">
        <v>85</v>
      </c>
      <c r="BK3141" t="s">
        <v>86</v>
      </c>
      <c r="BL3141" t="s">
        <v>87</v>
      </c>
    </row>
    <row r="3142" spans="1:64" x14ac:dyDescent="0.3">
      <c r="A3142" t="str">
        <f>"202114C0100"</f>
        <v>202114C0100</v>
      </c>
      <c r="B3142" t="str">
        <f>"202114C01003"</f>
        <v>202114C01003</v>
      </c>
      <c r="C3142" t="str">
        <f t="shared" si="216"/>
        <v>20</v>
      </c>
      <c r="D3142" t="s">
        <v>81</v>
      </c>
      <c r="E3142" t="str">
        <f t="shared" si="219"/>
        <v>485</v>
      </c>
      <c r="F3142" t="s">
        <v>3357</v>
      </c>
      <c r="G3142" t="str">
        <f>"2114"</f>
        <v>2114</v>
      </c>
      <c r="H3142" t="str">
        <f>"0001"</f>
        <v>0001</v>
      </c>
      <c r="I3142" t="s">
        <v>89</v>
      </c>
      <c r="J3142">
        <v>0</v>
      </c>
      <c r="K3142">
        <v>1</v>
      </c>
      <c r="L3142">
        <v>3</v>
      </c>
      <c r="M3142">
        <v>224</v>
      </c>
      <c r="N3142">
        <v>425</v>
      </c>
      <c r="O3142">
        <v>0</v>
      </c>
      <c r="P3142">
        <v>426</v>
      </c>
      <c r="Q3142">
        <v>7</v>
      </c>
      <c r="R3142">
        <v>127</v>
      </c>
      <c r="S3142">
        <v>2</v>
      </c>
      <c r="T3142">
        <v>4</v>
      </c>
      <c r="U3142">
        <v>0</v>
      </c>
      <c r="V3142">
        <v>57</v>
      </c>
      <c r="X3142">
        <v>101</v>
      </c>
      <c r="Z3142">
        <v>2</v>
      </c>
      <c r="AA3142">
        <v>111</v>
      </c>
      <c r="AU3142">
        <v>0</v>
      </c>
      <c r="AW3142">
        <v>0</v>
      </c>
      <c r="AX3142">
        <v>15</v>
      </c>
      <c r="AY3142">
        <v>426</v>
      </c>
      <c r="AZ3142">
        <v>426</v>
      </c>
      <c r="BA3142">
        <v>605</v>
      </c>
      <c r="BB3142">
        <v>44</v>
      </c>
      <c r="BD3142">
        <v>1</v>
      </c>
      <c r="BF3142" t="s">
        <v>3365</v>
      </c>
      <c r="BG3142" s="1">
        <v>44354.002083333333</v>
      </c>
      <c r="BH3142" s="1">
        <v>44354.011516203704</v>
      </c>
      <c r="BI3142" s="1">
        <v>44354.012141203704</v>
      </c>
      <c r="BJ3142" t="s">
        <v>85</v>
      </c>
      <c r="BK3142" t="s">
        <v>86</v>
      </c>
      <c r="BL3142" t="s">
        <v>87</v>
      </c>
    </row>
    <row r="3143" spans="1:64" x14ac:dyDescent="0.3">
      <c r="A3143" t="str">
        <f>"202114C0200"</f>
        <v>202114C0200</v>
      </c>
      <c r="B3143" t="str">
        <f>"202114C02003"</f>
        <v>202114C02003</v>
      </c>
      <c r="C3143" t="str">
        <f t="shared" ref="C3143:C3206" si="220">"20"</f>
        <v>20</v>
      </c>
      <c r="D3143" t="s">
        <v>81</v>
      </c>
      <c r="E3143" t="str">
        <f t="shared" si="219"/>
        <v>485</v>
      </c>
      <c r="F3143" t="s">
        <v>3357</v>
      </c>
      <c r="G3143" t="str">
        <f>"2114"</f>
        <v>2114</v>
      </c>
      <c r="H3143" t="str">
        <f>"0002"</f>
        <v>0002</v>
      </c>
      <c r="I3143" t="s">
        <v>89</v>
      </c>
      <c r="J3143">
        <v>0</v>
      </c>
      <c r="K3143">
        <v>1</v>
      </c>
      <c r="L3143">
        <v>3</v>
      </c>
      <c r="M3143">
        <v>252</v>
      </c>
      <c r="N3143">
        <v>394</v>
      </c>
      <c r="O3143">
        <v>0</v>
      </c>
      <c r="P3143">
        <v>394</v>
      </c>
      <c r="Q3143">
        <v>10</v>
      </c>
      <c r="R3143">
        <v>93</v>
      </c>
      <c r="S3143">
        <v>0</v>
      </c>
      <c r="T3143">
        <v>0</v>
      </c>
      <c r="U3143">
        <v>9</v>
      </c>
      <c r="V3143">
        <v>43</v>
      </c>
      <c r="X3143">
        <v>104</v>
      </c>
      <c r="Z3143">
        <v>1</v>
      </c>
      <c r="AA3143">
        <v>124</v>
      </c>
      <c r="AU3143">
        <v>0</v>
      </c>
      <c r="AW3143">
        <v>0</v>
      </c>
      <c r="AX3143">
        <v>9</v>
      </c>
      <c r="AY3143">
        <v>393</v>
      </c>
      <c r="AZ3143">
        <v>393</v>
      </c>
      <c r="BA3143">
        <v>604</v>
      </c>
      <c r="BB3143">
        <v>44</v>
      </c>
      <c r="BD3143">
        <v>1</v>
      </c>
      <c r="BF3143" t="s">
        <v>3366</v>
      </c>
      <c r="BG3143" s="1">
        <v>44353.999305555553</v>
      </c>
      <c r="BH3143" s="1">
        <v>44354.006678240738</v>
      </c>
      <c r="BI3143" s="1">
        <v>44354.00708333333</v>
      </c>
      <c r="BJ3143" t="s">
        <v>85</v>
      </c>
      <c r="BK3143" t="s">
        <v>86</v>
      </c>
      <c r="BL3143" t="s">
        <v>87</v>
      </c>
    </row>
    <row r="3144" spans="1:64" x14ac:dyDescent="0.3">
      <c r="A3144" t="str">
        <f>"202115B0000"</f>
        <v>202115B0000</v>
      </c>
      <c r="B3144" t="str">
        <f>"202115B00003"</f>
        <v>202115B00003</v>
      </c>
      <c r="C3144" t="str">
        <f t="shared" si="220"/>
        <v>20</v>
      </c>
      <c r="D3144" t="s">
        <v>81</v>
      </c>
      <c r="E3144" t="str">
        <f t="shared" si="219"/>
        <v>485</v>
      </c>
      <c r="F3144" t="s">
        <v>3357</v>
      </c>
      <c r="G3144" t="str">
        <f>"2115"</f>
        <v>2115</v>
      </c>
      <c r="H3144" t="str">
        <f>"0000"</f>
        <v>0000</v>
      </c>
      <c r="I3144" t="s">
        <v>83</v>
      </c>
      <c r="J3144">
        <v>0</v>
      </c>
      <c r="K3144">
        <v>1</v>
      </c>
      <c r="L3144">
        <v>3</v>
      </c>
      <c r="M3144">
        <v>257</v>
      </c>
      <c r="N3144">
        <v>427</v>
      </c>
      <c r="O3144">
        <v>2</v>
      </c>
      <c r="P3144">
        <v>427</v>
      </c>
      <c r="Q3144">
        <v>17</v>
      </c>
      <c r="R3144">
        <v>54</v>
      </c>
      <c r="S3144">
        <v>0</v>
      </c>
      <c r="T3144">
        <v>1</v>
      </c>
      <c r="U3144">
        <v>7</v>
      </c>
      <c r="V3144">
        <v>61</v>
      </c>
      <c r="X3144">
        <v>196</v>
      </c>
      <c r="Z3144">
        <v>5</v>
      </c>
      <c r="AA3144">
        <v>71</v>
      </c>
      <c r="AU3144">
        <v>0</v>
      </c>
      <c r="AW3144">
        <v>0</v>
      </c>
      <c r="AX3144">
        <v>15</v>
      </c>
      <c r="AY3144">
        <v>427</v>
      </c>
      <c r="AZ3144">
        <v>427</v>
      </c>
      <c r="BA3144">
        <v>640</v>
      </c>
      <c r="BB3144">
        <v>44</v>
      </c>
      <c r="BD3144">
        <v>1</v>
      </c>
      <c r="BF3144" t="s">
        <v>3367</v>
      </c>
      <c r="BG3144" s="1">
        <v>44353.965277777781</v>
      </c>
      <c r="BH3144" s="1">
        <v>44353.969942129632</v>
      </c>
      <c r="BI3144" s="1">
        <v>44353.970462962963</v>
      </c>
      <c r="BJ3144" t="s">
        <v>85</v>
      </c>
      <c r="BK3144" t="s">
        <v>86</v>
      </c>
      <c r="BL3144" t="s">
        <v>87</v>
      </c>
    </row>
    <row r="3145" spans="1:64" x14ac:dyDescent="0.3">
      <c r="A3145" t="str">
        <f>"202116B0000"</f>
        <v>202116B0000</v>
      </c>
      <c r="B3145" t="str">
        <f>"202116B00003"</f>
        <v>202116B00003</v>
      </c>
      <c r="C3145" t="str">
        <f t="shared" si="220"/>
        <v>20</v>
      </c>
      <c r="D3145" t="s">
        <v>81</v>
      </c>
      <c r="E3145" t="str">
        <f t="shared" si="219"/>
        <v>485</v>
      </c>
      <c r="F3145" t="s">
        <v>3357</v>
      </c>
      <c r="G3145" t="str">
        <f>"2116"</f>
        <v>2116</v>
      </c>
      <c r="H3145" t="str">
        <f>"0000"</f>
        <v>0000</v>
      </c>
      <c r="I3145" t="s">
        <v>83</v>
      </c>
      <c r="J3145">
        <v>0</v>
      </c>
      <c r="K3145">
        <v>1</v>
      </c>
      <c r="L3145">
        <v>3</v>
      </c>
      <c r="M3145">
        <v>231</v>
      </c>
      <c r="N3145">
        <v>407</v>
      </c>
      <c r="O3145">
        <v>2</v>
      </c>
      <c r="P3145" t="s">
        <v>92</v>
      </c>
      <c r="Q3145">
        <v>5</v>
      </c>
      <c r="R3145">
        <v>49</v>
      </c>
      <c r="S3145">
        <v>1</v>
      </c>
      <c r="T3145">
        <v>1</v>
      </c>
      <c r="U3145">
        <v>2</v>
      </c>
      <c r="V3145">
        <v>29</v>
      </c>
      <c r="X3145">
        <v>176</v>
      </c>
      <c r="Z3145">
        <v>6</v>
      </c>
      <c r="AA3145">
        <v>130</v>
      </c>
      <c r="AU3145">
        <v>0</v>
      </c>
      <c r="AW3145">
        <v>0</v>
      </c>
      <c r="AX3145">
        <v>8</v>
      </c>
      <c r="AY3145">
        <v>407</v>
      </c>
      <c r="AZ3145">
        <v>407</v>
      </c>
      <c r="BA3145">
        <v>594</v>
      </c>
      <c r="BB3145">
        <v>44</v>
      </c>
      <c r="BD3145">
        <v>1</v>
      </c>
      <c r="BF3145" t="s">
        <v>3368</v>
      </c>
      <c r="BG3145" s="1">
        <v>44353.917361111111</v>
      </c>
      <c r="BH3145" s="1">
        <v>44353.92292824074</v>
      </c>
      <c r="BI3145" s="1">
        <v>44353.923263888886</v>
      </c>
      <c r="BJ3145" t="s">
        <v>85</v>
      </c>
      <c r="BK3145" t="s">
        <v>86</v>
      </c>
      <c r="BL3145" t="s">
        <v>87</v>
      </c>
    </row>
    <row r="3146" spans="1:64" x14ac:dyDescent="0.3">
      <c r="A3146" t="str">
        <f>"202116C0100"</f>
        <v>202116C0100</v>
      </c>
      <c r="B3146" t="str">
        <f>"202116C01003"</f>
        <v>202116C01003</v>
      </c>
      <c r="C3146" t="str">
        <f t="shared" si="220"/>
        <v>20</v>
      </c>
      <c r="D3146" t="s">
        <v>81</v>
      </c>
      <c r="E3146" t="str">
        <f t="shared" si="219"/>
        <v>485</v>
      </c>
      <c r="F3146" t="s">
        <v>3357</v>
      </c>
      <c r="G3146" t="str">
        <f>"2116"</f>
        <v>2116</v>
      </c>
      <c r="H3146" t="str">
        <f>"0001"</f>
        <v>0001</v>
      </c>
      <c r="I3146" t="s">
        <v>89</v>
      </c>
      <c r="J3146">
        <v>0</v>
      </c>
      <c r="K3146">
        <v>1</v>
      </c>
      <c r="L3146">
        <v>3</v>
      </c>
      <c r="M3146">
        <v>253</v>
      </c>
      <c r="N3146">
        <v>385</v>
      </c>
      <c r="O3146">
        <v>1</v>
      </c>
      <c r="P3146">
        <v>385</v>
      </c>
      <c r="Q3146">
        <v>3</v>
      </c>
      <c r="R3146">
        <v>44</v>
      </c>
      <c r="S3146">
        <v>3</v>
      </c>
      <c r="T3146">
        <v>2</v>
      </c>
      <c r="U3146">
        <v>2</v>
      </c>
      <c r="V3146">
        <v>30</v>
      </c>
      <c r="X3146">
        <v>167</v>
      </c>
      <c r="Z3146">
        <v>4</v>
      </c>
      <c r="AA3146">
        <v>122</v>
      </c>
      <c r="AU3146">
        <v>0</v>
      </c>
      <c r="AW3146">
        <v>0</v>
      </c>
      <c r="AX3146">
        <v>8</v>
      </c>
      <c r="AY3146">
        <v>385</v>
      </c>
      <c r="AZ3146">
        <v>385</v>
      </c>
      <c r="BA3146">
        <v>594</v>
      </c>
      <c r="BB3146">
        <v>44</v>
      </c>
      <c r="BD3146">
        <v>1</v>
      </c>
      <c r="BF3146" t="s">
        <v>3369</v>
      </c>
      <c r="BG3146" s="1">
        <v>44353.923611111109</v>
      </c>
      <c r="BH3146" s="1">
        <v>44353.931342592594</v>
      </c>
      <c r="BI3146" s="1">
        <v>44353.93178240741</v>
      </c>
      <c r="BJ3146" t="s">
        <v>85</v>
      </c>
      <c r="BK3146" t="s">
        <v>86</v>
      </c>
      <c r="BL3146" t="s">
        <v>87</v>
      </c>
    </row>
    <row r="3147" spans="1:64" x14ac:dyDescent="0.3">
      <c r="A3147" t="str">
        <f>"202117B0000"</f>
        <v>202117B0000</v>
      </c>
      <c r="B3147" t="str">
        <f>"202117B00003"</f>
        <v>202117B00003</v>
      </c>
      <c r="C3147" t="str">
        <f t="shared" si="220"/>
        <v>20</v>
      </c>
      <c r="D3147" t="s">
        <v>81</v>
      </c>
      <c r="E3147" t="str">
        <f t="shared" ref="E3147:E3154" si="221">"486"</f>
        <v>486</v>
      </c>
      <c r="F3147" t="s">
        <v>3370</v>
      </c>
      <c r="G3147" t="str">
        <f>"2117"</f>
        <v>2117</v>
      </c>
      <c r="H3147" t="str">
        <f>"0000"</f>
        <v>0000</v>
      </c>
      <c r="I3147" t="s">
        <v>83</v>
      </c>
      <c r="J3147">
        <v>0</v>
      </c>
      <c r="K3147">
        <v>1</v>
      </c>
      <c r="L3147">
        <v>3</v>
      </c>
      <c r="M3147">
        <v>175</v>
      </c>
      <c r="N3147">
        <v>255</v>
      </c>
      <c r="O3147">
        <v>0</v>
      </c>
      <c r="P3147">
        <v>255</v>
      </c>
      <c r="Q3147">
        <v>2</v>
      </c>
      <c r="R3147">
        <v>77</v>
      </c>
      <c r="S3147">
        <v>3</v>
      </c>
      <c r="T3147" t="s">
        <v>95</v>
      </c>
      <c r="U3147">
        <v>25</v>
      </c>
      <c r="W3147" t="s">
        <v>95</v>
      </c>
      <c r="X3147">
        <v>134</v>
      </c>
      <c r="Z3147">
        <v>2</v>
      </c>
      <c r="AA3147">
        <v>4</v>
      </c>
      <c r="AF3147">
        <v>2</v>
      </c>
      <c r="AG3147" t="s">
        <v>95</v>
      </c>
      <c r="AH3147" t="s">
        <v>95</v>
      </c>
      <c r="AI3147" t="s">
        <v>95</v>
      </c>
      <c r="AW3147" t="s">
        <v>95</v>
      </c>
      <c r="AX3147">
        <v>6</v>
      </c>
      <c r="AY3147">
        <v>255</v>
      </c>
      <c r="AZ3147">
        <v>255</v>
      </c>
      <c r="BA3147">
        <v>386</v>
      </c>
      <c r="BB3147">
        <v>44</v>
      </c>
      <c r="BC3147" t="s">
        <v>96</v>
      </c>
      <c r="BD3147">
        <v>1</v>
      </c>
      <c r="BF3147" t="s">
        <v>3371</v>
      </c>
      <c r="BG3147" s="1">
        <v>44354.521527777775</v>
      </c>
      <c r="BH3147" s="1">
        <v>44354.523275462961</v>
      </c>
      <c r="BI3147" s="1">
        <v>44354.523900462962</v>
      </c>
      <c r="BJ3147" t="s">
        <v>85</v>
      </c>
      <c r="BK3147" t="s">
        <v>86</v>
      </c>
      <c r="BL3147" t="s">
        <v>1390</v>
      </c>
    </row>
    <row r="3148" spans="1:64" x14ac:dyDescent="0.3">
      <c r="A3148" t="str">
        <f>"202117C0100"</f>
        <v>202117C0100</v>
      </c>
      <c r="B3148" t="str">
        <f>"202117C01003"</f>
        <v>202117C01003</v>
      </c>
      <c r="C3148" t="str">
        <f t="shared" si="220"/>
        <v>20</v>
      </c>
      <c r="D3148" t="s">
        <v>81</v>
      </c>
      <c r="E3148" t="str">
        <f t="shared" si="221"/>
        <v>486</v>
      </c>
      <c r="F3148" t="s">
        <v>3370</v>
      </c>
      <c r="G3148" t="str">
        <f>"2117"</f>
        <v>2117</v>
      </c>
      <c r="H3148" t="str">
        <f>"0001"</f>
        <v>0001</v>
      </c>
      <c r="I3148" t="s">
        <v>89</v>
      </c>
      <c r="J3148">
        <v>0</v>
      </c>
      <c r="K3148">
        <v>1</v>
      </c>
      <c r="L3148">
        <v>3</v>
      </c>
      <c r="M3148">
        <v>180</v>
      </c>
      <c r="N3148">
        <v>250</v>
      </c>
      <c r="O3148">
        <v>1</v>
      </c>
      <c r="P3148">
        <v>250</v>
      </c>
      <c r="Q3148" t="s">
        <v>95</v>
      </c>
      <c r="R3148">
        <v>81</v>
      </c>
      <c r="S3148">
        <v>1</v>
      </c>
      <c r="T3148" t="s">
        <v>95</v>
      </c>
      <c r="U3148">
        <v>19</v>
      </c>
      <c r="W3148">
        <v>1</v>
      </c>
      <c r="X3148">
        <v>129</v>
      </c>
      <c r="Z3148">
        <v>3</v>
      </c>
      <c r="AA3148">
        <v>5</v>
      </c>
      <c r="AF3148">
        <v>4</v>
      </c>
      <c r="AG3148">
        <v>1</v>
      </c>
      <c r="AH3148" t="s">
        <v>95</v>
      </c>
      <c r="AI3148" t="s">
        <v>95</v>
      </c>
      <c r="AW3148" t="s">
        <v>95</v>
      </c>
      <c r="AX3148">
        <v>6</v>
      </c>
      <c r="AY3148">
        <v>250</v>
      </c>
      <c r="AZ3148">
        <v>250</v>
      </c>
      <c r="BA3148">
        <v>386</v>
      </c>
      <c r="BB3148">
        <v>44</v>
      </c>
      <c r="BC3148" t="s">
        <v>96</v>
      </c>
      <c r="BD3148">
        <v>1</v>
      </c>
      <c r="BF3148" t="s">
        <v>3372</v>
      </c>
      <c r="BG3148" s="1">
        <v>44354.520138888889</v>
      </c>
      <c r="BH3148" s="1">
        <v>44354.521747685183</v>
      </c>
      <c r="BI3148" s="1">
        <v>44354.522847222222</v>
      </c>
      <c r="BJ3148" t="s">
        <v>85</v>
      </c>
      <c r="BK3148" t="s">
        <v>86</v>
      </c>
      <c r="BL3148" t="s">
        <v>87</v>
      </c>
    </row>
    <row r="3149" spans="1:64" x14ac:dyDescent="0.3">
      <c r="A3149" t="str">
        <f>"202118B0000"</f>
        <v>202118B0000</v>
      </c>
      <c r="B3149" t="str">
        <f>"202118B00003"</f>
        <v>202118B00003</v>
      </c>
      <c r="C3149" t="str">
        <f t="shared" si="220"/>
        <v>20</v>
      </c>
      <c r="D3149" t="s">
        <v>81</v>
      </c>
      <c r="E3149" t="str">
        <f t="shared" si="221"/>
        <v>486</v>
      </c>
      <c r="F3149" t="s">
        <v>3370</v>
      </c>
      <c r="G3149" t="str">
        <f>"2118"</f>
        <v>2118</v>
      </c>
      <c r="H3149" t="str">
        <f>"0000"</f>
        <v>0000</v>
      </c>
      <c r="I3149" t="s">
        <v>83</v>
      </c>
      <c r="J3149">
        <v>0</v>
      </c>
      <c r="K3149">
        <v>1</v>
      </c>
      <c r="L3149">
        <v>3</v>
      </c>
      <c r="M3149">
        <v>196</v>
      </c>
      <c r="N3149">
        <v>295</v>
      </c>
      <c r="O3149">
        <v>5</v>
      </c>
      <c r="P3149">
        <v>295</v>
      </c>
      <c r="Q3149">
        <v>1</v>
      </c>
      <c r="R3149">
        <v>95</v>
      </c>
      <c r="S3149">
        <v>3</v>
      </c>
      <c r="T3149">
        <v>0</v>
      </c>
      <c r="U3149">
        <v>20</v>
      </c>
      <c r="W3149">
        <v>1</v>
      </c>
      <c r="X3149">
        <v>152</v>
      </c>
      <c r="Z3149">
        <v>4</v>
      </c>
      <c r="AA3149">
        <v>4</v>
      </c>
      <c r="AF3149">
        <v>1</v>
      </c>
      <c r="AG3149">
        <v>0</v>
      </c>
      <c r="AH3149">
        <v>0</v>
      </c>
      <c r="AI3149">
        <v>0</v>
      </c>
      <c r="AW3149">
        <v>0</v>
      </c>
      <c r="AX3149">
        <v>14</v>
      </c>
      <c r="AY3149">
        <v>295</v>
      </c>
      <c r="AZ3149">
        <v>295</v>
      </c>
      <c r="BA3149">
        <v>447</v>
      </c>
      <c r="BB3149">
        <v>44</v>
      </c>
      <c r="BD3149">
        <v>1</v>
      </c>
      <c r="BF3149" t="s">
        <v>3373</v>
      </c>
      <c r="BG3149" s="1">
        <v>44354.525694444441</v>
      </c>
      <c r="BH3149" s="1">
        <v>44354.528726851851</v>
      </c>
      <c r="BI3149" s="1">
        <v>44354.52921296296</v>
      </c>
      <c r="BJ3149" t="s">
        <v>85</v>
      </c>
      <c r="BK3149" t="s">
        <v>86</v>
      </c>
      <c r="BL3149" t="s">
        <v>87</v>
      </c>
    </row>
    <row r="3150" spans="1:64" x14ac:dyDescent="0.3">
      <c r="A3150" t="str">
        <f>"202118C0100"</f>
        <v>202118C0100</v>
      </c>
      <c r="B3150" t="str">
        <f>"202118C01003"</f>
        <v>202118C01003</v>
      </c>
      <c r="C3150" t="str">
        <f t="shared" si="220"/>
        <v>20</v>
      </c>
      <c r="D3150" t="s">
        <v>81</v>
      </c>
      <c r="E3150" t="str">
        <f t="shared" si="221"/>
        <v>486</v>
      </c>
      <c r="F3150" t="s">
        <v>3370</v>
      </c>
      <c r="G3150" t="str">
        <f>"2118"</f>
        <v>2118</v>
      </c>
      <c r="H3150" t="str">
        <f>"0001"</f>
        <v>0001</v>
      </c>
      <c r="I3150" t="s">
        <v>89</v>
      </c>
      <c r="J3150">
        <v>0</v>
      </c>
      <c r="K3150">
        <v>1</v>
      </c>
      <c r="L3150">
        <v>3</v>
      </c>
      <c r="M3150">
        <v>195</v>
      </c>
      <c r="N3150">
        <v>295</v>
      </c>
      <c r="O3150">
        <v>8</v>
      </c>
      <c r="P3150">
        <v>295</v>
      </c>
      <c r="Q3150">
        <v>3</v>
      </c>
      <c r="R3150">
        <v>112</v>
      </c>
      <c r="S3150">
        <v>2</v>
      </c>
      <c r="T3150">
        <v>2</v>
      </c>
      <c r="U3150">
        <v>11</v>
      </c>
      <c r="W3150">
        <v>1</v>
      </c>
      <c r="X3150">
        <v>149</v>
      </c>
      <c r="Z3150">
        <v>1</v>
      </c>
      <c r="AA3150">
        <v>4</v>
      </c>
      <c r="AF3150" t="s">
        <v>95</v>
      </c>
      <c r="AG3150">
        <v>1</v>
      </c>
      <c r="AH3150" t="s">
        <v>95</v>
      </c>
      <c r="AI3150" t="s">
        <v>95</v>
      </c>
      <c r="AW3150" t="s">
        <v>95</v>
      </c>
      <c r="AX3150">
        <v>9</v>
      </c>
      <c r="AY3150">
        <v>295</v>
      </c>
      <c r="AZ3150">
        <v>295</v>
      </c>
      <c r="BA3150">
        <v>446</v>
      </c>
      <c r="BB3150">
        <v>44</v>
      </c>
      <c r="BC3150" t="s">
        <v>96</v>
      </c>
      <c r="BD3150">
        <v>1</v>
      </c>
      <c r="BF3150" t="s">
        <v>3374</v>
      </c>
      <c r="BG3150" s="1">
        <v>44354.525000000001</v>
      </c>
      <c r="BH3150" s="1">
        <v>44354.528229166666</v>
      </c>
      <c r="BI3150" s="1">
        <v>44354.529004629629</v>
      </c>
      <c r="BJ3150" t="s">
        <v>85</v>
      </c>
      <c r="BK3150" t="s">
        <v>86</v>
      </c>
      <c r="BL3150" t="s">
        <v>87</v>
      </c>
    </row>
    <row r="3151" spans="1:64" x14ac:dyDescent="0.3">
      <c r="A3151" t="str">
        <f>"202119B0000"</f>
        <v>202119B0000</v>
      </c>
      <c r="B3151" t="str">
        <f>"202119B00003"</f>
        <v>202119B00003</v>
      </c>
      <c r="C3151" t="str">
        <f t="shared" si="220"/>
        <v>20</v>
      </c>
      <c r="D3151" t="s">
        <v>81</v>
      </c>
      <c r="E3151" t="str">
        <f t="shared" si="221"/>
        <v>486</v>
      </c>
      <c r="F3151" t="s">
        <v>3370</v>
      </c>
      <c r="G3151" t="str">
        <f>"2119"</f>
        <v>2119</v>
      </c>
      <c r="H3151" t="str">
        <f>"0000"</f>
        <v>0000</v>
      </c>
      <c r="I3151" t="s">
        <v>83</v>
      </c>
      <c r="J3151">
        <v>0</v>
      </c>
      <c r="K3151">
        <v>1</v>
      </c>
      <c r="L3151">
        <v>3</v>
      </c>
      <c r="M3151">
        <v>197</v>
      </c>
      <c r="N3151">
        <v>227</v>
      </c>
      <c r="O3151" t="s">
        <v>92</v>
      </c>
      <c r="P3151">
        <v>227</v>
      </c>
      <c r="Q3151">
        <v>6</v>
      </c>
      <c r="R3151">
        <v>88</v>
      </c>
      <c r="S3151">
        <v>0</v>
      </c>
      <c r="T3151">
        <v>1</v>
      </c>
      <c r="U3151">
        <v>20</v>
      </c>
      <c r="W3151">
        <v>0</v>
      </c>
      <c r="X3151">
        <v>100</v>
      </c>
      <c r="Z3151">
        <v>1</v>
      </c>
      <c r="AA3151">
        <v>3</v>
      </c>
      <c r="AF3151">
        <v>1</v>
      </c>
      <c r="AG3151">
        <v>1</v>
      </c>
      <c r="AH3151">
        <v>0</v>
      </c>
      <c r="AI3151">
        <v>0</v>
      </c>
      <c r="AW3151">
        <v>0</v>
      </c>
      <c r="AX3151">
        <v>6</v>
      </c>
      <c r="AY3151">
        <v>227</v>
      </c>
      <c r="AZ3151">
        <v>227</v>
      </c>
      <c r="BA3151">
        <v>380</v>
      </c>
      <c r="BB3151">
        <v>44</v>
      </c>
      <c r="BD3151">
        <v>1</v>
      </c>
      <c r="BF3151" t="s">
        <v>3375</v>
      </c>
      <c r="BG3151" s="1">
        <v>44354.519444444442</v>
      </c>
      <c r="BH3151" s="1">
        <v>44354.521631944444</v>
      </c>
      <c r="BI3151" s="1">
        <v>44354.522719907407</v>
      </c>
      <c r="BJ3151" t="s">
        <v>85</v>
      </c>
      <c r="BK3151" t="s">
        <v>86</v>
      </c>
      <c r="BL3151" t="s">
        <v>87</v>
      </c>
    </row>
    <row r="3152" spans="1:64" x14ac:dyDescent="0.3">
      <c r="A3152" t="str">
        <f>"202120B0000"</f>
        <v>202120B0000</v>
      </c>
      <c r="B3152" t="str">
        <f>"202120B00003"</f>
        <v>202120B00003</v>
      </c>
      <c r="C3152" t="str">
        <f t="shared" si="220"/>
        <v>20</v>
      </c>
      <c r="D3152" t="s">
        <v>81</v>
      </c>
      <c r="E3152" t="str">
        <f t="shared" si="221"/>
        <v>486</v>
      </c>
      <c r="F3152" t="s">
        <v>3370</v>
      </c>
      <c r="G3152" t="str">
        <f>"2120"</f>
        <v>2120</v>
      </c>
      <c r="H3152" t="str">
        <f>"0000"</f>
        <v>0000</v>
      </c>
      <c r="I3152" t="s">
        <v>83</v>
      </c>
      <c r="J3152">
        <v>0</v>
      </c>
      <c r="K3152">
        <v>1</v>
      </c>
      <c r="L3152">
        <v>3</v>
      </c>
      <c r="M3152">
        <v>182</v>
      </c>
      <c r="N3152">
        <v>149</v>
      </c>
      <c r="O3152">
        <v>3</v>
      </c>
      <c r="P3152" t="s">
        <v>92</v>
      </c>
      <c r="Q3152">
        <v>0</v>
      </c>
      <c r="R3152">
        <v>43</v>
      </c>
      <c r="S3152">
        <v>0</v>
      </c>
      <c r="T3152">
        <v>0</v>
      </c>
      <c r="U3152">
        <v>7</v>
      </c>
      <c r="W3152">
        <v>1</v>
      </c>
      <c r="X3152">
        <v>86</v>
      </c>
      <c r="Z3152">
        <v>2</v>
      </c>
      <c r="AA3152">
        <v>6</v>
      </c>
      <c r="AF3152">
        <v>0</v>
      </c>
      <c r="AG3152">
        <v>0</v>
      </c>
      <c r="AH3152">
        <v>0</v>
      </c>
      <c r="AI3152">
        <v>0</v>
      </c>
      <c r="AW3152">
        <v>0</v>
      </c>
      <c r="AX3152">
        <v>4</v>
      </c>
      <c r="AY3152">
        <v>149</v>
      </c>
      <c r="AZ3152">
        <v>149</v>
      </c>
      <c r="BA3152">
        <v>287</v>
      </c>
      <c r="BB3152">
        <v>44</v>
      </c>
      <c r="BD3152">
        <v>1</v>
      </c>
      <c r="BF3152" t="s">
        <v>3376</v>
      </c>
      <c r="BG3152" s="1">
        <v>44354.522916666669</v>
      </c>
      <c r="BH3152" s="1">
        <v>44354.524942129632</v>
      </c>
      <c r="BI3152" s="1">
        <v>44354.525671296295</v>
      </c>
      <c r="BJ3152" t="s">
        <v>85</v>
      </c>
      <c r="BK3152" t="s">
        <v>86</v>
      </c>
      <c r="BL3152" t="s">
        <v>87</v>
      </c>
    </row>
    <row r="3153" spans="1:64" x14ac:dyDescent="0.3">
      <c r="A3153" t="str">
        <f>"202121B0000"</f>
        <v>202121B0000</v>
      </c>
      <c r="B3153" t="str">
        <f>"202121B00003"</f>
        <v>202121B00003</v>
      </c>
      <c r="C3153" t="str">
        <f t="shared" si="220"/>
        <v>20</v>
      </c>
      <c r="D3153" t="s">
        <v>81</v>
      </c>
      <c r="E3153" t="str">
        <f t="shared" si="221"/>
        <v>486</v>
      </c>
      <c r="F3153" t="s">
        <v>3370</v>
      </c>
      <c r="G3153" t="str">
        <f>"2121"</f>
        <v>2121</v>
      </c>
      <c r="H3153" t="str">
        <f>"0000"</f>
        <v>0000</v>
      </c>
      <c r="I3153" t="s">
        <v>83</v>
      </c>
      <c r="J3153">
        <v>0</v>
      </c>
      <c r="K3153">
        <v>1</v>
      </c>
      <c r="L3153">
        <v>3</v>
      </c>
      <c r="M3153">
        <v>203</v>
      </c>
      <c r="N3153">
        <v>190</v>
      </c>
      <c r="O3153">
        <v>6</v>
      </c>
      <c r="P3153">
        <v>184</v>
      </c>
      <c r="Q3153" t="s">
        <v>95</v>
      </c>
      <c r="R3153">
        <v>52</v>
      </c>
      <c r="S3153">
        <v>4</v>
      </c>
      <c r="T3153" t="s">
        <v>95</v>
      </c>
      <c r="U3153">
        <v>1</v>
      </c>
      <c r="W3153">
        <v>1</v>
      </c>
      <c r="X3153">
        <v>125</v>
      </c>
      <c r="Z3153">
        <v>2</v>
      </c>
      <c r="AA3153" t="s">
        <v>95</v>
      </c>
      <c r="AF3153" t="s">
        <v>95</v>
      </c>
      <c r="AG3153" t="s">
        <v>95</v>
      </c>
      <c r="AH3153" t="s">
        <v>95</v>
      </c>
      <c r="AI3153" t="s">
        <v>95</v>
      </c>
      <c r="AW3153" t="s">
        <v>95</v>
      </c>
      <c r="AX3153">
        <v>3</v>
      </c>
      <c r="AY3153">
        <v>184</v>
      </c>
      <c r="AZ3153">
        <v>188</v>
      </c>
      <c r="BA3153">
        <v>346</v>
      </c>
      <c r="BB3153">
        <v>44</v>
      </c>
      <c r="BC3153" t="s">
        <v>96</v>
      </c>
      <c r="BD3153">
        <v>1</v>
      </c>
      <c r="BF3153" t="s">
        <v>3377</v>
      </c>
      <c r="BG3153" s="1">
        <v>44354.526388888888</v>
      </c>
      <c r="BH3153" s="1">
        <v>44354.529467592591</v>
      </c>
      <c r="BI3153" s="1">
        <v>44354.529907407406</v>
      </c>
      <c r="BJ3153" t="s">
        <v>85</v>
      </c>
      <c r="BK3153" t="s">
        <v>86</v>
      </c>
      <c r="BL3153" t="s">
        <v>87</v>
      </c>
    </row>
    <row r="3154" spans="1:64" x14ac:dyDescent="0.3">
      <c r="A3154" t="str">
        <f>"202122B0000"</f>
        <v>202122B0000</v>
      </c>
      <c r="B3154" t="str">
        <f>"202122B00003"</f>
        <v>202122B00003</v>
      </c>
      <c r="C3154" t="str">
        <f t="shared" si="220"/>
        <v>20</v>
      </c>
      <c r="D3154" t="s">
        <v>81</v>
      </c>
      <c r="E3154" t="str">
        <f t="shared" si="221"/>
        <v>486</v>
      </c>
      <c r="F3154" t="s">
        <v>3370</v>
      </c>
      <c r="G3154" t="str">
        <f>"2122"</f>
        <v>2122</v>
      </c>
      <c r="H3154" t="str">
        <f>"0000"</f>
        <v>0000</v>
      </c>
      <c r="I3154" t="s">
        <v>83</v>
      </c>
      <c r="J3154">
        <v>0</v>
      </c>
      <c r="K3154">
        <v>1</v>
      </c>
      <c r="L3154">
        <v>3</v>
      </c>
      <c r="M3154">
        <v>276</v>
      </c>
      <c r="N3154">
        <v>367</v>
      </c>
      <c r="O3154">
        <v>7</v>
      </c>
      <c r="P3154">
        <v>367</v>
      </c>
      <c r="Q3154" t="s">
        <v>95</v>
      </c>
      <c r="R3154">
        <v>111</v>
      </c>
      <c r="S3154">
        <v>3</v>
      </c>
      <c r="T3154">
        <v>4</v>
      </c>
      <c r="U3154">
        <v>64</v>
      </c>
      <c r="W3154">
        <v>1</v>
      </c>
      <c r="X3154">
        <v>168</v>
      </c>
      <c r="Z3154">
        <v>3</v>
      </c>
      <c r="AA3154">
        <v>6</v>
      </c>
      <c r="AF3154" t="s">
        <v>95</v>
      </c>
      <c r="AG3154" t="s">
        <v>95</v>
      </c>
      <c r="AH3154" t="s">
        <v>95</v>
      </c>
      <c r="AI3154" t="s">
        <v>95</v>
      </c>
      <c r="AW3154" t="s">
        <v>95</v>
      </c>
      <c r="AX3154">
        <v>7</v>
      </c>
      <c r="AY3154">
        <v>367</v>
      </c>
      <c r="AZ3154">
        <v>367</v>
      </c>
      <c r="BA3154">
        <v>599</v>
      </c>
      <c r="BB3154">
        <v>44</v>
      </c>
      <c r="BC3154" t="s">
        <v>96</v>
      </c>
      <c r="BD3154">
        <v>1</v>
      </c>
      <c r="BF3154" t="s">
        <v>3378</v>
      </c>
      <c r="BG3154" s="1">
        <v>44354.524305555555</v>
      </c>
      <c r="BH3154" s="1">
        <v>44354.52716435185</v>
      </c>
      <c r="BI3154" s="1">
        <v>44354.527465277781</v>
      </c>
      <c r="BJ3154" t="s">
        <v>85</v>
      </c>
      <c r="BK3154" t="s">
        <v>86</v>
      </c>
      <c r="BL3154" t="s">
        <v>1390</v>
      </c>
    </row>
    <row r="3155" spans="1:64" x14ac:dyDescent="0.3">
      <c r="A3155" t="str">
        <f>"202123B0000"</f>
        <v>202123B0000</v>
      </c>
      <c r="B3155" t="str">
        <f>"202123B00003"</f>
        <v>202123B00003</v>
      </c>
      <c r="C3155" t="str">
        <f t="shared" si="220"/>
        <v>20</v>
      </c>
      <c r="D3155" t="s">
        <v>81</v>
      </c>
      <c r="E3155" t="str">
        <f t="shared" ref="E3155:E3160" si="222">"487"</f>
        <v>487</v>
      </c>
      <c r="F3155" t="s">
        <v>3379</v>
      </c>
      <c r="G3155" t="str">
        <f>"2123"</f>
        <v>2123</v>
      </c>
      <c r="H3155" t="str">
        <f>"0000"</f>
        <v>0000</v>
      </c>
      <c r="I3155" t="s">
        <v>83</v>
      </c>
      <c r="J3155">
        <v>0</v>
      </c>
      <c r="K3155">
        <v>1</v>
      </c>
      <c r="L3155">
        <v>3</v>
      </c>
      <c r="M3155">
        <v>227</v>
      </c>
      <c r="N3155">
        <v>400</v>
      </c>
      <c r="O3155">
        <v>0</v>
      </c>
      <c r="P3155">
        <v>400</v>
      </c>
      <c r="Q3155">
        <v>2</v>
      </c>
      <c r="R3155">
        <v>29</v>
      </c>
      <c r="S3155">
        <v>0</v>
      </c>
      <c r="U3155">
        <v>2</v>
      </c>
      <c r="X3155">
        <v>45</v>
      </c>
      <c r="Y3155">
        <v>23</v>
      </c>
      <c r="Z3155">
        <v>166</v>
      </c>
      <c r="AB3155">
        <v>119</v>
      </c>
      <c r="AF3155">
        <v>3</v>
      </c>
      <c r="AG3155">
        <v>0</v>
      </c>
      <c r="AH3155">
        <v>0</v>
      </c>
      <c r="AI3155">
        <v>1</v>
      </c>
      <c r="AW3155">
        <v>0</v>
      </c>
      <c r="AX3155">
        <v>10</v>
      </c>
      <c r="AY3155">
        <v>400</v>
      </c>
      <c r="AZ3155">
        <v>400</v>
      </c>
      <c r="BA3155">
        <v>583</v>
      </c>
      <c r="BB3155">
        <v>44</v>
      </c>
      <c r="BD3155">
        <v>1</v>
      </c>
      <c r="BF3155" s="2" t="s">
        <v>3380</v>
      </c>
      <c r="BG3155" s="1">
        <v>44354.205555555556</v>
      </c>
      <c r="BH3155" s="1">
        <v>44354.211782407408</v>
      </c>
      <c r="BI3155" s="1">
        <v>44354.215879629628</v>
      </c>
      <c r="BJ3155" t="s">
        <v>85</v>
      </c>
      <c r="BK3155" t="s">
        <v>86</v>
      </c>
      <c r="BL3155" t="s">
        <v>87</v>
      </c>
    </row>
    <row r="3156" spans="1:64" x14ac:dyDescent="0.3">
      <c r="A3156" t="str">
        <f>"202123C0100"</f>
        <v>202123C0100</v>
      </c>
      <c r="B3156" t="str">
        <f>"202123C01003"</f>
        <v>202123C01003</v>
      </c>
      <c r="C3156" t="str">
        <f t="shared" si="220"/>
        <v>20</v>
      </c>
      <c r="D3156" t="s">
        <v>81</v>
      </c>
      <c r="E3156" t="str">
        <f t="shared" si="222"/>
        <v>487</v>
      </c>
      <c r="F3156" t="s">
        <v>3379</v>
      </c>
      <c r="G3156" t="str">
        <f>"2123"</f>
        <v>2123</v>
      </c>
      <c r="H3156" t="str">
        <f>"0001"</f>
        <v>0001</v>
      </c>
      <c r="I3156" t="s">
        <v>89</v>
      </c>
      <c r="J3156">
        <v>0</v>
      </c>
      <c r="K3156">
        <v>1</v>
      </c>
      <c r="L3156">
        <v>3</v>
      </c>
      <c r="M3156">
        <v>219</v>
      </c>
      <c r="N3156">
        <v>408</v>
      </c>
      <c r="O3156">
        <v>0</v>
      </c>
      <c r="P3156">
        <v>408</v>
      </c>
      <c r="Q3156">
        <v>4</v>
      </c>
      <c r="R3156">
        <v>29</v>
      </c>
      <c r="S3156">
        <v>17</v>
      </c>
      <c r="U3156">
        <v>0</v>
      </c>
      <c r="X3156">
        <v>34</v>
      </c>
      <c r="Y3156">
        <v>29</v>
      </c>
      <c r="Z3156">
        <v>157</v>
      </c>
      <c r="AB3156">
        <v>68</v>
      </c>
      <c r="AF3156">
        <v>0</v>
      </c>
      <c r="AG3156">
        <v>0</v>
      </c>
      <c r="AH3156">
        <v>0</v>
      </c>
      <c r="AI3156">
        <v>0</v>
      </c>
      <c r="AW3156">
        <v>0</v>
      </c>
      <c r="AX3156">
        <v>33</v>
      </c>
      <c r="AY3156">
        <v>408</v>
      </c>
      <c r="AZ3156">
        <v>371</v>
      </c>
      <c r="BA3156">
        <v>583</v>
      </c>
      <c r="BB3156">
        <v>44</v>
      </c>
      <c r="BD3156">
        <v>1</v>
      </c>
      <c r="BF3156" t="s">
        <v>3381</v>
      </c>
      <c r="BG3156" s="1">
        <v>44354.200694444444</v>
      </c>
      <c r="BH3156" s="1">
        <v>44354.206516203703</v>
      </c>
      <c r="BI3156" s="1">
        <v>44354.207881944443</v>
      </c>
      <c r="BJ3156" t="s">
        <v>85</v>
      </c>
      <c r="BK3156" t="s">
        <v>86</v>
      </c>
      <c r="BL3156" t="s">
        <v>87</v>
      </c>
    </row>
    <row r="3157" spans="1:64" x14ac:dyDescent="0.3">
      <c r="A3157" t="str">
        <f>"202124B0000"</f>
        <v>202124B0000</v>
      </c>
      <c r="B3157" t="str">
        <f>"202124B00003"</f>
        <v>202124B00003</v>
      </c>
      <c r="C3157" t="str">
        <f t="shared" si="220"/>
        <v>20</v>
      </c>
      <c r="D3157" t="s">
        <v>81</v>
      </c>
      <c r="E3157" t="str">
        <f t="shared" si="222"/>
        <v>487</v>
      </c>
      <c r="F3157" t="s">
        <v>3379</v>
      </c>
      <c r="G3157" t="str">
        <f>"2124"</f>
        <v>2124</v>
      </c>
      <c r="H3157" t="str">
        <f>"0000"</f>
        <v>0000</v>
      </c>
      <c r="I3157" t="s">
        <v>83</v>
      </c>
      <c r="J3157">
        <v>0</v>
      </c>
      <c r="K3157">
        <v>1</v>
      </c>
      <c r="L3157">
        <v>3</v>
      </c>
      <c r="BA3157">
        <v>386</v>
      </c>
      <c r="BB3157">
        <v>44</v>
      </c>
      <c r="BC3157" t="s">
        <v>381</v>
      </c>
      <c r="BD3157">
        <v>0</v>
      </c>
      <c r="BF3157" t="s">
        <v>3382</v>
      </c>
      <c r="BG3157" s="1">
        <v>44354.22152777778</v>
      </c>
      <c r="BH3157" s="1">
        <v>44354.725358796299</v>
      </c>
      <c r="BI3157" s="1">
        <v>44354.725358796299</v>
      </c>
      <c r="BJ3157" t="s">
        <v>85</v>
      </c>
      <c r="BK3157" t="s">
        <v>86</v>
      </c>
      <c r="BL3157" t="s">
        <v>87</v>
      </c>
    </row>
    <row r="3158" spans="1:64" x14ac:dyDescent="0.3">
      <c r="A3158" t="str">
        <f>"202124C0100"</f>
        <v>202124C0100</v>
      </c>
      <c r="B3158" t="str">
        <f>"202124C01003"</f>
        <v>202124C01003</v>
      </c>
      <c r="C3158" t="str">
        <f t="shared" si="220"/>
        <v>20</v>
      </c>
      <c r="D3158" t="s">
        <v>81</v>
      </c>
      <c r="E3158" t="str">
        <f t="shared" si="222"/>
        <v>487</v>
      </c>
      <c r="F3158" t="s">
        <v>3379</v>
      </c>
      <c r="G3158" t="str">
        <f>"2124"</f>
        <v>2124</v>
      </c>
      <c r="H3158" t="str">
        <f>"0001"</f>
        <v>0001</v>
      </c>
      <c r="I3158" t="s">
        <v>89</v>
      </c>
      <c r="J3158">
        <v>0</v>
      </c>
      <c r="K3158">
        <v>1</v>
      </c>
      <c r="L3158">
        <v>3</v>
      </c>
      <c r="M3158">
        <v>162</v>
      </c>
      <c r="N3158">
        <v>267</v>
      </c>
      <c r="O3158">
        <v>0</v>
      </c>
      <c r="P3158">
        <v>267</v>
      </c>
      <c r="Q3158">
        <v>1</v>
      </c>
      <c r="R3158">
        <v>13</v>
      </c>
      <c r="S3158">
        <v>4</v>
      </c>
      <c r="U3158">
        <v>2</v>
      </c>
      <c r="X3158">
        <v>20</v>
      </c>
      <c r="Y3158">
        <v>33</v>
      </c>
      <c r="Z3158">
        <v>60</v>
      </c>
      <c r="AB3158">
        <v>123</v>
      </c>
      <c r="AF3158">
        <v>0</v>
      </c>
      <c r="AG3158">
        <v>0</v>
      </c>
      <c r="AH3158">
        <v>0</v>
      </c>
      <c r="AI3158">
        <v>0</v>
      </c>
      <c r="AW3158">
        <v>0</v>
      </c>
      <c r="AX3158">
        <v>11</v>
      </c>
      <c r="AY3158">
        <v>267</v>
      </c>
      <c r="AZ3158">
        <v>267</v>
      </c>
      <c r="BA3158">
        <v>385</v>
      </c>
      <c r="BB3158">
        <v>44</v>
      </c>
      <c r="BD3158">
        <v>1</v>
      </c>
      <c r="BF3158" t="s">
        <v>3383</v>
      </c>
      <c r="BG3158" s="1">
        <v>44353.899421296293</v>
      </c>
      <c r="BH3158" s="1">
        <v>44353.902662037035</v>
      </c>
      <c r="BI3158" s="1">
        <v>44353.903287037036</v>
      </c>
      <c r="BJ3158" t="s">
        <v>197</v>
      </c>
      <c r="BK3158" t="s">
        <v>198</v>
      </c>
      <c r="BL3158" t="s">
        <v>87</v>
      </c>
    </row>
    <row r="3159" spans="1:64" x14ac:dyDescent="0.3">
      <c r="A3159" t="str">
        <f>"202124E0100"</f>
        <v>202124E0100</v>
      </c>
      <c r="B3159" t="str">
        <f>"202124E01003"</f>
        <v>202124E01003</v>
      </c>
      <c r="C3159" t="str">
        <f t="shared" si="220"/>
        <v>20</v>
      </c>
      <c r="D3159" t="s">
        <v>81</v>
      </c>
      <c r="E3159" t="str">
        <f t="shared" si="222"/>
        <v>487</v>
      </c>
      <c r="F3159" t="s">
        <v>3379</v>
      </c>
      <c r="G3159" t="str">
        <f>"2124"</f>
        <v>2124</v>
      </c>
      <c r="H3159" t="str">
        <f>"0001"</f>
        <v>0001</v>
      </c>
      <c r="I3159" t="s">
        <v>122</v>
      </c>
      <c r="J3159">
        <v>0</v>
      </c>
      <c r="K3159">
        <v>1</v>
      </c>
      <c r="L3159">
        <v>3</v>
      </c>
      <c r="M3159">
        <v>93</v>
      </c>
      <c r="N3159">
        <v>116</v>
      </c>
      <c r="O3159">
        <v>0</v>
      </c>
      <c r="P3159">
        <v>116</v>
      </c>
      <c r="Q3159">
        <v>2</v>
      </c>
      <c r="R3159">
        <v>51</v>
      </c>
      <c r="S3159">
        <v>4</v>
      </c>
      <c r="U3159">
        <v>3</v>
      </c>
      <c r="X3159">
        <v>17</v>
      </c>
      <c r="Y3159">
        <v>6</v>
      </c>
      <c r="Z3159">
        <v>20</v>
      </c>
      <c r="AB3159">
        <v>5</v>
      </c>
      <c r="AF3159">
        <v>4</v>
      </c>
      <c r="AG3159">
        <v>1</v>
      </c>
      <c r="AH3159">
        <v>0</v>
      </c>
      <c r="AI3159">
        <v>1</v>
      </c>
      <c r="AW3159">
        <v>0</v>
      </c>
      <c r="AX3159">
        <v>2</v>
      </c>
      <c r="AY3159">
        <v>16</v>
      </c>
      <c r="AZ3159">
        <v>116</v>
      </c>
      <c r="BA3159">
        <v>165</v>
      </c>
      <c r="BB3159">
        <v>44</v>
      </c>
      <c r="BD3159">
        <v>1</v>
      </c>
      <c r="BF3159" t="s">
        <v>3384</v>
      </c>
      <c r="BG3159" s="1">
        <v>44354.2</v>
      </c>
      <c r="BH3159" s="1">
        <v>44354.216956018521</v>
      </c>
      <c r="BI3159" s="1">
        <v>44354.217789351853</v>
      </c>
      <c r="BJ3159" t="s">
        <v>85</v>
      </c>
      <c r="BK3159" t="s">
        <v>86</v>
      </c>
      <c r="BL3159" t="s">
        <v>87</v>
      </c>
    </row>
    <row r="3160" spans="1:64" x14ac:dyDescent="0.3">
      <c r="A3160" t="str">
        <f>"202124E0200"</f>
        <v>202124E0200</v>
      </c>
      <c r="B3160" t="str">
        <f>"202124E02003"</f>
        <v>202124E02003</v>
      </c>
      <c r="C3160" t="str">
        <f t="shared" si="220"/>
        <v>20</v>
      </c>
      <c r="D3160" t="s">
        <v>81</v>
      </c>
      <c r="E3160" t="str">
        <f t="shared" si="222"/>
        <v>487</v>
      </c>
      <c r="F3160" t="s">
        <v>3379</v>
      </c>
      <c r="G3160" t="str">
        <f>"2124"</f>
        <v>2124</v>
      </c>
      <c r="H3160" t="str">
        <f>"0002"</f>
        <v>0002</v>
      </c>
      <c r="I3160" t="s">
        <v>122</v>
      </c>
      <c r="J3160">
        <v>0</v>
      </c>
      <c r="K3160">
        <v>1</v>
      </c>
      <c r="L3160">
        <v>3</v>
      </c>
      <c r="M3160">
        <v>107</v>
      </c>
      <c r="N3160">
        <v>128</v>
      </c>
      <c r="O3160">
        <v>0</v>
      </c>
      <c r="P3160">
        <v>128</v>
      </c>
      <c r="Q3160">
        <v>0</v>
      </c>
      <c r="R3160">
        <v>10</v>
      </c>
      <c r="S3160">
        <v>3</v>
      </c>
      <c r="U3160">
        <v>0</v>
      </c>
      <c r="X3160">
        <v>15</v>
      </c>
      <c r="Y3160">
        <v>3</v>
      </c>
      <c r="Z3160">
        <v>4</v>
      </c>
      <c r="AB3160">
        <v>85</v>
      </c>
      <c r="AF3160">
        <v>0</v>
      </c>
      <c r="AG3160">
        <v>0</v>
      </c>
      <c r="AH3160">
        <v>0</v>
      </c>
      <c r="AI3160">
        <v>0</v>
      </c>
      <c r="AW3160">
        <v>0</v>
      </c>
      <c r="AX3160">
        <v>8</v>
      </c>
      <c r="AY3160">
        <v>128</v>
      </c>
      <c r="AZ3160">
        <v>128</v>
      </c>
      <c r="BA3160">
        <v>191</v>
      </c>
      <c r="BB3160">
        <v>44</v>
      </c>
      <c r="BD3160">
        <v>1</v>
      </c>
      <c r="BF3160" t="s">
        <v>3385</v>
      </c>
      <c r="BG3160" s="1">
        <v>44354.2</v>
      </c>
      <c r="BH3160" s="1">
        <v>44354.214861111112</v>
      </c>
      <c r="BI3160" s="1">
        <v>44354.215358796297</v>
      </c>
      <c r="BJ3160" t="s">
        <v>85</v>
      </c>
      <c r="BK3160" t="s">
        <v>86</v>
      </c>
      <c r="BL3160" t="s">
        <v>87</v>
      </c>
    </row>
    <row r="3161" spans="1:64" x14ac:dyDescent="0.3">
      <c r="A3161" t="str">
        <f>"202128B0000"</f>
        <v>202128B0000</v>
      </c>
      <c r="B3161" t="str">
        <f>"202128B00003"</f>
        <v>202128B00003</v>
      </c>
      <c r="C3161" t="str">
        <f t="shared" si="220"/>
        <v>20</v>
      </c>
      <c r="D3161" t="s">
        <v>81</v>
      </c>
      <c r="E3161" t="str">
        <f t="shared" ref="E3161:E3168" si="223">"490"</f>
        <v>490</v>
      </c>
      <c r="F3161" t="s">
        <v>3386</v>
      </c>
      <c r="G3161" t="str">
        <f>"2128"</f>
        <v>2128</v>
      </c>
      <c r="H3161" t="str">
        <f>"0000"</f>
        <v>0000</v>
      </c>
      <c r="I3161" t="s">
        <v>83</v>
      </c>
      <c r="J3161">
        <v>0</v>
      </c>
      <c r="K3161">
        <v>1</v>
      </c>
      <c r="L3161">
        <v>3</v>
      </c>
      <c r="M3161">
        <v>174</v>
      </c>
      <c r="N3161">
        <v>481</v>
      </c>
      <c r="O3161">
        <v>0</v>
      </c>
      <c r="P3161" t="s">
        <v>92</v>
      </c>
      <c r="Q3161">
        <v>23</v>
      </c>
      <c r="R3161">
        <v>124</v>
      </c>
      <c r="T3161">
        <v>23</v>
      </c>
      <c r="U3161">
        <v>83</v>
      </c>
      <c r="X3161">
        <v>124</v>
      </c>
      <c r="Y3161">
        <v>80</v>
      </c>
      <c r="Z3161">
        <v>6</v>
      </c>
      <c r="AO3161">
        <v>4</v>
      </c>
      <c r="AW3161">
        <v>0</v>
      </c>
      <c r="AX3161">
        <v>14</v>
      </c>
      <c r="AY3161">
        <v>481</v>
      </c>
      <c r="AZ3161">
        <v>481</v>
      </c>
      <c r="BA3161">
        <v>611</v>
      </c>
      <c r="BB3161">
        <v>44</v>
      </c>
      <c r="BD3161">
        <v>1</v>
      </c>
      <c r="BF3161" t="s">
        <v>3387</v>
      </c>
      <c r="BG3161" s="1">
        <v>44354.269444444442</v>
      </c>
      <c r="BH3161" s="1">
        <v>44354.27144675926</v>
      </c>
      <c r="BI3161" s="1">
        <v>44354.272118055553</v>
      </c>
      <c r="BJ3161" t="s">
        <v>85</v>
      </c>
      <c r="BK3161" t="s">
        <v>86</v>
      </c>
      <c r="BL3161" t="s">
        <v>87</v>
      </c>
    </row>
    <row r="3162" spans="1:64" x14ac:dyDescent="0.3">
      <c r="A3162" t="str">
        <f>"202128C0100"</f>
        <v>202128C0100</v>
      </c>
      <c r="B3162" t="str">
        <f>"202128C01003"</f>
        <v>202128C01003</v>
      </c>
      <c r="C3162" t="str">
        <f t="shared" si="220"/>
        <v>20</v>
      </c>
      <c r="D3162" t="s">
        <v>81</v>
      </c>
      <c r="E3162" t="str">
        <f t="shared" si="223"/>
        <v>490</v>
      </c>
      <c r="F3162" t="s">
        <v>3386</v>
      </c>
      <c r="G3162" t="str">
        <f>"2128"</f>
        <v>2128</v>
      </c>
      <c r="H3162" t="str">
        <f>"0001"</f>
        <v>0001</v>
      </c>
      <c r="I3162" t="s">
        <v>89</v>
      </c>
      <c r="J3162">
        <v>0</v>
      </c>
      <c r="K3162">
        <v>1</v>
      </c>
      <c r="L3162">
        <v>3</v>
      </c>
      <c r="M3162">
        <v>172</v>
      </c>
      <c r="N3162">
        <v>483</v>
      </c>
      <c r="O3162">
        <v>0</v>
      </c>
      <c r="P3162">
        <v>483</v>
      </c>
      <c r="Q3162">
        <v>24</v>
      </c>
      <c r="R3162">
        <v>141</v>
      </c>
      <c r="T3162">
        <v>19</v>
      </c>
      <c r="U3162">
        <v>76</v>
      </c>
      <c r="X3162">
        <v>111</v>
      </c>
      <c r="Y3162">
        <v>93</v>
      </c>
      <c r="Z3162">
        <v>1</v>
      </c>
      <c r="AO3162">
        <v>2</v>
      </c>
      <c r="AW3162">
        <v>0</v>
      </c>
      <c r="AX3162">
        <v>16</v>
      </c>
      <c r="AY3162">
        <v>483</v>
      </c>
      <c r="AZ3162">
        <v>483</v>
      </c>
      <c r="BA3162">
        <v>611</v>
      </c>
      <c r="BB3162">
        <v>44</v>
      </c>
      <c r="BD3162">
        <v>1</v>
      </c>
      <c r="BF3162" t="s">
        <v>3388</v>
      </c>
      <c r="BG3162" s="1">
        <v>44354.272916666669</v>
      </c>
      <c r="BH3162" s="1">
        <v>44354.274178240739</v>
      </c>
      <c r="BI3162" s="1">
        <v>44354.275266203702</v>
      </c>
      <c r="BJ3162" t="s">
        <v>85</v>
      </c>
      <c r="BK3162" t="s">
        <v>86</v>
      </c>
      <c r="BL3162" t="s">
        <v>87</v>
      </c>
    </row>
    <row r="3163" spans="1:64" x14ac:dyDescent="0.3">
      <c r="A3163" t="str">
        <f>"202129B0000"</f>
        <v>202129B0000</v>
      </c>
      <c r="B3163" t="str">
        <f>"202129B00003"</f>
        <v>202129B00003</v>
      </c>
      <c r="C3163" t="str">
        <f t="shared" si="220"/>
        <v>20</v>
      </c>
      <c r="D3163" t="s">
        <v>81</v>
      </c>
      <c r="E3163" t="str">
        <f t="shared" si="223"/>
        <v>490</v>
      </c>
      <c r="F3163" t="s">
        <v>3386</v>
      </c>
      <c r="G3163" t="str">
        <f>"2129"</f>
        <v>2129</v>
      </c>
      <c r="H3163" t="str">
        <f>"0000"</f>
        <v>0000</v>
      </c>
      <c r="I3163" t="s">
        <v>83</v>
      </c>
      <c r="J3163">
        <v>0</v>
      </c>
      <c r="K3163">
        <v>1</v>
      </c>
      <c r="L3163">
        <v>3</v>
      </c>
      <c r="M3163">
        <v>141</v>
      </c>
      <c r="N3163">
        <v>299</v>
      </c>
      <c r="O3163">
        <v>0</v>
      </c>
      <c r="P3163">
        <v>299</v>
      </c>
      <c r="Q3163">
        <v>6</v>
      </c>
      <c r="R3163">
        <v>36</v>
      </c>
      <c r="T3163">
        <v>55</v>
      </c>
      <c r="U3163">
        <v>8</v>
      </c>
      <c r="X3163">
        <v>186</v>
      </c>
      <c r="Y3163">
        <v>1</v>
      </c>
      <c r="Z3163">
        <v>3</v>
      </c>
      <c r="AO3163">
        <v>0</v>
      </c>
      <c r="AW3163">
        <v>0</v>
      </c>
      <c r="AX3163">
        <v>4</v>
      </c>
      <c r="AY3163">
        <v>295</v>
      </c>
      <c r="AZ3163">
        <v>299</v>
      </c>
      <c r="BA3163">
        <v>396</v>
      </c>
      <c r="BB3163">
        <v>44</v>
      </c>
      <c r="BD3163">
        <v>1</v>
      </c>
      <c r="BF3163" t="s">
        <v>3389</v>
      </c>
      <c r="BG3163" s="1">
        <v>44354.323611111111</v>
      </c>
      <c r="BH3163" s="1">
        <v>44354.327789351853</v>
      </c>
      <c r="BI3163" s="1">
        <v>44354.3280787037</v>
      </c>
      <c r="BJ3163" t="s">
        <v>85</v>
      </c>
      <c r="BK3163" t="s">
        <v>86</v>
      </c>
      <c r="BL3163" t="s">
        <v>87</v>
      </c>
    </row>
    <row r="3164" spans="1:64" x14ac:dyDescent="0.3">
      <c r="A3164" t="str">
        <f>"202129C0100"</f>
        <v>202129C0100</v>
      </c>
      <c r="B3164" t="str">
        <f>"202129C01003"</f>
        <v>202129C01003</v>
      </c>
      <c r="C3164" t="str">
        <f t="shared" si="220"/>
        <v>20</v>
      </c>
      <c r="D3164" t="s">
        <v>81</v>
      </c>
      <c r="E3164" t="str">
        <f t="shared" si="223"/>
        <v>490</v>
      </c>
      <c r="F3164" t="s">
        <v>3386</v>
      </c>
      <c r="G3164" t="str">
        <f>"2129"</f>
        <v>2129</v>
      </c>
      <c r="H3164" t="str">
        <f>"0001"</f>
        <v>0001</v>
      </c>
      <c r="I3164" t="s">
        <v>89</v>
      </c>
      <c r="J3164">
        <v>0</v>
      </c>
      <c r="K3164">
        <v>1</v>
      </c>
      <c r="L3164">
        <v>3</v>
      </c>
      <c r="M3164">
        <v>150</v>
      </c>
      <c r="N3164">
        <v>289</v>
      </c>
      <c r="O3164">
        <v>1</v>
      </c>
      <c r="P3164">
        <v>289</v>
      </c>
      <c r="Q3164">
        <v>1</v>
      </c>
      <c r="R3164">
        <v>30</v>
      </c>
      <c r="T3164">
        <v>69</v>
      </c>
      <c r="U3164">
        <v>7</v>
      </c>
      <c r="X3164">
        <v>175</v>
      </c>
      <c r="Y3164">
        <v>3</v>
      </c>
      <c r="Z3164">
        <v>0</v>
      </c>
      <c r="AO3164">
        <v>0</v>
      </c>
      <c r="AW3164">
        <v>0</v>
      </c>
      <c r="AX3164">
        <v>4</v>
      </c>
      <c r="AY3164">
        <v>289</v>
      </c>
      <c r="AZ3164">
        <v>289</v>
      </c>
      <c r="BA3164">
        <v>395</v>
      </c>
      <c r="BB3164">
        <v>44</v>
      </c>
      <c r="BD3164">
        <v>1</v>
      </c>
      <c r="BF3164" t="s">
        <v>3390</v>
      </c>
      <c r="BG3164" s="1">
        <v>44354.321527777778</v>
      </c>
      <c r="BH3164" s="1">
        <v>44354.325173611112</v>
      </c>
      <c r="BI3164" s="1">
        <v>44354.326423611114</v>
      </c>
      <c r="BJ3164" t="s">
        <v>85</v>
      </c>
      <c r="BK3164" t="s">
        <v>86</v>
      </c>
      <c r="BL3164" t="s">
        <v>87</v>
      </c>
    </row>
    <row r="3165" spans="1:64" x14ac:dyDescent="0.3">
      <c r="A3165" t="str">
        <f>"202129E0100"</f>
        <v>202129E0100</v>
      </c>
      <c r="B3165" t="str">
        <f>"202129E01003"</f>
        <v>202129E01003</v>
      </c>
      <c r="C3165" t="str">
        <f t="shared" si="220"/>
        <v>20</v>
      </c>
      <c r="D3165" t="s">
        <v>81</v>
      </c>
      <c r="E3165" t="str">
        <f t="shared" si="223"/>
        <v>490</v>
      </c>
      <c r="F3165" t="s">
        <v>3386</v>
      </c>
      <c r="G3165" t="str">
        <f>"2129"</f>
        <v>2129</v>
      </c>
      <c r="H3165" t="str">
        <f>"0001"</f>
        <v>0001</v>
      </c>
      <c r="I3165" t="s">
        <v>122</v>
      </c>
      <c r="J3165">
        <v>0</v>
      </c>
      <c r="K3165">
        <v>1</v>
      </c>
      <c r="L3165">
        <v>3</v>
      </c>
      <c r="M3165">
        <v>195</v>
      </c>
      <c r="N3165">
        <v>330</v>
      </c>
      <c r="O3165">
        <v>2</v>
      </c>
      <c r="P3165">
        <v>330</v>
      </c>
      <c r="Q3165">
        <v>19</v>
      </c>
      <c r="R3165">
        <v>100</v>
      </c>
      <c r="T3165">
        <v>43</v>
      </c>
      <c r="U3165">
        <v>21</v>
      </c>
      <c r="X3165">
        <v>132</v>
      </c>
      <c r="Y3165">
        <v>1</v>
      </c>
      <c r="Z3165">
        <v>4</v>
      </c>
      <c r="AO3165">
        <v>5</v>
      </c>
      <c r="AW3165">
        <v>0</v>
      </c>
      <c r="AX3165">
        <v>5</v>
      </c>
      <c r="AY3165">
        <v>330</v>
      </c>
      <c r="AZ3165">
        <v>330</v>
      </c>
      <c r="BA3165">
        <v>481</v>
      </c>
      <c r="BB3165">
        <v>44</v>
      </c>
      <c r="BD3165">
        <v>1</v>
      </c>
      <c r="BF3165" t="s">
        <v>3391</v>
      </c>
      <c r="BG3165" s="1">
        <v>44354.322916666664</v>
      </c>
      <c r="BH3165" s="1">
        <v>44354.326539351852</v>
      </c>
      <c r="BI3165" s="1">
        <v>44354.326921296299</v>
      </c>
      <c r="BJ3165" t="s">
        <v>85</v>
      </c>
      <c r="BK3165" t="s">
        <v>86</v>
      </c>
      <c r="BL3165" t="s">
        <v>87</v>
      </c>
    </row>
    <row r="3166" spans="1:64" x14ac:dyDescent="0.3">
      <c r="A3166" t="str">
        <f>"202130B0000"</f>
        <v>202130B0000</v>
      </c>
      <c r="B3166" t="str">
        <f>"202130B00003"</f>
        <v>202130B00003</v>
      </c>
      <c r="C3166" t="str">
        <f t="shared" si="220"/>
        <v>20</v>
      </c>
      <c r="D3166" t="s">
        <v>81</v>
      </c>
      <c r="E3166" t="str">
        <f t="shared" si="223"/>
        <v>490</v>
      </c>
      <c r="F3166" t="s">
        <v>3386</v>
      </c>
      <c r="G3166" t="str">
        <f>"2130"</f>
        <v>2130</v>
      </c>
      <c r="H3166" t="str">
        <f>"0000"</f>
        <v>0000</v>
      </c>
      <c r="I3166" t="s">
        <v>83</v>
      </c>
      <c r="J3166">
        <v>0</v>
      </c>
      <c r="K3166">
        <v>1</v>
      </c>
      <c r="L3166">
        <v>3</v>
      </c>
      <c r="M3166">
        <v>125</v>
      </c>
      <c r="N3166">
        <v>260</v>
      </c>
      <c r="O3166">
        <v>2</v>
      </c>
      <c r="P3166">
        <v>260</v>
      </c>
      <c r="Q3166">
        <v>5</v>
      </c>
      <c r="R3166">
        <v>68</v>
      </c>
      <c r="T3166">
        <v>14</v>
      </c>
      <c r="U3166">
        <v>24</v>
      </c>
      <c r="X3166">
        <v>104</v>
      </c>
      <c r="Y3166">
        <v>38</v>
      </c>
      <c r="Z3166">
        <v>1</v>
      </c>
      <c r="AO3166">
        <v>0</v>
      </c>
      <c r="AW3166">
        <v>0</v>
      </c>
      <c r="AX3166">
        <v>6</v>
      </c>
      <c r="AY3166">
        <v>260</v>
      </c>
      <c r="AZ3166">
        <v>260</v>
      </c>
      <c r="BA3166">
        <v>341</v>
      </c>
      <c r="BB3166">
        <v>44</v>
      </c>
      <c r="BD3166">
        <v>1</v>
      </c>
      <c r="BF3166" t="s">
        <v>3392</v>
      </c>
      <c r="BG3166" s="1">
        <v>44354.277777777781</v>
      </c>
      <c r="BH3166" s="1">
        <v>44354.279074074075</v>
      </c>
      <c r="BI3166" s="1">
        <v>44354.279479166667</v>
      </c>
      <c r="BJ3166" t="s">
        <v>85</v>
      </c>
      <c r="BK3166" t="s">
        <v>86</v>
      </c>
      <c r="BL3166" t="s">
        <v>87</v>
      </c>
    </row>
    <row r="3167" spans="1:64" x14ac:dyDescent="0.3">
      <c r="A3167" t="str">
        <f>"202130E0100"</f>
        <v>202130E0100</v>
      </c>
      <c r="B3167" t="str">
        <f>"202130E01003"</f>
        <v>202130E01003</v>
      </c>
      <c r="C3167" t="str">
        <f t="shared" si="220"/>
        <v>20</v>
      </c>
      <c r="D3167" t="s">
        <v>81</v>
      </c>
      <c r="E3167" t="str">
        <f t="shared" si="223"/>
        <v>490</v>
      </c>
      <c r="F3167" t="s">
        <v>3386</v>
      </c>
      <c r="G3167" t="str">
        <f>"2130"</f>
        <v>2130</v>
      </c>
      <c r="H3167" t="str">
        <f>"0001"</f>
        <v>0001</v>
      </c>
      <c r="I3167" t="s">
        <v>122</v>
      </c>
      <c r="J3167">
        <v>0</v>
      </c>
      <c r="K3167">
        <v>1</v>
      </c>
      <c r="L3167">
        <v>3</v>
      </c>
      <c r="M3167">
        <v>285</v>
      </c>
      <c r="N3167">
        <v>285</v>
      </c>
      <c r="O3167">
        <v>1</v>
      </c>
      <c r="P3167">
        <v>285</v>
      </c>
      <c r="Q3167">
        <v>19</v>
      </c>
      <c r="R3167">
        <v>109</v>
      </c>
      <c r="T3167">
        <v>5</v>
      </c>
      <c r="U3167">
        <v>3</v>
      </c>
      <c r="X3167">
        <v>129</v>
      </c>
      <c r="Y3167">
        <v>11</v>
      </c>
      <c r="Z3167">
        <v>0</v>
      </c>
      <c r="AO3167">
        <v>7</v>
      </c>
      <c r="AW3167">
        <v>0</v>
      </c>
      <c r="AX3167">
        <v>2</v>
      </c>
      <c r="AY3167">
        <v>285</v>
      </c>
      <c r="AZ3167">
        <v>285</v>
      </c>
      <c r="BA3167">
        <v>399</v>
      </c>
      <c r="BB3167">
        <v>44</v>
      </c>
      <c r="BD3167">
        <v>1</v>
      </c>
      <c r="BF3167" t="s">
        <v>3393</v>
      </c>
      <c r="BG3167" s="1">
        <v>44354.275000000001</v>
      </c>
      <c r="BH3167" s="1">
        <v>44354.276412037034</v>
      </c>
      <c r="BI3167" s="1">
        <v>44354.276828703703</v>
      </c>
      <c r="BJ3167" t="s">
        <v>85</v>
      </c>
      <c r="BK3167" t="s">
        <v>86</v>
      </c>
      <c r="BL3167" t="s">
        <v>87</v>
      </c>
    </row>
    <row r="3168" spans="1:64" x14ac:dyDescent="0.3">
      <c r="A3168" t="str">
        <f>"202130E0200"</f>
        <v>202130E0200</v>
      </c>
      <c r="B3168" t="str">
        <f>"202130E02003"</f>
        <v>202130E02003</v>
      </c>
      <c r="C3168" t="str">
        <f t="shared" si="220"/>
        <v>20</v>
      </c>
      <c r="D3168" t="s">
        <v>81</v>
      </c>
      <c r="E3168" t="str">
        <f t="shared" si="223"/>
        <v>490</v>
      </c>
      <c r="F3168" t="s">
        <v>3386</v>
      </c>
      <c r="G3168" t="str">
        <f>"2130"</f>
        <v>2130</v>
      </c>
      <c r="H3168" t="str">
        <f>"0002"</f>
        <v>0002</v>
      </c>
      <c r="I3168" t="s">
        <v>122</v>
      </c>
      <c r="J3168">
        <v>0</v>
      </c>
      <c r="K3168">
        <v>1</v>
      </c>
      <c r="L3168">
        <v>3</v>
      </c>
      <c r="M3168">
        <v>114</v>
      </c>
      <c r="N3168">
        <v>147</v>
      </c>
      <c r="O3168">
        <v>3</v>
      </c>
      <c r="P3168">
        <v>147</v>
      </c>
      <c r="Q3168">
        <v>4</v>
      </c>
      <c r="R3168">
        <v>63</v>
      </c>
      <c r="T3168">
        <v>7</v>
      </c>
      <c r="U3168">
        <v>22</v>
      </c>
      <c r="X3168">
        <v>40</v>
      </c>
      <c r="Y3168">
        <v>4</v>
      </c>
      <c r="Z3168">
        <v>1</v>
      </c>
      <c r="AO3168">
        <v>2</v>
      </c>
      <c r="AW3168">
        <v>0</v>
      </c>
      <c r="AX3168">
        <v>4</v>
      </c>
      <c r="AY3168">
        <v>147</v>
      </c>
      <c r="AZ3168">
        <v>147</v>
      </c>
      <c r="BA3168">
        <v>217</v>
      </c>
      <c r="BB3168">
        <v>44</v>
      </c>
      <c r="BD3168">
        <v>1</v>
      </c>
      <c r="BF3168" t="s">
        <v>3394</v>
      </c>
      <c r="BG3168" s="1">
        <v>44354.279166666667</v>
      </c>
      <c r="BH3168" s="1">
        <v>44354.280844907407</v>
      </c>
      <c r="BI3168" s="1">
        <v>44354.281215277777</v>
      </c>
      <c r="BJ3168" t="s">
        <v>85</v>
      </c>
      <c r="BK3168" t="s">
        <v>86</v>
      </c>
      <c r="BL3168" t="s">
        <v>87</v>
      </c>
    </row>
    <row r="3169" spans="1:64" x14ac:dyDescent="0.3">
      <c r="A3169" t="str">
        <f>"202173B0000"</f>
        <v>202173B0000</v>
      </c>
      <c r="B3169" t="str">
        <f>"202173B00003"</f>
        <v>202173B00003</v>
      </c>
      <c r="C3169" t="str">
        <f t="shared" si="220"/>
        <v>20</v>
      </c>
      <c r="D3169" t="s">
        <v>81</v>
      </c>
      <c r="E3169" t="str">
        <f>"506"</f>
        <v>506</v>
      </c>
      <c r="F3169" t="s">
        <v>3395</v>
      </c>
      <c r="G3169" t="str">
        <f>"2173"</f>
        <v>2173</v>
      </c>
      <c r="H3169" t="str">
        <f>"0000"</f>
        <v>0000</v>
      </c>
      <c r="I3169" t="s">
        <v>83</v>
      </c>
      <c r="J3169">
        <v>0</v>
      </c>
      <c r="K3169">
        <v>1</v>
      </c>
      <c r="L3169">
        <v>3</v>
      </c>
      <c r="M3169">
        <v>243</v>
      </c>
      <c r="N3169">
        <v>436</v>
      </c>
      <c r="O3169">
        <v>0</v>
      </c>
      <c r="P3169">
        <v>429</v>
      </c>
      <c r="Q3169">
        <v>2</v>
      </c>
      <c r="R3169">
        <v>120</v>
      </c>
      <c r="S3169">
        <v>120</v>
      </c>
      <c r="T3169">
        <v>80</v>
      </c>
      <c r="U3169">
        <v>1</v>
      </c>
      <c r="W3169" t="s">
        <v>95</v>
      </c>
      <c r="X3169">
        <v>26</v>
      </c>
      <c r="Y3169">
        <v>27</v>
      </c>
      <c r="Z3169">
        <v>53</v>
      </c>
      <c r="AA3169" t="s">
        <v>95</v>
      </c>
      <c r="AW3169" t="s">
        <v>95</v>
      </c>
      <c r="AX3169">
        <v>6</v>
      </c>
      <c r="AY3169">
        <v>429</v>
      </c>
      <c r="AZ3169">
        <v>435</v>
      </c>
      <c r="BA3169">
        <v>635</v>
      </c>
      <c r="BB3169">
        <v>44</v>
      </c>
      <c r="BC3169" t="s">
        <v>96</v>
      </c>
      <c r="BD3169">
        <v>1</v>
      </c>
      <c r="BF3169" t="s">
        <v>3396</v>
      </c>
      <c r="BG3169" s="1">
        <v>44354.549305555556</v>
      </c>
      <c r="BH3169" s="1">
        <v>44354.55201388889</v>
      </c>
      <c r="BI3169" s="1">
        <v>44354.553414351853</v>
      </c>
      <c r="BJ3169" t="s">
        <v>85</v>
      </c>
      <c r="BK3169" t="s">
        <v>86</v>
      </c>
      <c r="BL3169" t="s">
        <v>87</v>
      </c>
    </row>
    <row r="3170" spans="1:64" x14ac:dyDescent="0.3">
      <c r="A3170" t="str">
        <f>"202173C0100"</f>
        <v>202173C0100</v>
      </c>
      <c r="B3170" t="str">
        <f>"202173C01003"</f>
        <v>202173C01003</v>
      </c>
      <c r="C3170" t="str">
        <f t="shared" si="220"/>
        <v>20</v>
      </c>
      <c r="D3170" t="s">
        <v>81</v>
      </c>
      <c r="E3170" t="str">
        <f>"506"</f>
        <v>506</v>
      </c>
      <c r="F3170" t="s">
        <v>3395</v>
      </c>
      <c r="G3170" t="str">
        <f>"2173"</f>
        <v>2173</v>
      </c>
      <c r="H3170" t="str">
        <f>"0001"</f>
        <v>0001</v>
      </c>
      <c r="I3170" t="s">
        <v>89</v>
      </c>
      <c r="J3170">
        <v>0</v>
      </c>
      <c r="K3170">
        <v>1</v>
      </c>
      <c r="L3170">
        <v>3</v>
      </c>
      <c r="M3170">
        <v>233</v>
      </c>
      <c r="N3170">
        <v>445</v>
      </c>
      <c r="O3170">
        <v>0</v>
      </c>
      <c r="P3170">
        <v>445</v>
      </c>
      <c r="Q3170">
        <v>8</v>
      </c>
      <c r="R3170">
        <v>112</v>
      </c>
      <c r="S3170">
        <v>139</v>
      </c>
      <c r="T3170">
        <v>61</v>
      </c>
      <c r="U3170" t="s">
        <v>95</v>
      </c>
      <c r="W3170">
        <v>1</v>
      </c>
      <c r="X3170">
        <v>32</v>
      </c>
      <c r="Y3170">
        <v>20</v>
      </c>
      <c r="Z3170">
        <v>58</v>
      </c>
      <c r="AA3170">
        <v>1</v>
      </c>
      <c r="AW3170" t="s">
        <v>95</v>
      </c>
      <c r="AX3170">
        <v>13</v>
      </c>
      <c r="AY3170">
        <v>445</v>
      </c>
      <c r="AZ3170">
        <v>445</v>
      </c>
      <c r="BA3170">
        <v>634</v>
      </c>
      <c r="BB3170">
        <v>44</v>
      </c>
      <c r="BC3170" t="s">
        <v>96</v>
      </c>
      <c r="BD3170">
        <v>1</v>
      </c>
      <c r="BF3170" t="s">
        <v>3397</v>
      </c>
      <c r="BG3170" s="1">
        <v>44354.55</v>
      </c>
      <c r="BH3170" s="1">
        <v>44354.553252314814</v>
      </c>
      <c r="BI3170" s="1">
        <v>44354.553761574076</v>
      </c>
      <c r="BJ3170" t="s">
        <v>85</v>
      </c>
      <c r="BK3170" t="s">
        <v>86</v>
      </c>
      <c r="BL3170" t="s">
        <v>87</v>
      </c>
    </row>
    <row r="3171" spans="1:64" x14ac:dyDescent="0.3">
      <c r="A3171" t="str">
        <f>"202174B0000"</f>
        <v>202174B0000</v>
      </c>
      <c r="B3171" t="str">
        <f>"202174B00003"</f>
        <v>202174B00003</v>
      </c>
      <c r="C3171" t="str">
        <f t="shared" si="220"/>
        <v>20</v>
      </c>
      <c r="D3171" t="s">
        <v>81</v>
      </c>
      <c r="E3171" t="str">
        <f>"506"</f>
        <v>506</v>
      </c>
      <c r="F3171" t="s">
        <v>3395</v>
      </c>
      <c r="G3171" t="str">
        <f>"2174"</f>
        <v>2174</v>
      </c>
      <c r="H3171" t="str">
        <f>"0000"</f>
        <v>0000</v>
      </c>
      <c r="I3171" t="s">
        <v>83</v>
      </c>
      <c r="J3171">
        <v>0</v>
      </c>
      <c r="K3171">
        <v>1</v>
      </c>
      <c r="L3171">
        <v>3</v>
      </c>
      <c r="M3171">
        <v>165</v>
      </c>
      <c r="N3171">
        <v>276</v>
      </c>
      <c r="O3171">
        <v>0</v>
      </c>
      <c r="P3171">
        <v>276</v>
      </c>
      <c r="Q3171">
        <v>7</v>
      </c>
      <c r="R3171">
        <v>70</v>
      </c>
      <c r="S3171">
        <v>84</v>
      </c>
      <c r="T3171">
        <v>32</v>
      </c>
      <c r="U3171">
        <v>0</v>
      </c>
      <c r="W3171">
        <v>0</v>
      </c>
      <c r="X3171">
        <v>36</v>
      </c>
      <c r="Y3171">
        <v>13</v>
      </c>
      <c r="Z3171">
        <v>23</v>
      </c>
      <c r="AA3171">
        <v>3</v>
      </c>
      <c r="AW3171">
        <v>0</v>
      </c>
      <c r="AX3171">
        <v>8</v>
      </c>
      <c r="AY3171">
        <v>276</v>
      </c>
      <c r="AZ3171">
        <v>276</v>
      </c>
      <c r="BA3171">
        <v>397</v>
      </c>
      <c r="BB3171">
        <v>44</v>
      </c>
      <c r="BD3171">
        <v>1</v>
      </c>
      <c r="BF3171" t="s">
        <v>3398</v>
      </c>
      <c r="BG3171" s="1">
        <v>44354.549305555556</v>
      </c>
      <c r="BH3171" s="1">
        <v>44354.552384259259</v>
      </c>
      <c r="BI3171" s="1">
        <v>44354.553287037037</v>
      </c>
      <c r="BJ3171" t="s">
        <v>85</v>
      </c>
      <c r="BK3171" t="s">
        <v>86</v>
      </c>
      <c r="BL3171" t="s">
        <v>87</v>
      </c>
    </row>
    <row r="3172" spans="1:64" x14ac:dyDescent="0.3">
      <c r="A3172" t="str">
        <f>"202174C0100"</f>
        <v>202174C0100</v>
      </c>
      <c r="B3172" t="str">
        <f>"202174C01003"</f>
        <v>202174C01003</v>
      </c>
      <c r="C3172" t="str">
        <f t="shared" si="220"/>
        <v>20</v>
      </c>
      <c r="D3172" t="s">
        <v>81</v>
      </c>
      <c r="E3172" t="str">
        <f>"506"</f>
        <v>506</v>
      </c>
      <c r="F3172" t="s">
        <v>3395</v>
      </c>
      <c r="G3172" t="str">
        <f>"2174"</f>
        <v>2174</v>
      </c>
      <c r="H3172" t="str">
        <f>"0001"</f>
        <v>0001</v>
      </c>
      <c r="I3172" t="s">
        <v>89</v>
      </c>
      <c r="J3172">
        <v>0</v>
      </c>
      <c r="K3172">
        <v>1</v>
      </c>
      <c r="L3172">
        <v>3</v>
      </c>
      <c r="M3172">
        <v>170</v>
      </c>
      <c r="N3172">
        <v>270</v>
      </c>
      <c r="O3172">
        <v>0</v>
      </c>
      <c r="P3172">
        <v>270</v>
      </c>
      <c r="Q3172">
        <v>10</v>
      </c>
      <c r="R3172">
        <v>68</v>
      </c>
      <c r="S3172">
        <v>76</v>
      </c>
      <c r="T3172">
        <v>32</v>
      </c>
      <c r="U3172">
        <v>1</v>
      </c>
      <c r="W3172" t="s">
        <v>95</v>
      </c>
      <c r="X3172">
        <v>33</v>
      </c>
      <c r="Y3172">
        <v>18</v>
      </c>
      <c r="Z3172">
        <v>18</v>
      </c>
      <c r="AA3172">
        <v>1</v>
      </c>
      <c r="AW3172" t="s">
        <v>95</v>
      </c>
      <c r="AX3172">
        <v>13</v>
      </c>
      <c r="AY3172" t="s">
        <v>95</v>
      </c>
      <c r="AZ3172">
        <v>270</v>
      </c>
      <c r="BA3172">
        <v>396</v>
      </c>
      <c r="BB3172">
        <v>44</v>
      </c>
      <c r="BC3172" t="s">
        <v>96</v>
      </c>
      <c r="BD3172">
        <v>1</v>
      </c>
      <c r="BF3172" t="s">
        <v>3399</v>
      </c>
      <c r="BG3172" s="1">
        <v>44354.550694444442</v>
      </c>
      <c r="BH3172" s="1">
        <v>44354.556331018517</v>
      </c>
      <c r="BI3172" s="1">
        <v>44354.557199074072</v>
      </c>
      <c r="BJ3172" t="s">
        <v>85</v>
      </c>
      <c r="BK3172" t="s">
        <v>86</v>
      </c>
      <c r="BL3172" t="s">
        <v>87</v>
      </c>
    </row>
    <row r="3173" spans="1:64" x14ac:dyDescent="0.3">
      <c r="A3173" t="str">
        <f>"202174E0100"</f>
        <v>202174E0100</v>
      </c>
      <c r="B3173" t="str">
        <f>"202174E01003"</f>
        <v>202174E01003</v>
      </c>
      <c r="C3173" t="str">
        <f t="shared" si="220"/>
        <v>20</v>
      </c>
      <c r="D3173" t="s">
        <v>81</v>
      </c>
      <c r="E3173" t="str">
        <f>"506"</f>
        <v>506</v>
      </c>
      <c r="F3173" t="s">
        <v>3395</v>
      </c>
      <c r="G3173" t="str">
        <f>"2174"</f>
        <v>2174</v>
      </c>
      <c r="H3173" t="str">
        <f>"0001"</f>
        <v>0001</v>
      </c>
      <c r="I3173" t="s">
        <v>122</v>
      </c>
      <c r="J3173">
        <v>0</v>
      </c>
      <c r="K3173">
        <v>1</v>
      </c>
      <c r="L3173">
        <v>3</v>
      </c>
      <c r="M3173">
        <v>118</v>
      </c>
      <c r="N3173">
        <v>270</v>
      </c>
      <c r="O3173">
        <v>0</v>
      </c>
      <c r="P3173">
        <v>270</v>
      </c>
      <c r="Q3173">
        <v>1</v>
      </c>
      <c r="R3173">
        <v>94</v>
      </c>
      <c r="S3173">
        <v>66</v>
      </c>
      <c r="T3173">
        <v>30</v>
      </c>
      <c r="U3173">
        <v>1</v>
      </c>
      <c r="W3173">
        <v>1</v>
      </c>
      <c r="X3173">
        <v>8</v>
      </c>
      <c r="Y3173">
        <v>9</v>
      </c>
      <c r="Z3173">
        <v>36</v>
      </c>
      <c r="AA3173">
        <v>1</v>
      </c>
      <c r="AW3173" t="s">
        <v>95</v>
      </c>
      <c r="AX3173">
        <v>23</v>
      </c>
      <c r="AY3173">
        <v>270</v>
      </c>
      <c r="AZ3173">
        <v>270</v>
      </c>
      <c r="BA3173">
        <v>344</v>
      </c>
      <c r="BB3173">
        <v>44</v>
      </c>
      <c r="BC3173" t="s">
        <v>96</v>
      </c>
      <c r="BD3173">
        <v>1</v>
      </c>
      <c r="BF3173" t="s">
        <v>3400</v>
      </c>
      <c r="BG3173" s="1">
        <v>44354.549305555556</v>
      </c>
      <c r="BH3173" s="1">
        <v>44354.550983796296</v>
      </c>
      <c r="BI3173" s="1">
        <v>44354.551805555559</v>
      </c>
      <c r="BJ3173" t="s">
        <v>85</v>
      </c>
      <c r="BK3173" t="s">
        <v>86</v>
      </c>
      <c r="BL3173" t="s">
        <v>87</v>
      </c>
    </row>
    <row r="3174" spans="1:64" x14ac:dyDescent="0.3">
      <c r="A3174" t="str">
        <f>"202175B0000"</f>
        <v>202175B0000</v>
      </c>
      <c r="B3174" t="str">
        <f>"202175B00003"</f>
        <v>202175B00003</v>
      </c>
      <c r="C3174" t="str">
        <f t="shared" si="220"/>
        <v>20</v>
      </c>
      <c r="D3174" t="s">
        <v>81</v>
      </c>
      <c r="E3174" t="str">
        <f>"507"</f>
        <v>507</v>
      </c>
      <c r="F3174" t="s">
        <v>3401</v>
      </c>
      <c r="G3174" t="str">
        <f>"2175"</f>
        <v>2175</v>
      </c>
      <c r="H3174" t="str">
        <f>"0000"</f>
        <v>0000</v>
      </c>
      <c r="I3174" t="s">
        <v>83</v>
      </c>
      <c r="J3174">
        <v>0</v>
      </c>
      <c r="K3174">
        <v>1</v>
      </c>
      <c r="L3174">
        <v>3</v>
      </c>
      <c r="M3174">
        <v>202</v>
      </c>
      <c r="N3174">
        <v>518</v>
      </c>
      <c r="O3174">
        <v>0</v>
      </c>
      <c r="P3174">
        <v>518</v>
      </c>
      <c r="Q3174">
        <v>0</v>
      </c>
      <c r="R3174">
        <v>230</v>
      </c>
      <c r="T3174">
        <v>0</v>
      </c>
      <c r="U3174">
        <v>1</v>
      </c>
      <c r="X3174">
        <v>53</v>
      </c>
      <c r="Y3174">
        <v>1</v>
      </c>
      <c r="Z3174">
        <v>55</v>
      </c>
      <c r="AA3174">
        <v>3</v>
      </c>
      <c r="AB3174">
        <v>161</v>
      </c>
      <c r="AW3174">
        <v>0</v>
      </c>
      <c r="AX3174">
        <v>13</v>
      </c>
      <c r="AY3174">
        <v>518</v>
      </c>
      <c r="AZ3174">
        <v>517</v>
      </c>
      <c r="BA3174">
        <v>676</v>
      </c>
      <c r="BB3174">
        <v>44</v>
      </c>
      <c r="BD3174">
        <v>1</v>
      </c>
      <c r="BF3174" t="s">
        <v>3402</v>
      </c>
      <c r="BG3174" s="1">
        <v>44354.018148148149</v>
      </c>
      <c r="BH3174" s="1">
        <v>44354.025752314818</v>
      </c>
      <c r="BI3174" s="1">
        <v>44354.026087962964</v>
      </c>
      <c r="BJ3174" t="s">
        <v>197</v>
      </c>
      <c r="BK3174" t="s">
        <v>198</v>
      </c>
      <c r="BL3174" t="s">
        <v>87</v>
      </c>
    </row>
    <row r="3175" spans="1:64" x14ac:dyDescent="0.3">
      <c r="A3175" t="str">
        <f>"202175C0100"</f>
        <v>202175C0100</v>
      </c>
      <c r="B3175" t="str">
        <f>"202175C01003"</f>
        <v>202175C01003</v>
      </c>
      <c r="C3175" t="str">
        <f t="shared" si="220"/>
        <v>20</v>
      </c>
      <c r="D3175" t="s">
        <v>81</v>
      </c>
      <c r="E3175" t="str">
        <f>"507"</f>
        <v>507</v>
      </c>
      <c r="F3175" t="s">
        <v>3401</v>
      </c>
      <c r="G3175" t="str">
        <f>"2175"</f>
        <v>2175</v>
      </c>
      <c r="H3175" t="str">
        <f>"0001"</f>
        <v>0001</v>
      </c>
      <c r="I3175" t="s">
        <v>89</v>
      </c>
      <c r="J3175">
        <v>0</v>
      </c>
      <c r="K3175">
        <v>1</v>
      </c>
      <c r="L3175">
        <v>3</v>
      </c>
      <c r="M3175">
        <v>200</v>
      </c>
      <c r="N3175">
        <v>520</v>
      </c>
      <c r="O3175">
        <v>0</v>
      </c>
      <c r="P3175">
        <v>520</v>
      </c>
      <c r="Q3175">
        <v>0</v>
      </c>
      <c r="R3175">
        <v>221</v>
      </c>
      <c r="T3175">
        <v>0</v>
      </c>
      <c r="U3175">
        <v>0</v>
      </c>
      <c r="X3175">
        <v>78</v>
      </c>
      <c r="Y3175">
        <v>2</v>
      </c>
      <c r="Z3175">
        <v>43</v>
      </c>
      <c r="AA3175">
        <v>0</v>
      </c>
      <c r="AB3175">
        <v>168</v>
      </c>
      <c r="AW3175">
        <v>0</v>
      </c>
      <c r="AX3175">
        <v>8</v>
      </c>
      <c r="AY3175">
        <v>520</v>
      </c>
      <c r="AZ3175">
        <v>520</v>
      </c>
      <c r="BA3175">
        <v>676</v>
      </c>
      <c r="BB3175">
        <v>44</v>
      </c>
      <c r="BD3175">
        <v>1</v>
      </c>
      <c r="BF3175" t="s">
        <v>3403</v>
      </c>
      <c r="BG3175" s="1">
        <v>44354.095902777779</v>
      </c>
      <c r="BH3175" s="1">
        <v>44354.098796296297</v>
      </c>
      <c r="BI3175" s="1">
        <v>44354.099537037036</v>
      </c>
      <c r="BJ3175" t="s">
        <v>197</v>
      </c>
      <c r="BK3175" t="s">
        <v>198</v>
      </c>
      <c r="BL3175" t="s">
        <v>87</v>
      </c>
    </row>
    <row r="3176" spans="1:64" x14ac:dyDescent="0.3">
      <c r="A3176" t="str">
        <f>"202180B0000"</f>
        <v>202180B0000</v>
      </c>
      <c r="B3176" t="str">
        <f>"202180B00003"</f>
        <v>202180B00003</v>
      </c>
      <c r="C3176" t="str">
        <f t="shared" si="220"/>
        <v>20</v>
      </c>
      <c r="D3176" t="s">
        <v>81</v>
      </c>
      <c r="E3176" t="str">
        <f t="shared" ref="E3176:E3187" si="224">"509"</f>
        <v>509</v>
      </c>
      <c r="F3176" t="s">
        <v>3404</v>
      </c>
      <c r="G3176" t="str">
        <f>"2180"</f>
        <v>2180</v>
      </c>
      <c r="H3176" t="str">
        <f>"0000"</f>
        <v>0000</v>
      </c>
      <c r="I3176" t="s">
        <v>83</v>
      </c>
      <c r="J3176">
        <v>0</v>
      </c>
      <c r="K3176">
        <v>1</v>
      </c>
      <c r="L3176">
        <v>3</v>
      </c>
      <c r="M3176">
        <v>153</v>
      </c>
      <c r="N3176">
        <v>322</v>
      </c>
      <c r="O3176">
        <v>0</v>
      </c>
      <c r="P3176">
        <v>322</v>
      </c>
      <c r="Q3176">
        <v>0</v>
      </c>
      <c r="R3176">
        <v>80</v>
      </c>
      <c r="S3176">
        <v>0</v>
      </c>
      <c r="T3176">
        <v>1</v>
      </c>
      <c r="U3176">
        <v>8</v>
      </c>
      <c r="X3176">
        <v>19</v>
      </c>
      <c r="Y3176">
        <v>93</v>
      </c>
      <c r="Z3176">
        <v>1</v>
      </c>
      <c r="AA3176">
        <v>1</v>
      </c>
      <c r="AB3176">
        <v>99</v>
      </c>
      <c r="AF3176">
        <v>1</v>
      </c>
      <c r="AG3176">
        <v>0</v>
      </c>
      <c r="AH3176">
        <v>0</v>
      </c>
      <c r="AI3176">
        <v>0</v>
      </c>
      <c r="AW3176">
        <v>0</v>
      </c>
      <c r="AX3176">
        <v>19</v>
      </c>
      <c r="AY3176">
        <v>322</v>
      </c>
      <c r="AZ3176">
        <v>322</v>
      </c>
      <c r="BA3176">
        <v>431</v>
      </c>
      <c r="BB3176">
        <v>44</v>
      </c>
      <c r="BD3176">
        <v>1</v>
      </c>
      <c r="BF3176" t="s">
        <v>3405</v>
      </c>
      <c r="BG3176" s="1">
        <v>44353.910393518519</v>
      </c>
      <c r="BH3176" s="1">
        <v>44353.911932870367</v>
      </c>
      <c r="BI3176" s="1">
        <v>44353.912824074076</v>
      </c>
      <c r="BJ3176" t="s">
        <v>197</v>
      </c>
      <c r="BK3176" t="s">
        <v>198</v>
      </c>
      <c r="BL3176" t="s">
        <v>87</v>
      </c>
    </row>
    <row r="3177" spans="1:64" x14ac:dyDescent="0.3">
      <c r="A3177" t="str">
        <f>"202180C0100"</f>
        <v>202180C0100</v>
      </c>
      <c r="B3177" t="str">
        <f>"202180C01003"</f>
        <v>202180C01003</v>
      </c>
      <c r="C3177" t="str">
        <f t="shared" si="220"/>
        <v>20</v>
      </c>
      <c r="D3177" t="s">
        <v>81</v>
      </c>
      <c r="E3177" t="str">
        <f t="shared" si="224"/>
        <v>509</v>
      </c>
      <c r="F3177" t="s">
        <v>3404</v>
      </c>
      <c r="G3177" t="str">
        <f>"2180"</f>
        <v>2180</v>
      </c>
      <c r="H3177" t="str">
        <f>"0001"</f>
        <v>0001</v>
      </c>
      <c r="I3177" t="s">
        <v>89</v>
      </c>
      <c r="J3177">
        <v>0</v>
      </c>
      <c r="K3177">
        <v>1</v>
      </c>
      <c r="L3177">
        <v>3</v>
      </c>
      <c r="M3177" t="s">
        <v>92</v>
      </c>
      <c r="N3177" t="s">
        <v>92</v>
      </c>
      <c r="O3177" t="s">
        <v>92</v>
      </c>
      <c r="P3177" t="s">
        <v>92</v>
      </c>
      <c r="Q3177">
        <v>0</v>
      </c>
      <c r="R3177">
        <v>72</v>
      </c>
      <c r="S3177">
        <v>0</v>
      </c>
      <c r="T3177">
        <v>1</v>
      </c>
      <c r="U3177">
        <v>8</v>
      </c>
      <c r="X3177">
        <v>32</v>
      </c>
      <c r="Y3177">
        <v>88</v>
      </c>
      <c r="Z3177">
        <v>0</v>
      </c>
      <c r="AA3177">
        <v>1</v>
      </c>
      <c r="AB3177">
        <v>123</v>
      </c>
      <c r="AF3177">
        <v>1</v>
      </c>
      <c r="AG3177">
        <v>0</v>
      </c>
      <c r="AH3177">
        <v>0</v>
      </c>
      <c r="AI3177">
        <v>0</v>
      </c>
      <c r="AW3177">
        <v>0</v>
      </c>
      <c r="AX3177">
        <v>9</v>
      </c>
      <c r="AY3177">
        <v>335</v>
      </c>
      <c r="AZ3177">
        <v>335</v>
      </c>
      <c r="BA3177">
        <v>430</v>
      </c>
      <c r="BB3177">
        <v>44</v>
      </c>
      <c r="BD3177">
        <v>1</v>
      </c>
      <c r="BF3177" t="s">
        <v>3406</v>
      </c>
      <c r="BG3177" s="1">
        <v>44354.025057870371</v>
      </c>
      <c r="BH3177" s="1">
        <v>44354.031354166669</v>
      </c>
      <c r="BI3177" s="1">
        <v>44354.031701388885</v>
      </c>
      <c r="BJ3177" t="s">
        <v>197</v>
      </c>
      <c r="BK3177" t="s">
        <v>198</v>
      </c>
      <c r="BL3177" t="s">
        <v>87</v>
      </c>
    </row>
    <row r="3178" spans="1:64" x14ac:dyDescent="0.3">
      <c r="A3178" t="str">
        <f>"202181B0000"</f>
        <v>202181B0000</v>
      </c>
      <c r="B3178" t="str">
        <f>"202181B00003"</f>
        <v>202181B00003</v>
      </c>
      <c r="C3178" t="str">
        <f t="shared" si="220"/>
        <v>20</v>
      </c>
      <c r="D3178" t="s">
        <v>81</v>
      </c>
      <c r="E3178" t="str">
        <f t="shared" si="224"/>
        <v>509</v>
      </c>
      <c r="F3178" t="s">
        <v>3404</v>
      </c>
      <c r="G3178" t="str">
        <f>"2181"</f>
        <v>2181</v>
      </c>
      <c r="H3178" t="str">
        <f>"0000"</f>
        <v>0000</v>
      </c>
      <c r="I3178" t="s">
        <v>83</v>
      </c>
      <c r="J3178">
        <v>0</v>
      </c>
      <c r="K3178">
        <v>1</v>
      </c>
      <c r="L3178">
        <v>3</v>
      </c>
      <c r="M3178">
        <v>173</v>
      </c>
      <c r="N3178">
        <v>535</v>
      </c>
      <c r="O3178">
        <v>6</v>
      </c>
      <c r="P3178">
        <v>535</v>
      </c>
      <c r="Q3178">
        <v>2</v>
      </c>
      <c r="R3178">
        <v>47</v>
      </c>
      <c r="S3178">
        <v>1</v>
      </c>
      <c r="T3178">
        <v>6</v>
      </c>
      <c r="U3178">
        <v>19</v>
      </c>
      <c r="X3178">
        <v>37</v>
      </c>
      <c r="Y3178">
        <v>124</v>
      </c>
      <c r="Z3178">
        <v>2</v>
      </c>
      <c r="AA3178">
        <v>1</v>
      </c>
      <c r="AB3178">
        <v>266</v>
      </c>
      <c r="AF3178">
        <v>4</v>
      </c>
      <c r="AG3178">
        <v>0</v>
      </c>
      <c r="AH3178">
        <v>0</v>
      </c>
      <c r="AI3178">
        <v>0</v>
      </c>
      <c r="AW3178">
        <v>0</v>
      </c>
      <c r="AX3178">
        <v>0</v>
      </c>
      <c r="AY3178">
        <v>535</v>
      </c>
      <c r="AZ3178">
        <v>509</v>
      </c>
      <c r="BA3178">
        <v>664</v>
      </c>
      <c r="BB3178">
        <v>44</v>
      </c>
      <c r="BD3178">
        <v>1</v>
      </c>
      <c r="BF3178" t="s">
        <v>3407</v>
      </c>
      <c r="BG3178" s="1">
        <v>44354.009791666664</v>
      </c>
      <c r="BH3178" s="1">
        <v>44354.014756944445</v>
      </c>
      <c r="BI3178" s="1">
        <v>44354.015416666669</v>
      </c>
      <c r="BJ3178" t="s">
        <v>197</v>
      </c>
      <c r="BK3178" t="s">
        <v>198</v>
      </c>
      <c r="BL3178" t="s">
        <v>87</v>
      </c>
    </row>
    <row r="3179" spans="1:64" x14ac:dyDescent="0.3">
      <c r="A3179" t="str">
        <f>"202181C0100"</f>
        <v>202181C0100</v>
      </c>
      <c r="B3179" t="str">
        <f>"202181C01003"</f>
        <v>202181C01003</v>
      </c>
      <c r="C3179" t="str">
        <f t="shared" si="220"/>
        <v>20</v>
      </c>
      <c r="D3179" t="s">
        <v>81</v>
      </c>
      <c r="E3179" t="str">
        <f t="shared" si="224"/>
        <v>509</v>
      </c>
      <c r="F3179" t="s">
        <v>3404</v>
      </c>
      <c r="G3179" t="str">
        <f>"2181"</f>
        <v>2181</v>
      </c>
      <c r="H3179" t="str">
        <f>"0001"</f>
        <v>0001</v>
      </c>
      <c r="I3179" t="s">
        <v>89</v>
      </c>
      <c r="J3179">
        <v>0</v>
      </c>
      <c r="K3179">
        <v>1</v>
      </c>
      <c r="L3179">
        <v>3</v>
      </c>
      <c r="M3179">
        <v>217</v>
      </c>
      <c r="N3179">
        <v>490</v>
      </c>
      <c r="O3179">
        <v>0</v>
      </c>
      <c r="P3179">
        <v>490</v>
      </c>
      <c r="Q3179">
        <v>2</v>
      </c>
      <c r="R3179">
        <v>55</v>
      </c>
      <c r="S3179">
        <v>5</v>
      </c>
      <c r="T3179">
        <v>0</v>
      </c>
      <c r="U3179">
        <v>18</v>
      </c>
      <c r="X3179">
        <v>42</v>
      </c>
      <c r="Y3179">
        <v>71</v>
      </c>
      <c r="Z3179">
        <v>0</v>
      </c>
      <c r="AA3179">
        <v>3</v>
      </c>
      <c r="AB3179">
        <v>271</v>
      </c>
      <c r="AF3179">
        <v>0</v>
      </c>
      <c r="AG3179">
        <v>0</v>
      </c>
      <c r="AH3179">
        <v>0</v>
      </c>
      <c r="AI3179">
        <v>1</v>
      </c>
      <c r="AW3179">
        <v>0</v>
      </c>
      <c r="AX3179">
        <v>22</v>
      </c>
      <c r="AY3179">
        <v>490</v>
      </c>
      <c r="AZ3179">
        <v>490</v>
      </c>
      <c r="BA3179">
        <v>663</v>
      </c>
      <c r="BB3179">
        <v>44</v>
      </c>
      <c r="BD3179">
        <v>1</v>
      </c>
      <c r="BF3179" t="s">
        <v>3408</v>
      </c>
      <c r="BG3179" s="1">
        <v>44354.011284722219</v>
      </c>
      <c r="BH3179" s="1">
        <v>44354.016863425924</v>
      </c>
      <c r="BI3179" s="1">
        <v>44354.017523148148</v>
      </c>
      <c r="BJ3179" t="s">
        <v>197</v>
      </c>
      <c r="BK3179" t="s">
        <v>198</v>
      </c>
      <c r="BL3179" t="s">
        <v>87</v>
      </c>
    </row>
    <row r="3180" spans="1:64" x14ac:dyDescent="0.3">
      <c r="A3180" t="str">
        <f>"202181C0200"</f>
        <v>202181C0200</v>
      </c>
      <c r="B3180" t="str">
        <f>"202181C02003"</f>
        <v>202181C02003</v>
      </c>
      <c r="C3180" t="str">
        <f t="shared" si="220"/>
        <v>20</v>
      </c>
      <c r="D3180" t="s">
        <v>81</v>
      </c>
      <c r="E3180" t="str">
        <f t="shared" si="224"/>
        <v>509</v>
      </c>
      <c r="F3180" t="s">
        <v>3404</v>
      </c>
      <c r="G3180" t="str">
        <f>"2181"</f>
        <v>2181</v>
      </c>
      <c r="H3180" t="str">
        <f>"0002"</f>
        <v>0002</v>
      </c>
      <c r="I3180" t="s">
        <v>89</v>
      </c>
      <c r="J3180">
        <v>0</v>
      </c>
      <c r="K3180">
        <v>1</v>
      </c>
      <c r="L3180">
        <v>3</v>
      </c>
      <c r="M3180">
        <v>190</v>
      </c>
      <c r="N3180">
        <v>516</v>
      </c>
      <c r="O3180">
        <v>505</v>
      </c>
      <c r="P3180">
        <v>517</v>
      </c>
      <c r="Q3180">
        <v>1</v>
      </c>
      <c r="R3180">
        <v>62</v>
      </c>
      <c r="S3180">
        <v>0</v>
      </c>
      <c r="T3180">
        <v>3</v>
      </c>
      <c r="U3180">
        <v>10</v>
      </c>
      <c r="X3180">
        <v>38</v>
      </c>
      <c r="Y3180">
        <v>90</v>
      </c>
      <c r="Z3180">
        <v>2</v>
      </c>
      <c r="AA3180">
        <v>2</v>
      </c>
      <c r="AB3180">
        <v>281</v>
      </c>
      <c r="AF3180">
        <v>3</v>
      </c>
      <c r="AG3180">
        <v>0</v>
      </c>
      <c r="AH3180">
        <v>0</v>
      </c>
      <c r="AI3180">
        <v>0</v>
      </c>
      <c r="AW3180">
        <v>0</v>
      </c>
      <c r="AX3180">
        <v>25</v>
      </c>
      <c r="AY3180">
        <v>517</v>
      </c>
      <c r="AZ3180">
        <v>517</v>
      </c>
      <c r="BA3180">
        <v>663</v>
      </c>
      <c r="BB3180">
        <v>44</v>
      </c>
      <c r="BD3180">
        <v>1</v>
      </c>
      <c r="BF3180" t="s">
        <v>3409</v>
      </c>
      <c r="BG3180" s="1">
        <v>44354.01357638889</v>
      </c>
      <c r="BH3180" s="1">
        <v>44354.02034722222</v>
      </c>
      <c r="BI3180" s="1">
        <v>44354.021458333336</v>
      </c>
      <c r="BJ3180" t="s">
        <v>197</v>
      </c>
      <c r="BK3180" t="s">
        <v>198</v>
      </c>
      <c r="BL3180" t="s">
        <v>87</v>
      </c>
    </row>
    <row r="3181" spans="1:64" x14ac:dyDescent="0.3">
      <c r="A3181" t="str">
        <f>"202182B0000"</f>
        <v>202182B0000</v>
      </c>
      <c r="B3181" t="str">
        <f>"202182B00003"</f>
        <v>202182B00003</v>
      </c>
      <c r="C3181" t="str">
        <f t="shared" si="220"/>
        <v>20</v>
      </c>
      <c r="D3181" t="s">
        <v>81</v>
      </c>
      <c r="E3181" t="str">
        <f t="shared" si="224"/>
        <v>509</v>
      </c>
      <c r="F3181" t="s">
        <v>3404</v>
      </c>
      <c r="G3181" t="str">
        <f>"2182"</f>
        <v>2182</v>
      </c>
      <c r="H3181" t="str">
        <f>"0000"</f>
        <v>0000</v>
      </c>
      <c r="I3181" t="s">
        <v>83</v>
      </c>
      <c r="J3181">
        <v>0</v>
      </c>
      <c r="K3181">
        <v>1</v>
      </c>
      <c r="L3181">
        <v>3</v>
      </c>
      <c r="M3181">
        <v>196</v>
      </c>
      <c r="N3181">
        <v>450</v>
      </c>
      <c r="O3181">
        <v>2</v>
      </c>
      <c r="P3181">
        <v>450</v>
      </c>
      <c r="Q3181">
        <v>2</v>
      </c>
      <c r="R3181">
        <v>38</v>
      </c>
      <c r="S3181">
        <v>0</v>
      </c>
      <c r="T3181">
        <v>3</v>
      </c>
      <c r="U3181">
        <v>26</v>
      </c>
      <c r="X3181">
        <v>57</v>
      </c>
      <c r="Y3181">
        <v>125</v>
      </c>
      <c r="Z3181">
        <v>2</v>
      </c>
      <c r="AA3181">
        <v>1</v>
      </c>
      <c r="AB3181">
        <v>175</v>
      </c>
      <c r="AF3181">
        <v>0</v>
      </c>
      <c r="AG3181">
        <v>1</v>
      </c>
      <c r="AH3181">
        <v>0</v>
      </c>
      <c r="AI3181">
        <v>0</v>
      </c>
      <c r="AW3181">
        <v>0</v>
      </c>
      <c r="AX3181">
        <v>20</v>
      </c>
      <c r="AY3181">
        <v>450</v>
      </c>
      <c r="AZ3181">
        <v>450</v>
      </c>
      <c r="BA3181">
        <v>602</v>
      </c>
      <c r="BB3181">
        <v>44</v>
      </c>
      <c r="BD3181">
        <v>1</v>
      </c>
      <c r="BF3181" t="s">
        <v>3410</v>
      </c>
      <c r="BG3181" s="1">
        <v>44354.008923611109</v>
      </c>
      <c r="BH3181" s="1">
        <v>44354.01353009259</v>
      </c>
      <c r="BI3181" s="1">
        <v>44354.014074074075</v>
      </c>
      <c r="BJ3181" t="s">
        <v>197</v>
      </c>
      <c r="BK3181" t="s">
        <v>198</v>
      </c>
      <c r="BL3181" t="s">
        <v>87</v>
      </c>
    </row>
    <row r="3182" spans="1:64" x14ac:dyDescent="0.3">
      <c r="A3182" t="str">
        <f>"202182C0100"</f>
        <v>202182C0100</v>
      </c>
      <c r="B3182" t="str">
        <f>"202182C01003"</f>
        <v>202182C01003</v>
      </c>
      <c r="C3182" t="str">
        <f t="shared" si="220"/>
        <v>20</v>
      </c>
      <c r="D3182" t="s">
        <v>81</v>
      </c>
      <c r="E3182" t="str">
        <f t="shared" si="224"/>
        <v>509</v>
      </c>
      <c r="F3182" t="s">
        <v>3404</v>
      </c>
      <c r="G3182" t="str">
        <f>"2182"</f>
        <v>2182</v>
      </c>
      <c r="H3182" t="str">
        <f>"0001"</f>
        <v>0001</v>
      </c>
      <c r="I3182" t="s">
        <v>89</v>
      </c>
      <c r="J3182">
        <v>0</v>
      </c>
      <c r="K3182">
        <v>1</v>
      </c>
      <c r="L3182">
        <v>3</v>
      </c>
      <c r="M3182">
        <v>186</v>
      </c>
      <c r="N3182">
        <v>460</v>
      </c>
      <c r="O3182">
        <v>7</v>
      </c>
      <c r="P3182" t="s">
        <v>92</v>
      </c>
      <c r="Q3182">
        <v>0</v>
      </c>
      <c r="R3182">
        <v>45</v>
      </c>
      <c r="S3182">
        <v>2</v>
      </c>
      <c r="T3182">
        <v>2</v>
      </c>
      <c r="U3182">
        <v>22</v>
      </c>
      <c r="X3182">
        <v>64</v>
      </c>
      <c r="Y3182">
        <v>134</v>
      </c>
      <c r="Z3182">
        <v>1</v>
      </c>
      <c r="AA3182">
        <v>2</v>
      </c>
      <c r="AB3182">
        <v>174</v>
      </c>
      <c r="AF3182">
        <v>2</v>
      </c>
      <c r="AG3182">
        <v>0</v>
      </c>
      <c r="AH3182">
        <v>0</v>
      </c>
      <c r="AI3182">
        <v>0</v>
      </c>
      <c r="AW3182">
        <v>0</v>
      </c>
      <c r="AX3182">
        <v>6</v>
      </c>
      <c r="AY3182">
        <v>459</v>
      </c>
      <c r="AZ3182">
        <v>454</v>
      </c>
      <c r="BA3182">
        <v>602</v>
      </c>
      <c r="BB3182">
        <v>44</v>
      </c>
      <c r="BD3182">
        <v>1</v>
      </c>
      <c r="BF3182" t="s">
        <v>3411</v>
      </c>
      <c r="BG3182" s="1">
        <v>44353.939710648148</v>
      </c>
      <c r="BH3182" s="1">
        <v>44353.941203703704</v>
      </c>
      <c r="BI3182" s="1">
        <v>44353.942210648151</v>
      </c>
      <c r="BJ3182" t="s">
        <v>197</v>
      </c>
      <c r="BK3182" t="s">
        <v>198</v>
      </c>
      <c r="BL3182" t="s">
        <v>87</v>
      </c>
    </row>
    <row r="3183" spans="1:64" x14ac:dyDescent="0.3">
      <c r="A3183" t="str">
        <f>"202182C0200"</f>
        <v>202182C0200</v>
      </c>
      <c r="B3183" t="str">
        <f>"202182C02003"</f>
        <v>202182C02003</v>
      </c>
      <c r="C3183" t="str">
        <f t="shared" si="220"/>
        <v>20</v>
      </c>
      <c r="D3183" t="s">
        <v>81</v>
      </c>
      <c r="E3183" t="str">
        <f t="shared" si="224"/>
        <v>509</v>
      </c>
      <c r="F3183" t="s">
        <v>3404</v>
      </c>
      <c r="G3183" t="str">
        <f>"2182"</f>
        <v>2182</v>
      </c>
      <c r="H3183" t="str">
        <f>"0002"</f>
        <v>0002</v>
      </c>
      <c r="I3183" t="s">
        <v>89</v>
      </c>
      <c r="J3183">
        <v>0</v>
      </c>
      <c r="K3183">
        <v>1</v>
      </c>
      <c r="L3183">
        <v>3</v>
      </c>
      <c r="M3183">
        <v>207</v>
      </c>
      <c r="N3183">
        <v>439</v>
      </c>
      <c r="O3183">
        <v>4</v>
      </c>
      <c r="P3183">
        <v>439</v>
      </c>
      <c r="Q3183">
        <v>0</v>
      </c>
      <c r="R3183">
        <v>64</v>
      </c>
      <c r="S3183">
        <v>0</v>
      </c>
      <c r="T3183">
        <v>1</v>
      </c>
      <c r="U3183">
        <v>8</v>
      </c>
      <c r="X3183">
        <v>46</v>
      </c>
      <c r="Y3183">
        <v>116</v>
      </c>
      <c r="Z3183">
        <v>4</v>
      </c>
      <c r="AA3183">
        <v>1</v>
      </c>
      <c r="AB3183">
        <v>184</v>
      </c>
      <c r="AF3183">
        <v>2</v>
      </c>
      <c r="AG3183">
        <v>1</v>
      </c>
      <c r="AH3183">
        <v>0</v>
      </c>
      <c r="AI3183">
        <v>1</v>
      </c>
      <c r="AW3183" t="s">
        <v>95</v>
      </c>
      <c r="AX3183">
        <v>11</v>
      </c>
      <c r="AY3183" t="s">
        <v>95</v>
      </c>
      <c r="AZ3183">
        <v>439</v>
      </c>
      <c r="BA3183">
        <v>602</v>
      </c>
      <c r="BB3183">
        <v>44</v>
      </c>
      <c r="BC3183" t="s">
        <v>96</v>
      </c>
      <c r="BD3183">
        <v>1</v>
      </c>
      <c r="BF3183" t="s">
        <v>3412</v>
      </c>
      <c r="BG3183" s="1">
        <v>44353.93645833333</v>
      </c>
      <c r="BH3183" s="1">
        <v>44353.93787037037</v>
      </c>
      <c r="BI3183" s="1">
        <v>44353.938726851855</v>
      </c>
      <c r="BJ3183" t="s">
        <v>197</v>
      </c>
      <c r="BK3183" t="s">
        <v>198</v>
      </c>
      <c r="BL3183" t="s">
        <v>87</v>
      </c>
    </row>
    <row r="3184" spans="1:64" x14ac:dyDescent="0.3">
      <c r="A3184" t="str">
        <f>"202183B0000"</f>
        <v>202183B0000</v>
      </c>
      <c r="B3184" t="str">
        <f>"202183B00003"</f>
        <v>202183B00003</v>
      </c>
      <c r="C3184" t="str">
        <f t="shared" si="220"/>
        <v>20</v>
      </c>
      <c r="D3184" t="s">
        <v>81</v>
      </c>
      <c r="E3184" t="str">
        <f t="shared" si="224"/>
        <v>509</v>
      </c>
      <c r="F3184" t="s">
        <v>3404</v>
      </c>
      <c r="G3184" t="str">
        <f>"2183"</f>
        <v>2183</v>
      </c>
      <c r="H3184" t="str">
        <f>"0000"</f>
        <v>0000</v>
      </c>
      <c r="I3184" t="s">
        <v>83</v>
      </c>
      <c r="J3184">
        <v>0</v>
      </c>
      <c r="K3184">
        <v>1</v>
      </c>
      <c r="L3184">
        <v>3</v>
      </c>
      <c r="M3184" t="s">
        <v>92</v>
      </c>
      <c r="N3184">
        <v>686</v>
      </c>
      <c r="O3184">
        <v>504</v>
      </c>
      <c r="P3184">
        <v>504</v>
      </c>
      <c r="Q3184" t="s">
        <v>95</v>
      </c>
      <c r="R3184">
        <v>76</v>
      </c>
      <c r="S3184" t="s">
        <v>95</v>
      </c>
      <c r="T3184">
        <v>1</v>
      </c>
      <c r="U3184">
        <v>12</v>
      </c>
      <c r="X3184">
        <v>42</v>
      </c>
      <c r="Y3184">
        <v>164</v>
      </c>
      <c r="Z3184">
        <v>1</v>
      </c>
      <c r="AA3184">
        <v>2</v>
      </c>
      <c r="AB3184">
        <v>195</v>
      </c>
      <c r="AF3184" t="s">
        <v>95</v>
      </c>
      <c r="AG3184" t="s">
        <v>95</v>
      </c>
      <c r="AH3184" t="s">
        <v>95</v>
      </c>
      <c r="AI3184" t="s">
        <v>95</v>
      </c>
      <c r="AW3184" t="s">
        <v>95</v>
      </c>
      <c r="AX3184" t="s">
        <v>95</v>
      </c>
      <c r="AY3184" t="s">
        <v>95</v>
      </c>
      <c r="AZ3184">
        <v>493</v>
      </c>
      <c r="BA3184">
        <v>643</v>
      </c>
      <c r="BB3184">
        <v>44</v>
      </c>
      <c r="BC3184" t="s">
        <v>96</v>
      </c>
      <c r="BD3184">
        <v>1</v>
      </c>
      <c r="BF3184" t="s">
        <v>3413</v>
      </c>
      <c r="BG3184" s="1">
        <v>44353.873217592591</v>
      </c>
      <c r="BH3184" s="1">
        <v>44353.875497685185</v>
      </c>
      <c r="BI3184" s="1">
        <v>44353.877511574072</v>
      </c>
      <c r="BJ3184" t="s">
        <v>197</v>
      </c>
      <c r="BK3184" t="s">
        <v>198</v>
      </c>
      <c r="BL3184" t="s">
        <v>87</v>
      </c>
    </row>
    <row r="3185" spans="1:64" x14ac:dyDescent="0.3">
      <c r="A3185" t="str">
        <f>"202184B0000"</f>
        <v>202184B0000</v>
      </c>
      <c r="B3185" t="str">
        <f>"202184B00003"</f>
        <v>202184B00003</v>
      </c>
      <c r="C3185" t="str">
        <f t="shared" si="220"/>
        <v>20</v>
      </c>
      <c r="D3185" t="s">
        <v>81</v>
      </c>
      <c r="E3185" t="str">
        <f t="shared" si="224"/>
        <v>509</v>
      </c>
      <c r="F3185" t="s">
        <v>3404</v>
      </c>
      <c r="G3185" t="str">
        <f>"2184"</f>
        <v>2184</v>
      </c>
      <c r="H3185" t="str">
        <f>"0000"</f>
        <v>0000</v>
      </c>
      <c r="I3185" t="s">
        <v>83</v>
      </c>
      <c r="J3185">
        <v>0</v>
      </c>
      <c r="K3185">
        <v>1</v>
      </c>
      <c r="L3185">
        <v>3</v>
      </c>
      <c r="M3185">
        <v>200</v>
      </c>
      <c r="N3185">
        <v>426</v>
      </c>
      <c r="O3185">
        <v>0</v>
      </c>
      <c r="P3185">
        <v>426</v>
      </c>
      <c r="Q3185">
        <v>2</v>
      </c>
      <c r="R3185">
        <v>167</v>
      </c>
      <c r="S3185">
        <v>1</v>
      </c>
      <c r="T3185">
        <v>0</v>
      </c>
      <c r="U3185">
        <v>26</v>
      </c>
      <c r="X3185">
        <v>23</v>
      </c>
      <c r="Y3185">
        <v>96</v>
      </c>
      <c r="Z3185">
        <v>3</v>
      </c>
      <c r="AA3185">
        <v>0</v>
      </c>
      <c r="AB3185">
        <v>77</v>
      </c>
      <c r="AF3185">
        <v>8</v>
      </c>
      <c r="AG3185">
        <v>0</v>
      </c>
      <c r="AH3185">
        <v>0</v>
      </c>
      <c r="AI3185">
        <v>0</v>
      </c>
      <c r="AW3185">
        <v>0</v>
      </c>
      <c r="AX3185">
        <v>23</v>
      </c>
      <c r="AY3185">
        <v>426</v>
      </c>
      <c r="AZ3185">
        <v>426</v>
      </c>
      <c r="BA3185">
        <v>582</v>
      </c>
      <c r="BB3185">
        <v>44</v>
      </c>
      <c r="BD3185">
        <v>1</v>
      </c>
      <c r="BF3185" t="s">
        <v>3414</v>
      </c>
      <c r="BG3185" s="1">
        <v>44354.218055555553</v>
      </c>
      <c r="BH3185" s="1">
        <v>44354.221562500003</v>
      </c>
      <c r="BI3185" s="1">
        <v>44354.222037037034</v>
      </c>
      <c r="BJ3185" t="s">
        <v>85</v>
      </c>
      <c r="BK3185" t="s">
        <v>86</v>
      </c>
      <c r="BL3185" t="s">
        <v>87</v>
      </c>
    </row>
    <row r="3186" spans="1:64" x14ac:dyDescent="0.3">
      <c r="A3186" t="str">
        <f>"202184C0100"</f>
        <v>202184C0100</v>
      </c>
      <c r="B3186" t="str">
        <f>"202184C01003"</f>
        <v>202184C01003</v>
      </c>
      <c r="C3186" t="str">
        <f t="shared" si="220"/>
        <v>20</v>
      </c>
      <c r="D3186" t="s">
        <v>81</v>
      </c>
      <c r="E3186" t="str">
        <f t="shared" si="224"/>
        <v>509</v>
      </c>
      <c r="F3186" t="s">
        <v>3404</v>
      </c>
      <c r="G3186" t="str">
        <f>"2184"</f>
        <v>2184</v>
      </c>
      <c r="H3186" t="str">
        <f>"0001"</f>
        <v>0001</v>
      </c>
      <c r="I3186" t="s">
        <v>89</v>
      </c>
      <c r="J3186">
        <v>0</v>
      </c>
      <c r="K3186">
        <v>1</v>
      </c>
      <c r="L3186">
        <v>3</v>
      </c>
      <c r="M3186">
        <v>223</v>
      </c>
      <c r="N3186">
        <v>402</v>
      </c>
      <c r="O3186">
        <v>401</v>
      </c>
      <c r="P3186">
        <v>401</v>
      </c>
      <c r="Q3186">
        <v>2</v>
      </c>
      <c r="R3186">
        <v>179</v>
      </c>
      <c r="S3186">
        <v>2</v>
      </c>
      <c r="T3186" t="s">
        <v>95</v>
      </c>
      <c r="U3186">
        <v>18</v>
      </c>
      <c r="X3186" t="s">
        <v>131</v>
      </c>
      <c r="Y3186">
        <v>91</v>
      </c>
      <c r="Z3186" t="s">
        <v>95</v>
      </c>
      <c r="AA3186" t="s">
        <v>95</v>
      </c>
      <c r="AB3186">
        <v>73</v>
      </c>
      <c r="AF3186">
        <v>4</v>
      </c>
      <c r="AG3186">
        <v>1</v>
      </c>
      <c r="AH3186" t="s">
        <v>95</v>
      </c>
      <c r="AI3186" t="s">
        <v>95</v>
      </c>
      <c r="AW3186" t="s">
        <v>95</v>
      </c>
      <c r="AX3186">
        <v>15</v>
      </c>
      <c r="AY3186">
        <v>401</v>
      </c>
      <c r="AZ3186">
        <v>385</v>
      </c>
      <c r="BA3186">
        <v>582</v>
      </c>
      <c r="BB3186">
        <v>44</v>
      </c>
      <c r="BC3186" t="s">
        <v>96</v>
      </c>
      <c r="BD3186">
        <v>1</v>
      </c>
      <c r="BF3186" t="s">
        <v>3415</v>
      </c>
      <c r="BG3186" s="1">
        <v>44354.218055555553</v>
      </c>
      <c r="BH3186" s="1">
        <v>44354.221655092595</v>
      </c>
      <c r="BI3186" s="1">
        <v>44354.225034722222</v>
      </c>
      <c r="BJ3186" t="s">
        <v>85</v>
      </c>
      <c r="BK3186" t="s">
        <v>86</v>
      </c>
      <c r="BL3186" t="s">
        <v>87</v>
      </c>
    </row>
    <row r="3187" spans="1:64" x14ac:dyDescent="0.3">
      <c r="A3187" t="str">
        <f>"202184E0100"</f>
        <v>202184E0100</v>
      </c>
      <c r="B3187" t="str">
        <f>"202184E01003"</f>
        <v>202184E01003</v>
      </c>
      <c r="C3187" t="str">
        <f t="shared" si="220"/>
        <v>20</v>
      </c>
      <c r="D3187" t="s">
        <v>81</v>
      </c>
      <c r="E3187" t="str">
        <f t="shared" si="224"/>
        <v>509</v>
      </c>
      <c r="F3187" t="s">
        <v>3404</v>
      </c>
      <c r="G3187" t="str">
        <f>"2184"</f>
        <v>2184</v>
      </c>
      <c r="H3187" t="str">
        <f>"0001"</f>
        <v>0001</v>
      </c>
      <c r="I3187" t="s">
        <v>122</v>
      </c>
      <c r="J3187">
        <v>0</v>
      </c>
      <c r="K3187">
        <v>1</v>
      </c>
      <c r="L3187">
        <v>3</v>
      </c>
      <c r="M3187">
        <v>82</v>
      </c>
      <c r="N3187">
        <v>171</v>
      </c>
      <c r="O3187">
        <v>2</v>
      </c>
      <c r="P3187">
        <v>0</v>
      </c>
      <c r="Q3187">
        <v>2</v>
      </c>
      <c r="R3187">
        <v>60</v>
      </c>
      <c r="S3187">
        <v>0</v>
      </c>
      <c r="T3187">
        <v>0</v>
      </c>
      <c r="U3187">
        <v>12</v>
      </c>
      <c r="X3187">
        <v>7</v>
      </c>
      <c r="Y3187">
        <v>15</v>
      </c>
      <c r="Z3187">
        <v>0</v>
      </c>
      <c r="AA3187">
        <v>1</v>
      </c>
      <c r="AB3187">
        <v>38</v>
      </c>
      <c r="AF3187">
        <v>2</v>
      </c>
      <c r="AG3187">
        <v>25</v>
      </c>
      <c r="AH3187">
        <v>0</v>
      </c>
      <c r="AI3187">
        <v>0</v>
      </c>
      <c r="AW3187">
        <v>0</v>
      </c>
      <c r="AX3187">
        <v>0</v>
      </c>
      <c r="AY3187">
        <v>0</v>
      </c>
      <c r="AZ3187">
        <v>162</v>
      </c>
      <c r="BA3187">
        <v>209</v>
      </c>
      <c r="BB3187">
        <v>44</v>
      </c>
      <c r="BD3187">
        <v>1</v>
      </c>
      <c r="BF3187" t="s">
        <v>3416</v>
      </c>
      <c r="BG3187" s="1">
        <v>44353.90729166667</v>
      </c>
      <c r="BH3187" s="1">
        <v>44353.908993055556</v>
      </c>
      <c r="BI3187" s="1">
        <v>44353.909490740742</v>
      </c>
      <c r="BJ3187" t="s">
        <v>197</v>
      </c>
      <c r="BK3187" t="s">
        <v>198</v>
      </c>
      <c r="BL3187" t="s">
        <v>87</v>
      </c>
    </row>
    <row r="3188" spans="1:64" x14ac:dyDescent="0.3">
      <c r="A3188" t="str">
        <f>"202190B0000"</f>
        <v>202190B0000</v>
      </c>
      <c r="B3188" t="str">
        <f>"202190B00003"</f>
        <v>202190B00003</v>
      </c>
      <c r="C3188" t="str">
        <f t="shared" si="220"/>
        <v>20</v>
      </c>
      <c r="D3188" t="s">
        <v>81</v>
      </c>
      <c r="E3188" t="str">
        <f t="shared" ref="E3188:E3201" si="225">"513"</f>
        <v>513</v>
      </c>
      <c r="F3188" t="s">
        <v>3417</v>
      </c>
      <c r="G3188" t="str">
        <f>"2190"</f>
        <v>2190</v>
      </c>
      <c r="H3188" t="str">
        <f>"0000"</f>
        <v>0000</v>
      </c>
      <c r="I3188" t="s">
        <v>83</v>
      </c>
      <c r="J3188">
        <v>0</v>
      </c>
      <c r="K3188">
        <v>1</v>
      </c>
      <c r="L3188">
        <v>3</v>
      </c>
      <c r="M3188">
        <v>169</v>
      </c>
      <c r="N3188">
        <v>316</v>
      </c>
      <c r="O3188">
        <v>2</v>
      </c>
      <c r="P3188">
        <v>316</v>
      </c>
      <c r="Q3188">
        <v>0</v>
      </c>
      <c r="R3188">
        <v>101</v>
      </c>
      <c r="S3188">
        <v>0</v>
      </c>
      <c r="T3188">
        <v>29</v>
      </c>
      <c r="U3188">
        <v>6</v>
      </c>
      <c r="X3188">
        <v>168</v>
      </c>
      <c r="Y3188">
        <v>0</v>
      </c>
      <c r="Z3188">
        <v>0</v>
      </c>
      <c r="AB3188">
        <v>9</v>
      </c>
      <c r="AF3188">
        <v>0</v>
      </c>
      <c r="AG3188">
        <v>0</v>
      </c>
      <c r="AH3188">
        <v>0</v>
      </c>
      <c r="AI3188">
        <v>0</v>
      </c>
      <c r="AW3188">
        <v>0</v>
      </c>
      <c r="AX3188">
        <v>3</v>
      </c>
      <c r="AY3188">
        <v>316</v>
      </c>
      <c r="AZ3188">
        <v>316</v>
      </c>
      <c r="BA3188">
        <v>441</v>
      </c>
      <c r="BB3188">
        <v>44</v>
      </c>
      <c r="BD3188">
        <v>1</v>
      </c>
      <c r="BF3188" t="s">
        <v>3418</v>
      </c>
      <c r="BG3188" s="1">
        <v>44354.459722222222</v>
      </c>
      <c r="BH3188" s="1">
        <v>44354.467106481483</v>
      </c>
      <c r="BI3188" s="1">
        <v>44354.467939814815</v>
      </c>
      <c r="BJ3188" t="s">
        <v>85</v>
      </c>
      <c r="BK3188" t="s">
        <v>86</v>
      </c>
      <c r="BL3188" t="s">
        <v>87</v>
      </c>
    </row>
    <row r="3189" spans="1:64" x14ac:dyDescent="0.3">
      <c r="A3189" t="str">
        <f>"202190C0100"</f>
        <v>202190C0100</v>
      </c>
      <c r="B3189" t="str">
        <f>"202190C01003"</f>
        <v>202190C01003</v>
      </c>
      <c r="C3189" t="str">
        <f t="shared" si="220"/>
        <v>20</v>
      </c>
      <c r="D3189" t="s">
        <v>81</v>
      </c>
      <c r="E3189" t="str">
        <f t="shared" si="225"/>
        <v>513</v>
      </c>
      <c r="F3189" t="s">
        <v>3417</v>
      </c>
      <c r="G3189" t="str">
        <f>"2190"</f>
        <v>2190</v>
      </c>
      <c r="H3189" t="str">
        <f>"0001"</f>
        <v>0001</v>
      </c>
      <c r="I3189" t="s">
        <v>89</v>
      </c>
      <c r="J3189">
        <v>0</v>
      </c>
      <c r="K3189">
        <v>1</v>
      </c>
      <c r="L3189">
        <v>3</v>
      </c>
      <c r="M3189">
        <v>144</v>
      </c>
      <c r="N3189">
        <v>341</v>
      </c>
      <c r="O3189">
        <v>1</v>
      </c>
      <c r="P3189">
        <v>341</v>
      </c>
      <c r="Q3189">
        <v>0</v>
      </c>
      <c r="R3189">
        <v>93</v>
      </c>
      <c r="S3189">
        <v>0</v>
      </c>
      <c r="T3189">
        <v>40</v>
      </c>
      <c r="U3189">
        <v>4</v>
      </c>
      <c r="X3189">
        <v>192</v>
      </c>
      <c r="Y3189">
        <v>0</v>
      </c>
      <c r="Z3189">
        <v>0</v>
      </c>
      <c r="AB3189">
        <v>10</v>
      </c>
      <c r="AF3189">
        <v>0</v>
      </c>
      <c r="AG3189">
        <v>0</v>
      </c>
      <c r="AH3189">
        <v>0</v>
      </c>
      <c r="AI3189">
        <v>0</v>
      </c>
      <c r="AW3189" t="s">
        <v>95</v>
      </c>
      <c r="AX3189">
        <v>2</v>
      </c>
      <c r="AY3189">
        <v>341</v>
      </c>
      <c r="AZ3189">
        <v>341</v>
      </c>
      <c r="BA3189">
        <v>441</v>
      </c>
      <c r="BB3189">
        <v>44</v>
      </c>
      <c r="BC3189" t="s">
        <v>96</v>
      </c>
      <c r="BD3189">
        <v>1</v>
      </c>
      <c r="BF3189" t="s">
        <v>3419</v>
      </c>
      <c r="BG3189" s="1">
        <v>44354.460416666669</v>
      </c>
      <c r="BH3189" s="1">
        <v>44354.475034722222</v>
      </c>
      <c r="BI3189" s="1">
        <v>44354.47556712963</v>
      </c>
      <c r="BJ3189" t="s">
        <v>85</v>
      </c>
      <c r="BK3189" t="s">
        <v>86</v>
      </c>
      <c r="BL3189" t="s">
        <v>87</v>
      </c>
    </row>
    <row r="3190" spans="1:64" x14ac:dyDescent="0.3">
      <c r="A3190" t="str">
        <f>"202191B0000"</f>
        <v>202191B0000</v>
      </c>
      <c r="B3190" t="str">
        <f>"202191B00003"</f>
        <v>202191B00003</v>
      </c>
      <c r="C3190" t="str">
        <f t="shared" si="220"/>
        <v>20</v>
      </c>
      <c r="D3190" t="s">
        <v>81</v>
      </c>
      <c r="E3190" t="str">
        <f t="shared" si="225"/>
        <v>513</v>
      </c>
      <c r="F3190" t="s">
        <v>3417</v>
      </c>
      <c r="G3190" t="str">
        <f>"2191"</f>
        <v>2191</v>
      </c>
      <c r="H3190" t="str">
        <f>"0000"</f>
        <v>0000</v>
      </c>
      <c r="I3190" t="s">
        <v>83</v>
      </c>
      <c r="J3190">
        <v>0</v>
      </c>
      <c r="K3190">
        <v>1</v>
      </c>
      <c r="L3190">
        <v>3</v>
      </c>
      <c r="M3190">
        <v>224</v>
      </c>
      <c r="N3190">
        <v>459</v>
      </c>
      <c r="O3190">
        <v>0</v>
      </c>
      <c r="P3190">
        <v>459</v>
      </c>
      <c r="Q3190">
        <v>0</v>
      </c>
      <c r="R3190">
        <v>143</v>
      </c>
      <c r="S3190">
        <v>0</v>
      </c>
      <c r="T3190">
        <v>47</v>
      </c>
      <c r="U3190">
        <v>12</v>
      </c>
      <c r="X3190">
        <v>240</v>
      </c>
      <c r="Y3190">
        <v>0</v>
      </c>
      <c r="Z3190">
        <v>0</v>
      </c>
      <c r="AB3190">
        <v>13</v>
      </c>
      <c r="AF3190">
        <v>2</v>
      </c>
      <c r="AG3190">
        <v>0</v>
      </c>
      <c r="AH3190">
        <v>0</v>
      </c>
      <c r="AI3190">
        <v>0</v>
      </c>
      <c r="AW3190">
        <v>0</v>
      </c>
      <c r="AX3190">
        <v>0</v>
      </c>
      <c r="AY3190">
        <v>459</v>
      </c>
      <c r="AZ3190">
        <v>457</v>
      </c>
      <c r="BA3190">
        <v>639</v>
      </c>
      <c r="BB3190">
        <v>44</v>
      </c>
      <c r="BD3190">
        <v>1</v>
      </c>
      <c r="BF3190" t="s">
        <v>3420</v>
      </c>
      <c r="BG3190" s="1">
        <v>44354.460416666669</v>
      </c>
      <c r="BH3190" s="1">
        <v>44354.475115740737</v>
      </c>
      <c r="BI3190" s="1">
        <v>44354.475810185184</v>
      </c>
      <c r="BJ3190" t="s">
        <v>85</v>
      </c>
      <c r="BK3190" t="s">
        <v>86</v>
      </c>
      <c r="BL3190" t="s">
        <v>87</v>
      </c>
    </row>
    <row r="3191" spans="1:64" x14ac:dyDescent="0.3">
      <c r="A3191" t="str">
        <f>"202191C0100"</f>
        <v>202191C0100</v>
      </c>
      <c r="B3191" t="str">
        <f>"202191C01003"</f>
        <v>202191C01003</v>
      </c>
      <c r="C3191" t="str">
        <f t="shared" si="220"/>
        <v>20</v>
      </c>
      <c r="D3191" t="s">
        <v>81</v>
      </c>
      <c r="E3191" t="str">
        <f t="shared" si="225"/>
        <v>513</v>
      </c>
      <c r="F3191" t="s">
        <v>3417</v>
      </c>
      <c r="G3191" t="str">
        <f>"2191"</f>
        <v>2191</v>
      </c>
      <c r="H3191" t="str">
        <f>"0001"</f>
        <v>0001</v>
      </c>
      <c r="I3191" t="s">
        <v>89</v>
      </c>
      <c r="J3191">
        <v>0</v>
      </c>
      <c r="K3191">
        <v>1</v>
      </c>
      <c r="L3191">
        <v>3</v>
      </c>
      <c r="M3191">
        <v>200</v>
      </c>
      <c r="N3191">
        <v>482</v>
      </c>
      <c r="O3191" t="s">
        <v>92</v>
      </c>
      <c r="P3191">
        <v>482</v>
      </c>
      <c r="Q3191">
        <v>1</v>
      </c>
      <c r="R3191">
        <v>131</v>
      </c>
      <c r="S3191">
        <v>0</v>
      </c>
      <c r="T3191">
        <v>57</v>
      </c>
      <c r="U3191">
        <v>11</v>
      </c>
      <c r="X3191">
        <v>259</v>
      </c>
      <c r="Y3191">
        <v>0</v>
      </c>
      <c r="Z3191">
        <v>0</v>
      </c>
      <c r="AB3191">
        <v>21</v>
      </c>
      <c r="AF3191">
        <v>0</v>
      </c>
      <c r="AG3191">
        <v>0</v>
      </c>
      <c r="AH3191">
        <v>0</v>
      </c>
      <c r="AI3191">
        <v>0</v>
      </c>
      <c r="AW3191">
        <v>0</v>
      </c>
      <c r="AX3191">
        <v>0</v>
      </c>
      <c r="AY3191">
        <v>0</v>
      </c>
      <c r="AZ3191">
        <v>480</v>
      </c>
      <c r="BA3191">
        <v>638</v>
      </c>
      <c r="BB3191">
        <v>44</v>
      </c>
      <c r="BD3191">
        <v>1</v>
      </c>
      <c r="BF3191" t="s">
        <v>3421</v>
      </c>
      <c r="BG3191" s="1">
        <v>44354.460416666669</v>
      </c>
      <c r="BH3191" s="1">
        <v>44354.469571759262</v>
      </c>
      <c r="BI3191" s="1">
        <v>44354.471018518518</v>
      </c>
      <c r="BJ3191" t="s">
        <v>85</v>
      </c>
      <c r="BK3191" t="s">
        <v>86</v>
      </c>
      <c r="BL3191" t="s">
        <v>87</v>
      </c>
    </row>
    <row r="3192" spans="1:64" x14ac:dyDescent="0.3">
      <c r="A3192" t="str">
        <f>"202192B0000"</f>
        <v>202192B0000</v>
      </c>
      <c r="B3192" t="str">
        <f>"202192B00003"</f>
        <v>202192B00003</v>
      </c>
      <c r="C3192" t="str">
        <f t="shared" si="220"/>
        <v>20</v>
      </c>
      <c r="D3192" t="s">
        <v>81</v>
      </c>
      <c r="E3192" t="str">
        <f t="shared" si="225"/>
        <v>513</v>
      </c>
      <c r="F3192" t="s">
        <v>3417</v>
      </c>
      <c r="G3192" t="str">
        <f>"2192"</f>
        <v>2192</v>
      </c>
      <c r="H3192" t="str">
        <f>"0000"</f>
        <v>0000</v>
      </c>
      <c r="I3192" t="s">
        <v>83</v>
      </c>
      <c r="J3192">
        <v>0</v>
      </c>
      <c r="K3192">
        <v>1</v>
      </c>
      <c r="L3192">
        <v>3</v>
      </c>
      <c r="M3192">
        <v>196</v>
      </c>
      <c r="N3192">
        <v>540</v>
      </c>
      <c r="O3192">
        <v>0</v>
      </c>
      <c r="P3192">
        <v>540</v>
      </c>
      <c r="Q3192">
        <v>0</v>
      </c>
      <c r="R3192">
        <v>200</v>
      </c>
      <c r="S3192">
        <v>2</v>
      </c>
      <c r="T3192">
        <v>35</v>
      </c>
      <c r="U3192">
        <v>4</v>
      </c>
      <c r="X3192">
        <v>280</v>
      </c>
      <c r="Y3192">
        <v>0</v>
      </c>
      <c r="Z3192">
        <v>0</v>
      </c>
      <c r="AB3192">
        <v>18</v>
      </c>
      <c r="AF3192">
        <v>0</v>
      </c>
      <c r="AG3192">
        <v>0</v>
      </c>
      <c r="AH3192">
        <v>0</v>
      </c>
      <c r="AI3192">
        <v>0</v>
      </c>
      <c r="AW3192">
        <v>0</v>
      </c>
      <c r="AX3192">
        <v>1</v>
      </c>
      <c r="AY3192">
        <v>540</v>
      </c>
      <c r="AZ3192">
        <v>540</v>
      </c>
      <c r="BA3192">
        <v>692</v>
      </c>
      <c r="BB3192">
        <v>44</v>
      </c>
      <c r="BD3192">
        <v>1</v>
      </c>
      <c r="BF3192" t="s">
        <v>3422</v>
      </c>
      <c r="BG3192" s="1">
        <v>44354.460416666669</v>
      </c>
      <c r="BH3192" s="1">
        <v>44354.476076388892</v>
      </c>
      <c r="BI3192" s="1">
        <v>44354.476805555554</v>
      </c>
      <c r="BJ3192" t="s">
        <v>85</v>
      </c>
      <c r="BK3192" t="s">
        <v>86</v>
      </c>
      <c r="BL3192" t="s">
        <v>87</v>
      </c>
    </row>
    <row r="3193" spans="1:64" x14ac:dyDescent="0.3">
      <c r="A3193" t="str">
        <f>"202192C0100"</f>
        <v>202192C0100</v>
      </c>
      <c r="B3193" t="str">
        <f>"202192C01003"</f>
        <v>202192C01003</v>
      </c>
      <c r="C3193" t="str">
        <f t="shared" si="220"/>
        <v>20</v>
      </c>
      <c r="D3193" t="s">
        <v>81</v>
      </c>
      <c r="E3193" t="str">
        <f t="shared" si="225"/>
        <v>513</v>
      </c>
      <c r="F3193" t="s">
        <v>3417</v>
      </c>
      <c r="G3193" t="str">
        <f>"2192"</f>
        <v>2192</v>
      </c>
      <c r="H3193" t="str">
        <f>"0001"</f>
        <v>0001</v>
      </c>
      <c r="I3193" t="s">
        <v>89</v>
      </c>
      <c r="J3193">
        <v>0</v>
      </c>
      <c r="K3193">
        <v>1</v>
      </c>
      <c r="L3193">
        <v>3</v>
      </c>
      <c r="M3193">
        <v>183</v>
      </c>
      <c r="N3193">
        <v>551</v>
      </c>
      <c r="O3193">
        <v>3</v>
      </c>
      <c r="P3193">
        <v>551</v>
      </c>
      <c r="Q3193">
        <v>0</v>
      </c>
      <c r="R3193">
        <v>172</v>
      </c>
      <c r="S3193">
        <v>1</v>
      </c>
      <c r="T3193">
        <v>47</v>
      </c>
      <c r="U3193">
        <v>12</v>
      </c>
      <c r="X3193">
        <v>296</v>
      </c>
      <c r="Y3193">
        <v>0</v>
      </c>
      <c r="Z3193">
        <v>0</v>
      </c>
      <c r="AB3193">
        <v>21</v>
      </c>
      <c r="AF3193">
        <v>2</v>
      </c>
      <c r="AG3193">
        <v>0</v>
      </c>
      <c r="AH3193">
        <v>0</v>
      </c>
      <c r="AI3193">
        <v>0</v>
      </c>
      <c r="AW3193">
        <v>0</v>
      </c>
      <c r="AX3193">
        <v>0</v>
      </c>
      <c r="AY3193">
        <v>551</v>
      </c>
      <c r="AZ3193">
        <v>551</v>
      </c>
      <c r="BA3193">
        <v>691</v>
      </c>
      <c r="BB3193">
        <v>44</v>
      </c>
      <c r="BD3193">
        <v>1</v>
      </c>
      <c r="BF3193" s="2" t="s">
        <v>3423</v>
      </c>
      <c r="BG3193" s="1">
        <v>44354.461111111108</v>
      </c>
      <c r="BH3193" s="1">
        <v>44354.476863425924</v>
      </c>
      <c r="BI3193" s="1">
        <v>44354.477569444447</v>
      </c>
      <c r="BJ3193" t="s">
        <v>85</v>
      </c>
      <c r="BK3193" t="s">
        <v>86</v>
      </c>
      <c r="BL3193" t="s">
        <v>87</v>
      </c>
    </row>
    <row r="3194" spans="1:64" x14ac:dyDescent="0.3">
      <c r="A3194" t="str">
        <f>"202193B0000"</f>
        <v>202193B0000</v>
      </c>
      <c r="B3194" t="str">
        <f>"202193B00003"</f>
        <v>202193B00003</v>
      </c>
      <c r="C3194" t="str">
        <f t="shared" si="220"/>
        <v>20</v>
      </c>
      <c r="D3194" t="s">
        <v>81</v>
      </c>
      <c r="E3194" t="str">
        <f t="shared" si="225"/>
        <v>513</v>
      </c>
      <c r="F3194" t="s">
        <v>3417</v>
      </c>
      <c r="G3194" t="str">
        <f>"2193"</f>
        <v>2193</v>
      </c>
      <c r="H3194" t="str">
        <f>"0000"</f>
        <v>0000</v>
      </c>
      <c r="I3194" t="s">
        <v>83</v>
      </c>
      <c r="J3194">
        <v>0</v>
      </c>
      <c r="K3194">
        <v>1</v>
      </c>
      <c r="L3194">
        <v>3</v>
      </c>
      <c r="M3194">
        <v>172</v>
      </c>
      <c r="N3194">
        <v>468</v>
      </c>
      <c r="O3194">
        <v>1</v>
      </c>
      <c r="P3194">
        <v>468</v>
      </c>
      <c r="Q3194">
        <v>0</v>
      </c>
      <c r="R3194">
        <v>150</v>
      </c>
      <c r="S3194">
        <v>0</v>
      </c>
      <c r="T3194">
        <v>91</v>
      </c>
      <c r="U3194">
        <v>10</v>
      </c>
      <c r="X3194">
        <v>202</v>
      </c>
      <c r="Y3194">
        <v>0</v>
      </c>
      <c r="Z3194">
        <v>0</v>
      </c>
      <c r="AB3194">
        <v>14</v>
      </c>
      <c r="AF3194" t="s">
        <v>95</v>
      </c>
      <c r="AG3194" t="s">
        <v>95</v>
      </c>
      <c r="AH3194" t="s">
        <v>95</v>
      </c>
      <c r="AI3194" t="s">
        <v>95</v>
      </c>
      <c r="AW3194" t="s">
        <v>95</v>
      </c>
      <c r="AX3194">
        <v>1</v>
      </c>
      <c r="AY3194">
        <v>468</v>
      </c>
      <c r="AZ3194">
        <v>468</v>
      </c>
      <c r="BA3194">
        <v>596</v>
      </c>
      <c r="BB3194">
        <v>44</v>
      </c>
      <c r="BC3194" t="s">
        <v>96</v>
      </c>
      <c r="BD3194">
        <v>1</v>
      </c>
      <c r="BF3194" t="s">
        <v>3424</v>
      </c>
      <c r="BG3194" s="1">
        <v>44354.461111111108</v>
      </c>
      <c r="BH3194" s="1">
        <v>44354.469409722224</v>
      </c>
      <c r="BI3194" s="1">
        <v>44354.47042824074</v>
      </c>
      <c r="BJ3194" t="s">
        <v>85</v>
      </c>
      <c r="BK3194" t="s">
        <v>86</v>
      </c>
      <c r="BL3194" t="s">
        <v>87</v>
      </c>
    </row>
    <row r="3195" spans="1:64" x14ac:dyDescent="0.3">
      <c r="A3195" t="str">
        <f>"202193C0100"</f>
        <v>202193C0100</v>
      </c>
      <c r="B3195" t="str">
        <f>"202193C01003"</f>
        <v>202193C01003</v>
      </c>
      <c r="C3195" t="str">
        <f t="shared" si="220"/>
        <v>20</v>
      </c>
      <c r="D3195" t="s">
        <v>81</v>
      </c>
      <c r="E3195" t="str">
        <f t="shared" si="225"/>
        <v>513</v>
      </c>
      <c r="F3195" t="s">
        <v>3417</v>
      </c>
      <c r="G3195" t="str">
        <f>"2193"</f>
        <v>2193</v>
      </c>
      <c r="H3195" t="str">
        <f>"0001"</f>
        <v>0001</v>
      </c>
      <c r="I3195" t="s">
        <v>89</v>
      </c>
      <c r="J3195">
        <v>0</v>
      </c>
      <c r="K3195">
        <v>1</v>
      </c>
      <c r="L3195">
        <v>3</v>
      </c>
      <c r="M3195">
        <v>170</v>
      </c>
      <c r="N3195">
        <v>471</v>
      </c>
      <c r="O3195">
        <v>9</v>
      </c>
      <c r="P3195">
        <v>470</v>
      </c>
      <c r="Q3195">
        <v>0</v>
      </c>
      <c r="R3195">
        <v>173</v>
      </c>
      <c r="S3195">
        <v>1</v>
      </c>
      <c r="T3195">
        <v>55</v>
      </c>
      <c r="U3195">
        <v>4</v>
      </c>
      <c r="X3195">
        <v>211</v>
      </c>
      <c r="Y3195">
        <v>0</v>
      </c>
      <c r="Z3195">
        <v>1</v>
      </c>
      <c r="AB3195">
        <v>19</v>
      </c>
      <c r="AF3195">
        <v>1</v>
      </c>
      <c r="AG3195">
        <v>0</v>
      </c>
      <c r="AH3195">
        <v>0</v>
      </c>
      <c r="AI3195">
        <v>0</v>
      </c>
      <c r="AW3195">
        <v>0</v>
      </c>
      <c r="AX3195">
        <v>5</v>
      </c>
      <c r="AY3195">
        <v>470</v>
      </c>
      <c r="AZ3195">
        <v>470</v>
      </c>
      <c r="BA3195">
        <v>596</v>
      </c>
      <c r="BB3195">
        <v>44</v>
      </c>
      <c r="BD3195">
        <v>1</v>
      </c>
      <c r="BF3195" t="s">
        <v>3425</v>
      </c>
      <c r="BG3195" s="1">
        <v>44354.461805555555</v>
      </c>
      <c r="BH3195" s="1">
        <v>44354.471631944441</v>
      </c>
      <c r="BI3195" s="1">
        <v>44354.472384259258</v>
      </c>
      <c r="BJ3195" t="s">
        <v>85</v>
      </c>
      <c r="BK3195" t="s">
        <v>86</v>
      </c>
      <c r="BL3195" t="s">
        <v>87</v>
      </c>
    </row>
    <row r="3196" spans="1:64" x14ac:dyDescent="0.3">
      <c r="A3196" t="str">
        <f>"202194B0000"</f>
        <v>202194B0000</v>
      </c>
      <c r="B3196" t="str">
        <f>"202194B00003"</f>
        <v>202194B00003</v>
      </c>
      <c r="C3196" t="str">
        <f t="shared" si="220"/>
        <v>20</v>
      </c>
      <c r="D3196" t="s">
        <v>81</v>
      </c>
      <c r="E3196" t="str">
        <f t="shared" si="225"/>
        <v>513</v>
      </c>
      <c r="F3196" t="s">
        <v>3417</v>
      </c>
      <c r="G3196" t="str">
        <f>"2194"</f>
        <v>2194</v>
      </c>
      <c r="H3196" t="str">
        <f>"0000"</f>
        <v>0000</v>
      </c>
      <c r="I3196" t="s">
        <v>83</v>
      </c>
      <c r="J3196">
        <v>0</v>
      </c>
      <c r="K3196">
        <v>1</v>
      </c>
      <c r="L3196">
        <v>3</v>
      </c>
      <c r="M3196">
        <v>191</v>
      </c>
      <c r="N3196">
        <v>580</v>
      </c>
      <c r="O3196">
        <v>0</v>
      </c>
      <c r="P3196">
        <v>580</v>
      </c>
      <c r="Q3196" t="s">
        <v>95</v>
      </c>
      <c r="R3196">
        <v>262</v>
      </c>
      <c r="S3196">
        <v>1</v>
      </c>
      <c r="T3196">
        <v>69</v>
      </c>
      <c r="U3196">
        <v>2</v>
      </c>
      <c r="X3196">
        <v>227</v>
      </c>
      <c r="Y3196">
        <v>2</v>
      </c>
      <c r="Z3196">
        <v>4</v>
      </c>
      <c r="AB3196" t="s">
        <v>95</v>
      </c>
      <c r="AF3196">
        <v>3</v>
      </c>
      <c r="AG3196" t="s">
        <v>95</v>
      </c>
      <c r="AH3196" t="s">
        <v>95</v>
      </c>
      <c r="AI3196" t="s">
        <v>95</v>
      </c>
      <c r="AW3196" t="s">
        <v>95</v>
      </c>
      <c r="AX3196">
        <v>10</v>
      </c>
      <c r="AY3196" t="s">
        <v>131</v>
      </c>
      <c r="AZ3196">
        <v>580</v>
      </c>
      <c r="BA3196">
        <v>727</v>
      </c>
      <c r="BB3196">
        <v>44</v>
      </c>
      <c r="BC3196" t="s">
        <v>96</v>
      </c>
      <c r="BD3196">
        <v>1</v>
      </c>
      <c r="BF3196" t="s">
        <v>3426</v>
      </c>
      <c r="BG3196" s="1">
        <v>44354.455555555556</v>
      </c>
      <c r="BH3196" s="1">
        <v>44354.4608912037</v>
      </c>
      <c r="BI3196" s="1">
        <v>44354.461342592593</v>
      </c>
      <c r="BJ3196" t="s">
        <v>85</v>
      </c>
      <c r="BK3196" t="s">
        <v>86</v>
      </c>
      <c r="BL3196" t="s">
        <v>87</v>
      </c>
    </row>
    <row r="3197" spans="1:64" x14ac:dyDescent="0.3">
      <c r="A3197" t="str">
        <f>"202195B0000"</f>
        <v>202195B0000</v>
      </c>
      <c r="B3197" t="str">
        <f>"202195B00003"</f>
        <v>202195B00003</v>
      </c>
      <c r="C3197" t="str">
        <f t="shared" si="220"/>
        <v>20</v>
      </c>
      <c r="D3197" t="s">
        <v>81</v>
      </c>
      <c r="E3197" t="str">
        <f t="shared" si="225"/>
        <v>513</v>
      </c>
      <c r="F3197" t="s">
        <v>3417</v>
      </c>
      <c r="G3197" t="str">
        <f>"2195"</f>
        <v>2195</v>
      </c>
      <c r="H3197" t="str">
        <f>"0000"</f>
        <v>0000</v>
      </c>
      <c r="I3197" t="s">
        <v>83</v>
      </c>
      <c r="J3197">
        <v>0</v>
      </c>
      <c r="K3197">
        <v>1</v>
      </c>
      <c r="L3197">
        <v>3</v>
      </c>
      <c r="M3197">
        <v>92</v>
      </c>
      <c r="N3197">
        <v>247</v>
      </c>
      <c r="O3197">
        <v>0</v>
      </c>
      <c r="P3197">
        <v>247</v>
      </c>
      <c r="Q3197" t="s">
        <v>95</v>
      </c>
      <c r="R3197">
        <v>84</v>
      </c>
      <c r="S3197">
        <v>1</v>
      </c>
      <c r="T3197">
        <v>33</v>
      </c>
      <c r="U3197">
        <v>0</v>
      </c>
      <c r="X3197">
        <v>123</v>
      </c>
      <c r="Y3197">
        <v>0</v>
      </c>
      <c r="Z3197">
        <v>0</v>
      </c>
      <c r="AB3197">
        <v>6</v>
      </c>
      <c r="AF3197">
        <v>0</v>
      </c>
      <c r="AG3197">
        <v>0</v>
      </c>
      <c r="AH3197">
        <v>0</v>
      </c>
      <c r="AI3197">
        <v>0</v>
      </c>
      <c r="AW3197">
        <v>0</v>
      </c>
      <c r="AX3197">
        <v>0</v>
      </c>
      <c r="AY3197">
        <v>247</v>
      </c>
      <c r="AZ3197">
        <v>247</v>
      </c>
      <c r="BA3197">
        <v>295</v>
      </c>
      <c r="BB3197">
        <v>44</v>
      </c>
      <c r="BC3197" t="s">
        <v>96</v>
      </c>
      <c r="BD3197">
        <v>1</v>
      </c>
      <c r="BF3197" t="s">
        <v>3427</v>
      </c>
      <c r="BG3197" s="1">
        <v>44354.462500000001</v>
      </c>
      <c r="BH3197" s="1">
        <v>44354.468090277776</v>
      </c>
      <c r="BI3197" s="1">
        <v>44354.468541666669</v>
      </c>
      <c r="BJ3197" t="s">
        <v>85</v>
      </c>
      <c r="BK3197" t="s">
        <v>86</v>
      </c>
      <c r="BL3197" t="s">
        <v>87</v>
      </c>
    </row>
    <row r="3198" spans="1:64" x14ac:dyDescent="0.3">
      <c r="A3198" t="str">
        <f>"202195E0100"</f>
        <v>202195E0100</v>
      </c>
      <c r="B3198" t="str">
        <f>"202195E01003"</f>
        <v>202195E01003</v>
      </c>
      <c r="C3198" t="str">
        <f t="shared" si="220"/>
        <v>20</v>
      </c>
      <c r="D3198" t="s">
        <v>81</v>
      </c>
      <c r="E3198" t="str">
        <f t="shared" si="225"/>
        <v>513</v>
      </c>
      <c r="F3198" t="s">
        <v>3417</v>
      </c>
      <c r="G3198" t="str">
        <f>"2195"</f>
        <v>2195</v>
      </c>
      <c r="H3198" t="str">
        <f>"0001"</f>
        <v>0001</v>
      </c>
      <c r="I3198" t="s">
        <v>122</v>
      </c>
      <c r="J3198">
        <v>0</v>
      </c>
      <c r="K3198">
        <v>1</v>
      </c>
      <c r="L3198">
        <v>3</v>
      </c>
      <c r="M3198">
        <v>84</v>
      </c>
      <c r="N3198">
        <v>268</v>
      </c>
      <c r="O3198">
        <v>0</v>
      </c>
      <c r="P3198">
        <v>268</v>
      </c>
      <c r="Q3198" t="s">
        <v>95</v>
      </c>
      <c r="R3198">
        <v>127</v>
      </c>
      <c r="S3198" t="s">
        <v>95</v>
      </c>
      <c r="T3198">
        <v>61</v>
      </c>
      <c r="U3198" t="s">
        <v>95</v>
      </c>
      <c r="X3198">
        <v>74</v>
      </c>
      <c r="Y3198" t="s">
        <v>95</v>
      </c>
      <c r="Z3198" t="s">
        <v>95</v>
      </c>
      <c r="AB3198">
        <v>6</v>
      </c>
      <c r="AF3198" t="s">
        <v>95</v>
      </c>
      <c r="AG3198" t="s">
        <v>95</v>
      </c>
      <c r="AH3198" t="s">
        <v>95</v>
      </c>
      <c r="AI3198" t="s">
        <v>95</v>
      </c>
      <c r="AW3198" t="s">
        <v>95</v>
      </c>
      <c r="AX3198" t="s">
        <v>95</v>
      </c>
      <c r="AY3198">
        <v>268</v>
      </c>
      <c r="AZ3198">
        <v>268</v>
      </c>
      <c r="BA3198">
        <v>308</v>
      </c>
      <c r="BB3198">
        <v>44</v>
      </c>
      <c r="BC3198" t="s">
        <v>96</v>
      </c>
      <c r="BD3198">
        <v>1</v>
      </c>
      <c r="BF3198" t="s">
        <v>3428</v>
      </c>
      <c r="BG3198" s="1">
        <v>44354.462500000001</v>
      </c>
      <c r="BH3198" s="1">
        <v>44354.47</v>
      </c>
      <c r="BI3198" s="1">
        <v>44354.470381944448</v>
      </c>
      <c r="BJ3198" t="s">
        <v>85</v>
      </c>
      <c r="BK3198" t="s">
        <v>86</v>
      </c>
      <c r="BL3198" t="s">
        <v>87</v>
      </c>
    </row>
    <row r="3199" spans="1:64" x14ac:dyDescent="0.3">
      <c r="A3199" t="str">
        <f>"202196B0000"</f>
        <v>202196B0000</v>
      </c>
      <c r="B3199" t="str">
        <f>"202196B00003"</f>
        <v>202196B00003</v>
      </c>
      <c r="C3199" t="str">
        <f t="shared" si="220"/>
        <v>20</v>
      </c>
      <c r="D3199" t="s">
        <v>81</v>
      </c>
      <c r="E3199" t="str">
        <f t="shared" si="225"/>
        <v>513</v>
      </c>
      <c r="F3199" t="s">
        <v>3417</v>
      </c>
      <c r="G3199" t="str">
        <f>"2196"</f>
        <v>2196</v>
      </c>
      <c r="H3199" t="str">
        <f>"0000"</f>
        <v>0000</v>
      </c>
      <c r="I3199" t="s">
        <v>83</v>
      </c>
      <c r="J3199">
        <v>0</v>
      </c>
      <c r="K3199">
        <v>1</v>
      </c>
      <c r="L3199">
        <v>3</v>
      </c>
      <c r="M3199">
        <v>77</v>
      </c>
      <c r="N3199">
        <v>303</v>
      </c>
      <c r="O3199">
        <v>0</v>
      </c>
      <c r="P3199">
        <v>303</v>
      </c>
      <c r="Q3199">
        <v>0</v>
      </c>
      <c r="R3199">
        <v>120</v>
      </c>
      <c r="S3199">
        <v>1</v>
      </c>
      <c r="T3199">
        <v>21</v>
      </c>
      <c r="U3199">
        <v>0</v>
      </c>
      <c r="X3199">
        <v>158</v>
      </c>
      <c r="Y3199">
        <v>0</v>
      </c>
      <c r="Z3199">
        <v>0</v>
      </c>
      <c r="AB3199">
        <v>2</v>
      </c>
      <c r="AF3199">
        <v>0</v>
      </c>
      <c r="AG3199">
        <v>0</v>
      </c>
      <c r="AH3199">
        <v>0</v>
      </c>
      <c r="AI3199">
        <v>0</v>
      </c>
      <c r="AW3199">
        <v>0</v>
      </c>
      <c r="AX3199">
        <v>1</v>
      </c>
      <c r="AY3199">
        <v>303</v>
      </c>
      <c r="AZ3199">
        <v>303</v>
      </c>
      <c r="BA3199">
        <v>336</v>
      </c>
      <c r="BB3199">
        <v>44</v>
      </c>
      <c r="BD3199">
        <v>1</v>
      </c>
      <c r="BF3199" t="s">
        <v>3429</v>
      </c>
      <c r="BG3199" s="1">
        <v>44354.462500000001</v>
      </c>
      <c r="BH3199" s="1">
        <v>44354.472604166665</v>
      </c>
      <c r="BI3199" s="1">
        <v>44354.472974537035</v>
      </c>
      <c r="BJ3199" t="s">
        <v>85</v>
      </c>
      <c r="BK3199" t="s">
        <v>86</v>
      </c>
      <c r="BL3199" t="s">
        <v>87</v>
      </c>
    </row>
    <row r="3200" spans="1:64" x14ac:dyDescent="0.3">
      <c r="A3200" t="str">
        <f>"202197B0000"</f>
        <v>202197B0000</v>
      </c>
      <c r="B3200" t="str">
        <f>"202197B00003"</f>
        <v>202197B00003</v>
      </c>
      <c r="C3200" t="str">
        <f t="shared" si="220"/>
        <v>20</v>
      </c>
      <c r="D3200" t="s">
        <v>81</v>
      </c>
      <c r="E3200" t="str">
        <f t="shared" si="225"/>
        <v>513</v>
      </c>
      <c r="F3200" t="s">
        <v>3417</v>
      </c>
      <c r="G3200" t="str">
        <f>"2197"</f>
        <v>2197</v>
      </c>
      <c r="H3200" t="str">
        <f>"0000"</f>
        <v>0000</v>
      </c>
      <c r="I3200" t="s">
        <v>83</v>
      </c>
      <c r="J3200">
        <v>0</v>
      </c>
      <c r="K3200">
        <v>1</v>
      </c>
      <c r="L3200">
        <v>3</v>
      </c>
      <c r="M3200">
        <v>67</v>
      </c>
      <c r="N3200">
        <v>134</v>
      </c>
      <c r="O3200">
        <v>0</v>
      </c>
      <c r="P3200" t="s">
        <v>92</v>
      </c>
      <c r="Q3200">
        <v>0</v>
      </c>
      <c r="R3200">
        <v>57</v>
      </c>
      <c r="S3200">
        <v>0</v>
      </c>
      <c r="T3200">
        <v>25</v>
      </c>
      <c r="U3200">
        <v>0</v>
      </c>
      <c r="X3200">
        <v>46</v>
      </c>
      <c r="Y3200">
        <v>0</v>
      </c>
      <c r="Z3200">
        <v>0</v>
      </c>
      <c r="AB3200">
        <v>6</v>
      </c>
      <c r="AF3200">
        <v>0</v>
      </c>
      <c r="AG3200">
        <v>0</v>
      </c>
      <c r="AH3200">
        <v>0</v>
      </c>
      <c r="AI3200">
        <v>0</v>
      </c>
      <c r="AW3200">
        <v>0</v>
      </c>
      <c r="AX3200">
        <v>0</v>
      </c>
      <c r="AY3200">
        <v>134</v>
      </c>
      <c r="AZ3200">
        <v>134</v>
      </c>
      <c r="BA3200">
        <v>157</v>
      </c>
      <c r="BB3200">
        <v>44</v>
      </c>
      <c r="BD3200">
        <v>1</v>
      </c>
      <c r="BF3200" t="s">
        <v>3430</v>
      </c>
      <c r="BG3200" s="1">
        <v>44354.463194444441</v>
      </c>
      <c r="BH3200" s="1">
        <v>44354.47347222222</v>
      </c>
      <c r="BI3200" s="1">
        <v>44354.474027777775</v>
      </c>
      <c r="BJ3200" t="s">
        <v>85</v>
      </c>
      <c r="BK3200" t="s">
        <v>86</v>
      </c>
      <c r="BL3200" t="s">
        <v>87</v>
      </c>
    </row>
    <row r="3201" spans="1:64" x14ac:dyDescent="0.3">
      <c r="A3201" t="str">
        <f>"202198B0000"</f>
        <v>202198B0000</v>
      </c>
      <c r="B3201" t="str">
        <f>"202198B00003"</f>
        <v>202198B00003</v>
      </c>
      <c r="C3201" t="str">
        <f t="shared" si="220"/>
        <v>20</v>
      </c>
      <c r="D3201" t="s">
        <v>81</v>
      </c>
      <c r="E3201" t="str">
        <f t="shared" si="225"/>
        <v>513</v>
      </c>
      <c r="F3201" t="s">
        <v>3417</v>
      </c>
      <c r="G3201" t="str">
        <f>"2198"</f>
        <v>2198</v>
      </c>
      <c r="H3201" t="str">
        <f>"0000"</f>
        <v>0000</v>
      </c>
      <c r="I3201" t="s">
        <v>83</v>
      </c>
      <c r="J3201">
        <v>0</v>
      </c>
      <c r="K3201">
        <v>1</v>
      </c>
      <c r="L3201">
        <v>3</v>
      </c>
      <c r="M3201">
        <v>66</v>
      </c>
      <c r="N3201">
        <v>211</v>
      </c>
      <c r="O3201">
        <v>2</v>
      </c>
      <c r="P3201">
        <v>211</v>
      </c>
      <c r="Q3201">
        <v>0</v>
      </c>
      <c r="R3201">
        <v>60</v>
      </c>
      <c r="S3201">
        <v>0</v>
      </c>
      <c r="T3201">
        <v>12</v>
      </c>
      <c r="U3201">
        <v>7</v>
      </c>
      <c r="X3201">
        <v>128</v>
      </c>
      <c r="Y3201">
        <v>0</v>
      </c>
      <c r="Z3201">
        <v>1</v>
      </c>
      <c r="AB3201">
        <v>2</v>
      </c>
      <c r="AF3201">
        <v>0</v>
      </c>
      <c r="AG3201">
        <v>0</v>
      </c>
      <c r="AH3201">
        <v>0</v>
      </c>
      <c r="AI3201">
        <v>0</v>
      </c>
      <c r="AW3201">
        <v>0</v>
      </c>
      <c r="AX3201">
        <v>1</v>
      </c>
      <c r="AY3201">
        <v>211</v>
      </c>
      <c r="AZ3201">
        <v>211</v>
      </c>
      <c r="BA3201">
        <v>233</v>
      </c>
      <c r="BB3201">
        <v>44</v>
      </c>
      <c r="BD3201">
        <v>1</v>
      </c>
      <c r="BF3201" t="s">
        <v>3431</v>
      </c>
      <c r="BG3201" s="1">
        <v>44354.463194444441</v>
      </c>
      <c r="BH3201" s="1">
        <v>44354.472777777781</v>
      </c>
      <c r="BI3201" s="1">
        <v>44354.474143518521</v>
      </c>
      <c r="BJ3201" t="s">
        <v>85</v>
      </c>
      <c r="BK3201" t="s">
        <v>86</v>
      </c>
      <c r="BL3201" t="s">
        <v>87</v>
      </c>
    </row>
    <row r="3202" spans="1:64" x14ac:dyDescent="0.3">
      <c r="A3202" t="str">
        <f>"202054B0000"</f>
        <v>202054B0000</v>
      </c>
      <c r="B3202" t="str">
        <f>"202054B00003"</f>
        <v>202054B00003</v>
      </c>
      <c r="C3202" t="str">
        <f t="shared" si="220"/>
        <v>20</v>
      </c>
      <c r="D3202" t="s">
        <v>81</v>
      </c>
      <c r="E3202" t="str">
        <f t="shared" ref="E3202:E3233" si="226">"515"</f>
        <v>515</v>
      </c>
      <c r="F3202" t="s">
        <v>3432</v>
      </c>
      <c r="G3202" t="str">
        <f>"2054"</f>
        <v>2054</v>
      </c>
      <c r="H3202" t="str">
        <f>"0000"</f>
        <v>0000</v>
      </c>
      <c r="I3202" t="s">
        <v>83</v>
      </c>
      <c r="J3202">
        <v>0</v>
      </c>
      <c r="K3202">
        <v>1</v>
      </c>
      <c r="L3202">
        <v>3</v>
      </c>
      <c r="M3202">
        <v>186</v>
      </c>
      <c r="N3202">
        <v>464</v>
      </c>
      <c r="O3202">
        <v>2</v>
      </c>
      <c r="P3202">
        <v>464</v>
      </c>
      <c r="Q3202">
        <v>20</v>
      </c>
      <c r="R3202">
        <v>36</v>
      </c>
      <c r="S3202">
        <v>4</v>
      </c>
      <c r="T3202">
        <v>17</v>
      </c>
      <c r="U3202">
        <v>52</v>
      </c>
      <c r="V3202">
        <v>12</v>
      </c>
      <c r="W3202">
        <v>0</v>
      </c>
      <c r="X3202">
        <v>283</v>
      </c>
      <c r="Y3202">
        <v>0</v>
      </c>
      <c r="Z3202">
        <v>9</v>
      </c>
      <c r="AA3202">
        <v>9</v>
      </c>
      <c r="AB3202">
        <v>7</v>
      </c>
      <c r="AT3202">
        <v>0</v>
      </c>
      <c r="AW3202">
        <v>0</v>
      </c>
      <c r="AX3202">
        <v>15</v>
      </c>
      <c r="AY3202">
        <v>464</v>
      </c>
      <c r="AZ3202">
        <v>464</v>
      </c>
      <c r="BA3202">
        <v>606</v>
      </c>
      <c r="BB3202">
        <v>44</v>
      </c>
      <c r="BD3202">
        <v>1</v>
      </c>
      <c r="BF3202" t="s">
        <v>3433</v>
      </c>
      <c r="BG3202" s="1">
        <v>44354.529861111114</v>
      </c>
      <c r="BH3202" s="1">
        <v>44354.532187500001</v>
      </c>
      <c r="BI3202" s="1">
        <v>44354.533368055556</v>
      </c>
      <c r="BJ3202" t="s">
        <v>85</v>
      </c>
      <c r="BK3202" t="s">
        <v>86</v>
      </c>
      <c r="BL3202" t="s">
        <v>87</v>
      </c>
    </row>
    <row r="3203" spans="1:64" x14ac:dyDescent="0.3">
      <c r="A3203" t="str">
        <f>"202200B0000"</f>
        <v>202200B0000</v>
      </c>
      <c r="B3203" t="str">
        <f>"202200B00003"</f>
        <v>202200B00003</v>
      </c>
      <c r="C3203" t="str">
        <f t="shared" si="220"/>
        <v>20</v>
      </c>
      <c r="D3203" t="s">
        <v>81</v>
      </c>
      <c r="E3203" t="str">
        <f t="shared" si="226"/>
        <v>515</v>
      </c>
      <c r="F3203" t="s">
        <v>3432</v>
      </c>
      <c r="G3203" t="str">
        <f t="shared" ref="G3203:G3208" si="227">"2200"</f>
        <v>2200</v>
      </c>
      <c r="H3203" t="str">
        <f>"0000"</f>
        <v>0000</v>
      </c>
      <c r="I3203" t="s">
        <v>83</v>
      </c>
      <c r="J3203">
        <v>0</v>
      </c>
      <c r="K3203">
        <v>1</v>
      </c>
      <c r="L3203">
        <v>3</v>
      </c>
      <c r="M3203">
        <v>273</v>
      </c>
      <c r="N3203">
        <v>330</v>
      </c>
      <c r="O3203">
        <v>8</v>
      </c>
      <c r="P3203">
        <v>330</v>
      </c>
      <c r="Q3203">
        <v>6</v>
      </c>
      <c r="R3203">
        <v>30</v>
      </c>
      <c r="S3203">
        <v>13</v>
      </c>
      <c r="T3203">
        <v>59</v>
      </c>
      <c r="U3203">
        <v>25</v>
      </c>
      <c r="V3203">
        <v>10</v>
      </c>
      <c r="W3203">
        <v>11</v>
      </c>
      <c r="X3203">
        <v>137</v>
      </c>
      <c r="Y3203">
        <v>1</v>
      </c>
      <c r="Z3203">
        <v>1</v>
      </c>
      <c r="AA3203">
        <v>9</v>
      </c>
      <c r="AB3203">
        <v>7</v>
      </c>
      <c r="AT3203">
        <v>0</v>
      </c>
      <c r="AW3203">
        <v>7</v>
      </c>
      <c r="AX3203">
        <v>14</v>
      </c>
      <c r="AY3203">
        <v>330</v>
      </c>
      <c r="AZ3203">
        <v>330</v>
      </c>
      <c r="BA3203">
        <v>559</v>
      </c>
      <c r="BB3203">
        <v>44</v>
      </c>
      <c r="BD3203">
        <v>1</v>
      </c>
      <c r="BF3203" t="s">
        <v>3434</v>
      </c>
      <c r="BG3203" s="1">
        <v>44354.02857638889</v>
      </c>
      <c r="BH3203" s="1">
        <v>44354.035057870373</v>
      </c>
      <c r="BI3203" s="1">
        <v>44354.036041666666</v>
      </c>
      <c r="BJ3203" t="s">
        <v>197</v>
      </c>
      <c r="BK3203" t="s">
        <v>198</v>
      </c>
      <c r="BL3203" t="s">
        <v>87</v>
      </c>
    </row>
    <row r="3204" spans="1:64" x14ac:dyDescent="0.3">
      <c r="A3204" t="str">
        <f>"202200C0100"</f>
        <v>202200C0100</v>
      </c>
      <c r="B3204" t="str">
        <f>"202200C01003"</f>
        <v>202200C01003</v>
      </c>
      <c r="C3204" t="str">
        <f t="shared" si="220"/>
        <v>20</v>
      </c>
      <c r="D3204" t="s">
        <v>81</v>
      </c>
      <c r="E3204" t="str">
        <f t="shared" si="226"/>
        <v>515</v>
      </c>
      <c r="F3204" t="s">
        <v>3432</v>
      </c>
      <c r="G3204" t="str">
        <f t="shared" si="227"/>
        <v>2200</v>
      </c>
      <c r="H3204" t="str">
        <f>"0001"</f>
        <v>0001</v>
      </c>
      <c r="I3204" t="s">
        <v>89</v>
      </c>
      <c r="J3204">
        <v>0</v>
      </c>
      <c r="K3204">
        <v>1</v>
      </c>
      <c r="L3204">
        <v>3</v>
      </c>
      <c r="M3204">
        <v>254</v>
      </c>
      <c r="N3204">
        <v>349</v>
      </c>
      <c r="O3204">
        <v>10</v>
      </c>
      <c r="P3204">
        <v>349</v>
      </c>
      <c r="Q3204">
        <v>10</v>
      </c>
      <c r="R3204">
        <v>28</v>
      </c>
      <c r="S3204">
        <v>19</v>
      </c>
      <c r="T3204">
        <v>52</v>
      </c>
      <c r="U3204">
        <v>44</v>
      </c>
      <c r="V3204">
        <v>9</v>
      </c>
      <c r="W3204">
        <v>12</v>
      </c>
      <c r="X3204">
        <v>129</v>
      </c>
      <c r="Y3204">
        <v>0</v>
      </c>
      <c r="Z3204">
        <v>6</v>
      </c>
      <c r="AA3204">
        <v>14</v>
      </c>
      <c r="AB3204">
        <v>2</v>
      </c>
      <c r="AT3204">
        <v>0</v>
      </c>
      <c r="AW3204">
        <v>18</v>
      </c>
      <c r="AX3204">
        <v>6</v>
      </c>
      <c r="AY3204">
        <v>349</v>
      </c>
      <c r="AZ3204">
        <v>349</v>
      </c>
      <c r="BA3204">
        <v>559</v>
      </c>
      <c r="BB3204">
        <v>44</v>
      </c>
      <c r="BD3204">
        <v>1</v>
      </c>
      <c r="BF3204" t="s">
        <v>3435</v>
      </c>
      <c r="BG3204" s="1">
        <v>44354.027569444443</v>
      </c>
      <c r="BH3204" s="1">
        <v>44354.033263888887</v>
      </c>
      <c r="BI3204" s="1">
        <v>44354.033587962964</v>
      </c>
      <c r="BJ3204" t="s">
        <v>197</v>
      </c>
      <c r="BK3204" t="s">
        <v>198</v>
      </c>
      <c r="BL3204" t="s">
        <v>87</v>
      </c>
    </row>
    <row r="3205" spans="1:64" x14ac:dyDescent="0.3">
      <c r="A3205" t="str">
        <f>"202200E0100"</f>
        <v>202200E0100</v>
      </c>
      <c r="B3205" t="str">
        <f>"202200E01003"</f>
        <v>202200E01003</v>
      </c>
      <c r="C3205" t="str">
        <f t="shared" si="220"/>
        <v>20</v>
      </c>
      <c r="D3205" t="s">
        <v>81</v>
      </c>
      <c r="E3205" t="str">
        <f t="shared" si="226"/>
        <v>515</v>
      </c>
      <c r="F3205" t="s">
        <v>3432</v>
      </c>
      <c r="G3205" t="str">
        <f t="shared" si="227"/>
        <v>2200</v>
      </c>
      <c r="H3205" t="str">
        <f>"0001"</f>
        <v>0001</v>
      </c>
      <c r="I3205" t="s">
        <v>122</v>
      </c>
      <c r="J3205">
        <v>0</v>
      </c>
      <c r="K3205">
        <v>1</v>
      </c>
      <c r="L3205">
        <v>3</v>
      </c>
      <c r="M3205">
        <v>220</v>
      </c>
      <c r="N3205">
        <v>226</v>
      </c>
      <c r="O3205">
        <v>2</v>
      </c>
      <c r="P3205" t="s">
        <v>92</v>
      </c>
      <c r="Q3205">
        <v>6</v>
      </c>
      <c r="R3205">
        <v>33</v>
      </c>
      <c r="S3205">
        <v>4</v>
      </c>
      <c r="T3205">
        <v>32</v>
      </c>
      <c r="U3205">
        <v>4</v>
      </c>
      <c r="V3205">
        <v>2</v>
      </c>
      <c r="W3205">
        <v>2</v>
      </c>
      <c r="X3205">
        <v>118</v>
      </c>
      <c r="Y3205">
        <v>0</v>
      </c>
      <c r="Z3205">
        <v>2</v>
      </c>
      <c r="AA3205">
        <v>5</v>
      </c>
      <c r="AB3205">
        <v>5</v>
      </c>
      <c r="AT3205">
        <v>0</v>
      </c>
      <c r="AW3205">
        <v>0</v>
      </c>
      <c r="AX3205">
        <v>13</v>
      </c>
      <c r="AY3205">
        <v>226</v>
      </c>
      <c r="AZ3205">
        <v>226</v>
      </c>
      <c r="BA3205">
        <v>402</v>
      </c>
      <c r="BB3205">
        <v>44</v>
      </c>
      <c r="BD3205">
        <v>1</v>
      </c>
      <c r="BF3205" t="s">
        <v>3436</v>
      </c>
      <c r="BG3205" s="1">
        <v>44353.922129629631</v>
      </c>
      <c r="BH3205" s="1">
        <v>44353.925497685188</v>
      </c>
      <c r="BI3205" s="1">
        <v>44353.926064814812</v>
      </c>
      <c r="BJ3205" t="s">
        <v>197</v>
      </c>
      <c r="BK3205" t="s">
        <v>198</v>
      </c>
      <c r="BL3205" t="s">
        <v>87</v>
      </c>
    </row>
    <row r="3206" spans="1:64" x14ac:dyDescent="0.3">
      <c r="A3206" t="str">
        <f>"202200E0101"</f>
        <v>202200E0101</v>
      </c>
      <c r="B3206" t="str">
        <f>"202200E01013"</f>
        <v>202200E01013</v>
      </c>
      <c r="C3206" t="str">
        <f t="shared" si="220"/>
        <v>20</v>
      </c>
      <c r="D3206" t="s">
        <v>81</v>
      </c>
      <c r="E3206" t="str">
        <f t="shared" si="226"/>
        <v>515</v>
      </c>
      <c r="F3206" t="s">
        <v>3432</v>
      </c>
      <c r="G3206" t="str">
        <f t="shared" si="227"/>
        <v>2200</v>
      </c>
      <c r="H3206" t="str">
        <f>"0001"</f>
        <v>0001</v>
      </c>
      <c r="I3206" t="s">
        <v>122</v>
      </c>
      <c r="J3206">
        <v>1</v>
      </c>
      <c r="K3206">
        <v>1</v>
      </c>
      <c r="L3206">
        <v>3</v>
      </c>
      <c r="M3206">
        <v>176</v>
      </c>
      <c r="N3206">
        <v>270</v>
      </c>
      <c r="O3206">
        <v>1</v>
      </c>
      <c r="P3206">
        <v>270</v>
      </c>
      <c r="Q3206">
        <v>1</v>
      </c>
      <c r="R3206">
        <v>48</v>
      </c>
      <c r="S3206">
        <v>0</v>
      </c>
      <c r="T3206">
        <v>30</v>
      </c>
      <c r="U3206">
        <v>15</v>
      </c>
      <c r="V3206">
        <v>6</v>
      </c>
      <c r="W3206">
        <v>1</v>
      </c>
      <c r="X3206">
        <v>149</v>
      </c>
      <c r="Y3206">
        <v>0</v>
      </c>
      <c r="Z3206">
        <v>3</v>
      </c>
      <c r="AA3206">
        <v>3</v>
      </c>
      <c r="AB3206">
        <v>8</v>
      </c>
      <c r="AT3206">
        <v>0</v>
      </c>
      <c r="AW3206">
        <v>2</v>
      </c>
      <c r="AX3206">
        <v>4</v>
      </c>
      <c r="AY3206">
        <v>270</v>
      </c>
      <c r="AZ3206">
        <v>270</v>
      </c>
      <c r="BA3206">
        <v>402</v>
      </c>
      <c r="BB3206">
        <v>44</v>
      </c>
      <c r="BD3206">
        <v>1</v>
      </c>
      <c r="BF3206" t="s">
        <v>3437</v>
      </c>
      <c r="BG3206" s="1">
        <v>44353.905798611115</v>
      </c>
      <c r="BH3206" s="1">
        <v>44353.907835648148</v>
      </c>
      <c r="BI3206" s="1">
        <v>44353.90824074074</v>
      </c>
      <c r="BJ3206" t="s">
        <v>197</v>
      </c>
      <c r="BK3206" t="s">
        <v>198</v>
      </c>
      <c r="BL3206" t="s">
        <v>87</v>
      </c>
    </row>
    <row r="3207" spans="1:64" x14ac:dyDescent="0.3">
      <c r="A3207" t="str">
        <f>"202200E0200"</f>
        <v>202200E0200</v>
      </c>
      <c r="B3207" t="str">
        <f>"202200E02003"</f>
        <v>202200E02003</v>
      </c>
      <c r="C3207" t="str">
        <f t="shared" ref="C3207:C3270" si="228">"20"</f>
        <v>20</v>
      </c>
      <c r="D3207" t="s">
        <v>81</v>
      </c>
      <c r="E3207" t="str">
        <f t="shared" si="226"/>
        <v>515</v>
      </c>
      <c r="F3207" t="s">
        <v>3432</v>
      </c>
      <c r="G3207" t="str">
        <f t="shared" si="227"/>
        <v>2200</v>
      </c>
      <c r="H3207" t="str">
        <f>"0002"</f>
        <v>0002</v>
      </c>
      <c r="I3207" t="s">
        <v>122</v>
      </c>
      <c r="J3207">
        <v>0</v>
      </c>
      <c r="K3207">
        <v>1</v>
      </c>
      <c r="L3207">
        <v>3</v>
      </c>
      <c r="M3207">
        <v>209</v>
      </c>
      <c r="N3207">
        <v>233</v>
      </c>
      <c r="O3207">
        <v>5</v>
      </c>
      <c r="P3207">
        <v>234</v>
      </c>
      <c r="Q3207">
        <v>13</v>
      </c>
      <c r="R3207">
        <v>23</v>
      </c>
      <c r="S3207">
        <v>14</v>
      </c>
      <c r="T3207">
        <v>23</v>
      </c>
      <c r="U3207">
        <v>48</v>
      </c>
      <c r="V3207">
        <v>6</v>
      </c>
      <c r="W3207">
        <v>7</v>
      </c>
      <c r="X3207">
        <v>75</v>
      </c>
      <c r="Y3207">
        <v>1</v>
      </c>
      <c r="Z3207">
        <v>2</v>
      </c>
      <c r="AA3207">
        <v>2</v>
      </c>
      <c r="AB3207">
        <v>6</v>
      </c>
      <c r="AT3207">
        <v>0</v>
      </c>
      <c r="AW3207">
        <v>5</v>
      </c>
      <c r="AX3207">
        <v>9</v>
      </c>
      <c r="AY3207">
        <v>234</v>
      </c>
      <c r="AZ3207">
        <v>234</v>
      </c>
      <c r="BA3207">
        <v>398</v>
      </c>
      <c r="BB3207">
        <v>44</v>
      </c>
      <c r="BD3207">
        <v>1</v>
      </c>
      <c r="BF3207" t="s">
        <v>3438</v>
      </c>
      <c r="BG3207" s="1">
        <v>44353.91369212963</v>
      </c>
      <c r="BH3207" s="1">
        <v>44353.914965277778</v>
      </c>
      <c r="BI3207" s="1">
        <v>44353.916331018518</v>
      </c>
      <c r="BJ3207" t="s">
        <v>197</v>
      </c>
      <c r="BK3207" t="s">
        <v>198</v>
      </c>
      <c r="BL3207" t="s">
        <v>87</v>
      </c>
    </row>
    <row r="3208" spans="1:64" x14ac:dyDescent="0.3">
      <c r="A3208" t="str">
        <f>"202200E0201"</f>
        <v>202200E0201</v>
      </c>
      <c r="B3208" t="str">
        <f>"202200E02013"</f>
        <v>202200E02013</v>
      </c>
      <c r="C3208" t="str">
        <f t="shared" si="228"/>
        <v>20</v>
      </c>
      <c r="D3208" t="s">
        <v>81</v>
      </c>
      <c r="E3208" t="str">
        <f t="shared" si="226"/>
        <v>515</v>
      </c>
      <c r="F3208" t="s">
        <v>3432</v>
      </c>
      <c r="G3208" t="str">
        <f t="shared" si="227"/>
        <v>2200</v>
      </c>
      <c r="H3208" t="str">
        <f>"0002"</f>
        <v>0002</v>
      </c>
      <c r="I3208" t="s">
        <v>122</v>
      </c>
      <c r="J3208">
        <v>1</v>
      </c>
      <c r="K3208">
        <v>1</v>
      </c>
      <c r="L3208">
        <v>3</v>
      </c>
      <c r="M3208">
        <v>194</v>
      </c>
      <c r="N3208">
        <v>247</v>
      </c>
      <c r="O3208">
        <v>1</v>
      </c>
      <c r="P3208">
        <v>246</v>
      </c>
      <c r="Q3208">
        <v>10</v>
      </c>
      <c r="R3208">
        <v>17</v>
      </c>
      <c r="S3208">
        <v>14</v>
      </c>
      <c r="T3208">
        <v>30</v>
      </c>
      <c r="U3208">
        <v>42</v>
      </c>
      <c r="V3208">
        <v>17</v>
      </c>
      <c r="W3208">
        <v>10</v>
      </c>
      <c r="X3208">
        <v>84</v>
      </c>
      <c r="Y3208">
        <v>0</v>
      </c>
      <c r="Z3208">
        <v>1</v>
      </c>
      <c r="AA3208">
        <v>2</v>
      </c>
      <c r="AB3208">
        <v>7</v>
      </c>
      <c r="AT3208">
        <v>0</v>
      </c>
      <c r="AW3208">
        <v>7</v>
      </c>
      <c r="AX3208">
        <v>5</v>
      </c>
      <c r="AY3208">
        <v>246</v>
      </c>
      <c r="AZ3208">
        <v>246</v>
      </c>
      <c r="BA3208">
        <v>397</v>
      </c>
      <c r="BB3208">
        <v>44</v>
      </c>
      <c r="BD3208">
        <v>1</v>
      </c>
      <c r="BF3208" t="s">
        <v>3439</v>
      </c>
      <c r="BG3208" s="1">
        <v>44353.960625</v>
      </c>
      <c r="BH3208" s="1">
        <v>44353.963472222225</v>
      </c>
      <c r="BI3208" s="1">
        <v>44353.964780092596</v>
      </c>
      <c r="BJ3208" t="s">
        <v>197</v>
      </c>
      <c r="BK3208" t="s">
        <v>198</v>
      </c>
      <c r="BL3208" t="s">
        <v>87</v>
      </c>
    </row>
    <row r="3209" spans="1:64" x14ac:dyDescent="0.3">
      <c r="A3209" t="str">
        <f>"202201B0000"</f>
        <v>202201B0000</v>
      </c>
      <c r="B3209" t="str">
        <f>"202201B00003"</f>
        <v>202201B00003</v>
      </c>
      <c r="C3209" t="str">
        <f t="shared" si="228"/>
        <v>20</v>
      </c>
      <c r="D3209" t="s">
        <v>81</v>
      </c>
      <c r="E3209" t="str">
        <f t="shared" si="226"/>
        <v>515</v>
      </c>
      <c r="F3209" t="s">
        <v>3432</v>
      </c>
      <c r="G3209" t="str">
        <f>"2201"</f>
        <v>2201</v>
      </c>
      <c r="H3209" t="str">
        <f>"0000"</f>
        <v>0000</v>
      </c>
      <c r="I3209" t="s">
        <v>83</v>
      </c>
      <c r="J3209">
        <v>0</v>
      </c>
      <c r="K3209">
        <v>1</v>
      </c>
      <c r="L3209">
        <v>3</v>
      </c>
      <c r="M3209">
        <v>290</v>
      </c>
      <c r="N3209">
        <v>335</v>
      </c>
      <c r="O3209">
        <v>7</v>
      </c>
      <c r="P3209" t="s">
        <v>92</v>
      </c>
      <c r="Q3209">
        <v>25</v>
      </c>
      <c r="R3209">
        <v>16</v>
      </c>
      <c r="S3209">
        <v>8</v>
      </c>
      <c r="T3209">
        <v>54</v>
      </c>
      <c r="U3209">
        <v>34</v>
      </c>
      <c r="V3209">
        <v>16</v>
      </c>
      <c r="W3209">
        <v>19</v>
      </c>
      <c r="X3209">
        <v>25</v>
      </c>
      <c r="Y3209">
        <v>1</v>
      </c>
      <c r="Z3209">
        <v>4</v>
      </c>
      <c r="AA3209">
        <v>3</v>
      </c>
      <c r="AB3209">
        <v>16</v>
      </c>
      <c r="AT3209">
        <v>0</v>
      </c>
      <c r="AW3209">
        <v>2</v>
      </c>
      <c r="AX3209">
        <v>10</v>
      </c>
      <c r="AY3209">
        <v>333</v>
      </c>
      <c r="AZ3209">
        <v>233</v>
      </c>
      <c r="BA3209">
        <v>584</v>
      </c>
      <c r="BB3209">
        <v>44</v>
      </c>
      <c r="BD3209">
        <v>1</v>
      </c>
      <c r="BF3209" t="s">
        <v>3440</v>
      </c>
      <c r="BG3209" s="1">
        <v>44354.197222222225</v>
      </c>
      <c r="BH3209" s="1">
        <v>44354.198981481481</v>
      </c>
      <c r="BI3209" s="1">
        <v>44354.199537037035</v>
      </c>
      <c r="BJ3209" t="s">
        <v>85</v>
      </c>
      <c r="BK3209" t="s">
        <v>86</v>
      </c>
      <c r="BL3209" t="s">
        <v>87</v>
      </c>
    </row>
    <row r="3210" spans="1:64" x14ac:dyDescent="0.3">
      <c r="A3210" t="str">
        <f>"202201C0100"</f>
        <v>202201C0100</v>
      </c>
      <c r="B3210" t="str">
        <f>"202201C01003"</f>
        <v>202201C01003</v>
      </c>
      <c r="C3210" t="str">
        <f t="shared" si="228"/>
        <v>20</v>
      </c>
      <c r="D3210" t="s">
        <v>81</v>
      </c>
      <c r="E3210" t="str">
        <f t="shared" si="226"/>
        <v>515</v>
      </c>
      <c r="F3210" t="s">
        <v>3432</v>
      </c>
      <c r="G3210" t="str">
        <f>"2201"</f>
        <v>2201</v>
      </c>
      <c r="H3210" t="str">
        <f>"0001"</f>
        <v>0001</v>
      </c>
      <c r="I3210" t="s">
        <v>89</v>
      </c>
      <c r="J3210">
        <v>0</v>
      </c>
      <c r="K3210">
        <v>1</v>
      </c>
      <c r="L3210">
        <v>3</v>
      </c>
      <c r="M3210">
        <v>271</v>
      </c>
      <c r="N3210">
        <v>357</v>
      </c>
      <c r="O3210">
        <v>8</v>
      </c>
      <c r="P3210">
        <v>361</v>
      </c>
      <c r="Q3210">
        <v>25</v>
      </c>
      <c r="R3210">
        <v>31</v>
      </c>
      <c r="S3210">
        <v>10</v>
      </c>
      <c r="T3210">
        <v>52</v>
      </c>
      <c r="U3210">
        <v>27</v>
      </c>
      <c r="V3210">
        <v>17</v>
      </c>
      <c r="W3210">
        <v>19</v>
      </c>
      <c r="X3210">
        <v>138</v>
      </c>
      <c r="Y3210">
        <v>4</v>
      </c>
      <c r="Z3210">
        <v>1</v>
      </c>
      <c r="AA3210">
        <v>2</v>
      </c>
      <c r="AB3210">
        <v>15</v>
      </c>
      <c r="AT3210">
        <v>0</v>
      </c>
      <c r="AW3210">
        <v>3</v>
      </c>
      <c r="AX3210">
        <v>17</v>
      </c>
      <c r="AY3210">
        <v>361</v>
      </c>
      <c r="AZ3210">
        <v>361</v>
      </c>
      <c r="BA3210">
        <v>584</v>
      </c>
      <c r="BB3210">
        <v>44</v>
      </c>
      <c r="BD3210">
        <v>1</v>
      </c>
      <c r="BF3210" t="s">
        <v>3441</v>
      </c>
      <c r="BG3210" s="1">
        <v>44354.255555555559</v>
      </c>
      <c r="BH3210" s="1">
        <v>44354.257222222222</v>
      </c>
      <c r="BI3210" s="1">
        <v>44354.257453703707</v>
      </c>
      <c r="BJ3210" t="s">
        <v>85</v>
      </c>
      <c r="BK3210" t="s">
        <v>86</v>
      </c>
      <c r="BL3210" t="s">
        <v>87</v>
      </c>
    </row>
    <row r="3211" spans="1:64" x14ac:dyDescent="0.3">
      <c r="A3211" t="str">
        <f>"202201C0200"</f>
        <v>202201C0200</v>
      </c>
      <c r="B3211" t="str">
        <f>"202201C02003"</f>
        <v>202201C02003</v>
      </c>
      <c r="C3211" t="str">
        <f t="shared" si="228"/>
        <v>20</v>
      </c>
      <c r="D3211" t="s">
        <v>81</v>
      </c>
      <c r="E3211" t="str">
        <f t="shared" si="226"/>
        <v>515</v>
      </c>
      <c r="F3211" t="s">
        <v>3432</v>
      </c>
      <c r="G3211" t="str">
        <f>"2201"</f>
        <v>2201</v>
      </c>
      <c r="H3211" t="str">
        <f>"0002"</f>
        <v>0002</v>
      </c>
      <c r="I3211" t="s">
        <v>89</v>
      </c>
      <c r="J3211">
        <v>0</v>
      </c>
      <c r="K3211">
        <v>1</v>
      </c>
      <c r="L3211">
        <v>3</v>
      </c>
      <c r="M3211">
        <v>282</v>
      </c>
      <c r="N3211">
        <v>345</v>
      </c>
      <c r="O3211">
        <v>7</v>
      </c>
      <c r="P3211">
        <v>342</v>
      </c>
      <c r="Q3211">
        <v>26</v>
      </c>
      <c r="R3211">
        <v>21</v>
      </c>
      <c r="S3211">
        <v>9</v>
      </c>
      <c r="T3211">
        <v>49</v>
      </c>
      <c r="U3211">
        <v>30</v>
      </c>
      <c r="V3211">
        <v>17</v>
      </c>
      <c r="W3211">
        <v>16</v>
      </c>
      <c r="X3211">
        <v>150</v>
      </c>
      <c r="Y3211">
        <v>3</v>
      </c>
      <c r="Z3211">
        <v>1</v>
      </c>
      <c r="AA3211">
        <v>3</v>
      </c>
      <c r="AB3211">
        <v>6</v>
      </c>
      <c r="AT3211">
        <v>0</v>
      </c>
      <c r="AW3211">
        <v>2</v>
      </c>
      <c r="AX3211">
        <v>9</v>
      </c>
      <c r="AY3211">
        <v>342</v>
      </c>
      <c r="AZ3211">
        <v>342</v>
      </c>
      <c r="BA3211">
        <v>583</v>
      </c>
      <c r="BB3211">
        <v>44</v>
      </c>
      <c r="BD3211">
        <v>1</v>
      </c>
      <c r="BF3211" t="s">
        <v>3442</v>
      </c>
      <c r="BG3211" s="1">
        <v>44354.197916666664</v>
      </c>
      <c r="BH3211" s="1">
        <v>44354.199930555558</v>
      </c>
      <c r="BI3211" s="1">
        <v>44354.200613425928</v>
      </c>
      <c r="BJ3211" t="s">
        <v>85</v>
      </c>
      <c r="BK3211" t="s">
        <v>86</v>
      </c>
      <c r="BL3211" t="s">
        <v>87</v>
      </c>
    </row>
    <row r="3212" spans="1:64" x14ac:dyDescent="0.3">
      <c r="A3212" t="str">
        <f>"202202B0000"</f>
        <v>202202B0000</v>
      </c>
      <c r="B3212" t="str">
        <f>"202202B00003"</f>
        <v>202202B00003</v>
      </c>
      <c r="C3212" t="str">
        <f t="shared" si="228"/>
        <v>20</v>
      </c>
      <c r="D3212" t="s">
        <v>81</v>
      </c>
      <c r="E3212" t="str">
        <f t="shared" si="226"/>
        <v>515</v>
      </c>
      <c r="F3212" t="s">
        <v>3432</v>
      </c>
      <c r="G3212" t="str">
        <f>"2202"</f>
        <v>2202</v>
      </c>
      <c r="H3212" t="str">
        <f>"0000"</f>
        <v>0000</v>
      </c>
      <c r="I3212" t="s">
        <v>83</v>
      </c>
      <c r="J3212">
        <v>0</v>
      </c>
      <c r="K3212">
        <v>1</v>
      </c>
      <c r="L3212">
        <v>3</v>
      </c>
      <c r="M3212">
        <v>328</v>
      </c>
      <c r="N3212">
        <v>385</v>
      </c>
      <c r="O3212">
        <v>3</v>
      </c>
      <c r="P3212">
        <v>382</v>
      </c>
      <c r="Q3212">
        <v>29</v>
      </c>
      <c r="R3212">
        <v>30</v>
      </c>
      <c r="S3212">
        <v>17</v>
      </c>
      <c r="T3212">
        <v>58</v>
      </c>
      <c r="U3212">
        <v>44</v>
      </c>
      <c r="V3212">
        <v>15</v>
      </c>
      <c r="W3212">
        <v>19</v>
      </c>
      <c r="X3212">
        <v>120</v>
      </c>
      <c r="Y3212">
        <v>1</v>
      </c>
      <c r="Z3212">
        <v>1</v>
      </c>
      <c r="AA3212">
        <v>11</v>
      </c>
      <c r="AB3212">
        <v>19</v>
      </c>
      <c r="AT3212" t="s">
        <v>95</v>
      </c>
      <c r="AW3212">
        <v>7</v>
      </c>
      <c r="AX3212">
        <v>11</v>
      </c>
      <c r="AY3212">
        <v>382</v>
      </c>
      <c r="AZ3212">
        <v>382</v>
      </c>
      <c r="BA3212">
        <v>670</v>
      </c>
      <c r="BB3212">
        <v>44</v>
      </c>
      <c r="BC3212" t="s">
        <v>96</v>
      </c>
      <c r="BD3212">
        <v>1</v>
      </c>
      <c r="BF3212" t="s">
        <v>3443</v>
      </c>
      <c r="BG3212" s="1">
        <v>44354.195138888892</v>
      </c>
      <c r="BH3212" s="1">
        <v>44354.196435185186</v>
      </c>
      <c r="BI3212" s="1">
        <v>44354.196979166663</v>
      </c>
      <c r="BJ3212" t="s">
        <v>85</v>
      </c>
      <c r="BK3212" t="s">
        <v>86</v>
      </c>
      <c r="BL3212" t="s">
        <v>87</v>
      </c>
    </row>
    <row r="3213" spans="1:64" x14ac:dyDescent="0.3">
      <c r="A3213" t="str">
        <f>"202202C0100"</f>
        <v>202202C0100</v>
      </c>
      <c r="B3213" t="str">
        <f>"202202C01003"</f>
        <v>202202C01003</v>
      </c>
      <c r="C3213" t="str">
        <f t="shared" si="228"/>
        <v>20</v>
      </c>
      <c r="D3213" t="s">
        <v>81</v>
      </c>
      <c r="E3213" t="str">
        <f t="shared" si="226"/>
        <v>515</v>
      </c>
      <c r="F3213" t="s">
        <v>3432</v>
      </c>
      <c r="G3213" t="str">
        <f>"2202"</f>
        <v>2202</v>
      </c>
      <c r="H3213" t="str">
        <f>"0001"</f>
        <v>0001</v>
      </c>
      <c r="I3213" t="s">
        <v>89</v>
      </c>
      <c r="J3213">
        <v>0</v>
      </c>
      <c r="K3213">
        <v>1</v>
      </c>
      <c r="L3213">
        <v>3</v>
      </c>
      <c r="M3213">
        <v>316</v>
      </c>
      <c r="N3213">
        <v>397</v>
      </c>
      <c r="O3213">
        <v>4</v>
      </c>
      <c r="P3213">
        <v>401</v>
      </c>
      <c r="Q3213">
        <v>21</v>
      </c>
      <c r="R3213">
        <v>28</v>
      </c>
      <c r="S3213">
        <v>18</v>
      </c>
      <c r="T3213">
        <v>75</v>
      </c>
      <c r="U3213">
        <v>47</v>
      </c>
      <c r="V3213">
        <v>17</v>
      </c>
      <c r="W3213">
        <v>15</v>
      </c>
      <c r="X3213">
        <v>122</v>
      </c>
      <c r="Y3213">
        <v>2</v>
      </c>
      <c r="Z3213">
        <v>3</v>
      </c>
      <c r="AA3213">
        <v>20</v>
      </c>
      <c r="AB3213">
        <v>9</v>
      </c>
      <c r="AT3213">
        <v>0</v>
      </c>
      <c r="AW3213">
        <v>10</v>
      </c>
      <c r="AX3213">
        <v>14</v>
      </c>
      <c r="AY3213">
        <v>401</v>
      </c>
      <c r="AZ3213">
        <v>401</v>
      </c>
      <c r="BA3213">
        <v>670</v>
      </c>
      <c r="BB3213">
        <v>44</v>
      </c>
      <c r="BD3213">
        <v>1</v>
      </c>
      <c r="BF3213" t="s">
        <v>3444</v>
      </c>
      <c r="BG3213" s="1">
        <v>44354.197222222225</v>
      </c>
      <c r="BH3213" s="1">
        <v>44354.198368055557</v>
      </c>
      <c r="BI3213" s="1">
        <v>44354.199560185189</v>
      </c>
      <c r="BJ3213" t="s">
        <v>85</v>
      </c>
      <c r="BK3213" t="s">
        <v>86</v>
      </c>
      <c r="BL3213" t="s">
        <v>87</v>
      </c>
    </row>
    <row r="3214" spans="1:64" x14ac:dyDescent="0.3">
      <c r="A3214" t="str">
        <f>"202203B0000"</f>
        <v>202203B0000</v>
      </c>
      <c r="B3214" t="str">
        <f>"202203B00003"</f>
        <v>202203B00003</v>
      </c>
      <c r="C3214" t="str">
        <f t="shared" si="228"/>
        <v>20</v>
      </c>
      <c r="D3214" t="s">
        <v>81</v>
      </c>
      <c r="E3214" t="str">
        <f t="shared" si="226"/>
        <v>515</v>
      </c>
      <c r="F3214" t="s">
        <v>3432</v>
      </c>
      <c r="G3214" t="str">
        <f>"2203"</f>
        <v>2203</v>
      </c>
      <c r="H3214" t="str">
        <f>"0000"</f>
        <v>0000</v>
      </c>
      <c r="I3214" t="s">
        <v>83</v>
      </c>
      <c r="J3214">
        <v>0</v>
      </c>
      <c r="K3214">
        <v>1</v>
      </c>
      <c r="L3214">
        <v>3</v>
      </c>
      <c r="M3214">
        <v>203</v>
      </c>
      <c r="N3214">
        <v>280</v>
      </c>
      <c r="O3214">
        <v>9</v>
      </c>
      <c r="P3214">
        <v>280</v>
      </c>
      <c r="Q3214">
        <v>14</v>
      </c>
      <c r="R3214">
        <v>25</v>
      </c>
      <c r="S3214">
        <v>11</v>
      </c>
      <c r="T3214">
        <v>41</v>
      </c>
      <c r="U3214">
        <v>28</v>
      </c>
      <c r="V3214">
        <v>10</v>
      </c>
      <c r="W3214">
        <v>15</v>
      </c>
      <c r="X3214">
        <v>93</v>
      </c>
      <c r="Y3214">
        <v>2</v>
      </c>
      <c r="Z3214">
        <v>2</v>
      </c>
      <c r="AA3214">
        <v>7</v>
      </c>
      <c r="AB3214">
        <v>3</v>
      </c>
      <c r="AT3214">
        <v>0</v>
      </c>
      <c r="AW3214">
        <v>16</v>
      </c>
      <c r="AX3214">
        <v>13</v>
      </c>
      <c r="AY3214">
        <v>280</v>
      </c>
      <c r="AZ3214">
        <v>280</v>
      </c>
      <c r="BA3214">
        <v>439</v>
      </c>
      <c r="BB3214">
        <v>44</v>
      </c>
      <c r="BD3214">
        <v>1</v>
      </c>
      <c r="BF3214" t="s">
        <v>3445</v>
      </c>
      <c r="BG3214" s="1">
        <v>44353.845289351855</v>
      </c>
      <c r="BH3214" s="1">
        <v>44353.846620370372</v>
      </c>
      <c r="BI3214" s="1">
        <v>44353.847256944442</v>
      </c>
      <c r="BJ3214" t="s">
        <v>197</v>
      </c>
      <c r="BK3214" t="s">
        <v>198</v>
      </c>
      <c r="BL3214" t="s">
        <v>87</v>
      </c>
    </row>
    <row r="3215" spans="1:64" x14ac:dyDescent="0.3">
      <c r="A3215" t="str">
        <f>"202203C0100"</f>
        <v>202203C0100</v>
      </c>
      <c r="B3215" t="str">
        <f>"202203C01003"</f>
        <v>202203C01003</v>
      </c>
      <c r="C3215" t="str">
        <f t="shared" si="228"/>
        <v>20</v>
      </c>
      <c r="D3215" t="s">
        <v>81</v>
      </c>
      <c r="E3215" t="str">
        <f t="shared" si="226"/>
        <v>515</v>
      </c>
      <c r="F3215" t="s">
        <v>3432</v>
      </c>
      <c r="G3215" t="str">
        <f>"2203"</f>
        <v>2203</v>
      </c>
      <c r="H3215" t="str">
        <f>"0001"</f>
        <v>0001</v>
      </c>
      <c r="I3215" t="s">
        <v>89</v>
      </c>
      <c r="J3215">
        <v>0</v>
      </c>
      <c r="K3215">
        <v>1</v>
      </c>
      <c r="L3215">
        <v>3</v>
      </c>
      <c r="M3215">
        <v>194</v>
      </c>
      <c r="N3215">
        <v>288</v>
      </c>
      <c r="O3215">
        <v>9</v>
      </c>
      <c r="P3215">
        <v>288</v>
      </c>
      <c r="Q3215">
        <v>24</v>
      </c>
      <c r="R3215">
        <v>20</v>
      </c>
      <c r="S3215">
        <v>8</v>
      </c>
      <c r="T3215">
        <v>58</v>
      </c>
      <c r="U3215">
        <v>24</v>
      </c>
      <c r="V3215">
        <v>4</v>
      </c>
      <c r="W3215">
        <v>18</v>
      </c>
      <c r="X3215">
        <v>108</v>
      </c>
      <c r="Y3215">
        <v>1</v>
      </c>
      <c r="Z3215">
        <v>1</v>
      </c>
      <c r="AA3215">
        <v>9</v>
      </c>
      <c r="AB3215">
        <v>2</v>
      </c>
      <c r="AT3215">
        <v>0</v>
      </c>
      <c r="AW3215">
        <v>5</v>
      </c>
      <c r="AX3215">
        <v>5</v>
      </c>
      <c r="AY3215">
        <v>288</v>
      </c>
      <c r="AZ3215">
        <v>287</v>
      </c>
      <c r="BA3215">
        <v>438</v>
      </c>
      <c r="BB3215">
        <v>44</v>
      </c>
      <c r="BD3215">
        <v>1</v>
      </c>
      <c r="BF3215" t="s">
        <v>3446</v>
      </c>
      <c r="BG3215" s="1">
        <v>44353.876909722225</v>
      </c>
      <c r="BH3215" s="1">
        <v>44353.879594907405</v>
      </c>
      <c r="BI3215" s="1">
        <v>44353.880370370367</v>
      </c>
      <c r="BJ3215" t="s">
        <v>197</v>
      </c>
      <c r="BK3215" t="s">
        <v>198</v>
      </c>
      <c r="BL3215" t="s">
        <v>87</v>
      </c>
    </row>
    <row r="3216" spans="1:64" x14ac:dyDescent="0.3">
      <c r="A3216" t="str">
        <f>"202204B0000"</f>
        <v>202204B0000</v>
      </c>
      <c r="B3216" t="str">
        <f>"202204B00003"</f>
        <v>202204B00003</v>
      </c>
      <c r="C3216" t="str">
        <f t="shared" si="228"/>
        <v>20</v>
      </c>
      <c r="D3216" t="s">
        <v>81</v>
      </c>
      <c r="E3216" t="str">
        <f t="shared" si="226"/>
        <v>515</v>
      </c>
      <c r="F3216" t="s">
        <v>3432</v>
      </c>
      <c r="G3216" t="str">
        <f>"2204"</f>
        <v>2204</v>
      </c>
      <c r="H3216" t="str">
        <f>"0000"</f>
        <v>0000</v>
      </c>
      <c r="I3216" t="s">
        <v>83</v>
      </c>
      <c r="J3216">
        <v>0</v>
      </c>
      <c r="K3216">
        <v>1</v>
      </c>
      <c r="L3216">
        <v>3</v>
      </c>
      <c r="M3216">
        <v>223</v>
      </c>
      <c r="N3216">
        <v>338</v>
      </c>
      <c r="O3216">
        <v>5</v>
      </c>
      <c r="P3216">
        <v>327</v>
      </c>
      <c r="Q3216">
        <v>35</v>
      </c>
      <c r="R3216">
        <v>26</v>
      </c>
      <c r="S3216">
        <v>3</v>
      </c>
      <c r="T3216">
        <v>55</v>
      </c>
      <c r="U3216">
        <v>17</v>
      </c>
      <c r="V3216">
        <v>5</v>
      </c>
      <c r="W3216">
        <v>8</v>
      </c>
      <c r="X3216">
        <v>141</v>
      </c>
      <c r="Y3216">
        <v>2</v>
      </c>
      <c r="Z3216">
        <v>3</v>
      </c>
      <c r="AA3216">
        <v>2</v>
      </c>
      <c r="AB3216">
        <v>20</v>
      </c>
      <c r="AT3216">
        <v>0</v>
      </c>
      <c r="AW3216" t="s">
        <v>131</v>
      </c>
      <c r="AX3216">
        <v>11</v>
      </c>
      <c r="AY3216">
        <v>327</v>
      </c>
      <c r="AZ3216">
        <v>328</v>
      </c>
      <c r="BA3216">
        <v>517</v>
      </c>
      <c r="BB3216">
        <v>44</v>
      </c>
      <c r="BC3216" t="s">
        <v>96</v>
      </c>
      <c r="BD3216">
        <v>1</v>
      </c>
      <c r="BF3216" t="s">
        <v>3447</v>
      </c>
      <c r="BG3216" s="1">
        <v>44354.115972222222</v>
      </c>
      <c r="BH3216" s="1">
        <v>44354.119409722225</v>
      </c>
      <c r="BI3216" s="1">
        <v>44354.120416666665</v>
      </c>
      <c r="BJ3216" t="s">
        <v>85</v>
      </c>
      <c r="BK3216" t="s">
        <v>86</v>
      </c>
      <c r="BL3216" t="s">
        <v>87</v>
      </c>
    </row>
    <row r="3217" spans="1:64" x14ac:dyDescent="0.3">
      <c r="A3217" t="str">
        <f>"202204C0100"</f>
        <v>202204C0100</v>
      </c>
      <c r="B3217" t="str">
        <f>"202204C01003"</f>
        <v>202204C01003</v>
      </c>
      <c r="C3217" t="str">
        <f t="shared" si="228"/>
        <v>20</v>
      </c>
      <c r="D3217" t="s">
        <v>81</v>
      </c>
      <c r="E3217" t="str">
        <f t="shared" si="226"/>
        <v>515</v>
      </c>
      <c r="F3217" t="s">
        <v>3432</v>
      </c>
      <c r="G3217" t="str">
        <f>"2204"</f>
        <v>2204</v>
      </c>
      <c r="H3217" t="str">
        <f>"0001"</f>
        <v>0001</v>
      </c>
      <c r="I3217" t="s">
        <v>89</v>
      </c>
      <c r="J3217">
        <v>0</v>
      </c>
      <c r="K3217">
        <v>1</v>
      </c>
      <c r="L3217">
        <v>3</v>
      </c>
      <c r="M3217">
        <v>256</v>
      </c>
      <c r="N3217">
        <v>304</v>
      </c>
      <c r="O3217">
        <v>3</v>
      </c>
      <c r="P3217">
        <v>304</v>
      </c>
      <c r="Q3217">
        <v>27</v>
      </c>
      <c r="R3217">
        <v>22</v>
      </c>
      <c r="S3217">
        <v>2</v>
      </c>
      <c r="T3217">
        <v>36</v>
      </c>
      <c r="U3217">
        <v>20</v>
      </c>
      <c r="V3217">
        <v>3</v>
      </c>
      <c r="W3217">
        <v>8</v>
      </c>
      <c r="X3217">
        <v>141</v>
      </c>
      <c r="Y3217">
        <v>1</v>
      </c>
      <c r="Z3217">
        <v>0</v>
      </c>
      <c r="AA3217">
        <v>9</v>
      </c>
      <c r="AB3217">
        <v>13</v>
      </c>
      <c r="AT3217">
        <v>0</v>
      </c>
      <c r="AW3217">
        <v>5</v>
      </c>
      <c r="AX3217">
        <v>17</v>
      </c>
      <c r="AY3217">
        <v>304</v>
      </c>
      <c r="AZ3217">
        <v>304</v>
      </c>
      <c r="BA3217">
        <v>516</v>
      </c>
      <c r="BB3217">
        <v>44</v>
      </c>
      <c r="BD3217">
        <v>1</v>
      </c>
      <c r="BF3217" t="s">
        <v>3448</v>
      </c>
      <c r="BG3217" s="1">
        <v>44354.029039351852</v>
      </c>
      <c r="BH3217" s="1">
        <v>44354.036435185182</v>
      </c>
      <c r="BI3217" s="1">
        <v>44354.037256944444</v>
      </c>
      <c r="BJ3217" t="s">
        <v>197</v>
      </c>
      <c r="BK3217" t="s">
        <v>198</v>
      </c>
      <c r="BL3217" t="s">
        <v>87</v>
      </c>
    </row>
    <row r="3218" spans="1:64" x14ac:dyDescent="0.3">
      <c r="A3218" t="str">
        <f>"202205B0000"</f>
        <v>202205B0000</v>
      </c>
      <c r="B3218" t="str">
        <f>"202205B00003"</f>
        <v>202205B00003</v>
      </c>
      <c r="C3218" t="str">
        <f t="shared" si="228"/>
        <v>20</v>
      </c>
      <c r="D3218" t="s">
        <v>81</v>
      </c>
      <c r="E3218" t="str">
        <f t="shared" si="226"/>
        <v>515</v>
      </c>
      <c r="F3218" t="s">
        <v>3432</v>
      </c>
      <c r="G3218" t="str">
        <f>"2205"</f>
        <v>2205</v>
      </c>
      <c r="H3218" t="str">
        <f>"0000"</f>
        <v>0000</v>
      </c>
      <c r="I3218" t="s">
        <v>83</v>
      </c>
      <c r="J3218">
        <v>0</v>
      </c>
      <c r="K3218">
        <v>1</v>
      </c>
      <c r="L3218">
        <v>3</v>
      </c>
      <c r="M3218">
        <v>209</v>
      </c>
      <c r="N3218">
        <v>376</v>
      </c>
      <c r="O3218">
        <v>3</v>
      </c>
      <c r="P3218">
        <v>374</v>
      </c>
      <c r="Q3218">
        <v>9</v>
      </c>
      <c r="R3218">
        <v>24</v>
      </c>
      <c r="S3218">
        <v>19</v>
      </c>
      <c r="T3218">
        <v>36</v>
      </c>
      <c r="U3218">
        <v>36</v>
      </c>
      <c r="V3218">
        <v>3</v>
      </c>
      <c r="W3218">
        <v>4</v>
      </c>
      <c r="X3218">
        <v>191</v>
      </c>
      <c r="Y3218">
        <v>0</v>
      </c>
      <c r="Z3218">
        <v>3</v>
      </c>
      <c r="AA3218">
        <v>6</v>
      </c>
      <c r="AB3218">
        <v>24</v>
      </c>
      <c r="AT3218">
        <v>0</v>
      </c>
      <c r="AW3218">
        <v>11</v>
      </c>
      <c r="AX3218">
        <v>8</v>
      </c>
      <c r="AY3218">
        <v>374</v>
      </c>
      <c r="AZ3218">
        <v>374</v>
      </c>
      <c r="BA3218">
        <v>541</v>
      </c>
      <c r="BB3218">
        <v>44</v>
      </c>
      <c r="BD3218">
        <v>1</v>
      </c>
      <c r="BF3218" t="s">
        <v>3449</v>
      </c>
      <c r="BG3218" s="1">
        <v>44353.935694444444</v>
      </c>
      <c r="BH3218" s="1">
        <v>44353.937002314815</v>
      </c>
      <c r="BI3218" s="1">
        <v>44353.937824074077</v>
      </c>
      <c r="BJ3218" t="s">
        <v>197</v>
      </c>
      <c r="BK3218" t="s">
        <v>198</v>
      </c>
      <c r="BL3218" t="s">
        <v>87</v>
      </c>
    </row>
    <row r="3219" spans="1:64" x14ac:dyDescent="0.3">
      <c r="A3219" t="str">
        <f>"202205C0100"</f>
        <v>202205C0100</v>
      </c>
      <c r="B3219" t="str">
        <f>"202205C01003"</f>
        <v>202205C01003</v>
      </c>
      <c r="C3219" t="str">
        <f t="shared" si="228"/>
        <v>20</v>
      </c>
      <c r="D3219" t="s">
        <v>81</v>
      </c>
      <c r="E3219" t="str">
        <f t="shared" si="226"/>
        <v>515</v>
      </c>
      <c r="F3219" t="s">
        <v>3432</v>
      </c>
      <c r="G3219" t="str">
        <f>"2205"</f>
        <v>2205</v>
      </c>
      <c r="H3219" t="str">
        <f>"0001"</f>
        <v>0001</v>
      </c>
      <c r="I3219" t="s">
        <v>89</v>
      </c>
      <c r="J3219">
        <v>0</v>
      </c>
      <c r="K3219">
        <v>1</v>
      </c>
      <c r="L3219">
        <v>3</v>
      </c>
      <c r="M3219">
        <v>214</v>
      </c>
      <c r="N3219" t="s">
        <v>92</v>
      </c>
      <c r="O3219">
        <v>1</v>
      </c>
      <c r="P3219">
        <v>370</v>
      </c>
      <c r="Q3219">
        <v>12</v>
      </c>
      <c r="R3219">
        <v>24</v>
      </c>
      <c r="S3219">
        <v>12</v>
      </c>
      <c r="T3219">
        <v>25</v>
      </c>
      <c r="U3219">
        <v>31</v>
      </c>
      <c r="V3219">
        <v>4</v>
      </c>
      <c r="W3219">
        <v>4</v>
      </c>
      <c r="X3219">
        <v>212</v>
      </c>
      <c r="Y3219">
        <v>1</v>
      </c>
      <c r="Z3219">
        <v>5</v>
      </c>
      <c r="AA3219">
        <v>5</v>
      </c>
      <c r="AB3219">
        <v>11</v>
      </c>
      <c r="AT3219" t="s">
        <v>95</v>
      </c>
      <c r="AW3219">
        <v>12</v>
      </c>
      <c r="AX3219">
        <v>11</v>
      </c>
      <c r="AY3219">
        <v>370</v>
      </c>
      <c r="AZ3219">
        <v>369</v>
      </c>
      <c r="BA3219">
        <v>541</v>
      </c>
      <c r="BB3219">
        <v>44</v>
      </c>
      <c r="BC3219" t="s">
        <v>96</v>
      </c>
      <c r="BD3219">
        <v>1</v>
      </c>
      <c r="BF3219" t="s">
        <v>3450</v>
      </c>
      <c r="BG3219" s="1">
        <v>44353.938275462962</v>
      </c>
      <c r="BH3219" s="1">
        <v>44353.940451388888</v>
      </c>
      <c r="BI3219" s="1">
        <v>44353.941435185188</v>
      </c>
      <c r="BJ3219" t="s">
        <v>197</v>
      </c>
      <c r="BK3219" t="s">
        <v>198</v>
      </c>
      <c r="BL3219" t="s">
        <v>87</v>
      </c>
    </row>
    <row r="3220" spans="1:64" x14ac:dyDescent="0.3">
      <c r="A3220" t="str">
        <f>"202205C0200"</f>
        <v>202205C0200</v>
      </c>
      <c r="B3220" t="str">
        <f>"202205C02003"</f>
        <v>202205C02003</v>
      </c>
      <c r="C3220" t="str">
        <f t="shared" si="228"/>
        <v>20</v>
      </c>
      <c r="D3220" t="s">
        <v>81</v>
      </c>
      <c r="E3220" t="str">
        <f t="shared" si="226"/>
        <v>515</v>
      </c>
      <c r="F3220" t="s">
        <v>3432</v>
      </c>
      <c r="G3220" t="str">
        <f>"2205"</f>
        <v>2205</v>
      </c>
      <c r="H3220" t="str">
        <f>"0002"</f>
        <v>0002</v>
      </c>
      <c r="I3220" t="s">
        <v>89</v>
      </c>
      <c r="J3220">
        <v>0</v>
      </c>
      <c r="K3220">
        <v>1</v>
      </c>
      <c r="L3220">
        <v>3</v>
      </c>
      <c r="M3220" t="s">
        <v>92</v>
      </c>
      <c r="N3220" t="s">
        <v>92</v>
      </c>
      <c r="O3220" t="s">
        <v>92</v>
      </c>
      <c r="P3220">
        <v>365</v>
      </c>
      <c r="Q3220">
        <v>7</v>
      </c>
      <c r="R3220">
        <v>33</v>
      </c>
      <c r="S3220">
        <v>13</v>
      </c>
      <c r="T3220">
        <v>34</v>
      </c>
      <c r="U3220">
        <v>32</v>
      </c>
      <c r="V3220">
        <v>2</v>
      </c>
      <c r="W3220">
        <v>11</v>
      </c>
      <c r="X3220">
        <v>141</v>
      </c>
      <c r="Y3220">
        <v>1</v>
      </c>
      <c r="Z3220">
        <v>4</v>
      </c>
      <c r="AA3220">
        <v>14</v>
      </c>
      <c r="AB3220">
        <v>33</v>
      </c>
      <c r="AT3220" t="s">
        <v>95</v>
      </c>
      <c r="AW3220" t="s">
        <v>95</v>
      </c>
      <c r="AX3220">
        <v>10</v>
      </c>
      <c r="AY3220" t="s">
        <v>95</v>
      </c>
      <c r="AZ3220">
        <v>335</v>
      </c>
      <c r="BA3220">
        <v>541</v>
      </c>
      <c r="BB3220">
        <v>44</v>
      </c>
      <c r="BC3220" t="s">
        <v>96</v>
      </c>
      <c r="BD3220">
        <v>1</v>
      </c>
      <c r="BF3220" t="s">
        <v>3451</v>
      </c>
      <c r="BG3220" s="1">
        <v>44353.949571759258</v>
      </c>
      <c r="BH3220" s="1">
        <v>44353.950821759259</v>
      </c>
      <c r="BI3220" s="1">
        <v>44353.951342592591</v>
      </c>
      <c r="BJ3220" t="s">
        <v>197</v>
      </c>
      <c r="BK3220" t="s">
        <v>198</v>
      </c>
      <c r="BL3220" t="s">
        <v>87</v>
      </c>
    </row>
    <row r="3221" spans="1:64" x14ac:dyDescent="0.3">
      <c r="A3221" t="str">
        <f>"202206B0000"</f>
        <v>202206B0000</v>
      </c>
      <c r="B3221" t="str">
        <f>"202206B00003"</f>
        <v>202206B00003</v>
      </c>
      <c r="C3221" t="str">
        <f t="shared" si="228"/>
        <v>20</v>
      </c>
      <c r="D3221" t="s">
        <v>81</v>
      </c>
      <c r="E3221" t="str">
        <f t="shared" si="226"/>
        <v>515</v>
      </c>
      <c r="F3221" t="s">
        <v>3432</v>
      </c>
      <c r="G3221" t="str">
        <f>"2206"</f>
        <v>2206</v>
      </c>
      <c r="H3221" t="str">
        <f>"0000"</f>
        <v>0000</v>
      </c>
      <c r="I3221" t="s">
        <v>83</v>
      </c>
      <c r="J3221">
        <v>0</v>
      </c>
      <c r="K3221">
        <v>1</v>
      </c>
      <c r="L3221">
        <v>3</v>
      </c>
      <c r="M3221">
        <v>256</v>
      </c>
      <c r="N3221">
        <v>393</v>
      </c>
      <c r="O3221">
        <v>8</v>
      </c>
      <c r="P3221">
        <v>403</v>
      </c>
      <c r="Q3221">
        <v>10</v>
      </c>
      <c r="R3221">
        <v>15</v>
      </c>
      <c r="S3221">
        <v>13</v>
      </c>
      <c r="T3221">
        <v>34</v>
      </c>
      <c r="U3221">
        <v>45</v>
      </c>
      <c r="V3221">
        <v>9</v>
      </c>
      <c r="W3221">
        <v>23</v>
      </c>
      <c r="X3221">
        <v>205</v>
      </c>
      <c r="Y3221">
        <v>2</v>
      </c>
      <c r="Z3221">
        <v>1</v>
      </c>
      <c r="AA3221">
        <v>9</v>
      </c>
      <c r="AB3221">
        <v>9</v>
      </c>
      <c r="AT3221">
        <v>0</v>
      </c>
      <c r="AW3221">
        <v>7</v>
      </c>
      <c r="AX3221">
        <v>11</v>
      </c>
      <c r="AY3221">
        <v>393</v>
      </c>
      <c r="AZ3221">
        <v>393</v>
      </c>
      <c r="BA3221">
        <v>705</v>
      </c>
      <c r="BB3221">
        <v>44</v>
      </c>
      <c r="BD3221">
        <v>1</v>
      </c>
      <c r="BF3221" t="s">
        <v>3452</v>
      </c>
      <c r="BG3221" s="1">
        <v>44354.07916666667</v>
      </c>
      <c r="BH3221" s="1">
        <v>44354.087048611109</v>
      </c>
      <c r="BI3221" s="1">
        <v>44354.087442129632</v>
      </c>
      <c r="BJ3221" t="s">
        <v>85</v>
      </c>
      <c r="BK3221" t="s">
        <v>86</v>
      </c>
      <c r="BL3221" t="s">
        <v>87</v>
      </c>
    </row>
    <row r="3222" spans="1:64" x14ac:dyDescent="0.3">
      <c r="A3222" t="str">
        <f>"202206C0100"</f>
        <v>202206C0100</v>
      </c>
      <c r="B3222" t="str">
        <f>"202206C01003"</f>
        <v>202206C01003</v>
      </c>
      <c r="C3222" t="str">
        <f t="shared" si="228"/>
        <v>20</v>
      </c>
      <c r="D3222" t="s">
        <v>81</v>
      </c>
      <c r="E3222" t="str">
        <f t="shared" si="226"/>
        <v>515</v>
      </c>
      <c r="F3222" t="s">
        <v>3432</v>
      </c>
      <c r="G3222" t="str">
        <f>"2206"</f>
        <v>2206</v>
      </c>
      <c r="H3222" t="str">
        <f>"0001"</f>
        <v>0001</v>
      </c>
      <c r="I3222" t="s">
        <v>89</v>
      </c>
      <c r="J3222">
        <v>0</v>
      </c>
      <c r="K3222">
        <v>1</v>
      </c>
      <c r="L3222">
        <v>3</v>
      </c>
      <c r="M3222">
        <v>319</v>
      </c>
      <c r="N3222">
        <v>419</v>
      </c>
      <c r="O3222">
        <v>5</v>
      </c>
      <c r="P3222">
        <v>418</v>
      </c>
      <c r="Q3222">
        <v>19</v>
      </c>
      <c r="R3222">
        <v>12</v>
      </c>
      <c r="S3222">
        <v>34</v>
      </c>
      <c r="T3222">
        <v>41</v>
      </c>
      <c r="U3222">
        <v>57</v>
      </c>
      <c r="V3222">
        <v>10</v>
      </c>
      <c r="W3222">
        <v>26</v>
      </c>
      <c r="X3222">
        <v>164</v>
      </c>
      <c r="Y3222">
        <v>1</v>
      </c>
      <c r="Z3222">
        <v>0</v>
      </c>
      <c r="AA3222">
        <v>11</v>
      </c>
      <c r="AB3222">
        <v>28</v>
      </c>
      <c r="AT3222">
        <v>0</v>
      </c>
      <c r="AW3222">
        <v>9</v>
      </c>
      <c r="AX3222">
        <v>6</v>
      </c>
      <c r="AY3222">
        <v>418</v>
      </c>
      <c r="AZ3222">
        <v>418</v>
      </c>
      <c r="BA3222">
        <v>704</v>
      </c>
      <c r="BB3222">
        <v>44</v>
      </c>
      <c r="BD3222">
        <v>1</v>
      </c>
      <c r="BF3222" t="s">
        <v>3453</v>
      </c>
      <c r="BG3222" s="1">
        <v>44354.078472222223</v>
      </c>
      <c r="BH3222" s="1">
        <v>44354.084999999999</v>
      </c>
      <c r="BI3222" s="1">
        <v>44354.085949074077</v>
      </c>
      <c r="BJ3222" t="s">
        <v>85</v>
      </c>
      <c r="BK3222" t="s">
        <v>86</v>
      </c>
      <c r="BL3222" t="s">
        <v>87</v>
      </c>
    </row>
    <row r="3223" spans="1:64" x14ac:dyDescent="0.3">
      <c r="A3223" t="str">
        <f>"202207B0000"</f>
        <v>202207B0000</v>
      </c>
      <c r="B3223" t="str">
        <f>"202207B00003"</f>
        <v>202207B00003</v>
      </c>
      <c r="C3223" t="str">
        <f t="shared" si="228"/>
        <v>20</v>
      </c>
      <c r="D3223" t="s">
        <v>81</v>
      </c>
      <c r="E3223" t="str">
        <f t="shared" si="226"/>
        <v>515</v>
      </c>
      <c r="F3223" t="s">
        <v>3432</v>
      </c>
      <c r="G3223" t="str">
        <f t="shared" ref="G3223:G3228" si="229">"2207"</f>
        <v>2207</v>
      </c>
      <c r="H3223" t="str">
        <f>"0000"</f>
        <v>0000</v>
      </c>
      <c r="I3223" t="s">
        <v>83</v>
      </c>
      <c r="J3223">
        <v>0</v>
      </c>
      <c r="K3223">
        <v>1</v>
      </c>
      <c r="L3223">
        <v>3</v>
      </c>
      <c r="M3223">
        <v>221</v>
      </c>
      <c r="N3223">
        <v>325</v>
      </c>
      <c r="O3223">
        <v>6</v>
      </c>
      <c r="P3223">
        <v>325</v>
      </c>
      <c r="Q3223">
        <v>25</v>
      </c>
      <c r="R3223">
        <v>25</v>
      </c>
      <c r="S3223">
        <v>2</v>
      </c>
      <c r="T3223">
        <v>54</v>
      </c>
      <c r="U3223">
        <v>34</v>
      </c>
      <c r="V3223">
        <v>3</v>
      </c>
      <c r="W3223">
        <v>13</v>
      </c>
      <c r="X3223">
        <v>132</v>
      </c>
      <c r="Y3223">
        <v>5</v>
      </c>
      <c r="Z3223">
        <v>2</v>
      </c>
      <c r="AA3223">
        <v>9</v>
      </c>
      <c r="AB3223">
        <v>10</v>
      </c>
      <c r="AT3223" t="s">
        <v>95</v>
      </c>
      <c r="AW3223">
        <v>4</v>
      </c>
      <c r="AX3223">
        <v>3</v>
      </c>
      <c r="AY3223">
        <v>321</v>
      </c>
      <c r="AZ3223">
        <v>321</v>
      </c>
      <c r="BA3223">
        <v>502</v>
      </c>
      <c r="BB3223">
        <v>44</v>
      </c>
      <c r="BC3223" t="s">
        <v>96</v>
      </c>
      <c r="BD3223">
        <v>1</v>
      </c>
      <c r="BF3223" t="s">
        <v>3454</v>
      </c>
      <c r="BG3223" s="1">
        <v>44354.071122685185</v>
      </c>
      <c r="BH3223" s="1">
        <v>44354.078182870369</v>
      </c>
      <c r="BI3223" s="1">
        <v>44354.079016203701</v>
      </c>
      <c r="BJ3223" t="s">
        <v>197</v>
      </c>
      <c r="BK3223" t="s">
        <v>198</v>
      </c>
      <c r="BL3223" t="s">
        <v>87</v>
      </c>
    </row>
    <row r="3224" spans="1:64" x14ac:dyDescent="0.3">
      <c r="A3224" t="str">
        <f>"202207C0100"</f>
        <v>202207C0100</v>
      </c>
      <c r="B3224" t="str">
        <f>"202207C01003"</f>
        <v>202207C01003</v>
      </c>
      <c r="C3224" t="str">
        <f t="shared" si="228"/>
        <v>20</v>
      </c>
      <c r="D3224" t="s">
        <v>81</v>
      </c>
      <c r="E3224" t="str">
        <f t="shared" si="226"/>
        <v>515</v>
      </c>
      <c r="F3224" t="s">
        <v>3432</v>
      </c>
      <c r="G3224" t="str">
        <f t="shared" si="229"/>
        <v>2207</v>
      </c>
      <c r="H3224" t="str">
        <f>"0001"</f>
        <v>0001</v>
      </c>
      <c r="I3224" t="s">
        <v>89</v>
      </c>
      <c r="J3224">
        <v>0</v>
      </c>
      <c r="K3224">
        <v>1</v>
      </c>
      <c r="L3224">
        <v>3</v>
      </c>
      <c r="M3224">
        <v>222</v>
      </c>
      <c r="N3224">
        <v>324</v>
      </c>
      <c r="O3224">
        <v>7</v>
      </c>
      <c r="P3224">
        <v>318</v>
      </c>
      <c r="Q3224">
        <v>16</v>
      </c>
      <c r="R3224">
        <v>18</v>
      </c>
      <c r="S3224">
        <v>5</v>
      </c>
      <c r="T3224">
        <v>48</v>
      </c>
      <c r="U3224">
        <v>29</v>
      </c>
      <c r="V3224">
        <v>8</v>
      </c>
      <c r="W3224">
        <v>11</v>
      </c>
      <c r="X3224">
        <v>153</v>
      </c>
      <c r="Y3224">
        <v>3</v>
      </c>
      <c r="Z3224" t="s">
        <v>95</v>
      </c>
      <c r="AA3224">
        <v>9</v>
      </c>
      <c r="AB3224">
        <v>13</v>
      </c>
      <c r="AT3224" t="s">
        <v>95</v>
      </c>
      <c r="AW3224">
        <v>1</v>
      </c>
      <c r="AX3224">
        <v>4</v>
      </c>
      <c r="AY3224">
        <v>318</v>
      </c>
      <c r="AZ3224">
        <v>318</v>
      </c>
      <c r="BA3224">
        <v>502</v>
      </c>
      <c r="BB3224">
        <v>44</v>
      </c>
      <c r="BC3224" t="s">
        <v>96</v>
      </c>
      <c r="BD3224">
        <v>1</v>
      </c>
      <c r="BF3224" t="s">
        <v>3455</v>
      </c>
      <c r="BG3224" s="1">
        <v>44354.176388888889</v>
      </c>
      <c r="BH3224" s="1">
        <v>44354.178113425929</v>
      </c>
      <c r="BI3224" s="1">
        <v>44354.178425925929</v>
      </c>
      <c r="BJ3224" t="s">
        <v>85</v>
      </c>
      <c r="BK3224" t="s">
        <v>86</v>
      </c>
      <c r="BL3224" t="s">
        <v>87</v>
      </c>
    </row>
    <row r="3225" spans="1:64" x14ac:dyDescent="0.3">
      <c r="A3225" t="str">
        <f>"202207E0100"</f>
        <v>202207E0100</v>
      </c>
      <c r="B3225" t="str">
        <f>"202207E01003"</f>
        <v>202207E01003</v>
      </c>
      <c r="C3225" t="str">
        <f t="shared" si="228"/>
        <v>20</v>
      </c>
      <c r="D3225" t="s">
        <v>81</v>
      </c>
      <c r="E3225" t="str">
        <f t="shared" si="226"/>
        <v>515</v>
      </c>
      <c r="F3225" t="s">
        <v>3432</v>
      </c>
      <c r="G3225" t="str">
        <f t="shared" si="229"/>
        <v>2207</v>
      </c>
      <c r="H3225" t="str">
        <f>"0001"</f>
        <v>0001</v>
      </c>
      <c r="I3225" t="s">
        <v>122</v>
      </c>
      <c r="J3225">
        <v>0</v>
      </c>
      <c r="K3225">
        <v>1</v>
      </c>
      <c r="L3225">
        <v>3</v>
      </c>
      <c r="M3225">
        <v>242</v>
      </c>
      <c r="N3225">
        <v>335</v>
      </c>
      <c r="O3225">
        <v>1</v>
      </c>
      <c r="P3225">
        <v>333</v>
      </c>
      <c r="Q3225">
        <v>6</v>
      </c>
      <c r="R3225">
        <v>40</v>
      </c>
      <c r="S3225">
        <v>32</v>
      </c>
      <c r="T3225">
        <v>17</v>
      </c>
      <c r="U3225">
        <v>36</v>
      </c>
      <c r="V3225">
        <v>2</v>
      </c>
      <c r="W3225">
        <v>9</v>
      </c>
      <c r="X3225">
        <v>139</v>
      </c>
      <c r="Y3225">
        <v>1</v>
      </c>
      <c r="Z3225">
        <v>2</v>
      </c>
      <c r="AA3225">
        <v>5</v>
      </c>
      <c r="AB3225">
        <v>6</v>
      </c>
      <c r="AT3225" t="s">
        <v>95</v>
      </c>
      <c r="AW3225">
        <v>11</v>
      </c>
      <c r="AX3225">
        <v>27</v>
      </c>
      <c r="AY3225" t="s">
        <v>95</v>
      </c>
      <c r="AZ3225">
        <v>333</v>
      </c>
      <c r="BA3225">
        <v>532</v>
      </c>
      <c r="BB3225">
        <v>44</v>
      </c>
      <c r="BC3225" t="s">
        <v>96</v>
      </c>
      <c r="BD3225">
        <v>1</v>
      </c>
      <c r="BF3225" t="s">
        <v>3456</v>
      </c>
      <c r="BG3225" s="1">
        <v>44353.936921296299</v>
      </c>
      <c r="BH3225" s="1">
        <v>44353.938113425924</v>
      </c>
      <c r="BI3225" s="1">
        <v>44353.93854166667</v>
      </c>
      <c r="BJ3225" t="s">
        <v>197</v>
      </c>
      <c r="BK3225" t="s">
        <v>198</v>
      </c>
      <c r="BL3225" t="s">
        <v>87</v>
      </c>
    </row>
    <row r="3226" spans="1:64" x14ac:dyDescent="0.3">
      <c r="A3226" t="str">
        <f>"202207E0101"</f>
        <v>202207E0101</v>
      </c>
      <c r="B3226" t="str">
        <f>"202207E01013"</f>
        <v>202207E01013</v>
      </c>
      <c r="C3226" t="str">
        <f t="shared" si="228"/>
        <v>20</v>
      </c>
      <c r="D3226" t="s">
        <v>81</v>
      </c>
      <c r="E3226" t="str">
        <f t="shared" si="226"/>
        <v>515</v>
      </c>
      <c r="F3226" t="s">
        <v>3432</v>
      </c>
      <c r="G3226" t="str">
        <f t="shared" si="229"/>
        <v>2207</v>
      </c>
      <c r="H3226" t="str">
        <f>"0001"</f>
        <v>0001</v>
      </c>
      <c r="I3226" t="s">
        <v>122</v>
      </c>
      <c r="J3226">
        <v>1</v>
      </c>
      <c r="K3226">
        <v>1</v>
      </c>
      <c r="L3226">
        <v>3</v>
      </c>
      <c r="M3226">
        <v>210</v>
      </c>
      <c r="N3226">
        <v>366</v>
      </c>
      <c r="O3226">
        <v>4</v>
      </c>
      <c r="P3226">
        <v>366</v>
      </c>
      <c r="Q3226">
        <v>7</v>
      </c>
      <c r="R3226">
        <v>50</v>
      </c>
      <c r="S3226">
        <v>27</v>
      </c>
      <c r="T3226">
        <v>22</v>
      </c>
      <c r="U3226">
        <v>34</v>
      </c>
      <c r="V3226">
        <v>2</v>
      </c>
      <c r="W3226">
        <v>3</v>
      </c>
      <c r="X3226">
        <v>163</v>
      </c>
      <c r="Y3226">
        <v>3</v>
      </c>
      <c r="Z3226">
        <v>5</v>
      </c>
      <c r="AA3226">
        <v>5</v>
      </c>
      <c r="AB3226">
        <v>8</v>
      </c>
      <c r="AT3226" t="s">
        <v>95</v>
      </c>
      <c r="AW3226" t="s">
        <v>95</v>
      </c>
      <c r="AX3226">
        <v>28</v>
      </c>
      <c r="AY3226">
        <v>366</v>
      </c>
      <c r="AZ3226">
        <v>357</v>
      </c>
      <c r="BA3226">
        <v>532</v>
      </c>
      <c r="BB3226">
        <v>44</v>
      </c>
      <c r="BC3226" t="s">
        <v>96</v>
      </c>
      <c r="BD3226">
        <v>1</v>
      </c>
      <c r="BF3226" t="s">
        <v>3457</v>
      </c>
      <c r="BG3226" s="1">
        <v>44353.959791666668</v>
      </c>
      <c r="BH3226" s="1">
        <v>44353.962280092594</v>
      </c>
      <c r="BI3226" s="1">
        <v>44353.962696759256</v>
      </c>
      <c r="BJ3226" t="s">
        <v>197</v>
      </c>
      <c r="BK3226" t="s">
        <v>198</v>
      </c>
      <c r="BL3226" t="s">
        <v>87</v>
      </c>
    </row>
    <row r="3227" spans="1:64" x14ac:dyDescent="0.3">
      <c r="A3227" t="str">
        <f>"202207S0100"</f>
        <v>202207S0100</v>
      </c>
      <c r="B3227" t="str">
        <f>"202207S01003E"</f>
        <v>202207S01003E</v>
      </c>
      <c r="C3227" t="str">
        <f t="shared" si="228"/>
        <v>20</v>
      </c>
      <c r="D3227" t="s">
        <v>81</v>
      </c>
      <c r="E3227" t="str">
        <f t="shared" si="226"/>
        <v>515</v>
      </c>
      <c r="F3227" t="s">
        <v>3432</v>
      </c>
      <c r="G3227" t="str">
        <f t="shared" si="229"/>
        <v>2207</v>
      </c>
      <c r="H3227" t="str">
        <f>"0001"</f>
        <v>0001</v>
      </c>
      <c r="I3227" t="s">
        <v>99</v>
      </c>
      <c r="J3227">
        <v>0</v>
      </c>
      <c r="K3227">
        <v>1</v>
      </c>
      <c r="L3227" t="s">
        <v>100</v>
      </c>
      <c r="M3227">
        <v>967</v>
      </c>
      <c r="N3227">
        <v>34</v>
      </c>
      <c r="O3227">
        <v>0</v>
      </c>
      <c r="P3227">
        <v>33</v>
      </c>
      <c r="Q3227">
        <v>2</v>
      </c>
      <c r="R3227">
        <v>5</v>
      </c>
      <c r="S3227">
        <v>1</v>
      </c>
      <c r="T3227">
        <v>4</v>
      </c>
      <c r="U3227">
        <v>2</v>
      </c>
      <c r="V3227">
        <v>0</v>
      </c>
      <c r="W3227">
        <v>0</v>
      </c>
      <c r="X3227">
        <v>10</v>
      </c>
      <c r="Y3227">
        <v>0</v>
      </c>
      <c r="Z3227">
        <v>0</v>
      </c>
      <c r="AA3227">
        <v>4</v>
      </c>
      <c r="AB3227">
        <v>2</v>
      </c>
      <c r="AT3227">
        <v>0</v>
      </c>
      <c r="AW3227">
        <v>0</v>
      </c>
      <c r="AX3227">
        <v>3</v>
      </c>
      <c r="AY3227">
        <v>33</v>
      </c>
      <c r="AZ3227">
        <v>33</v>
      </c>
      <c r="BA3227">
        <v>0</v>
      </c>
      <c r="BB3227">
        <v>44</v>
      </c>
      <c r="BD3227">
        <v>1</v>
      </c>
      <c r="BF3227" t="s">
        <v>3458</v>
      </c>
      <c r="BG3227" s="1">
        <v>44354.175694444442</v>
      </c>
      <c r="BH3227" s="1">
        <v>44354.177812499998</v>
      </c>
      <c r="BI3227" s="1">
        <v>44354.17827546296</v>
      </c>
      <c r="BJ3227" t="s">
        <v>85</v>
      </c>
      <c r="BK3227" t="s">
        <v>86</v>
      </c>
      <c r="BL3227" t="s">
        <v>87</v>
      </c>
    </row>
    <row r="3228" spans="1:64" x14ac:dyDescent="0.3">
      <c r="A3228" t="str">
        <f>"202207S0200"</f>
        <v>202207S0200</v>
      </c>
      <c r="B3228" t="str">
        <f>"202207S02003E"</f>
        <v>202207S02003E</v>
      </c>
      <c r="C3228" t="str">
        <f t="shared" si="228"/>
        <v>20</v>
      </c>
      <c r="D3228" t="s">
        <v>81</v>
      </c>
      <c r="E3228" t="str">
        <f t="shared" si="226"/>
        <v>515</v>
      </c>
      <c r="F3228" t="s">
        <v>3432</v>
      </c>
      <c r="G3228" t="str">
        <f t="shared" si="229"/>
        <v>2207</v>
      </c>
      <c r="H3228" t="str">
        <f>"0002"</f>
        <v>0002</v>
      </c>
      <c r="I3228" t="s">
        <v>99</v>
      </c>
      <c r="J3228">
        <v>0</v>
      </c>
      <c r="K3228">
        <v>1</v>
      </c>
      <c r="L3228" t="s">
        <v>100</v>
      </c>
      <c r="M3228">
        <v>955</v>
      </c>
      <c r="N3228">
        <v>45</v>
      </c>
      <c r="O3228">
        <v>0</v>
      </c>
      <c r="P3228">
        <v>45</v>
      </c>
      <c r="Q3228">
        <v>5</v>
      </c>
      <c r="R3228">
        <v>5</v>
      </c>
      <c r="S3228">
        <v>0</v>
      </c>
      <c r="T3228">
        <v>6</v>
      </c>
      <c r="U3228">
        <v>3</v>
      </c>
      <c r="V3228">
        <v>3</v>
      </c>
      <c r="W3228">
        <v>1</v>
      </c>
      <c r="X3228">
        <v>14</v>
      </c>
      <c r="Y3228">
        <v>0</v>
      </c>
      <c r="Z3228">
        <v>0</v>
      </c>
      <c r="AA3228">
        <v>4</v>
      </c>
      <c r="AB3228">
        <v>3</v>
      </c>
      <c r="AT3228">
        <v>0</v>
      </c>
      <c r="AW3228">
        <v>1</v>
      </c>
      <c r="AX3228">
        <v>0</v>
      </c>
      <c r="AY3228">
        <v>45</v>
      </c>
      <c r="AZ3228">
        <v>45</v>
      </c>
      <c r="BA3228">
        <v>0</v>
      </c>
      <c r="BB3228">
        <v>44</v>
      </c>
      <c r="BD3228">
        <v>1</v>
      </c>
      <c r="BF3228" t="s">
        <v>3459</v>
      </c>
      <c r="BG3228" s="1">
        <v>44354.066006944442</v>
      </c>
      <c r="BH3228" s="1">
        <v>44354.070717592593</v>
      </c>
      <c r="BI3228" s="1">
        <v>44354.070925925924</v>
      </c>
      <c r="BJ3228" t="s">
        <v>197</v>
      </c>
      <c r="BK3228" t="s">
        <v>198</v>
      </c>
      <c r="BL3228" t="s">
        <v>87</v>
      </c>
    </row>
    <row r="3229" spans="1:64" x14ac:dyDescent="0.3">
      <c r="A3229" t="str">
        <f>"202208B0000"</f>
        <v>202208B0000</v>
      </c>
      <c r="B3229" t="str">
        <f>"202208B00003"</f>
        <v>202208B00003</v>
      </c>
      <c r="C3229" t="str">
        <f t="shared" si="228"/>
        <v>20</v>
      </c>
      <c r="D3229" t="s">
        <v>81</v>
      </c>
      <c r="E3229" t="str">
        <f t="shared" si="226"/>
        <v>515</v>
      </c>
      <c r="F3229" t="s">
        <v>3432</v>
      </c>
      <c r="G3229" t="str">
        <f>"2208"</f>
        <v>2208</v>
      </c>
      <c r="H3229" t="str">
        <f>"0000"</f>
        <v>0000</v>
      </c>
      <c r="I3229" t="s">
        <v>83</v>
      </c>
      <c r="J3229">
        <v>0</v>
      </c>
      <c r="K3229">
        <v>1</v>
      </c>
      <c r="L3229">
        <v>3</v>
      </c>
      <c r="M3229">
        <v>167</v>
      </c>
      <c r="N3229">
        <v>289</v>
      </c>
      <c r="O3229">
        <v>3</v>
      </c>
      <c r="P3229">
        <v>289</v>
      </c>
      <c r="Q3229">
        <v>20</v>
      </c>
      <c r="R3229">
        <v>23</v>
      </c>
      <c r="S3229">
        <v>2</v>
      </c>
      <c r="T3229">
        <v>28</v>
      </c>
      <c r="U3229">
        <v>27</v>
      </c>
      <c r="V3229">
        <v>5</v>
      </c>
      <c r="W3229">
        <v>24</v>
      </c>
      <c r="X3229">
        <v>134</v>
      </c>
      <c r="Y3229">
        <v>2</v>
      </c>
      <c r="Z3229">
        <v>0</v>
      </c>
      <c r="AA3229">
        <v>11</v>
      </c>
      <c r="AB3229">
        <v>4</v>
      </c>
      <c r="AT3229">
        <v>0</v>
      </c>
      <c r="AW3229">
        <v>4</v>
      </c>
      <c r="AX3229">
        <v>5</v>
      </c>
      <c r="AY3229">
        <v>289</v>
      </c>
      <c r="AZ3229">
        <v>289</v>
      </c>
      <c r="BA3229">
        <v>412</v>
      </c>
      <c r="BB3229">
        <v>44</v>
      </c>
      <c r="BD3229">
        <v>1</v>
      </c>
      <c r="BF3229" t="s">
        <v>3460</v>
      </c>
      <c r="BG3229" s="1">
        <v>44353.911134259259</v>
      </c>
      <c r="BH3229" s="1">
        <v>44353.912476851852</v>
      </c>
      <c r="BI3229" s="1">
        <v>44353.913101851853</v>
      </c>
      <c r="BJ3229" t="s">
        <v>197</v>
      </c>
      <c r="BK3229" t="s">
        <v>198</v>
      </c>
      <c r="BL3229" t="s">
        <v>87</v>
      </c>
    </row>
    <row r="3230" spans="1:64" x14ac:dyDescent="0.3">
      <c r="A3230" t="str">
        <f>"202208C0100"</f>
        <v>202208C0100</v>
      </c>
      <c r="B3230" t="str">
        <f>"202208C01003"</f>
        <v>202208C01003</v>
      </c>
      <c r="C3230" t="str">
        <f t="shared" si="228"/>
        <v>20</v>
      </c>
      <c r="D3230" t="s">
        <v>81</v>
      </c>
      <c r="E3230" t="str">
        <f t="shared" si="226"/>
        <v>515</v>
      </c>
      <c r="F3230" t="s">
        <v>3432</v>
      </c>
      <c r="G3230" t="str">
        <f>"2208"</f>
        <v>2208</v>
      </c>
      <c r="H3230" t="str">
        <f>"0001"</f>
        <v>0001</v>
      </c>
      <c r="I3230" t="s">
        <v>89</v>
      </c>
      <c r="J3230">
        <v>0</v>
      </c>
      <c r="K3230">
        <v>1</v>
      </c>
      <c r="L3230">
        <v>3</v>
      </c>
      <c r="M3230">
        <v>182</v>
      </c>
      <c r="N3230">
        <v>274</v>
      </c>
      <c r="O3230">
        <v>1</v>
      </c>
      <c r="P3230">
        <v>274</v>
      </c>
      <c r="Q3230">
        <v>22</v>
      </c>
      <c r="R3230">
        <v>30</v>
      </c>
      <c r="S3230">
        <v>7</v>
      </c>
      <c r="T3230">
        <v>39</v>
      </c>
      <c r="U3230">
        <v>25</v>
      </c>
      <c r="V3230">
        <v>2</v>
      </c>
      <c r="W3230">
        <v>23</v>
      </c>
      <c r="X3230">
        <v>96</v>
      </c>
      <c r="Y3230">
        <v>3</v>
      </c>
      <c r="Z3230">
        <v>2</v>
      </c>
      <c r="AA3230">
        <v>5</v>
      </c>
      <c r="AB3230">
        <v>7</v>
      </c>
      <c r="AT3230">
        <v>0</v>
      </c>
      <c r="AW3230">
        <v>10</v>
      </c>
      <c r="AX3230">
        <v>3</v>
      </c>
      <c r="AY3230">
        <v>274</v>
      </c>
      <c r="AZ3230">
        <v>274</v>
      </c>
      <c r="BA3230">
        <v>412</v>
      </c>
      <c r="BB3230">
        <v>44</v>
      </c>
      <c r="BD3230">
        <v>1</v>
      </c>
      <c r="BF3230" t="s">
        <v>3461</v>
      </c>
      <c r="BG3230" s="1">
        <v>44353.94332175926</v>
      </c>
      <c r="BH3230" s="1">
        <v>44353.944444444445</v>
      </c>
      <c r="BI3230" s="1">
        <v>44353.944988425923</v>
      </c>
      <c r="BJ3230" t="s">
        <v>197</v>
      </c>
      <c r="BK3230" t="s">
        <v>198</v>
      </c>
      <c r="BL3230" t="s">
        <v>87</v>
      </c>
    </row>
    <row r="3231" spans="1:64" x14ac:dyDescent="0.3">
      <c r="A3231" t="str">
        <f>"202209B0000"</f>
        <v>202209B0000</v>
      </c>
      <c r="B3231" t="str">
        <f>"202209B00003"</f>
        <v>202209B00003</v>
      </c>
      <c r="C3231" t="str">
        <f t="shared" si="228"/>
        <v>20</v>
      </c>
      <c r="D3231" t="s">
        <v>81</v>
      </c>
      <c r="E3231" t="str">
        <f t="shared" si="226"/>
        <v>515</v>
      </c>
      <c r="F3231" t="s">
        <v>3432</v>
      </c>
      <c r="G3231" t="str">
        <f>"2209"</f>
        <v>2209</v>
      </c>
      <c r="H3231" t="str">
        <f>"0000"</f>
        <v>0000</v>
      </c>
      <c r="I3231" t="s">
        <v>83</v>
      </c>
      <c r="J3231">
        <v>0</v>
      </c>
      <c r="K3231">
        <v>1</v>
      </c>
      <c r="L3231">
        <v>3</v>
      </c>
      <c r="M3231" t="s">
        <v>92</v>
      </c>
      <c r="N3231" t="s">
        <v>92</v>
      </c>
      <c r="O3231" t="s">
        <v>92</v>
      </c>
      <c r="P3231" t="s">
        <v>92</v>
      </c>
      <c r="Q3231">
        <v>9</v>
      </c>
      <c r="R3231">
        <v>16</v>
      </c>
      <c r="S3231">
        <v>18</v>
      </c>
      <c r="T3231">
        <v>36</v>
      </c>
      <c r="U3231">
        <v>43</v>
      </c>
      <c r="V3231">
        <v>2</v>
      </c>
      <c r="W3231">
        <v>6</v>
      </c>
      <c r="X3231">
        <v>135</v>
      </c>
      <c r="Y3231">
        <v>4</v>
      </c>
      <c r="Z3231">
        <v>0</v>
      </c>
      <c r="AA3231">
        <v>7</v>
      </c>
      <c r="AB3231">
        <v>24</v>
      </c>
      <c r="AT3231">
        <v>0</v>
      </c>
      <c r="AW3231">
        <v>27</v>
      </c>
      <c r="AX3231">
        <v>15</v>
      </c>
      <c r="AY3231">
        <v>342</v>
      </c>
      <c r="AZ3231">
        <v>342</v>
      </c>
      <c r="BA3231">
        <v>507</v>
      </c>
      <c r="BB3231">
        <v>44</v>
      </c>
      <c r="BD3231">
        <v>1</v>
      </c>
      <c r="BF3231" t="s">
        <v>3462</v>
      </c>
      <c r="BG3231" s="1">
        <v>44354.151388888888</v>
      </c>
      <c r="BH3231" s="1">
        <v>44354.153784722221</v>
      </c>
      <c r="BI3231" s="1">
        <v>44354.154768518521</v>
      </c>
      <c r="BJ3231" t="s">
        <v>85</v>
      </c>
      <c r="BK3231" t="s">
        <v>86</v>
      </c>
      <c r="BL3231" t="s">
        <v>87</v>
      </c>
    </row>
    <row r="3232" spans="1:64" x14ac:dyDescent="0.3">
      <c r="A3232" t="str">
        <f>"202209C0100"</f>
        <v>202209C0100</v>
      </c>
      <c r="B3232" t="str">
        <f>"202209C01003"</f>
        <v>202209C01003</v>
      </c>
      <c r="C3232" t="str">
        <f t="shared" si="228"/>
        <v>20</v>
      </c>
      <c r="D3232" t="s">
        <v>81</v>
      </c>
      <c r="E3232" t="str">
        <f t="shared" si="226"/>
        <v>515</v>
      </c>
      <c r="F3232" t="s">
        <v>3432</v>
      </c>
      <c r="G3232" t="str">
        <f>"2209"</f>
        <v>2209</v>
      </c>
      <c r="H3232" t="str">
        <f>"0001"</f>
        <v>0001</v>
      </c>
      <c r="I3232" t="s">
        <v>89</v>
      </c>
      <c r="J3232">
        <v>0</v>
      </c>
      <c r="K3232">
        <v>1</v>
      </c>
      <c r="L3232">
        <v>3</v>
      </c>
      <c r="BA3232">
        <v>506</v>
      </c>
      <c r="BB3232">
        <v>44</v>
      </c>
      <c r="BC3232" t="s">
        <v>161</v>
      </c>
      <c r="BD3232">
        <v>0</v>
      </c>
      <c r="BF3232" t="s">
        <v>3463</v>
      </c>
      <c r="BG3232" s="1">
        <v>44354.137499999997</v>
      </c>
      <c r="BH3232" s="1">
        <v>44354.647418981483</v>
      </c>
      <c r="BI3232" s="1">
        <v>44354.647418981483</v>
      </c>
      <c r="BJ3232" t="s">
        <v>85</v>
      </c>
      <c r="BK3232" t="s">
        <v>86</v>
      </c>
      <c r="BL3232" t="s">
        <v>87</v>
      </c>
    </row>
    <row r="3233" spans="1:64" x14ac:dyDescent="0.3">
      <c r="A3233" t="str">
        <f>"202210B0000"</f>
        <v>202210B0000</v>
      </c>
      <c r="B3233" t="str">
        <f>"202210B00003"</f>
        <v>202210B00003</v>
      </c>
      <c r="C3233" t="str">
        <f t="shared" si="228"/>
        <v>20</v>
      </c>
      <c r="D3233" t="s">
        <v>81</v>
      </c>
      <c r="E3233" t="str">
        <f t="shared" si="226"/>
        <v>515</v>
      </c>
      <c r="F3233" t="s">
        <v>3432</v>
      </c>
      <c r="G3233" t="str">
        <f>"2210"</f>
        <v>2210</v>
      </c>
      <c r="H3233" t="str">
        <f>"0000"</f>
        <v>0000</v>
      </c>
      <c r="I3233" t="s">
        <v>83</v>
      </c>
      <c r="J3233">
        <v>0</v>
      </c>
      <c r="K3233">
        <v>1</v>
      </c>
      <c r="L3233">
        <v>3</v>
      </c>
      <c r="M3233">
        <v>212</v>
      </c>
      <c r="N3233">
        <v>462</v>
      </c>
      <c r="O3233">
        <v>4</v>
      </c>
      <c r="P3233">
        <v>462</v>
      </c>
      <c r="Q3233">
        <v>18</v>
      </c>
      <c r="R3233">
        <v>26</v>
      </c>
      <c r="S3233">
        <v>16</v>
      </c>
      <c r="T3233">
        <v>48</v>
      </c>
      <c r="U3233">
        <v>47</v>
      </c>
      <c r="V3233">
        <v>4</v>
      </c>
      <c r="W3233">
        <v>9</v>
      </c>
      <c r="X3233">
        <v>235</v>
      </c>
      <c r="Y3233">
        <v>1</v>
      </c>
      <c r="Z3233">
        <v>2</v>
      </c>
      <c r="AA3233">
        <v>12</v>
      </c>
      <c r="AB3233">
        <v>14</v>
      </c>
      <c r="AT3233">
        <v>0</v>
      </c>
      <c r="AW3233">
        <v>19</v>
      </c>
      <c r="AX3233">
        <v>11</v>
      </c>
      <c r="AY3233">
        <v>462</v>
      </c>
      <c r="AZ3233">
        <v>462</v>
      </c>
      <c r="BA3233">
        <v>630</v>
      </c>
      <c r="BB3233">
        <v>44</v>
      </c>
      <c r="BD3233">
        <v>1</v>
      </c>
      <c r="BF3233" t="s">
        <v>3464</v>
      </c>
      <c r="BG3233" s="1">
        <v>44354.032638888886</v>
      </c>
      <c r="BH3233" s="1">
        <v>44354.040300925924</v>
      </c>
      <c r="BI3233" s="1">
        <v>44354.04078703704</v>
      </c>
      <c r="BJ3233" t="s">
        <v>85</v>
      </c>
      <c r="BK3233" t="s">
        <v>86</v>
      </c>
      <c r="BL3233" t="s">
        <v>87</v>
      </c>
    </row>
    <row r="3234" spans="1:64" x14ac:dyDescent="0.3">
      <c r="A3234" t="str">
        <f>"202210C0100"</f>
        <v>202210C0100</v>
      </c>
      <c r="B3234" t="str">
        <f>"202210C01003"</f>
        <v>202210C01003</v>
      </c>
      <c r="C3234" t="str">
        <f t="shared" si="228"/>
        <v>20</v>
      </c>
      <c r="D3234" t="s">
        <v>81</v>
      </c>
      <c r="E3234" t="str">
        <f t="shared" ref="E3234:E3265" si="230">"515"</f>
        <v>515</v>
      </c>
      <c r="F3234" t="s">
        <v>3432</v>
      </c>
      <c r="G3234" t="str">
        <f>"2210"</f>
        <v>2210</v>
      </c>
      <c r="H3234" t="str">
        <f>"0001"</f>
        <v>0001</v>
      </c>
      <c r="I3234" t="s">
        <v>89</v>
      </c>
      <c r="J3234">
        <v>0</v>
      </c>
      <c r="K3234">
        <v>1</v>
      </c>
      <c r="L3234">
        <v>3</v>
      </c>
      <c r="M3234">
        <v>242</v>
      </c>
      <c r="N3234">
        <v>430</v>
      </c>
      <c r="O3234" t="s">
        <v>92</v>
      </c>
      <c r="P3234">
        <v>430</v>
      </c>
      <c r="Q3234">
        <v>12</v>
      </c>
      <c r="R3234">
        <v>21</v>
      </c>
      <c r="S3234">
        <v>7</v>
      </c>
      <c r="T3234">
        <v>32</v>
      </c>
      <c r="U3234">
        <v>52</v>
      </c>
      <c r="V3234">
        <v>6</v>
      </c>
      <c r="W3234">
        <v>4</v>
      </c>
      <c r="X3234">
        <v>230</v>
      </c>
      <c r="Y3234">
        <v>3</v>
      </c>
      <c r="Z3234">
        <v>5</v>
      </c>
      <c r="AA3234">
        <v>7</v>
      </c>
      <c r="AB3234">
        <v>24</v>
      </c>
      <c r="AT3234" t="s">
        <v>95</v>
      </c>
      <c r="AW3234">
        <v>13</v>
      </c>
      <c r="AX3234">
        <v>13</v>
      </c>
      <c r="AY3234">
        <v>230</v>
      </c>
      <c r="AZ3234">
        <v>429</v>
      </c>
      <c r="BA3234">
        <v>630</v>
      </c>
      <c r="BB3234">
        <v>44</v>
      </c>
      <c r="BC3234" t="s">
        <v>96</v>
      </c>
      <c r="BD3234">
        <v>1</v>
      </c>
      <c r="BF3234" t="s">
        <v>3465</v>
      </c>
      <c r="BG3234" s="1">
        <v>44353.537499999999</v>
      </c>
      <c r="BH3234" s="1">
        <v>44354.04546296296</v>
      </c>
      <c r="BI3234" s="1">
        <v>44354.045983796299</v>
      </c>
      <c r="BJ3234" t="s">
        <v>85</v>
      </c>
      <c r="BK3234" t="s">
        <v>86</v>
      </c>
      <c r="BL3234" t="s">
        <v>87</v>
      </c>
    </row>
    <row r="3235" spans="1:64" x14ac:dyDescent="0.3">
      <c r="A3235" t="str">
        <f>"202210C0200"</f>
        <v>202210C0200</v>
      </c>
      <c r="B3235" t="str">
        <f>"202210C02003"</f>
        <v>202210C02003</v>
      </c>
      <c r="C3235" t="str">
        <f t="shared" si="228"/>
        <v>20</v>
      </c>
      <c r="D3235" t="s">
        <v>81</v>
      </c>
      <c r="E3235" t="str">
        <f t="shared" si="230"/>
        <v>515</v>
      </c>
      <c r="F3235" t="s">
        <v>3432</v>
      </c>
      <c r="G3235" t="str">
        <f>"2210"</f>
        <v>2210</v>
      </c>
      <c r="H3235" t="str">
        <f>"0002"</f>
        <v>0002</v>
      </c>
      <c r="I3235" t="s">
        <v>89</v>
      </c>
      <c r="J3235">
        <v>0</v>
      </c>
      <c r="K3235">
        <v>1</v>
      </c>
      <c r="L3235">
        <v>3</v>
      </c>
      <c r="M3235">
        <v>250</v>
      </c>
      <c r="N3235">
        <v>424</v>
      </c>
      <c r="O3235">
        <v>5</v>
      </c>
      <c r="P3235" t="s">
        <v>92</v>
      </c>
      <c r="Q3235">
        <v>20</v>
      </c>
      <c r="R3235">
        <v>29</v>
      </c>
      <c r="S3235">
        <v>16</v>
      </c>
      <c r="T3235">
        <v>45</v>
      </c>
      <c r="U3235">
        <v>42</v>
      </c>
      <c r="V3235">
        <v>8</v>
      </c>
      <c r="W3235">
        <v>4</v>
      </c>
      <c r="X3235">
        <v>180</v>
      </c>
      <c r="Y3235">
        <v>3</v>
      </c>
      <c r="Z3235">
        <v>1</v>
      </c>
      <c r="AA3235">
        <v>10</v>
      </c>
      <c r="AB3235">
        <v>22</v>
      </c>
      <c r="AT3235" t="s">
        <v>95</v>
      </c>
      <c r="AW3235">
        <v>32</v>
      </c>
      <c r="AX3235" t="s">
        <v>95</v>
      </c>
      <c r="AY3235">
        <v>424</v>
      </c>
      <c r="AZ3235">
        <v>412</v>
      </c>
      <c r="BA3235">
        <v>629</v>
      </c>
      <c r="BB3235">
        <v>44</v>
      </c>
      <c r="BC3235" t="s">
        <v>96</v>
      </c>
      <c r="BD3235">
        <v>1</v>
      </c>
      <c r="BF3235" t="s">
        <v>3466</v>
      </c>
      <c r="BG3235" s="1">
        <v>44354.033333333333</v>
      </c>
      <c r="BH3235" s="1">
        <v>44354.040625000001</v>
      </c>
      <c r="BI3235" s="1">
        <v>44354.041342592594</v>
      </c>
      <c r="BJ3235" t="s">
        <v>85</v>
      </c>
      <c r="BK3235" t="s">
        <v>86</v>
      </c>
      <c r="BL3235" t="s">
        <v>87</v>
      </c>
    </row>
    <row r="3236" spans="1:64" x14ac:dyDescent="0.3">
      <c r="A3236" t="str">
        <f>"202211B0000"</f>
        <v>202211B0000</v>
      </c>
      <c r="B3236" t="str">
        <f>"202211B00003"</f>
        <v>202211B00003</v>
      </c>
      <c r="C3236" t="str">
        <f t="shared" si="228"/>
        <v>20</v>
      </c>
      <c r="D3236" t="s">
        <v>81</v>
      </c>
      <c r="E3236" t="str">
        <f t="shared" si="230"/>
        <v>515</v>
      </c>
      <c r="F3236" t="s">
        <v>3432</v>
      </c>
      <c r="G3236" t="str">
        <f>"2211"</f>
        <v>2211</v>
      </c>
      <c r="H3236" t="str">
        <f>"0000"</f>
        <v>0000</v>
      </c>
      <c r="I3236" t="s">
        <v>83</v>
      </c>
      <c r="J3236">
        <v>0</v>
      </c>
      <c r="K3236">
        <v>1</v>
      </c>
      <c r="L3236">
        <v>3</v>
      </c>
      <c r="M3236">
        <v>210</v>
      </c>
      <c r="N3236">
        <v>280</v>
      </c>
      <c r="O3236">
        <v>5</v>
      </c>
      <c r="P3236">
        <v>275</v>
      </c>
      <c r="Q3236">
        <v>10</v>
      </c>
      <c r="R3236">
        <v>30</v>
      </c>
      <c r="S3236">
        <v>10</v>
      </c>
      <c r="T3236">
        <v>36</v>
      </c>
      <c r="U3236">
        <v>21</v>
      </c>
      <c r="V3236">
        <v>2</v>
      </c>
      <c r="W3236">
        <v>7</v>
      </c>
      <c r="X3236">
        <v>115</v>
      </c>
      <c r="Y3236">
        <v>2</v>
      </c>
      <c r="Z3236" t="s">
        <v>95</v>
      </c>
      <c r="AA3236">
        <v>8</v>
      </c>
      <c r="AB3236">
        <v>19</v>
      </c>
      <c r="AT3236" t="s">
        <v>95</v>
      </c>
      <c r="AW3236">
        <v>9</v>
      </c>
      <c r="AX3236">
        <v>6</v>
      </c>
      <c r="AY3236">
        <v>275</v>
      </c>
      <c r="AZ3236">
        <v>275</v>
      </c>
      <c r="BA3236">
        <v>446</v>
      </c>
      <c r="BB3236">
        <v>44</v>
      </c>
      <c r="BC3236" t="s">
        <v>96</v>
      </c>
      <c r="BD3236">
        <v>1</v>
      </c>
      <c r="BF3236" t="s">
        <v>3467</v>
      </c>
      <c r="BG3236" s="1">
        <v>44354.07916666667</v>
      </c>
      <c r="BH3236" s="1">
        <v>44354.085509259261</v>
      </c>
      <c r="BI3236" s="1">
        <v>44354.085868055554</v>
      </c>
      <c r="BJ3236" t="s">
        <v>85</v>
      </c>
      <c r="BK3236" t="s">
        <v>86</v>
      </c>
      <c r="BL3236" t="s">
        <v>87</v>
      </c>
    </row>
    <row r="3237" spans="1:64" x14ac:dyDescent="0.3">
      <c r="A3237" t="str">
        <f>"202212B0000"</f>
        <v>202212B0000</v>
      </c>
      <c r="B3237" t="str">
        <f>"202212B00003"</f>
        <v>202212B00003</v>
      </c>
      <c r="C3237" t="str">
        <f t="shared" si="228"/>
        <v>20</v>
      </c>
      <c r="D3237" t="s">
        <v>81</v>
      </c>
      <c r="E3237" t="str">
        <f t="shared" si="230"/>
        <v>515</v>
      </c>
      <c r="F3237" t="s">
        <v>3432</v>
      </c>
      <c r="G3237" t="str">
        <f>"2212"</f>
        <v>2212</v>
      </c>
      <c r="H3237" t="str">
        <f>"0000"</f>
        <v>0000</v>
      </c>
      <c r="I3237" t="s">
        <v>83</v>
      </c>
      <c r="J3237">
        <v>0</v>
      </c>
      <c r="K3237">
        <v>1</v>
      </c>
      <c r="L3237">
        <v>3</v>
      </c>
      <c r="M3237">
        <v>178</v>
      </c>
      <c r="N3237">
        <v>321</v>
      </c>
      <c r="O3237">
        <v>3</v>
      </c>
      <c r="P3237">
        <v>321</v>
      </c>
      <c r="Q3237">
        <v>5</v>
      </c>
      <c r="R3237">
        <v>33</v>
      </c>
      <c r="S3237">
        <v>5</v>
      </c>
      <c r="T3237">
        <v>26</v>
      </c>
      <c r="U3237">
        <v>44</v>
      </c>
      <c r="V3237">
        <v>1</v>
      </c>
      <c r="W3237">
        <v>9</v>
      </c>
      <c r="X3237">
        <v>115</v>
      </c>
      <c r="Y3237">
        <v>1</v>
      </c>
      <c r="Z3237">
        <v>1</v>
      </c>
      <c r="AA3237">
        <v>30</v>
      </c>
      <c r="AB3237">
        <v>18</v>
      </c>
      <c r="AT3237">
        <v>0</v>
      </c>
      <c r="AW3237">
        <v>29</v>
      </c>
      <c r="AX3237">
        <v>2</v>
      </c>
      <c r="AY3237">
        <v>321</v>
      </c>
      <c r="AZ3237">
        <v>319</v>
      </c>
      <c r="BA3237">
        <v>455</v>
      </c>
      <c r="BB3237">
        <v>44</v>
      </c>
      <c r="BD3237">
        <v>1</v>
      </c>
      <c r="BF3237" t="s">
        <v>3468</v>
      </c>
      <c r="BG3237" s="1">
        <v>44353.899004629631</v>
      </c>
      <c r="BH3237" s="1">
        <v>44353.901180555556</v>
      </c>
      <c r="BI3237" s="1">
        <v>44353.901620370372</v>
      </c>
      <c r="BJ3237" t="s">
        <v>197</v>
      </c>
      <c r="BK3237" t="s">
        <v>198</v>
      </c>
      <c r="BL3237" t="s">
        <v>87</v>
      </c>
    </row>
    <row r="3238" spans="1:64" x14ac:dyDescent="0.3">
      <c r="A3238" t="str">
        <f>"202212C0100"</f>
        <v>202212C0100</v>
      </c>
      <c r="B3238" t="str">
        <f>"202212C01003"</f>
        <v>202212C01003</v>
      </c>
      <c r="C3238" t="str">
        <f t="shared" si="228"/>
        <v>20</v>
      </c>
      <c r="D3238" t="s">
        <v>81</v>
      </c>
      <c r="E3238" t="str">
        <f t="shared" si="230"/>
        <v>515</v>
      </c>
      <c r="F3238" t="s">
        <v>3432</v>
      </c>
      <c r="G3238" t="str">
        <f>"2212"</f>
        <v>2212</v>
      </c>
      <c r="H3238" t="str">
        <f>"0001"</f>
        <v>0001</v>
      </c>
      <c r="I3238" t="s">
        <v>89</v>
      </c>
      <c r="J3238">
        <v>0</v>
      </c>
      <c r="K3238">
        <v>1</v>
      </c>
      <c r="L3238">
        <v>3</v>
      </c>
      <c r="M3238">
        <v>179</v>
      </c>
      <c r="N3238">
        <v>319</v>
      </c>
      <c r="O3238">
        <v>6</v>
      </c>
      <c r="P3238">
        <v>319</v>
      </c>
      <c r="Q3238">
        <v>10</v>
      </c>
      <c r="R3238">
        <v>24</v>
      </c>
      <c r="S3238">
        <v>6</v>
      </c>
      <c r="T3238">
        <v>20</v>
      </c>
      <c r="U3238">
        <v>34</v>
      </c>
      <c r="V3238">
        <v>4</v>
      </c>
      <c r="W3238">
        <v>13</v>
      </c>
      <c r="X3238">
        <v>126</v>
      </c>
      <c r="Y3238">
        <v>0</v>
      </c>
      <c r="Z3238">
        <v>0</v>
      </c>
      <c r="AA3238">
        <v>37</v>
      </c>
      <c r="AB3238">
        <v>7</v>
      </c>
      <c r="AT3238">
        <v>0</v>
      </c>
      <c r="AW3238">
        <v>33</v>
      </c>
      <c r="AX3238">
        <v>5</v>
      </c>
      <c r="AY3238">
        <v>319</v>
      </c>
      <c r="AZ3238">
        <v>319</v>
      </c>
      <c r="BA3238">
        <v>454</v>
      </c>
      <c r="BB3238">
        <v>44</v>
      </c>
      <c r="BD3238">
        <v>1</v>
      </c>
      <c r="BF3238" t="s">
        <v>3469</v>
      </c>
      <c r="BG3238" s="1">
        <v>44353.900300925925</v>
      </c>
      <c r="BH3238" s="1">
        <v>44353.902418981481</v>
      </c>
      <c r="BI3238" s="1">
        <v>44353.902731481481</v>
      </c>
      <c r="BJ3238" t="s">
        <v>197</v>
      </c>
      <c r="BK3238" t="s">
        <v>198</v>
      </c>
      <c r="BL3238" t="s">
        <v>87</v>
      </c>
    </row>
    <row r="3239" spans="1:64" x14ac:dyDescent="0.3">
      <c r="A3239" t="str">
        <f>"202213B0000"</f>
        <v>202213B0000</v>
      </c>
      <c r="B3239" t="str">
        <f>"202213B00003"</f>
        <v>202213B00003</v>
      </c>
      <c r="C3239" t="str">
        <f t="shared" si="228"/>
        <v>20</v>
      </c>
      <c r="D3239" t="s">
        <v>81</v>
      </c>
      <c r="E3239" t="str">
        <f t="shared" si="230"/>
        <v>515</v>
      </c>
      <c r="F3239" t="s">
        <v>3432</v>
      </c>
      <c r="G3239" t="str">
        <f>"2213"</f>
        <v>2213</v>
      </c>
      <c r="H3239" t="str">
        <f>"0000"</f>
        <v>0000</v>
      </c>
      <c r="I3239" t="s">
        <v>83</v>
      </c>
      <c r="J3239">
        <v>0</v>
      </c>
      <c r="K3239">
        <v>1</v>
      </c>
      <c r="L3239">
        <v>3</v>
      </c>
      <c r="M3239">
        <v>283</v>
      </c>
      <c r="N3239">
        <v>424</v>
      </c>
      <c r="O3239">
        <v>3</v>
      </c>
      <c r="P3239">
        <v>427</v>
      </c>
      <c r="Q3239">
        <v>16</v>
      </c>
      <c r="R3239">
        <v>24</v>
      </c>
      <c r="S3239">
        <v>20</v>
      </c>
      <c r="T3239">
        <v>32</v>
      </c>
      <c r="U3239">
        <v>54</v>
      </c>
      <c r="V3239">
        <v>8</v>
      </c>
      <c r="W3239">
        <v>16</v>
      </c>
      <c r="X3239">
        <v>191</v>
      </c>
      <c r="Y3239">
        <v>1</v>
      </c>
      <c r="Z3239">
        <v>4</v>
      </c>
      <c r="AA3239">
        <v>13</v>
      </c>
      <c r="AB3239">
        <v>23</v>
      </c>
      <c r="AT3239">
        <v>0</v>
      </c>
      <c r="AW3239">
        <v>6</v>
      </c>
      <c r="AX3239">
        <v>19</v>
      </c>
      <c r="AY3239">
        <v>427</v>
      </c>
      <c r="AZ3239">
        <v>427</v>
      </c>
      <c r="BA3239">
        <v>665</v>
      </c>
      <c r="BB3239">
        <v>44</v>
      </c>
      <c r="BD3239">
        <v>1</v>
      </c>
      <c r="BF3239" t="s">
        <v>3470</v>
      </c>
      <c r="BG3239" s="1">
        <v>44353.539583333331</v>
      </c>
      <c r="BH3239" s="1">
        <v>44354.048506944448</v>
      </c>
      <c r="BI3239" s="1">
        <v>44354.049178240741</v>
      </c>
      <c r="BJ3239" t="s">
        <v>85</v>
      </c>
      <c r="BK3239" t="s">
        <v>86</v>
      </c>
      <c r="BL3239" t="s">
        <v>87</v>
      </c>
    </row>
    <row r="3240" spans="1:64" x14ac:dyDescent="0.3">
      <c r="A3240" t="str">
        <f>"202213C0100"</f>
        <v>202213C0100</v>
      </c>
      <c r="B3240" t="str">
        <f>"202213C01003"</f>
        <v>202213C01003</v>
      </c>
      <c r="C3240" t="str">
        <f t="shared" si="228"/>
        <v>20</v>
      </c>
      <c r="D3240" t="s">
        <v>81</v>
      </c>
      <c r="E3240" t="str">
        <f t="shared" si="230"/>
        <v>515</v>
      </c>
      <c r="F3240" t="s">
        <v>3432</v>
      </c>
      <c r="G3240" t="str">
        <f>"2213"</f>
        <v>2213</v>
      </c>
      <c r="H3240" t="str">
        <f>"0001"</f>
        <v>0001</v>
      </c>
      <c r="I3240" t="s">
        <v>89</v>
      </c>
      <c r="J3240">
        <v>0</v>
      </c>
      <c r="K3240">
        <v>1</v>
      </c>
      <c r="L3240">
        <v>3</v>
      </c>
      <c r="M3240">
        <v>292</v>
      </c>
      <c r="N3240">
        <v>417</v>
      </c>
      <c r="O3240">
        <v>4</v>
      </c>
      <c r="P3240">
        <v>416</v>
      </c>
      <c r="Q3240">
        <v>13</v>
      </c>
      <c r="R3240">
        <v>26</v>
      </c>
      <c r="S3240">
        <v>8</v>
      </c>
      <c r="T3240">
        <v>37</v>
      </c>
      <c r="U3240">
        <v>49</v>
      </c>
      <c r="V3240">
        <v>4</v>
      </c>
      <c r="W3240">
        <v>22</v>
      </c>
      <c r="X3240">
        <v>193</v>
      </c>
      <c r="Y3240">
        <v>5</v>
      </c>
      <c r="Z3240">
        <v>3</v>
      </c>
      <c r="AA3240">
        <v>19</v>
      </c>
      <c r="AB3240">
        <v>23</v>
      </c>
      <c r="AT3240">
        <v>0</v>
      </c>
      <c r="AW3240">
        <v>4</v>
      </c>
      <c r="AX3240">
        <v>10</v>
      </c>
      <c r="AY3240">
        <v>416</v>
      </c>
      <c r="AZ3240">
        <v>416</v>
      </c>
      <c r="BA3240">
        <v>665</v>
      </c>
      <c r="BB3240">
        <v>44</v>
      </c>
      <c r="BD3240">
        <v>1</v>
      </c>
      <c r="BF3240" t="s">
        <v>3471</v>
      </c>
      <c r="BG3240" s="1">
        <v>44353.961956018517</v>
      </c>
      <c r="BH3240" s="1">
        <v>44353.96365740741</v>
      </c>
      <c r="BI3240" s="1">
        <v>44353.964270833334</v>
      </c>
      <c r="BJ3240" t="s">
        <v>197</v>
      </c>
      <c r="BK3240" t="s">
        <v>198</v>
      </c>
      <c r="BL3240" t="s">
        <v>87</v>
      </c>
    </row>
    <row r="3241" spans="1:64" x14ac:dyDescent="0.3">
      <c r="A3241" t="str">
        <f>"202213C0200"</f>
        <v>202213C0200</v>
      </c>
      <c r="B3241" t="str">
        <f>"202213C02003"</f>
        <v>202213C02003</v>
      </c>
      <c r="C3241" t="str">
        <f t="shared" si="228"/>
        <v>20</v>
      </c>
      <c r="D3241" t="s">
        <v>81</v>
      </c>
      <c r="E3241" t="str">
        <f t="shared" si="230"/>
        <v>515</v>
      </c>
      <c r="F3241" t="s">
        <v>3432</v>
      </c>
      <c r="G3241" t="str">
        <f>"2213"</f>
        <v>2213</v>
      </c>
      <c r="H3241" t="str">
        <f>"0002"</f>
        <v>0002</v>
      </c>
      <c r="I3241" t="s">
        <v>89</v>
      </c>
      <c r="J3241">
        <v>0</v>
      </c>
      <c r="K3241">
        <v>1</v>
      </c>
      <c r="L3241">
        <v>3</v>
      </c>
      <c r="M3241">
        <v>292</v>
      </c>
      <c r="N3241">
        <v>416</v>
      </c>
      <c r="O3241">
        <v>4</v>
      </c>
      <c r="P3241">
        <v>428</v>
      </c>
      <c r="Q3241">
        <v>12</v>
      </c>
      <c r="R3241">
        <v>55</v>
      </c>
      <c r="S3241">
        <v>12</v>
      </c>
      <c r="T3241">
        <v>17</v>
      </c>
      <c r="U3241">
        <v>24</v>
      </c>
      <c r="V3241">
        <v>3</v>
      </c>
      <c r="W3241">
        <v>4</v>
      </c>
      <c r="X3241">
        <v>248</v>
      </c>
      <c r="Y3241">
        <v>6</v>
      </c>
      <c r="Z3241">
        <v>2</v>
      </c>
      <c r="AA3241">
        <v>5</v>
      </c>
      <c r="AB3241">
        <v>15</v>
      </c>
      <c r="AT3241">
        <v>0</v>
      </c>
      <c r="AW3241">
        <v>8</v>
      </c>
      <c r="AX3241">
        <v>17</v>
      </c>
      <c r="AY3241">
        <v>428</v>
      </c>
      <c r="AZ3241">
        <v>428</v>
      </c>
      <c r="BA3241">
        <v>664</v>
      </c>
      <c r="BB3241">
        <v>44</v>
      </c>
      <c r="BD3241">
        <v>1</v>
      </c>
      <c r="BF3241" t="s">
        <v>3472</v>
      </c>
      <c r="BG3241" s="1">
        <v>44353.914155092592</v>
      </c>
      <c r="BH3241" s="1">
        <v>44353.91605324074</v>
      </c>
      <c r="BI3241" s="1">
        <v>44353.918541666666</v>
      </c>
      <c r="BJ3241" t="s">
        <v>197</v>
      </c>
      <c r="BK3241" t="s">
        <v>198</v>
      </c>
      <c r="BL3241" t="s">
        <v>87</v>
      </c>
    </row>
    <row r="3242" spans="1:64" x14ac:dyDescent="0.3">
      <c r="A3242" t="str">
        <f>"202214B0000"</f>
        <v>202214B0000</v>
      </c>
      <c r="B3242" t="str">
        <f>"202214B00003"</f>
        <v>202214B00003</v>
      </c>
      <c r="C3242" t="str">
        <f t="shared" si="228"/>
        <v>20</v>
      </c>
      <c r="D3242" t="s">
        <v>81</v>
      </c>
      <c r="E3242" t="str">
        <f t="shared" si="230"/>
        <v>515</v>
      </c>
      <c r="F3242" t="s">
        <v>3432</v>
      </c>
      <c r="G3242" t="str">
        <f>"2214"</f>
        <v>2214</v>
      </c>
      <c r="H3242" t="str">
        <f>"0000"</f>
        <v>0000</v>
      </c>
      <c r="I3242" t="s">
        <v>83</v>
      </c>
      <c r="J3242">
        <v>0</v>
      </c>
      <c r="K3242">
        <v>1</v>
      </c>
      <c r="L3242">
        <v>3</v>
      </c>
      <c r="M3242">
        <v>269</v>
      </c>
      <c r="N3242">
        <v>408</v>
      </c>
      <c r="O3242">
        <v>8</v>
      </c>
      <c r="P3242">
        <v>408</v>
      </c>
      <c r="Q3242">
        <v>19</v>
      </c>
      <c r="R3242">
        <v>18</v>
      </c>
      <c r="S3242">
        <v>3</v>
      </c>
      <c r="T3242">
        <v>29</v>
      </c>
      <c r="U3242">
        <v>47</v>
      </c>
      <c r="V3242">
        <v>6</v>
      </c>
      <c r="W3242">
        <v>21</v>
      </c>
      <c r="X3242">
        <v>195</v>
      </c>
      <c r="Y3242">
        <v>4</v>
      </c>
      <c r="Z3242">
        <v>1</v>
      </c>
      <c r="AA3242">
        <v>15</v>
      </c>
      <c r="AB3242">
        <v>23</v>
      </c>
      <c r="AT3242">
        <v>0</v>
      </c>
      <c r="AW3242">
        <v>12</v>
      </c>
      <c r="AX3242">
        <v>15</v>
      </c>
      <c r="AY3242">
        <v>408</v>
      </c>
      <c r="AZ3242">
        <v>408</v>
      </c>
      <c r="BA3242">
        <v>633</v>
      </c>
      <c r="BB3242">
        <v>44</v>
      </c>
      <c r="BD3242">
        <v>1</v>
      </c>
      <c r="BF3242" t="s">
        <v>3473</v>
      </c>
      <c r="BG3242" s="1">
        <v>44354.054861111108</v>
      </c>
      <c r="BH3242" s="1">
        <v>44354.060347222221</v>
      </c>
      <c r="BI3242" s="1">
        <v>44354.061331018522</v>
      </c>
      <c r="BJ3242" t="s">
        <v>85</v>
      </c>
      <c r="BK3242" t="s">
        <v>86</v>
      </c>
      <c r="BL3242" t="s">
        <v>87</v>
      </c>
    </row>
    <row r="3243" spans="1:64" x14ac:dyDescent="0.3">
      <c r="A3243" t="str">
        <f>"202214C0100"</f>
        <v>202214C0100</v>
      </c>
      <c r="B3243" t="str">
        <f>"202214C01003"</f>
        <v>202214C01003</v>
      </c>
      <c r="C3243" t="str">
        <f t="shared" si="228"/>
        <v>20</v>
      </c>
      <c r="D3243" t="s">
        <v>81</v>
      </c>
      <c r="E3243" t="str">
        <f t="shared" si="230"/>
        <v>515</v>
      </c>
      <c r="F3243" t="s">
        <v>3432</v>
      </c>
      <c r="G3243" t="str">
        <f>"2214"</f>
        <v>2214</v>
      </c>
      <c r="H3243" t="str">
        <f>"0001"</f>
        <v>0001</v>
      </c>
      <c r="I3243" t="s">
        <v>89</v>
      </c>
      <c r="J3243">
        <v>0</v>
      </c>
      <c r="K3243">
        <v>1</v>
      </c>
      <c r="L3243">
        <v>3</v>
      </c>
      <c r="M3243">
        <v>294</v>
      </c>
      <c r="N3243">
        <v>383</v>
      </c>
      <c r="O3243">
        <v>4</v>
      </c>
      <c r="P3243">
        <v>1</v>
      </c>
      <c r="Q3243">
        <v>14</v>
      </c>
      <c r="R3243">
        <v>22</v>
      </c>
      <c r="S3243">
        <v>9</v>
      </c>
      <c r="T3243">
        <v>21</v>
      </c>
      <c r="U3243">
        <v>40</v>
      </c>
      <c r="V3243">
        <v>2</v>
      </c>
      <c r="W3243">
        <v>12</v>
      </c>
      <c r="X3243">
        <v>196</v>
      </c>
      <c r="Y3243">
        <v>5</v>
      </c>
      <c r="Z3243">
        <v>4</v>
      </c>
      <c r="AA3243">
        <v>13</v>
      </c>
      <c r="AB3243">
        <v>19</v>
      </c>
      <c r="AT3243">
        <v>1</v>
      </c>
      <c r="AW3243">
        <v>15</v>
      </c>
      <c r="AX3243">
        <v>10</v>
      </c>
      <c r="AY3243">
        <v>383</v>
      </c>
      <c r="AZ3243">
        <v>383</v>
      </c>
      <c r="BA3243">
        <v>633</v>
      </c>
      <c r="BB3243">
        <v>44</v>
      </c>
      <c r="BD3243">
        <v>1</v>
      </c>
      <c r="BF3243" t="s">
        <v>3474</v>
      </c>
      <c r="BG3243" s="1">
        <v>44354.053472222222</v>
      </c>
      <c r="BH3243" s="1">
        <v>44354.059618055559</v>
      </c>
      <c r="BI3243" s="1">
        <v>44354.059849537036</v>
      </c>
      <c r="BJ3243" t="s">
        <v>85</v>
      </c>
      <c r="BK3243" t="s">
        <v>86</v>
      </c>
      <c r="BL3243" t="s">
        <v>87</v>
      </c>
    </row>
    <row r="3244" spans="1:64" x14ac:dyDescent="0.3">
      <c r="A3244" t="str">
        <f>"202214C0200"</f>
        <v>202214C0200</v>
      </c>
      <c r="B3244" t="str">
        <f>"202214C02003"</f>
        <v>202214C02003</v>
      </c>
      <c r="C3244" t="str">
        <f t="shared" si="228"/>
        <v>20</v>
      </c>
      <c r="D3244" t="s">
        <v>81</v>
      </c>
      <c r="E3244" t="str">
        <f t="shared" si="230"/>
        <v>515</v>
      </c>
      <c r="F3244" t="s">
        <v>3432</v>
      </c>
      <c r="G3244" t="str">
        <f>"2214"</f>
        <v>2214</v>
      </c>
      <c r="H3244" t="str">
        <f>"0002"</f>
        <v>0002</v>
      </c>
      <c r="I3244" t="s">
        <v>89</v>
      </c>
      <c r="J3244">
        <v>0</v>
      </c>
      <c r="K3244">
        <v>1</v>
      </c>
      <c r="L3244">
        <v>3</v>
      </c>
      <c r="M3244">
        <v>289</v>
      </c>
      <c r="N3244">
        <v>388</v>
      </c>
      <c r="O3244">
        <v>10</v>
      </c>
      <c r="P3244">
        <v>388</v>
      </c>
      <c r="Q3244">
        <v>18</v>
      </c>
      <c r="R3244">
        <v>25</v>
      </c>
      <c r="S3244">
        <v>4</v>
      </c>
      <c r="T3244">
        <v>17</v>
      </c>
      <c r="U3244">
        <v>54</v>
      </c>
      <c r="V3244">
        <v>6</v>
      </c>
      <c r="W3244">
        <v>16</v>
      </c>
      <c r="X3244">
        <v>195</v>
      </c>
      <c r="Y3244">
        <v>3</v>
      </c>
      <c r="Z3244">
        <v>1</v>
      </c>
      <c r="AA3244">
        <v>10</v>
      </c>
      <c r="AB3244">
        <v>15</v>
      </c>
      <c r="AT3244">
        <v>1</v>
      </c>
      <c r="AW3244">
        <v>9</v>
      </c>
      <c r="AX3244">
        <v>14</v>
      </c>
      <c r="AY3244">
        <v>388</v>
      </c>
      <c r="AZ3244">
        <v>388</v>
      </c>
      <c r="BA3244">
        <v>633</v>
      </c>
      <c r="BB3244">
        <v>44</v>
      </c>
      <c r="BD3244">
        <v>1</v>
      </c>
      <c r="BF3244" t="s">
        <v>3475</v>
      </c>
      <c r="BG3244" s="1">
        <v>44353.984791666669</v>
      </c>
      <c r="BH3244" s="1">
        <v>44353.986157407409</v>
      </c>
      <c r="BI3244" s="1">
        <v>44353.986608796295</v>
      </c>
      <c r="BJ3244" t="s">
        <v>197</v>
      </c>
      <c r="BK3244" t="s">
        <v>198</v>
      </c>
      <c r="BL3244" t="s">
        <v>87</v>
      </c>
    </row>
    <row r="3245" spans="1:64" x14ac:dyDescent="0.3">
      <c r="A3245" t="str">
        <f>"202215B0000"</f>
        <v>202215B0000</v>
      </c>
      <c r="B3245" t="str">
        <f>"202215B00003"</f>
        <v>202215B00003</v>
      </c>
      <c r="C3245" t="str">
        <f t="shared" si="228"/>
        <v>20</v>
      </c>
      <c r="D3245" t="s">
        <v>81</v>
      </c>
      <c r="E3245" t="str">
        <f t="shared" si="230"/>
        <v>515</v>
      </c>
      <c r="F3245" t="s">
        <v>3432</v>
      </c>
      <c r="G3245" t="str">
        <f>"2215"</f>
        <v>2215</v>
      </c>
      <c r="H3245" t="str">
        <f>"0000"</f>
        <v>0000</v>
      </c>
      <c r="I3245" t="s">
        <v>83</v>
      </c>
      <c r="J3245">
        <v>0</v>
      </c>
      <c r="K3245">
        <v>1</v>
      </c>
      <c r="L3245">
        <v>3</v>
      </c>
      <c r="M3245">
        <v>308</v>
      </c>
      <c r="N3245">
        <v>431</v>
      </c>
      <c r="O3245">
        <v>3</v>
      </c>
      <c r="P3245">
        <v>430</v>
      </c>
      <c r="Q3245">
        <v>21</v>
      </c>
      <c r="R3245">
        <v>32</v>
      </c>
      <c r="S3245">
        <v>12</v>
      </c>
      <c r="T3245">
        <v>37</v>
      </c>
      <c r="U3245">
        <v>61</v>
      </c>
      <c r="V3245">
        <v>7</v>
      </c>
      <c r="W3245">
        <v>11</v>
      </c>
      <c r="X3245">
        <v>199</v>
      </c>
      <c r="Y3245">
        <v>1</v>
      </c>
      <c r="Z3245">
        <v>0</v>
      </c>
      <c r="AA3245">
        <v>9</v>
      </c>
      <c r="AB3245">
        <v>21</v>
      </c>
      <c r="AT3245">
        <v>0</v>
      </c>
      <c r="AW3245">
        <v>13</v>
      </c>
      <c r="AX3245">
        <v>6</v>
      </c>
      <c r="AY3245">
        <v>430</v>
      </c>
      <c r="AZ3245">
        <v>430</v>
      </c>
      <c r="BA3245">
        <v>695</v>
      </c>
      <c r="BB3245">
        <v>44</v>
      </c>
      <c r="BD3245">
        <v>1</v>
      </c>
      <c r="BF3245" t="s">
        <v>3476</v>
      </c>
      <c r="BG3245" s="1">
        <v>44353.982465277775</v>
      </c>
      <c r="BH3245" s="1">
        <v>44353.984351851854</v>
      </c>
      <c r="BI3245" s="1">
        <v>44353.984699074077</v>
      </c>
      <c r="BJ3245" t="s">
        <v>197</v>
      </c>
      <c r="BK3245" t="s">
        <v>198</v>
      </c>
      <c r="BL3245" t="s">
        <v>87</v>
      </c>
    </row>
    <row r="3246" spans="1:64" x14ac:dyDescent="0.3">
      <c r="A3246" t="str">
        <f>"202215C0100"</f>
        <v>202215C0100</v>
      </c>
      <c r="B3246" t="str">
        <f>"202215C01003"</f>
        <v>202215C01003</v>
      </c>
      <c r="C3246" t="str">
        <f t="shared" si="228"/>
        <v>20</v>
      </c>
      <c r="D3246" t="s">
        <v>81</v>
      </c>
      <c r="E3246" t="str">
        <f t="shared" si="230"/>
        <v>515</v>
      </c>
      <c r="F3246" t="s">
        <v>3432</v>
      </c>
      <c r="G3246" t="str">
        <f>"2215"</f>
        <v>2215</v>
      </c>
      <c r="H3246" t="str">
        <f>"0001"</f>
        <v>0001</v>
      </c>
      <c r="I3246" t="s">
        <v>89</v>
      </c>
      <c r="J3246">
        <v>0</v>
      </c>
      <c r="K3246">
        <v>1</v>
      </c>
      <c r="L3246">
        <v>3</v>
      </c>
      <c r="M3246">
        <v>307</v>
      </c>
      <c r="N3246">
        <v>433</v>
      </c>
      <c r="O3246">
        <v>4</v>
      </c>
      <c r="P3246">
        <v>445</v>
      </c>
      <c r="Q3246">
        <v>17</v>
      </c>
      <c r="R3246">
        <v>39</v>
      </c>
      <c r="S3246">
        <v>11</v>
      </c>
      <c r="T3246">
        <v>22</v>
      </c>
      <c r="U3246">
        <v>66</v>
      </c>
      <c r="V3246">
        <v>6</v>
      </c>
      <c r="W3246">
        <v>22</v>
      </c>
      <c r="X3246">
        <v>225</v>
      </c>
      <c r="Y3246">
        <v>3</v>
      </c>
      <c r="Z3246">
        <v>6</v>
      </c>
      <c r="AA3246">
        <v>8</v>
      </c>
      <c r="AB3246">
        <v>26</v>
      </c>
      <c r="AT3246" t="s">
        <v>95</v>
      </c>
      <c r="AW3246" t="s">
        <v>95</v>
      </c>
      <c r="AX3246">
        <v>11</v>
      </c>
      <c r="AY3246">
        <v>445</v>
      </c>
      <c r="AZ3246">
        <v>462</v>
      </c>
      <c r="BA3246">
        <v>695</v>
      </c>
      <c r="BB3246">
        <v>44</v>
      </c>
      <c r="BC3246" t="s">
        <v>96</v>
      </c>
      <c r="BD3246">
        <v>1</v>
      </c>
      <c r="BF3246" t="s">
        <v>3477</v>
      </c>
      <c r="BG3246" s="1">
        <v>44354.050381944442</v>
      </c>
      <c r="BH3246" s="1">
        <v>44354.055717592593</v>
      </c>
      <c r="BI3246" s="1">
        <v>44354.056307870371</v>
      </c>
      <c r="BJ3246" t="s">
        <v>197</v>
      </c>
      <c r="BK3246" t="s">
        <v>198</v>
      </c>
      <c r="BL3246" t="s">
        <v>87</v>
      </c>
    </row>
    <row r="3247" spans="1:64" x14ac:dyDescent="0.3">
      <c r="A3247" t="str">
        <f>"202215C0200"</f>
        <v>202215C0200</v>
      </c>
      <c r="B3247" t="str">
        <f>"202215C02003"</f>
        <v>202215C02003</v>
      </c>
      <c r="C3247" t="str">
        <f t="shared" si="228"/>
        <v>20</v>
      </c>
      <c r="D3247" t="s">
        <v>81</v>
      </c>
      <c r="E3247" t="str">
        <f t="shared" si="230"/>
        <v>515</v>
      </c>
      <c r="F3247" t="s">
        <v>3432</v>
      </c>
      <c r="G3247" t="str">
        <f>"2215"</f>
        <v>2215</v>
      </c>
      <c r="H3247" t="str">
        <f>"0002"</f>
        <v>0002</v>
      </c>
      <c r="I3247" t="s">
        <v>89</v>
      </c>
      <c r="J3247">
        <v>0</v>
      </c>
      <c r="K3247">
        <v>1</v>
      </c>
      <c r="L3247">
        <v>3</v>
      </c>
      <c r="M3247">
        <v>302</v>
      </c>
      <c r="N3247">
        <v>437</v>
      </c>
      <c r="O3247">
        <v>5</v>
      </c>
      <c r="P3247">
        <v>438</v>
      </c>
      <c r="Q3247">
        <v>18</v>
      </c>
      <c r="R3247">
        <v>31</v>
      </c>
      <c r="S3247">
        <v>12</v>
      </c>
      <c r="T3247">
        <v>30</v>
      </c>
      <c r="U3247">
        <v>63</v>
      </c>
      <c r="V3247">
        <v>6</v>
      </c>
      <c r="W3247">
        <v>5</v>
      </c>
      <c r="X3247">
        <v>188</v>
      </c>
      <c r="Y3247">
        <v>3</v>
      </c>
      <c r="Z3247">
        <v>3</v>
      </c>
      <c r="AA3247">
        <v>11</v>
      </c>
      <c r="AB3247">
        <v>29</v>
      </c>
      <c r="AT3247">
        <v>0</v>
      </c>
      <c r="AW3247">
        <v>26</v>
      </c>
      <c r="AX3247">
        <v>13</v>
      </c>
      <c r="AY3247">
        <v>438</v>
      </c>
      <c r="AZ3247">
        <v>438</v>
      </c>
      <c r="BA3247">
        <v>694</v>
      </c>
      <c r="BB3247">
        <v>44</v>
      </c>
      <c r="BD3247">
        <v>1</v>
      </c>
      <c r="BF3247" t="s">
        <v>3478</v>
      </c>
      <c r="BG3247" s="1">
        <v>44353.942372685182</v>
      </c>
      <c r="BH3247" s="1">
        <v>44353.943680555552</v>
      </c>
      <c r="BI3247" s="1">
        <v>44353.944444444445</v>
      </c>
      <c r="BJ3247" t="s">
        <v>197</v>
      </c>
      <c r="BK3247" t="s">
        <v>198</v>
      </c>
      <c r="BL3247" t="s">
        <v>87</v>
      </c>
    </row>
    <row r="3248" spans="1:64" x14ac:dyDescent="0.3">
      <c r="A3248" t="str">
        <f>"202216B0000"</f>
        <v>202216B0000</v>
      </c>
      <c r="B3248" t="str">
        <f>"202216B00003"</f>
        <v>202216B00003</v>
      </c>
      <c r="C3248" t="str">
        <f t="shared" si="228"/>
        <v>20</v>
      </c>
      <c r="D3248" t="s">
        <v>81</v>
      </c>
      <c r="E3248" t="str">
        <f t="shared" si="230"/>
        <v>515</v>
      </c>
      <c r="F3248" t="s">
        <v>3432</v>
      </c>
      <c r="G3248" t="str">
        <f>"2216"</f>
        <v>2216</v>
      </c>
      <c r="H3248" t="str">
        <f>"0000"</f>
        <v>0000</v>
      </c>
      <c r="I3248" t="s">
        <v>83</v>
      </c>
      <c r="J3248">
        <v>0</v>
      </c>
      <c r="K3248">
        <v>1</v>
      </c>
      <c r="L3248">
        <v>3</v>
      </c>
      <c r="M3248">
        <v>269</v>
      </c>
      <c r="N3248">
        <v>498</v>
      </c>
      <c r="O3248">
        <v>7</v>
      </c>
      <c r="P3248">
        <v>517</v>
      </c>
      <c r="Q3248">
        <v>9</v>
      </c>
      <c r="R3248">
        <v>29</v>
      </c>
      <c r="S3248">
        <v>2</v>
      </c>
      <c r="T3248">
        <v>36</v>
      </c>
      <c r="U3248">
        <v>74</v>
      </c>
      <c r="V3248">
        <v>5</v>
      </c>
      <c r="W3248">
        <v>27</v>
      </c>
      <c r="X3248">
        <v>220</v>
      </c>
      <c r="Y3248">
        <v>1</v>
      </c>
      <c r="Z3248">
        <v>1</v>
      </c>
      <c r="AA3248">
        <v>13</v>
      </c>
      <c r="AB3248">
        <v>68</v>
      </c>
      <c r="AT3248" t="s">
        <v>95</v>
      </c>
      <c r="AW3248">
        <v>15</v>
      </c>
      <c r="AX3248">
        <v>17</v>
      </c>
      <c r="AY3248">
        <v>517</v>
      </c>
      <c r="AZ3248">
        <v>517</v>
      </c>
      <c r="BA3248">
        <v>744</v>
      </c>
      <c r="BB3248">
        <v>44</v>
      </c>
      <c r="BC3248" t="s">
        <v>96</v>
      </c>
      <c r="BD3248">
        <v>1</v>
      </c>
      <c r="BF3248" t="s">
        <v>3479</v>
      </c>
      <c r="BG3248" s="1">
        <v>44353.956759259258</v>
      </c>
      <c r="BH3248" s="1">
        <v>44353.959560185183</v>
      </c>
      <c r="BI3248" s="1">
        <v>44353.960115740738</v>
      </c>
      <c r="BJ3248" t="s">
        <v>197</v>
      </c>
      <c r="BK3248" t="s">
        <v>198</v>
      </c>
      <c r="BL3248" t="s">
        <v>87</v>
      </c>
    </row>
    <row r="3249" spans="1:64" x14ac:dyDescent="0.3">
      <c r="A3249" t="str">
        <f>"202216C0100"</f>
        <v>202216C0100</v>
      </c>
      <c r="B3249" t="str">
        <f>"202216C01003"</f>
        <v>202216C01003</v>
      </c>
      <c r="C3249" t="str">
        <f t="shared" si="228"/>
        <v>20</v>
      </c>
      <c r="D3249" t="s">
        <v>81</v>
      </c>
      <c r="E3249" t="str">
        <f t="shared" si="230"/>
        <v>515</v>
      </c>
      <c r="F3249" t="s">
        <v>3432</v>
      </c>
      <c r="G3249" t="str">
        <f>"2216"</f>
        <v>2216</v>
      </c>
      <c r="H3249" t="str">
        <f>"0001"</f>
        <v>0001</v>
      </c>
      <c r="I3249" t="s">
        <v>89</v>
      </c>
      <c r="J3249">
        <v>0</v>
      </c>
      <c r="K3249">
        <v>1</v>
      </c>
      <c r="L3249">
        <v>3</v>
      </c>
      <c r="M3249">
        <v>275</v>
      </c>
      <c r="N3249">
        <v>510</v>
      </c>
      <c r="O3249">
        <v>3</v>
      </c>
      <c r="P3249">
        <v>510</v>
      </c>
      <c r="Q3249">
        <v>16</v>
      </c>
      <c r="R3249">
        <v>32</v>
      </c>
      <c r="S3249">
        <v>7</v>
      </c>
      <c r="T3249">
        <v>28</v>
      </c>
      <c r="U3249">
        <v>62</v>
      </c>
      <c r="V3249">
        <v>3</v>
      </c>
      <c r="W3249">
        <v>11</v>
      </c>
      <c r="X3249">
        <v>220</v>
      </c>
      <c r="Y3249">
        <v>0</v>
      </c>
      <c r="Z3249">
        <v>5</v>
      </c>
      <c r="AA3249">
        <v>16</v>
      </c>
      <c r="AB3249">
        <v>84</v>
      </c>
      <c r="AT3249" t="s">
        <v>95</v>
      </c>
      <c r="AW3249">
        <v>13</v>
      </c>
      <c r="AX3249">
        <v>14</v>
      </c>
      <c r="AY3249">
        <v>510</v>
      </c>
      <c r="AZ3249">
        <v>511</v>
      </c>
      <c r="BA3249">
        <v>743</v>
      </c>
      <c r="BB3249">
        <v>44</v>
      </c>
      <c r="BC3249" t="s">
        <v>96</v>
      </c>
      <c r="BD3249">
        <v>1</v>
      </c>
      <c r="BF3249" t="s">
        <v>3480</v>
      </c>
      <c r="BG3249" s="1">
        <v>44353.964444444442</v>
      </c>
      <c r="BH3249" s="1">
        <v>44353.966064814813</v>
      </c>
      <c r="BI3249" s="1">
        <v>44353.966967592591</v>
      </c>
      <c r="BJ3249" t="s">
        <v>197</v>
      </c>
      <c r="BK3249" t="s">
        <v>198</v>
      </c>
      <c r="BL3249" t="s">
        <v>87</v>
      </c>
    </row>
    <row r="3250" spans="1:64" x14ac:dyDescent="0.3">
      <c r="A3250" t="str">
        <f>"202217B0000"</f>
        <v>202217B0000</v>
      </c>
      <c r="B3250" t="str">
        <f>"202217B00003"</f>
        <v>202217B00003</v>
      </c>
      <c r="C3250" t="str">
        <f t="shared" si="228"/>
        <v>20</v>
      </c>
      <c r="D3250" t="s">
        <v>81</v>
      </c>
      <c r="E3250" t="str">
        <f t="shared" si="230"/>
        <v>515</v>
      </c>
      <c r="F3250" t="s">
        <v>3432</v>
      </c>
      <c r="G3250" t="str">
        <f>"2217"</f>
        <v>2217</v>
      </c>
      <c r="H3250" t="str">
        <f>"0000"</f>
        <v>0000</v>
      </c>
      <c r="I3250" t="s">
        <v>83</v>
      </c>
      <c r="J3250">
        <v>0</v>
      </c>
      <c r="K3250">
        <v>1</v>
      </c>
      <c r="L3250">
        <v>3</v>
      </c>
      <c r="M3250">
        <v>256</v>
      </c>
      <c r="N3250" t="s">
        <v>92</v>
      </c>
      <c r="O3250" t="s">
        <v>92</v>
      </c>
      <c r="P3250">
        <v>512</v>
      </c>
      <c r="Q3250">
        <v>14</v>
      </c>
      <c r="R3250">
        <v>23</v>
      </c>
      <c r="S3250">
        <v>20</v>
      </c>
      <c r="T3250">
        <v>35</v>
      </c>
      <c r="U3250">
        <v>80</v>
      </c>
      <c r="V3250">
        <v>1</v>
      </c>
      <c r="W3250">
        <v>10</v>
      </c>
      <c r="X3250">
        <v>236</v>
      </c>
      <c r="Y3250">
        <v>1</v>
      </c>
      <c r="Z3250">
        <v>3</v>
      </c>
      <c r="AA3250">
        <v>9</v>
      </c>
      <c r="AB3250">
        <v>57</v>
      </c>
      <c r="AT3250">
        <v>0</v>
      </c>
      <c r="AW3250">
        <v>10</v>
      </c>
      <c r="AX3250">
        <v>13</v>
      </c>
      <c r="AY3250">
        <v>513</v>
      </c>
      <c r="AZ3250">
        <v>512</v>
      </c>
      <c r="BA3250">
        <v>723</v>
      </c>
      <c r="BB3250">
        <v>44</v>
      </c>
      <c r="BD3250">
        <v>1</v>
      </c>
      <c r="BF3250" t="s">
        <v>3481</v>
      </c>
      <c r="BG3250" s="1">
        <v>44354.01803240741</v>
      </c>
      <c r="BH3250" s="1">
        <v>44354.026053240741</v>
      </c>
      <c r="BI3250" s="1">
        <v>44354.026736111111</v>
      </c>
      <c r="BJ3250" t="s">
        <v>197</v>
      </c>
      <c r="BK3250" t="s">
        <v>198</v>
      </c>
      <c r="BL3250" t="s">
        <v>87</v>
      </c>
    </row>
    <row r="3251" spans="1:64" x14ac:dyDescent="0.3">
      <c r="A3251" t="str">
        <f>"202217C0100"</f>
        <v>202217C0100</v>
      </c>
      <c r="B3251" t="str">
        <f>"202217C01003"</f>
        <v>202217C01003</v>
      </c>
      <c r="C3251" t="str">
        <f t="shared" si="228"/>
        <v>20</v>
      </c>
      <c r="D3251" t="s">
        <v>81</v>
      </c>
      <c r="E3251" t="str">
        <f t="shared" si="230"/>
        <v>515</v>
      </c>
      <c r="F3251" t="s">
        <v>3432</v>
      </c>
      <c r="G3251" t="str">
        <f>"2217"</f>
        <v>2217</v>
      </c>
      <c r="H3251" t="str">
        <f>"0001"</f>
        <v>0001</v>
      </c>
      <c r="I3251" t="s">
        <v>89</v>
      </c>
      <c r="J3251">
        <v>0</v>
      </c>
      <c r="K3251">
        <v>1</v>
      </c>
      <c r="L3251">
        <v>3</v>
      </c>
      <c r="M3251">
        <v>299</v>
      </c>
      <c r="N3251">
        <v>467</v>
      </c>
      <c r="O3251">
        <v>1</v>
      </c>
      <c r="P3251">
        <v>466</v>
      </c>
      <c r="Q3251">
        <v>11</v>
      </c>
      <c r="R3251">
        <v>18</v>
      </c>
      <c r="S3251">
        <v>22</v>
      </c>
      <c r="T3251">
        <v>26</v>
      </c>
      <c r="U3251">
        <v>75</v>
      </c>
      <c r="V3251">
        <v>8</v>
      </c>
      <c r="W3251">
        <v>12</v>
      </c>
      <c r="X3251">
        <v>219</v>
      </c>
      <c r="Y3251">
        <v>3</v>
      </c>
      <c r="Z3251">
        <v>0</v>
      </c>
      <c r="AA3251">
        <v>7</v>
      </c>
      <c r="AB3251">
        <v>51</v>
      </c>
      <c r="AT3251">
        <v>0</v>
      </c>
      <c r="AW3251">
        <v>3</v>
      </c>
      <c r="AX3251">
        <v>11</v>
      </c>
      <c r="AY3251">
        <v>466</v>
      </c>
      <c r="AZ3251">
        <v>466</v>
      </c>
      <c r="BA3251">
        <v>722</v>
      </c>
      <c r="BB3251">
        <v>44</v>
      </c>
      <c r="BD3251">
        <v>1</v>
      </c>
      <c r="BF3251" t="s">
        <v>3482</v>
      </c>
      <c r="BG3251" s="1">
        <v>44354.014004629629</v>
      </c>
      <c r="BH3251" s="1">
        <v>44354.020879629628</v>
      </c>
      <c r="BI3251" s="1">
        <v>44354.021238425928</v>
      </c>
      <c r="BJ3251" t="s">
        <v>197</v>
      </c>
      <c r="BK3251" t="s">
        <v>198</v>
      </c>
      <c r="BL3251" t="s">
        <v>87</v>
      </c>
    </row>
    <row r="3252" spans="1:64" x14ac:dyDescent="0.3">
      <c r="A3252" t="str">
        <f>"202217C0200"</f>
        <v>202217C0200</v>
      </c>
      <c r="B3252" t="str">
        <f>"202217C02003"</f>
        <v>202217C02003</v>
      </c>
      <c r="C3252" t="str">
        <f t="shared" si="228"/>
        <v>20</v>
      </c>
      <c r="D3252" t="s">
        <v>81</v>
      </c>
      <c r="E3252" t="str">
        <f t="shared" si="230"/>
        <v>515</v>
      </c>
      <c r="F3252" t="s">
        <v>3432</v>
      </c>
      <c r="G3252" t="str">
        <f>"2217"</f>
        <v>2217</v>
      </c>
      <c r="H3252" t="str">
        <f>"0002"</f>
        <v>0002</v>
      </c>
      <c r="I3252" t="s">
        <v>89</v>
      </c>
      <c r="J3252">
        <v>0</v>
      </c>
      <c r="K3252">
        <v>1</v>
      </c>
      <c r="L3252">
        <v>3</v>
      </c>
      <c r="M3252">
        <v>302</v>
      </c>
      <c r="N3252">
        <v>464</v>
      </c>
      <c r="O3252">
        <v>2</v>
      </c>
      <c r="P3252">
        <v>455</v>
      </c>
      <c r="Q3252">
        <v>19</v>
      </c>
      <c r="R3252">
        <v>24</v>
      </c>
      <c r="S3252">
        <v>15</v>
      </c>
      <c r="T3252">
        <v>20</v>
      </c>
      <c r="U3252">
        <v>71</v>
      </c>
      <c r="V3252">
        <v>3</v>
      </c>
      <c r="W3252">
        <v>22</v>
      </c>
      <c r="X3252">
        <v>192</v>
      </c>
      <c r="Y3252">
        <v>2</v>
      </c>
      <c r="Z3252">
        <v>3</v>
      </c>
      <c r="AA3252">
        <v>9</v>
      </c>
      <c r="AB3252">
        <v>59</v>
      </c>
      <c r="AT3252">
        <v>0</v>
      </c>
      <c r="AW3252">
        <v>7</v>
      </c>
      <c r="AX3252">
        <v>9</v>
      </c>
      <c r="AY3252">
        <v>455</v>
      </c>
      <c r="AZ3252">
        <v>455</v>
      </c>
      <c r="BA3252">
        <v>722</v>
      </c>
      <c r="BB3252">
        <v>44</v>
      </c>
      <c r="BD3252">
        <v>1</v>
      </c>
      <c r="BF3252" t="s">
        <v>3483</v>
      </c>
      <c r="BG3252" s="1">
        <v>44353.974178240744</v>
      </c>
      <c r="BH3252" s="1">
        <v>44353.976076388892</v>
      </c>
      <c r="BI3252" s="1">
        <v>44353.976655092592</v>
      </c>
      <c r="BJ3252" t="s">
        <v>197</v>
      </c>
      <c r="BK3252" t="s">
        <v>198</v>
      </c>
      <c r="BL3252" t="s">
        <v>87</v>
      </c>
    </row>
    <row r="3253" spans="1:64" x14ac:dyDescent="0.3">
      <c r="A3253" t="str">
        <f>"202218B0000"</f>
        <v>202218B0000</v>
      </c>
      <c r="B3253" t="str">
        <f>"202218B00003"</f>
        <v>202218B00003</v>
      </c>
      <c r="C3253" t="str">
        <f t="shared" si="228"/>
        <v>20</v>
      </c>
      <c r="D3253" t="s">
        <v>81</v>
      </c>
      <c r="E3253" t="str">
        <f t="shared" si="230"/>
        <v>515</v>
      </c>
      <c r="F3253" t="s">
        <v>3432</v>
      </c>
      <c r="G3253" t="str">
        <f t="shared" ref="G3253:G3258" si="231">"2218"</f>
        <v>2218</v>
      </c>
      <c r="H3253" t="str">
        <f>"0000"</f>
        <v>0000</v>
      </c>
      <c r="I3253" t="s">
        <v>83</v>
      </c>
      <c r="J3253">
        <v>0</v>
      </c>
      <c r="K3253">
        <v>1</v>
      </c>
      <c r="L3253">
        <v>3</v>
      </c>
      <c r="M3253">
        <v>292</v>
      </c>
      <c r="N3253">
        <v>402</v>
      </c>
      <c r="O3253">
        <v>3</v>
      </c>
      <c r="P3253">
        <v>402</v>
      </c>
      <c r="Q3253">
        <v>8</v>
      </c>
      <c r="R3253">
        <v>38</v>
      </c>
      <c r="S3253">
        <v>25</v>
      </c>
      <c r="T3253">
        <v>38</v>
      </c>
      <c r="U3253">
        <v>66</v>
      </c>
      <c r="V3253">
        <v>4</v>
      </c>
      <c r="W3253">
        <v>8</v>
      </c>
      <c r="X3253">
        <v>174</v>
      </c>
      <c r="Y3253">
        <v>1</v>
      </c>
      <c r="Z3253">
        <v>2</v>
      </c>
      <c r="AA3253">
        <v>2</v>
      </c>
      <c r="AB3253">
        <v>18</v>
      </c>
      <c r="AT3253" t="s">
        <v>95</v>
      </c>
      <c r="AW3253" t="s">
        <v>95</v>
      </c>
      <c r="AX3253">
        <v>13</v>
      </c>
      <c r="AY3253">
        <v>402</v>
      </c>
      <c r="AZ3253">
        <v>397</v>
      </c>
      <c r="BA3253">
        <v>650</v>
      </c>
      <c r="BB3253">
        <v>44</v>
      </c>
      <c r="BC3253" t="s">
        <v>96</v>
      </c>
      <c r="BD3253">
        <v>1</v>
      </c>
      <c r="BF3253" t="s">
        <v>3484</v>
      </c>
      <c r="BG3253" s="1">
        <v>44353.943009259259</v>
      </c>
      <c r="BH3253" s="1">
        <v>44353.945833333331</v>
      </c>
      <c r="BI3253" s="1">
        <v>44353.946481481478</v>
      </c>
      <c r="BJ3253" t="s">
        <v>197</v>
      </c>
      <c r="BK3253" t="s">
        <v>198</v>
      </c>
      <c r="BL3253" t="s">
        <v>87</v>
      </c>
    </row>
    <row r="3254" spans="1:64" x14ac:dyDescent="0.3">
      <c r="A3254" t="str">
        <f>"202218C0100"</f>
        <v>202218C0100</v>
      </c>
      <c r="B3254" t="str">
        <f>"202218C01003"</f>
        <v>202218C01003</v>
      </c>
      <c r="C3254" t="str">
        <f t="shared" si="228"/>
        <v>20</v>
      </c>
      <c r="D3254" t="s">
        <v>81</v>
      </c>
      <c r="E3254" t="str">
        <f t="shared" si="230"/>
        <v>515</v>
      </c>
      <c r="F3254" t="s">
        <v>3432</v>
      </c>
      <c r="G3254" t="str">
        <f t="shared" si="231"/>
        <v>2218</v>
      </c>
      <c r="H3254" t="str">
        <f>"0001"</f>
        <v>0001</v>
      </c>
      <c r="I3254" t="s">
        <v>89</v>
      </c>
      <c r="J3254">
        <v>0</v>
      </c>
      <c r="K3254">
        <v>1</v>
      </c>
      <c r="L3254">
        <v>3</v>
      </c>
      <c r="M3254">
        <v>299</v>
      </c>
      <c r="N3254">
        <v>395</v>
      </c>
      <c r="O3254">
        <v>0</v>
      </c>
      <c r="P3254">
        <v>0</v>
      </c>
      <c r="Q3254">
        <v>10</v>
      </c>
      <c r="R3254">
        <v>42</v>
      </c>
      <c r="S3254">
        <v>16</v>
      </c>
      <c r="T3254">
        <v>34</v>
      </c>
      <c r="U3254">
        <v>57</v>
      </c>
      <c r="V3254">
        <v>7</v>
      </c>
      <c r="W3254">
        <v>1</v>
      </c>
      <c r="X3254">
        <v>160</v>
      </c>
      <c r="Y3254">
        <v>1</v>
      </c>
      <c r="Z3254">
        <v>1</v>
      </c>
      <c r="AA3254">
        <v>5</v>
      </c>
      <c r="AB3254">
        <v>28</v>
      </c>
      <c r="AT3254" t="s">
        <v>95</v>
      </c>
      <c r="AW3254">
        <v>8</v>
      </c>
      <c r="AX3254">
        <v>18</v>
      </c>
      <c r="AY3254">
        <v>395</v>
      </c>
      <c r="AZ3254">
        <v>388</v>
      </c>
      <c r="BA3254">
        <v>650</v>
      </c>
      <c r="BB3254">
        <v>44</v>
      </c>
      <c r="BC3254" t="s">
        <v>96</v>
      </c>
      <c r="BD3254">
        <v>1</v>
      </c>
      <c r="BF3254" t="s">
        <v>3485</v>
      </c>
      <c r="BG3254" s="1">
        <v>44353.941076388888</v>
      </c>
      <c r="BH3254" s="1">
        <v>44353.942094907405</v>
      </c>
      <c r="BI3254" s="1">
        <v>44353.94258101852</v>
      </c>
      <c r="BJ3254" t="s">
        <v>197</v>
      </c>
      <c r="BK3254" t="s">
        <v>198</v>
      </c>
      <c r="BL3254" t="s">
        <v>87</v>
      </c>
    </row>
    <row r="3255" spans="1:64" x14ac:dyDescent="0.3">
      <c r="A3255" t="str">
        <f>"202218C0200"</f>
        <v>202218C0200</v>
      </c>
      <c r="B3255" t="str">
        <f>"202218C02003"</f>
        <v>202218C02003</v>
      </c>
      <c r="C3255" t="str">
        <f t="shared" si="228"/>
        <v>20</v>
      </c>
      <c r="D3255" t="s">
        <v>81</v>
      </c>
      <c r="E3255" t="str">
        <f t="shared" si="230"/>
        <v>515</v>
      </c>
      <c r="F3255" t="s">
        <v>3432</v>
      </c>
      <c r="G3255" t="str">
        <f t="shared" si="231"/>
        <v>2218</v>
      </c>
      <c r="H3255" t="str">
        <f>"0002"</f>
        <v>0002</v>
      </c>
      <c r="I3255" t="s">
        <v>89</v>
      </c>
      <c r="J3255">
        <v>0</v>
      </c>
      <c r="K3255">
        <v>1</v>
      </c>
      <c r="L3255">
        <v>3</v>
      </c>
      <c r="M3255">
        <v>279</v>
      </c>
      <c r="N3255">
        <v>414</v>
      </c>
      <c r="O3255">
        <v>4</v>
      </c>
      <c r="P3255">
        <v>414</v>
      </c>
      <c r="Q3255">
        <v>9</v>
      </c>
      <c r="R3255">
        <v>42</v>
      </c>
      <c r="S3255">
        <v>22</v>
      </c>
      <c r="T3255">
        <v>39</v>
      </c>
      <c r="U3255">
        <v>65</v>
      </c>
      <c r="V3255">
        <v>4</v>
      </c>
      <c r="W3255">
        <v>9</v>
      </c>
      <c r="X3255">
        <v>168</v>
      </c>
      <c r="Y3255">
        <v>2</v>
      </c>
      <c r="Z3255">
        <v>6</v>
      </c>
      <c r="AA3255">
        <v>7</v>
      </c>
      <c r="AB3255">
        <v>29</v>
      </c>
      <c r="AT3255" t="s">
        <v>95</v>
      </c>
      <c r="AW3255">
        <v>3</v>
      </c>
      <c r="AX3255">
        <v>9</v>
      </c>
      <c r="AY3255">
        <v>414</v>
      </c>
      <c r="AZ3255">
        <v>414</v>
      </c>
      <c r="BA3255">
        <v>649</v>
      </c>
      <c r="BB3255">
        <v>44</v>
      </c>
      <c r="BC3255" t="s">
        <v>96</v>
      </c>
      <c r="BD3255">
        <v>1</v>
      </c>
      <c r="BF3255" t="s">
        <v>3486</v>
      </c>
      <c r="BG3255" s="1">
        <v>44354.142361111109</v>
      </c>
      <c r="BH3255" s="1">
        <v>44354.144421296296</v>
      </c>
      <c r="BI3255" s="1">
        <v>44354.14534722222</v>
      </c>
      <c r="BJ3255" t="s">
        <v>85</v>
      </c>
      <c r="BK3255" t="s">
        <v>86</v>
      </c>
      <c r="BL3255" t="s">
        <v>87</v>
      </c>
    </row>
    <row r="3256" spans="1:64" x14ac:dyDescent="0.3">
      <c r="A3256" t="str">
        <f>"202218C0300"</f>
        <v>202218C0300</v>
      </c>
      <c r="B3256" t="str">
        <f>"202218C03003"</f>
        <v>202218C03003</v>
      </c>
      <c r="C3256" t="str">
        <f t="shared" si="228"/>
        <v>20</v>
      </c>
      <c r="D3256" t="s">
        <v>81</v>
      </c>
      <c r="E3256" t="str">
        <f t="shared" si="230"/>
        <v>515</v>
      </c>
      <c r="F3256" t="s">
        <v>3432</v>
      </c>
      <c r="G3256" t="str">
        <f t="shared" si="231"/>
        <v>2218</v>
      </c>
      <c r="H3256" t="str">
        <f>"0003"</f>
        <v>0003</v>
      </c>
      <c r="I3256" t="s">
        <v>89</v>
      </c>
      <c r="J3256">
        <v>0</v>
      </c>
      <c r="K3256">
        <v>1</v>
      </c>
      <c r="L3256">
        <v>3</v>
      </c>
      <c r="M3256">
        <v>284</v>
      </c>
      <c r="N3256">
        <v>408</v>
      </c>
      <c r="O3256">
        <v>1</v>
      </c>
      <c r="P3256">
        <v>409</v>
      </c>
      <c r="Q3256">
        <v>9</v>
      </c>
      <c r="R3256">
        <v>47</v>
      </c>
      <c r="S3256">
        <v>22</v>
      </c>
      <c r="T3256">
        <v>47</v>
      </c>
      <c r="U3256">
        <v>55</v>
      </c>
      <c r="V3256">
        <v>4</v>
      </c>
      <c r="W3256">
        <v>13</v>
      </c>
      <c r="X3256">
        <v>155</v>
      </c>
      <c r="Y3256">
        <v>5</v>
      </c>
      <c r="Z3256">
        <v>3</v>
      </c>
      <c r="AA3256">
        <v>12</v>
      </c>
      <c r="AB3256">
        <v>13</v>
      </c>
      <c r="AT3256">
        <v>0</v>
      </c>
      <c r="AW3256">
        <v>9</v>
      </c>
      <c r="AX3256">
        <v>15</v>
      </c>
      <c r="AY3256">
        <v>409</v>
      </c>
      <c r="AZ3256">
        <v>409</v>
      </c>
      <c r="BA3256">
        <v>649</v>
      </c>
      <c r="BB3256">
        <v>44</v>
      </c>
      <c r="BD3256">
        <v>1</v>
      </c>
      <c r="BF3256" t="s">
        <v>3487</v>
      </c>
      <c r="BG3256" s="1">
        <v>44354.145833333336</v>
      </c>
      <c r="BH3256" s="1">
        <v>44354.148182870369</v>
      </c>
      <c r="BI3256" s="1">
        <v>44354.148599537039</v>
      </c>
      <c r="BJ3256" t="s">
        <v>85</v>
      </c>
      <c r="BK3256" t="s">
        <v>86</v>
      </c>
      <c r="BL3256" t="s">
        <v>87</v>
      </c>
    </row>
    <row r="3257" spans="1:64" x14ac:dyDescent="0.3">
      <c r="A3257" t="str">
        <f>"202218C0400"</f>
        <v>202218C0400</v>
      </c>
      <c r="B3257" t="str">
        <f>"202218C04003"</f>
        <v>202218C04003</v>
      </c>
      <c r="C3257" t="str">
        <f t="shared" si="228"/>
        <v>20</v>
      </c>
      <c r="D3257" t="s">
        <v>81</v>
      </c>
      <c r="E3257" t="str">
        <f t="shared" si="230"/>
        <v>515</v>
      </c>
      <c r="F3257" t="s">
        <v>3432</v>
      </c>
      <c r="G3257" t="str">
        <f t="shared" si="231"/>
        <v>2218</v>
      </c>
      <c r="H3257" t="str">
        <f>"0004"</f>
        <v>0004</v>
      </c>
      <c r="I3257" t="s">
        <v>89</v>
      </c>
      <c r="J3257">
        <v>0</v>
      </c>
      <c r="K3257">
        <v>1</v>
      </c>
      <c r="L3257">
        <v>3</v>
      </c>
      <c r="M3257">
        <v>276</v>
      </c>
      <c r="N3257">
        <v>416</v>
      </c>
      <c r="O3257">
        <v>0</v>
      </c>
      <c r="P3257">
        <v>416</v>
      </c>
      <c r="Q3257">
        <v>11</v>
      </c>
      <c r="R3257">
        <v>34</v>
      </c>
      <c r="S3257">
        <v>33</v>
      </c>
      <c r="T3257">
        <v>27</v>
      </c>
      <c r="U3257">
        <v>56</v>
      </c>
      <c r="V3257">
        <v>3</v>
      </c>
      <c r="W3257">
        <v>9</v>
      </c>
      <c r="X3257">
        <v>197</v>
      </c>
      <c r="Y3257">
        <v>1</v>
      </c>
      <c r="Z3257">
        <v>1</v>
      </c>
      <c r="AA3257">
        <v>9</v>
      </c>
      <c r="AB3257">
        <v>14</v>
      </c>
      <c r="AT3257">
        <v>0</v>
      </c>
      <c r="AW3257">
        <v>8</v>
      </c>
      <c r="AX3257">
        <v>13</v>
      </c>
      <c r="AY3257">
        <v>416</v>
      </c>
      <c r="AZ3257">
        <v>416</v>
      </c>
      <c r="BA3257">
        <v>649</v>
      </c>
      <c r="BB3257">
        <v>44</v>
      </c>
      <c r="BD3257">
        <v>1</v>
      </c>
      <c r="BF3257" t="s">
        <v>3488</v>
      </c>
      <c r="BG3257" s="1">
        <v>44353.912939814814</v>
      </c>
      <c r="BH3257" s="1">
        <v>44353.914687500001</v>
      </c>
      <c r="BI3257" s="1">
        <v>44353.91615740741</v>
      </c>
      <c r="BJ3257" t="s">
        <v>197</v>
      </c>
      <c r="BK3257" t="s">
        <v>198</v>
      </c>
      <c r="BL3257" t="s">
        <v>87</v>
      </c>
    </row>
    <row r="3258" spans="1:64" x14ac:dyDescent="0.3">
      <c r="A3258" t="str">
        <f>"202218C0500"</f>
        <v>202218C0500</v>
      </c>
      <c r="B3258" t="str">
        <f>"202218C05003"</f>
        <v>202218C05003</v>
      </c>
      <c r="C3258" t="str">
        <f t="shared" si="228"/>
        <v>20</v>
      </c>
      <c r="D3258" t="s">
        <v>81</v>
      </c>
      <c r="E3258" t="str">
        <f t="shared" si="230"/>
        <v>515</v>
      </c>
      <c r="F3258" t="s">
        <v>3432</v>
      </c>
      <c r="G3258" t="str">
        <f t="shared" si="231"/>
        <v>2218</v>
      </c>
      <c r="H3258" t="str">
        <f>"0005"</f>
        <v>0005</v>
      </c>
      <c r="I3258" t="s">
        <v>89</v>
      </c>
      <c r="J3258">
        <v>0</v>
      </c>
      <c r="K3258">
        <v>1</v>
      </c>
      <c r="L3258">
        <v>3</v>
      </c>
      <c r="M3258">
        <v>283</v>
      </c>
      <c r="N3258">
        <v>410</v>
      </c>
      <c r="O3258">
        <v>2</v>
      </c>
      <c r="P3258">
        <v>410</v>
      </c>
      <c r="Q3258">
        <v>12</v>
      </c>
      <c r="R3258">
        <v>38</v>
      </c>
      <c r="S3258">
        <v>31</v>
      </c>
      <c r="T3258">
        <v>40</v>
      </c>
      <c r="U3258">
        <v>60</v>
      </c>
      <c r="V3258">
        <v>5</v>
      </c>
      <c r="W3258">
        <v>4</v>
      </c>
      <c r="X3258">
        <v>177</v>
      </c>
      <c r="Y3258">
        <v>2</v>
      </c>
      <c r="Z3258">
        <v>5</v>
      </c>
      <c r="AA3258">
        <v>21</v>
      </c>
      <c r="AB3258">
        <v>21</v>
      </c>
      <c r="AT3258" t="s">
        <v>95</v>
      </c>
      <c r="AW3258">
        <v>2</v>
      </c>
      <c r="AX3258">
        <v>13</v>
      </c>
      <c r="AY3258">
        <v>410</v>
      </c>
      <c r="AZ3258">
        <v>431</v>
      </c>
      <c r="BA3258">
        <v>649</v>
      </c>
      <c r="BB3258">
        <v>44</v>
      </c>
      <c r="BC3258" t="s">
        <v>96</v>
      </c>
      <c r="BD3258">
        <v>1</v>
      </c>
      <c r="BF3258" t="s">
        <v>3489</v>
      </c>
      <c r="BG3258" s="1">
        <v>44354.140277777777</v>
      </c>
      <c r="BH3258" s="1">
        <v>44354.145798611113</v>
      </c>
      <c r="BI3258" s="1">
        <v>44354.147766203707</v>
      </c>
      <c r="BJ3258" t="s">
        <v>85</v>
      </c>
      <c r="BK3258" t="s">
        <v>86</v>
      </c>
      <c r="BL3258" t="s">
        <v>87</v>
      </c>
    </row>
    <row r="3259" spans="1:64" x14ac:dyDescent="0.3">
      <c r="A3259" t="str">
        <f>"202219B0000"</f>
        <v>202219B0000</v>
      </c>
      <c r="B3259" t="str">
        <f>"202219B00003"</f>
        <v>202219B00003</v>
      </c>
      <c r="C3259" t="str">
        <f t="shared" si="228"/>
        <v>20</v>
      </c>
      <c r="D3259" t="s">
        <v>81</v>
      </c>
      <c r="E3259" t="str">
        <f t="shared" si="230"/>
        <v>515</v>
      </c>
      <c r="F3259" t="s">
        <v>3432</v>
      </c>
      <c r="G3259" t="str">
        <f t="shared" ref="G3259:G3264" si="232">"2219"</f>
        <v>2219</v>
      </c>
      <c r="H3259" t="str">
        <f>"0000"</f>
        <v>0000</v>
      </c>
      <c r="I3259" t="s">
        <v>83</v>
      </c>
      <c r="J3259">
        <v>0</v>
      </c>
      <c r="K3259">
        <v>1</v>
      </c>
      <c r="L3259">
        <v>3</v>
      </c>
      <c r="M3259">
        <v>339</v>
      </c>
      <c r="N3259">
        <v>391</v>
      </c>
      <c r="O3259">
        <v>4</v>
      </c>
      <c r="P3259">
        <v>390</v>
      </c>
      <c r="Q3259">
        <v>17</v>
      </c>
      <c r="R3259">
        <v>23</v>
      </c>
      <c r="S3259">
        <v>12</v>
      </c>
      <c r="T3259">
        <v>23</v>
      </c>
      <c r="U3259">
        <v>52</v>
      </c>
      <c r="V3259">
        <v>8</v>
      </c>
      <c r="W3259">
        <v>11</v>
      </c>
      <c r="X3259">
        <v>177</v>
      </c>
      <c r="Y3259">
        <v>3</v>
      </c>
      <c r="Z3259">
        <v>4</v>
      </c>
      <c r="AA3259">
        <v>6</v>
      </c>
      <c r="AB3259">
        <v>29</v>
      </c>
      <c r="AT3259">
        <v>0</v>
      </c>
      <c r="AW3259">
        <v>12</v>
      </c>
      <c r="AX3259">
        <v>13</v>
      </c>
      <c r="AY3259">
        <v>390</v>
      </c>
      <c r="AZ3259">
        <v>390</v>
      </c>
      <c r="BA3259">
        <v>686</v>
      </c>
      <c r="BB3259">
        <v>44</v>
      </c>
      <c r="BD3259">
        <v>1</v>
      </c>
      <c r="BF3259" t="s">
        <v>3490</v>
      </c>
      <c r="BG3259" s="1">
        <v>44354.011296296296</v>
      </c>
      <c r="BH3259" s="1">
        <v>44354.017164351855</v>
      </c>
      <c r="BI3259" s="1">
        <v>44354.017685185187</v>
      </c>
      <c r="BJ3259" t="s">
        <v>197</v>
      </c>
      <c r="BK3259" t="s">
        <v>198</v>
      </c>
      <c r="BL3259" t="s">
        <v>87</v>
      </c>
    </row>
    <row r="3260" spans="1:64" x14ac:dyDescent="0.3">
      <c r="A3260" t="str">
        <f>"202219C0100"</f>
        <v>202219C0100</v>
      </c>
      <c r="B3260" t="str">
        <f>"202219C01003"</f>
        <v>202219C01003</v>
      </c>
      <c r="C3260" t="str">
        <f t="shared" si="228"/>
        <v>20</v>
      </c>
      <c r="D3260" t="s">
        <v>81</v>
      </c>
      <c r="E3260" t="str">
        <f t="shared" si="230"/>
        <v>515</v>
      </c>
      <c r="F3260" t="s">
        <v>3432</v>
      </c>
      <c r="G3260" t="str">
        <f t="shared" si="232"/>
        <v>2219</v>
      </c>
      <c r="H3260" t="str">
        <f>"0001"</f>
        <v>0001</v>
      </c>
      <c r="I3260" t="s">
        <v>89</v>
      </c>
      <c r="J3260">
        <v>0</v>
      </c>
      <c r="K3260">
        <v>1</v>
      </c>
      <c r="L3260">
        <v>3</v>
      </c>
      <c r="M3260">
        <v>311</v>
      </c>
      <c r="N3260">
        <v>419</v>
      </c>
      <c r="O3260">
        <v>0</v>
      </c>
      <c r="P3260">
        <v>420</v>
      </c>
      <c r="Q3260">
        <v>24</v>
      </c>
      <c r="R3260">
        <v>18</v>
      </c>
      <c r="S3260">
        <v>13</v>
      </c>
      <c r="T3260">
        <v>19</v>
      </c>
      <c r="U3260">
        <v>49</v>
      </c>
      <c r="V3260">
        <v>4</v>
      </c>
      <c r="W3260">
        <v>17</v>
      </c>
      <c r="X3260">
        <v>209</v>
      </c>
      <c r="Y3260">
        <v>2</v>
      </c>
      <c r="Z3260">
        <v>0</v>
      </c>
      <c r="AA3260">
        <v>14</v>
      </c>
      <c r="AB3260">
        <v>28</v>
      </c>
      <c r="AT3260">
        <v>0</v>
      </c>
      <c r="AW3260">
        <v>11</v>
      </c>
      <c r="AX3260">
        <v>12</v>
      </c>
      <c r="AY3260">
        <v>420</v>
      </c>
      <c r="AZ3260">
        <v>420</v>
      </c>
      <c r="BA3260">
        <v>686</v>
      </c>
      <c r="BB3260">
        <v>44</v>
      </c>
      <c r="BD3260">
        <v>1</v>
      </c>
      <c r="BF3260" t="s">
        <v>3491</v>
      </c>
      <c r="BG3260" s="1">
        <v>44354.014155092591</v>
      </c>
      <c r="BH3260" s="1">
        <v>44354.021215277775</v>
      </c>
      <c r="BI3260" s="1">
        <v>44354.021817129629</v>
      </c>
      <c r="BJ3260" t="s">
        <v>197</v>
      </c>
      <c r="BK3260" t="s">
        <v>198</v>
      </c>
      <c r="BL3260" t="s">
        <v>87</v>
      </c>
    </row>
    <row r="3261" spans="1:64" x14ac:dyDescent="0.3">
      <c r="A3261" t="str">
        <f>"202219C0200"</f>
        <v>202219C0200</v>
      </c>
      <c r="B3261" t="str">
        <f>"202219C02003"</f>
        <v>202219C02003</v>
      </c>
      <c r="C3261" t="str">
        <f t="shared" si="228"/>
        <v>20</v>
      </c>
      <c r="D3261" t="s">
        <v>81</v>
      </c>
      <c r="E3261" t="str">
        <f t="shared" si="230"/>
        <v>515</v>
      </c>
      <c r="F3261" t="s">
        <v>3432</v>
      </c>
      <c r="G3261" t="str">
        <f t="shared" si="232"/>
        <v>2219</v>
      </c>
      <c r="H3261" t="str">
        <f>"0002"</f>
        <v>0002</v>
      </c>
      <c r="I3261" t="s">
        <v>89</v>
      </c>
      <c r="J3261">
        <v>0</v>
      </c>
      <c r="K3261">
        <v>1</v>
      </c>
      <c r="L3261">
        <v>3</v>
      </c>
      <c r="M3261">
        <v>332</v>
      </c>
      <c r="N3261">
        <v>398</v>
      </c>
      <c r="O3261">
        <v>1</v>
      </c>
      <c r="P3261">
        <v>398</v>
      </c>
      <c r="Q3261">
        <v>12</v>
      </c>
      <c r="R3261">
        <v>15</v>
      </c>
      <c r="S3261">
        <v>10</v>
      </c>
      <c r="T3261">
        <v>34</v>
      </c>
      <c r="U3261">
        <v>49</v>
      </c>
      <c r="V3261">
        <v>14</v>
      </c>
      <c r="W3261">
        <v>11</v>
      </c>
      <c r="X3261">
        <v>197</v>
      </c>
      <c r="Y3261">
        <v>3</v>
      </c>
      <c r="Z3261">
        <v>2</v>
      </c>
      <c r="AA3261">
        <v>2</v>
      </c>
      <c r="AB3261">
        <v>23</v>
      </c>
      <c r="AT3261">
        <v>0</v>
      </c>
      <c r="AW3261">
        <v>15</v>
      </c>
      <c r="AX3261">
        <v>11</v>
      </c>
      <c r="AY3261">
        <v>398</v>
      </c>
      <c r="AZ3261">
        <v>398</v>
      </c>
      <c r="BA3261">
        <v>686</v>
      </c>
      <c r="BB3261">
        <v>44</v>
      </c>
      <c r="BD3261">
        <v>1</v>
      </c>
      <c r="BF3261" t="s">
        <v>3492</v>
      </c>
      <c r="BG3261" s="1">
        <v>44354.00677083333</v>
      </c>
      <c r="BH3261" s="1">
        <v>44354.012083333335</v>
      </c>
      <c r="BI3261" s="1">
        <v>44354.012638888889</v>
      </c>
      <c r="BJ3261" t="s">
        <v>197</v>
      </c>
      <c r="BK3261" t="s">
        <v>198</v>
      </c>
      <c r="BL3261" t="s">
        <v>87</v>
      </c>
    </row>
    <row r="3262" spans="1:64" x14ac:dyDescent="0.3">
      <c r="A3262" t="str">
        <f>"202219C0300"</f>
        <v>202219C0300</v>
      </c>
      <c r="B3262" t="str">
        <f>"202219C03003"</f>
        <v>202219C03003</v>
      </c>
      <c r="C3262" t="str">
        <f t="shared" si="228"/>
        <v>20</v>
      </c>
      <c r="D3262" t="s">
        <v>81</v>
      </c>
      <c r="E3262" t="str">
        <f t="shared" si="230"/>
        <v>515</v>
      </c>
      <c r="F3262" t="s">
        <v>3432</v>
      </c>
      <c r="G3262" t="str">
        <f t="shared" si="232"/>
        <v>2219</v>
      </c>
      <c r="H3262" t="str">
        <f>"0003"</f>
        <v>0003</v>
      </c>
      <c r="I3262" t="s">
        <v>89</v>
      </c>
      <c r="J3262">
        <v>0</v>
      </c>
      <c r="K3262">
        <v>1</v>
      </c>
      <c r="L3262">
        <v>3</v>
      </c>
      <c r="M3262">
        <v>343</v>
      </c>
      <c r="N3262">
        <v>389</v>
      </c>
      <c r="O3262">
        <v>7</v>
      </c>
      <c r="P3262">
        <v>389</v>
      </c>
      <c r="Q3262">
        <v>13</v>
      </c>
      <c r="R3262">
        <v>16</v>
      </c>
      <c r="S3262">
        <v>10</v>
      </c>
      <c r="T3262">
        <v>20</v>
      </c>
      <c r="U3262">
        <v>52</v>
      </c>
      <c r="V3262">
        <v>9</v>
      </c>
      <c r="W3262">
        <v>8</v>
      </c>
      <c r="X3262">
        <v>207</v>
      </c>
      <c r="Y3262">
        <v>3</v>
      </c>
      <c r="Z3262">
        <v>1</v>
      </c>
      <c r="AA3262">
        <v>9</v>
      </c>
      <c r="AB3262">
        <v>17</v>
      </c>
      <c r="AT3262">
        <v>0</v>
      </c>
      <c r="AW3262">
        <v>16</v>
      </c>
      <c r="AX3262">
        <v>9</v>
      </c>
      <c r="AY3262">
        <v>390</v>
      </c>
      <c r="AZ3262">
        <v>390</v>
      </c>
      <c r="BA3262">
        <v>686</v>
      </c>
      <c r="BB3262">
        <v>44</v>
      </c>
      <c r="BD3262">
        <v>1</v>
      </c>
      <c r="BF3262" t="s">
        <v>3493</v>
      </c>
      <c r="BG3262" s="1">
        <v>44354.004710648151</v>
      </c>
      <c r="BH3262" s="1">
        <v>44354.009976851848</v>
      </c>
      <c r="BI3262" s="1">
        <v>44354.010439814818</v>
      </c>
      <c r="BJ3262" t="s">
        <v>197</v>
      </c>
      <c r="BK3262" t="s">
        <v>198</v>
      </c>
      <c r="BL3262" t="s">
        <v>87</v>
      </c>
    </row>
    <row r="3263" spans="1:64" x14ac:dyDescent="0.3">
      <c r="A3263" t="str">
        <f>"202219C0400"</f>
        <v>202219C0400</v>
      </c>
      <c r="B3263" t="str">
        <f>"202219C04003"</f>
        <v>202219C04003</v>
      </c>
      <c r="C3263" t="str">
        <f t="shared" si="228"/>
        <v>20</v>
      </c>
      <c r="D3263" t="s">
        <v>81</v>
      </c>
      <c r="E3263" t="str">
        <f t="shared" si="230"/>
        <v>515</v>
      </c>
      <c r="F3263" t="s">
        <v>3432</v>
      </c>
      <c r="G3263" t="str">
        <f t="shared" si="232"/>
        <v>2219</v>
      </c>
      <c r="H3263" t="str">
        <f>"0004"</f>
        <v>0004</v>
      </c>
      <c r="I3263" t="s">
        <v>89</v>
      </c>
      <c r="J3263">
        <v>0</v>
      </c>
      <c r="K3263">
        <v>1</v>
      </c>
      <c r="L3263">
        <v>3</v>
      </c>
      <c r="M3263">
        <v>316</v>
      </c>
      <c r="N3263">
        <v>414</v>
      </c>
      <c r="O3263">
        <v>1</v>
      </c>
      <c r="P3263">
        <v>412</v>
      </c>
      <c r="Q3263">
        <v>21</v>
      </c>
      <c r="R3263">
        <v>22</v>
      </c>
      <c r="S3263">
        <v>17</v>
      </c>
      <c r="T3263">
        <v>24</v>
      </c>
      <c r="U3263">
        <v>48</v>
      </c>
      <c r="V3263">
        <v>4</v>
      </c>
      <c r="W3263">
        <v>15</v>
      </c>
      <c r="X3263">
        <v>211</v>
      </c>
      <c r="Y3263">
        <v>2</v>
      </c>
      <c r="Z3263">
        <v>0</v>
      </c>
      <c r="AA3263">
        <v>8</v>
      </c>
      <c r="AB3263">
        <v>24</v>
      </c>
      <c r="AT3263" t="s">
        <v>95</v>
      </c>
      <c r="AW3263">
        <v>8</v>
      </c>
      <c r="AX3263">
        <v>8</v>
      </c>
      <c r="AY3263">
        <v>412</v>
      </c>
      <c r="AZ3263">
        <v>412</v>
      </c>
      <c r="BA3263">
        <v>686</v>
      </c>
      <c r="BB3263">
        <v>44</v>
      </c>
      <c r="BC3263" t="s">
        <v>96</v>
      </c>
      <c r="BD3263">
        <v>1</v>
      </c>
      <c r="BF3263" t="s">
        <v>3494</v>
      </c>
      <c r="BG3263" s="1">
        <v>44353.969305555554</v>
      </c>
      <c r="BH3263" s="1">
        <v>44353.970520833333</v>
      </c>
      <c r="BI3263" s="1">
        <v>44353.971006944441</v>
      </c>
      <c r="BJ3263" t="s">
        <v>197</v>
      </c>
      <c r="BK3263" t="s">
        <v>198</v>
      </c>
      <c r="BL3263" t="s">
        <v>87</v>
      </c>
    </row>
    <row r="3264" spans="1:64" x14ac:dyDescent="0.3">
      <c r="A3264" t="str">
        <f>"202219C0500"</f>
        <v>202219C0500</v>
      </c>
      <c r="B3264" t="str">
        <f>"202219C05003"</f>
        <v>202219C05003</v>
      </c>
      <c r="C3264" t="str">
        <f t="shared" si="228"/>
        <v>20</v>
      </c>
      <c r="D3264" t="s">
        <v>81</v>
      </c>
      <c r="E3264" t="str">
        <f t="shared" si="230"/>
        <v>515</v>
      </c>
      <c r="F3264" t="s">
        <v>3432</v>
      </c>
      <c r="G3264" t="str">
        <f t="shared" si="232"/>
        <v>2219</v>
      </c>
      <c r="H3264" t="str">
        <f>"0005"</f>
        <v>0005</v>
      </c>
      <c r="I3264" t="s">
        <v>89</v>
      </c>
      <c r="J3264">
        <v>0</v>
      </c>
      <c r="K3264">
        <v>1</v>
      </c>
      <c r="L3264">
        <v>3</v>
      </c>
      <c r="M3264">
        <v>358</v>
      </c>
      <c r="N3264">
        <v>371</v>
      </c>
      <c r="O3264">
        <v>0</v>
      </c>
      <c r="P3264">
        <v>371</v>
      </c>
      <c r="Q3264">
        <v>16</v>
      </c>
      <c r="R3264">
        <v>22</v>
      </c>
      <c r="S3264">
        <v>17</v>
      </c>
      <c r="T3264">
        <v>18</v>
      </c>
      <c r="U3264">
        <v>64</v>
      </c>
      <c r="V3264">
        <v>5</v>
      </c>
      <c r="W3264">
        <v>15</v>
      </c>
      <c r="X3264">
        <v>67</v>
      </c>
      <c r="Y3264">
        <v>2</v>
      </c>
      <c r="Z3264">
        <v>2</v>
      </c>
      <c r="AA3264">
        <v>8</v>
      </c>
      <c r="AB3264">
        <v>15</v>
      </c>
      <c r="AT3264" t="s">
        <v>95</v>
      </c>
      <c r="AW3264">
        <v>5</v>
      </c>
      <c r="AX3264">
        <v>14</v>
      </c>
      <c r="AY3264">
        <v>371</v>
      </c>
      <c r="AZ3264">
        <v>270</v>
      </c>
      <c r="BA3264">
        <v>685</v>
      </c>
      <c r="BB3264">
        <v>44</v>
      </c>
      <c r="BC3264" t="s">
        <v>96</v>
      </c>
      <c r="BD3264">
        <v>1</v>
      </c>
      <c r="BF3264" t="s">
        <v>3495</v>
      </c>
      <c r="BG3264" s="1">
        <v>44353.946956018517</v>
      </c>
      <c r="BH3264" s="1">
        <v>44353.951793981483</v>
      </c>
      <c r="BI3264" s="1">
        <v>44353.952337962961</v>
      </c>
      <c r="BJ3264" t="s">
        <v>197</v>
      </c>
      <c r="BK3264" t="s">
        <v>198</v>
      </c>
      <c r="BL3264" t="s">
        <v>87</v>
      </c>
    </row>
    <row r="3265" spans="1:64" x14ac:dyDescent="0.3">
      <c r="A3265" t="str">
        <f>"202220B0000"</f>
        <v>202220B0000</v>
      </c>
      <c r="B3265" t="str">
        <f>"202220B00003"</f>
        <v>202220B00003</v>
      </c>
      <c r="C3265" t="str">
        <f t="shared" si="228"/>
        <v>20</v>
      </c>
      <c r="D3265" t="s">
        <v>81</v>
      </c>
      <c r="E3265" t="str">
        <f t="shared" si="230"/>
        <v>515</v>
      </c>
      <c r="F3265" t="s">
        <v>3432</v>
      </c>
      <c r="G3265" t="str">
        <f>"2220"</f>
        <v>2220</v>
      </c>
      <c r="H3265" t="str">
        <f>"0000"</f>
        <v>0000</v>
      </c>
      <c r="I3265" t="s">
        <v>83</v>
      </c>
      <c r="J3265">
        <v>0</v>
      </c>
      <c r="K3265">
        <v>1</v>
      </c>
      <c r="L3265">
        <v>3</v>
      </c>
      <c r="M3265">
        <v>290</v>
      </c>
      <c r="N3265">
        <v>313</v>
      </c>
      <c r="O3265">
        <v>4</v>
      </c>
      <c r="P3265" t="s">
        <v>92</v>
      </c>
      <c r="Q3265">
        <v>19</v>
      </c>
      <c r="R3265">
        <v>22</v>
      </c>
      <c r="S3265">
        <v>7</v>
      </c>
      <c r="T3265">
        <v>12</v>
      </c>
      <c r="U3265" t="s">
        <v>95</v>
      </c>
      <c r="V3265" t="s">
        <v>95</v>
      </c>
      <c r="W3265" t="s">
        <v>95</v>
      </c>
      <c r="X3265" t="s">
        <v>95</v>
      </c>
      <c r="Y3265" t="s">
        <v>95</v>
      </c>
      <c r="Z3265" t="s">
        <v>95</v>
      </c>
      <c r="AA3265" t="s">
        <v>95</v>
      </c>
      <c r="AB3265" t="s">
        <v>95</v>
      </c>
      <c r="AT3265" t="s">
        <v>95</v>
      </c>
      <c r="AW3265" t="s">
        <v>95</v>
      </c>
      <c r="AX3265" t="s">
        <v>95</v>
      </c>
      <c r="AY3265" t="s">
        <v>95</v>
      </c>
      <c r="AZ3265">
        <v>60</v>
      </c>
      <c r="BA3265">
        <v>585</v>
      </c>
      <c r="BB3265">
        <v>44</v>
      </c>
      <c r="BC3265" t="s">
        <v>96</v>
      </c>
      <c r="BD3265">
        <v>1</v>
      </c>
      <c r="BF3265" t="s">
        <v>3496</v>
      </c>
      <c r="BG3265" s="1">
        <v>44354.182175925926</v>
      </c>
      <c r="BH3265" s="1">
        <v>44354.183657407404</v>
      </c>
      <c r="BI3265" s="1">
        <v>44354.18409722222</v>
      </c>
      <c r="BJ3265" t="s">
        <v>197</v>
      </c>
      <c r="BK3265" t="s">
        <v>198</v>
      </c>
      <c r="BL3265" t="s">
        <v>87</v>
      </c>
    </row>
    <row r="3266" spans="1:64" x14ac:dyDescent="0.3">
      <c r="A3266" t="str">
        <f>"202220C0100"</f>
        <v>202220C0100</v>
      </c>
      <c r="B3266" t="str">
        <f>"202220C01003"</f>
        <v>202220C01003</v>
      </c>
      <c r="C3266" t="str">
        <f t="shared" si="228"/>
        <v>20</v>
      </c>
      <c r="D3266" t="s">
        <v>81</v>
      </c>
      <c r="E3266" t="str">
        <f t="shared" ref="E3266:E3291" si="233">"515"</f>
        <v>515</v>
      </c>
      <c r="F3266" t="s">
        <v>3432</v>
      </c>
      <c r="G3266" t="str">
        <f>"2220"</f>
        <v>2220</v>
      </c>
      <c r="H3266" t="str">
        <f>"0001"</f>
        <v>0001</v>
      </c>
      <c r="I3266" t="s">
        <v>89</v>
      </c>
      <c r="J3266">
        <v>0</v>
      </c>
      <c r="K3266">
        <v>1</v>
      </c>
      <c r="L3266">
        <v>3</v>
      </c>
      <c r="M3266">
        <v>280</v>
      </c>
      <c r="N3266">
        <v>349</v>
      </c>
      <c r="O3266">
        <v>4</v>
      </c>
      <c r="P3266">
        <v>349</v>
      </c>
      <c r="Q3266">
        <v>26</v>
      </c>
      <c r="R3266">
        <v>23</v>
      </c>
      <c r="S3266">
        <v>3</v>
      </c>
      <c r="T3266">
        <v>27</v>
      </c>
      <c r="U3266">
        <v>34</v>
      </c>
      <c r="V3266">
        <v>1</v>
      </c>
      <c r="W3266">
        <v>32</v>
      </c>
      <c r="X3266">
        <v>154</v>
      </c>
      <c r="Y3266">
        <v>0</v>
      </c>
      <c r="Z3266">
        <v>0</v>
      </c>
      <c r="AA3266">
        <v>9</v>
      </c>
      <c r="AB3266">
        <v>24</v>
      </c>
      <c r="AT3266" t="s">
        <v>95</v>
      </c>
      <c r="AW3266" t="s">
        <v>95</v>
      </c>
      <c r="AX3266">
        <v>10</v>
      </c>
      <c r="AY3266">
        <v>349</v>
      </c>
      <c r="AZ3266">
        <v>343</v>
      </c>
      <c r="BA3266">
        <v>585</v>
      </c>
      <c r="BB3266">
        <v>44</v>
      </c>
      <c r="BC3266" t="s">
        <v>96</v>
      </c>
      <c r="BD3266">
        <v>1</v>
      </c>
      <c r="BF3266" t="s">
        <v>3497</v>
      </c>
      <c r="BG3266" s="1">
        <v>44354.230555555558</v>
      </c>
      <c r="BH3266" s="1">
        <v>44354.23232638889</v>
      </c>
      <c r="BI3266" s="1">
        <v>44354.23265046296</v>
      </c>
      <c r="BJ3266" t="s">
        <v>85</v>
      </c>
      <c r="BK3266" t="s">
        <v>86</v>
      </c>
      <c r="BL3266" t="s">
        <v>87</v>
      </c>
    </row>
    <row r="3267" spans="1:64" x14ac:dyDescent="0.3">
      <c r="A3267" t="str">
        <f>"202220C0200"</f>
        <v>202220C0200</v>
      </c>
      <c r="B3267" t="str">
        <f>"202220C02003"</f>
        <v>202220C02003</v>
      </c>
      <c r="C3267" t="str">
        <f t="shared" si="228"/>
        <v>20</v>
      </c>
      <c r="D3267" t="s">
        <v>81</v>
      </c>
      <c r="E3267" t="str">
        <f t="shared" si="233"/>
        <v>515</v>
      </c>
      <c r="F3267" t="s">
        <v>3432</v>
      </c>
      <c r="G3267" t="str">
        <f>"2220"</f>
        <v>2220</v>
      </c>
      <c r="H3267" t="str">
        <f>"0002"</f>
        <v>0002</v>
      </c>
      <c r="I3267" t="s">
        <v>89</v>
      </c>
      <c r="J3267">
        <v>0</v>
      </c>
      <c r="K3267">
        <v>1</v>
      </c>
      <c r="L3267">
        <v>3</v>
      </c>
      <c r="M3267">
        <v>282</v>
      </c>
      <c r="N3267">
        <v>346</v>
      </c>
      <c r="O3267">
        <v>6</v>
      </c>
      <c r="P3267">
        <v>346</v>
      </c>
      <c r="Q3267">
        <v>31</v>
      </c>
      <c r="R3267">
        <v>27</v>
      </c>
      <c r="S3267">
        <v>13</v>
      </c>
      <c r="T3267">
        <v>30</v>
      </c>
      <c r="U3267">
        <v>37</v>
      </c>
      <c r="V3267">
        <v>1</v>
      </c>
      <c r="W3267">
        <v>17</v>
      </c>
      <c r="X3267">
        <v>147</v>
      </c>
      <c r="Y3267">
        <v>2</v>
      </c>
      <c r="Z3267">
        <v>2</v>
      </c>
      <c r="AA3267">
        <v>5</v>
      </c>
      <c r="AB3267">
        <v>14</v>
      </c>
      <c r="AT3267">
        <v>0</v>
      </c>
      <c r="AW3267">
        <v>9</v>
      </c>
      <c r="AX3267">
        <v>11</v>
      </c>
      <c r="AY3267">
        <v>346</v>
      </c>
      <c r="AZ3267">
        <v>346</v>
      </c>
      <c r="BA3267">
        <v>584</v>
      </c>
      <c r="BB3267">
        <v>44</v>
      </c>
      <c r="BD3267">
        <v>1</v>
      </c>
      <c r="BF3267" t="s">
        <v>3498</v>
      </c>
      <c r="BG3267" s="1">
        <v>44354.231249999997</v>
      </c>
      <c r="BH3267" s="1">
        <v>44354.234918981485</v>
      </c>
      <c r="BI3267" s="1">
        <v>44354.23541666667</v>
      </c>
      <c r="BJ3267" t="s">
        <v>85</v>
      </c>
      <c r="BK3267" t="s">
        <v>86</v>
      </c>
      <c r="BL3267" t="s">
        <v>87</v>
      </c>
    </row>
    <row r="3268" spans="1:64" x14ac:dyDescent="0.3">
      <c r="A3268" t="str">
        <f>"202221B0000"</f>
        <v>202221B0000</v>
      </c>
      <c r="B3268" t="str">
        <f>"202221B00003"</f>
        <v>202221B00003</v>
      </c>
      <c r="C3268" t="str">
        <f t="shared" si="228"/>
        <v>20</v>
      </c>
      <c r="D3268" t="s">
        <v>81</v>
      </c>
      <c r="E3268" t="str">
        <f t="shared" si="233"/>
        <v>515</v>
      </c>
      <c r="F3268" t="s">
        <v>3432</v>
      </c>
      <c r="G3268" t="str">
        <f>"2221"</f>
        <v>2221</v>
      </c>
      <c r="H3268" t="str">
        <f>"0000"</f>
        <v>0000</v>
      </c>
      <c r="I3268" t="s">
        <v>83</v>
      </c>
      <c r="J3268">
        <v>0</v>
      </c>
      <c r="K3268">
        <v>1</v>
      </c>
      <c r="L3268">
        <v>3</v>
      </c>
      <c r="M3268">
        <v>305</v>
      </c>
      <c r="N3268">
        <v>365</v>
      </c>
      <c r="O3268">
        <v>4</v>
      </c>
      <c r="P3268">
        <v>364</v>
      </c>
      <c r="Q3268">
        <v>17</v>
      </c>
      <c r="R3268">
        <v>18</v>
      </c>
      <c r="S3268">
        <v>6</v>
      </c>
      <c r="T3268">
        <v>22</v>
      </c>
      <c r="U3268">
        <v>23</v>
      </c>
      <c r="V3268">
        <v>6</v>
      </c>
      <c r="W3268">
        <v>11</v>
      </c>
      <c r="X3268">
        <v>225</v>
      </c>
      <c r="Y3268">
        <v>3</v>
      </c>
      <c r="Z3268">
        <v>1</v>
      </c>
      <c r="AA3268">
        <v>8</v>
      </c>
      <c r="AB3268">
        <v>10</v>
      </c>
      <c r="AT3268">
        <v>0</v>
      </c>
      <c r="AW3268">
        <v>1</v>
      </c>
      <c r="AX3268">
        <v>13</v>
      </c>
      <c r="AY3268">
        <v>364</v>
      </c>
      <c r="AZ3268">
        <v>364</v>
      </c>
      <c r="BA3268">
        <v>625</v>
      </c>
      <c r="BB3268">
        <v>44</v>
      </c>
      <c r="BD3268">
        <v>1</v>
      </c>
      <c r="BF3268" t="s">
        <v>3499</v>
      </c>
      <c r="BG3268" s="1">
        <v>44354.194444444445</v>
      </c>
      <c r="BH3268" s="1">
        <v>44354.196585648147</v>
      </c>
      <c r="BI3268" s="1">
        <v>44354.197025462963</v>
      </c>
      <c r="BJ3268" t="s">
        <v>85</v>
      </c>
      <c r="BK3268" t="s">
        <v>86</v>
      </c>
      <c r="BL3268" t="s">
        <v>87</v>
      </c>
    </row>
    <row r="3269" spans="1:64" x14ac:dyDescent="0.3">
      <c r="A3269" t="str">
        <f>"202221C0100"</f>
        <v>202221C0100</v>
      </c>
      <c r="B3269" t="str">
        <f>"202221C01003"</f>
        <v>202221C01003</v>
      </c>
      <c r="C3269" t="str">
        <f t="shared" si="228"/>
        <v>20</v>
      </c>
      <c r="D3269" t="s">
        <v>81</v>
      </c>
      <c r="E3269" t="str">
        <f t="shared" si="233"/>
        <v>515</v>
      </c>
      <c r="F3269" t="s">
        <v>3432</v>
      </c>
      <c r="G3269" t="str">
        <f>"2221"</f>
        <v>2221</v>
      </c>
      <c r="H3269" t="str">
        <f>"0001"</f>
        <v>0001</v>
      </c>
      <c r="I3269" t="s">
        <v>89</v>
      </c>
      <c r="J3269">
        <v>0</v>
      </c>
      <c r="K3269">
        <v>1</v>
      </c>
      <c r="L3269">
        <v>3</v>
      </c>
      <c r="M3269">
        <v>288</v>
      </c>
      <c r="N3269">
        <v>379</v>
      </c>
      <c r="O3269">
        <v>3</v>
      </c>
      <c r="P3269">
        <v>380</v>
      </c>
      <c r="Q3269">
        <v>17</v>
      </c>
      <c r="R3269">
        <v>14</v>
      </c>
      <c r="S3269">
        <v>10</v>
      </c>
      <c r="T3269">
        <v>34</v>
      </c>
      <c r="U3269">
        <v>20</v>
      </c>
      <c r="V3269">
        <v>3</v>
      </c>
      <c r="W3269">
        <v>18</v>
      </c>
      <c r="X3269">
        <v>235</v>
      </c>
      <c r="Y3269">
        <v>1</v>
      </c>
      <c r="Z3269">
        <v>2</v>
      </c>
      <c r="AA3269">
        <v>3</v>
      </c>
      <c r="AB3269">
        <v>15</v>
      </c>
      <c r="AT3269" t="s">
        <v>95</v>
      </c>
      <c r="AW3269">
        <v>4</v>
      </c>
      <c r="AX3269">
        <v>4</v>
      </c>
      <c r="AY3269">
        <v>380</v>
      </c>
      <c r="AZ3269">
        <v>380</v>
      </c>
      <c r="BA3269">
        <v>624</v>
      </c>
      <c r="BB3269">
        <v>44</v>
      </c>
      <c r="BC3269" t="s">
        <v>96</v>
      </c>
      <c r="BD3269">
        <v>1</v>
      </c>
      <c r="BF3269" t="s">
        <v>3500</v>
      </c>
      <c r="BG3269" s="1">
        <v>44354.199305555558</v>
      </c>
      <c r="BH3269" s="1">
        <v>44354.20040509259</v>
      </c>
      <c r="BI3269" s="1">
        <v>44354.201828703706</v>
      </c>
      <c r="BJ3269" t="s">
        <v>85</v>
      </c>
      <c r="BK3269" t="s">
        <v>86</v>
      </c>
      <c r="BL3269" t="s">
        <v>87</v>
      </c>
    </row>
    <row r="3270" spans="1:64" x14ac:dyDescent="0.3">
      <c r="A3270" t="str">
        <f>"202221C0200"</f>
        <v>202221C0200</v>
      </c>
      <c r="B3270" t="str">
        <f>"202221C02003"</f>
        <v>202221C02003</v>
      </c>
      <c r="C3270" t="str">
        <f t="shared" si="228"/>
        <v>20</v>
      </c>
      <c r="D3270" t="s">
        <v>81</v>
      </c>
      <c r="E3270" t="str">
        <f t="shared" si="233"/>
        <v>515</v>
      </c>
      <c r="F3270" t="s">
        <v>3432</v>
      </c>
      <c r="G3270" t="str">
        <f>"2221"</f>
        <v>2221</v>
      </c>
      <c r="H3270" t="str">
        <f>"0002"</f>
        <v>0002</v>
      </c>
      <c r="I3270" t="s">
        <v>89</v>
      </c>
      <c r="J3270">
        <v>0</v>
      </c>
      <c r="K3270">
        <v>1</v>
      </c>
      <c r="L3270">
        <v>3</v>
      </c>
      <c r="M3270">
        <v>309</v>
      </c>
      <c r="N3270">
        <v>359</v>
      </c>
      <c r="O3270">
        <v>4</v>
      </c>
      <c r="P3270">
        <v>359</v>
      </c>
      <c r="Q3270">
        <v>11</v>
      </c>
      <c r="R3270">
        <v>18</v>
      </c>
      <c r="S3270">
        <v>9</v>
      </c>
      <c r="T3270">
        <v>16</v>
      </c>
      <c r="U3270">
        <v>12</v>
      </c>
      <c r="V3270">
        <v>0</v>
      </c>
      <c r="W3270">
        <v>15</v>
      </c>
      <c r="X3270">
        <v>259</v>
      </c>
      <c r="Y3270">
        <v>0</v>
      </c>
      <c r="Z3270">
        <v>0</v>
      </c>
      <c r="AA3270">
        <v>6</v>
      </c>
      <c r="AB3270">
        <v>6</v>
      </c>
      <c r="AT3270">
        <v>0</v>
      </c>
      <c r="AW3270">
        <v>1</v>
      </c>
      <c r="AX3270">
        <v>6</v>
      </c>
      <c r="AY3270">
        <v>359</v>
      </c>
      <c r="AZ3270">
        <v>359</v>
      </c>
      <c r="BA3270">
        <v>624</v>
      </c>
      <c r="BB3270">
        <v>44</v>
      </c>
      <c r="BD3270">
        <v>1</v>
      </c>
      <c r="BF3270" t="s">
        <v>3501</v>
      </c>
      <c r="BG3270" s="1">
        <v>44354.196527777778</v>
      </c>
      <c r="BH3270" s="1">
        <v>44354.198240740741</v>
      </c>
      <c r="BI3270" s="1">
        <v>44354.199016203704</v>
      </c>
      <c r="BJ3270" t="s">
        <v>85</v>
      </c>
      <c r="BK3270" t="s">
        <v>86</v>
      </c>
      <c r="BL3270" t="s">
        <v>87</v>
      </c>
    </row>
    <row r="3271" spans="1:64" x14ac:dyDescent="0.3">
      <c r="A3271" t="str">
        <f>"202222B0000"</f>
        <v>202222B0000</v>
      </c>
      <c r="B3271" t="str">
        <f>"202222B00003"</f>
        <v>202222B00003</v>
      </c>
      <c r="C3271" t="str">
        <f t="shared" ref="C3271:C3334" si="234">"20"</f>
        <v>20</v>
      </c>
      <c r="D3271" t="s">
        <v>81</v>
      </c>
      <c r="E3271" t="str">
        <f t="shared" si="233"/>
        <v>515</v>
      </c>
      <c r="F3271" t="s">
        <v>3432</v>
      </c>
      <c r="G3271" t="str">
        <f>"2222"</f>
        <v>2222</v>
      </c>
      <c r="H3271" t="str">
        <f>"0000"</f>
        <v>0000</v>
      </c>
      <c r="I3271" t="s">
        <v>83</v>
      </c>
      <c r="J3271">
        <v>0</v>
      </c>
      <c r="K3271">
        <v>1</v>
      </c>
      <c r="L3271">
        <v>3</v>
      </c>
      <c r="M3271">
        <v>211</v>
      </c>
      <c r="N3271">
        <v>427</v>
      </c>
      <c r="O3271">
        <v>1</v>
      </c>
      <c r="P3271">
        <v>427</v>
      </c>
      <c r="Q3271">
        <v>4</v>
      </c>
      <c r="R3271">
        <v>27</v>
      </c>
      <c r="S3271">
        <v>7</v>
      </c>
      <c r="T3271">
        <v>5</v>
      </c>
      <c r="U3271">
        <v>318</v>
      </c>
      <c r="V3271">
        <v>2</v>
      </c>
      <c r="W3271">
        <v>2</v>
      </c>
      <c r="X3271">
        <v>25</v>
      </c>
      <c r="Y3271">
        <v>0</v>
      </c>
      <c r="Z3271">
        <v>0</v>
      </c>
      <c r="AA3271">
        <v>1</v>
      </c>
      <c r="AB3271">
        <v>4</v>
      </c>
      <c r="AT3271">
        <v>0</v>
      </c>
      <c r="AW3271">
        <v>0</v>
      </c>
      <c r="AX3271">
        <v>32</v>
      </c>
      <c r="AY3271">
        <v>427</v>
      </c>
      <c r="AZ3271">
        <v>427</v>
      </c>
      <c r="BA3271">
        <v>595</v>
      </c>
      <c r="BB3271">
        <v>44</v>
      </c>
      <c r="BD3271">
        <v>1</v>
      </c>
      <c r="BF3271" t="s">
        <v>3502</v>
      </c>
      <c r="BG3271" s="1">
        <v>44354.529166666667</v>
      </c>
      <c r="BH3271" s="1">
        <v>44354.531180555554</v>
      </c>
      <c r="BI3271" s="1">
        <v>44354.532037037039</v>
      </c>
      <c r="BJ3271" t="s">
        <v>85</v>
      </c>
      <c r="BK3271" t="s">
        <v>86</v>
      </c>
      <c r="BL3271" t="s">
        <v>87</v>
      </c>
    </row>
    <row r="3272" spans="1:64" x14ac:dyDescent="0.3">
      <c r="A3272" t="str">
        <f>"202222E0100"</f>
        <v>202222E0100</v>
      </c>
      <c r="B3272" t="str">
        <f>"202222E01003"</f>
        <v>202222E01003</v>
      </c>
      <c r="C3272" t="str">
        <f t="shared" si="234"/>
        <v>20</v>
      </c>
      <c r="D3272" t="s">
        <v>81</v>
      </c>
      <c r="E3272" t="str">
        <f t="shared" si="233"/>
        <v>515</v>
      </c>
      <c r="F3272" t="s">
        <v>3432</v>
      </c>
      <c r="G3272" t="str">
        <f>"2222"</f>
        <v>2222</v>
      </c>
      <c r="H3272" t="str">
        <f>"0001"</f>
        <v>0001</v>
      </c>
      <c r="I3272" t="s">
        <v>122</v>
      </c>
      <c r="J3272">
        <v>0</v>
      </c>
      <c r="K3272">
        <v>1</v>
      </c>
      <c r="L3272">
        <v>3</v>
      </c>
      <c r="M3272">
        <v>103</v>
      </c>
      <c r="N3272">
        <v>227</v>
      </c>
      <c r="O3272">
        <v>7</v>
      </c>
      <c r="P3272">
        <v>227</v>
      </c>
      <c r="Q3272">
        <v>8</v>
      </c>
      <c r="R3272">
        <v>20</v>
      </c>
      <c r="S3272">
        <v>1</v>
      </c>
      <c r="T3272">
        <v>4</v>
      </c>
      <c r="U3272">
        <v>124</v>
      </c>
      <c r="V3272">
        <v>1</v>
      </c>
      <c r="W3272">
        <v>0</v>
      </c>
      <c r="X3272">
        <v>49</v>
      </c>
      <c r="Y3272">
        <v>0</v>
      </c>
      <c r="Z3272">
        <v>0</v>
      </c>
      <c r="AA3272">
        <v>0</v>
      </c>
      <c r="AB3272">
        <v>1</v>
      </c>
      <c r="AT3272">
        <v>0</v>
      </c>
      <c r="AW3272">
        <v>0</v>
      </c>
      <c r="AX3272">
        <v>19</v>
      </c>
      <c r="AY3272">
        <v>227</v>
      </c>
      <c r="AZ3272">
        <v>227</v>
      </c>
      <c r="BA3272">
        <v>286</v>
      </c>
      <c r="BB3272">
        <v>44</v>
      </c>
      <c r="BD3272">
        <v>1</v>
      </c>
      <c r="BF3272" t="s">
        <v>3503</v>
      </c>
      <c r="BG3272" s="1">
        <v>44354.527777777781</v>
      </c>
      <c r="BH3272" s="1">
        <v>44354.529062499998</v>
      </c>
      <c r="BI3272" s="1">
        <v>44354.529282407406</v>
      </c>
      <c r="BJ3272" t="s">
        <v>85</v>
      </c>
      <c r="BK3272" t="s">
        <v>86</v>
      </c>
      <c r="BL3272" t="s">
        <v>87</v>
      </c>
    </row>
    <row r="3273" spans="1:64" x14ac:dyDescent="0.3">
      <c r="A3273" t="str">
        <f>"202223B0000"</f>
        <v>202223B0000</v>
      </c>
      <c r="B3273" t="str">
        <f>"202223B00003"</f>
        <v>202223B00003</v>
      </c>
      <c r="C3273" t="str">
        <f t="shared" si="234"/>
        <v>20</v>
      </c>
      <c r="D3273" t="s">
        <v>81</v>
      </c>
      <c r="E3273" t="str">
        <f t="shared" si="233"/>
        <v>515</v>
      </c>
      <c r="F3273" t="s">
        <v>3432</v>
      </c>
      <c r="G3273" t="str">
        <f>"2223"</f>
        <v>2223</v>
      </c>
      <c r="H3273" t="str">
        <f>"0000"</f>
        <v>0000</v>
      </c>
      <c r="I3273" t="s">
        <v>83</v>
      </c>
      <c r="J3273">
        <v>0</v>
      </c>
      <c r="K3273">
        <v>1</v>
      </c>
      <c r="L3273">
        <v>3</v>
      </c>
      <c r="M3273">
        <v>147</v>
      </c>
      <c r="N3273">
        <v>258</v>
      </c>
      <c r="O3273">
        <v>1</v>
      </c>
      <c r="P3273" t="s">
        <v>92</v>
      </c>
      <c r="Q3273">
        <v>30</v>
      </c>
      <c r="R3273">
        <v>25</v>
      </c>
      <c r="S3273">
        <v>1</v>
      </c>
      <c r="T3273">
        <v>23</v>
      </c>
      <c r="U3273">
        <v>20</v>
      </c>
      <c r="V3273">
        <v>2</v>
      </c>
      <c r="W3273">
        <v>4</v>
      </c>
      <c r="X3273">
        <v>101</v>
      </c>
      <c r="Y3273">
        <v>0</v>
      </c>
      <c r="Z3273">
        <v>3</v>
      </c>
      <c r="AA3273">
        <v>7</v>
      </c>
      <c r="AB3273">
        <v>37</v>
      </c>
      <c r="AT3273">
        <v>0</v>
      </c>
      <c r="AW3273">
        <v>1</v>
      </c>
      <c r="AX3273">
        <v>4</v>
      </c>
      <c r="AY3273">
        <v>258</v>
      </c>
      <c r="AZ3273">
        <v>258</v>
      </c>
      <c r="BA3273">
        <v>361</v>
      </c>
      <c r="BB3273">
        <v>44</v>
      </c>
      <c r="BD3273">
        <v>1</v>
      </c>
      <c r="BF3273" t="s">
        <v>3504</v>
      </c>
      <c r="BG3273" s="1">
        <v>44354.054166666669</v>
      </c>
      <c r="BH3273" s="1">
        <v>44354.059548611112</v>
      </c>
      <c r="BI3273" s="1">
        <v>44354.059976851851</v>
      </c>
      <c r="BJ3273" t="s">
        <v>85</v>
      </c>
      <c r="BK3273" t="s">
        <v>86</v>
      </c>
      <c r="BL3273" t="s">
        <v>87</v>
      </c>
    </row>
    <row r="3274" spans="1:64" x14ac:dyDescent="0.3">
      <c r="A3274" t="str">
        <f>"202223E0100"</f>
        <v>202223E0100</v>
      </c>
      <c r="B3274" t="str">
        <f>"202223E01003"</f>
        <v>202223E01003</v>
      </c>
      <c r="C3274" t="str">
        <f t="shared" si="234"/>
        <v>20</v>
      </c>
      <c r="D3274" t="s">
        <v>81</v>
      </c>
      <c r="E3274" t="str">
        <f t="shared" si="233"/>
        <v>515</v>
      </c>
      <c r="F3274" t="s">
        <v>3432</v>
      </c>
      <c r="G3274" t="str">
        <f>"2223"</f>
        <v>2223</v>
      </c>
      <c r="H3274" t="str">
        <f>"0001"</f>
        <v>0001</v>
      </c>
      <c r="I3274" t="s">
        <v>122</v>
      </c>
      <c r="J3274">
        <v>0</v>
      </c>
      <c r="K3274">
        <v>1</v>
      </c>
      <c r="L3274">
        <v>3</v>
      </c>
      <c r="M3274">
        <v>133</v>
      </c>
      <c r="N3274">
        <v>292</v>
      </c>
      <c r="O3274">
        <v>3</v>
      </c>
      <c r="P3274">
        <v>292</v>
      </c>
      <c r="Q3274">
        <v>15</v>
      </c>
      <c r="R3274">
        <v>20</v>
      </c>
      <c r="S3274">
        <v>7</v>
      </c>
      <c r="T3274">
        <v>26</v>
      </c>
      <c r="U3274">
        <v>4</v>
      </c>
      <c r="V3274">
        <v>7</v>
      </c>
      <c r="W3274">
        <v>12</v>
      </c>
      <c r="X3274">
        <v>120</v>
      </c>
      <c r="Y3274">
        <v>1</v>
      </c>
      <c r="Z3274">
        <v>5</v>
      </c>
      <c r="AA3274">
        <v>4</v>
      </c>
      <c r="AB3274">
        <v>54</v>
      </c>
      <c r="AT3274" t="s">
        <v>95</v>
      </c>
      <c r="AW3274" t="s">
        <v>95</v>
      </c>
      <c r="AX3274">
        <v>17</v>
      </c>
      <c r="AY3274">
        <v>292</v>
      </c>
      <c r="AZ3274">
        <v>292</v>
      </c>
      <c r="BA3274">
        <v>381</v>
      </c>
      <c r="BB3274">
        <v>44</v>
      </c>
      <c r="BC3274" t="s">
        <v>96</v>
      </c>
      <c r="BD3274">
        <v>1</v>
      </c>
      <c r="BF3274" t="s">
        <v>3505</v>
      </c>
      <c r="BG3274" s="1">
        <v>44354.056250000001</v>
      </c>
      <c r="BH3274" s="1">
        <v>44354.061226851853</v>
      </c>
      <c r="BI3274" s="1">
        <v>44354.061747685184</v>
      </c>
      <c r="BJ3274" t="s">
        <v>85</v>
      </c>
      <c r="BK3274" t="s">
        <v>86</v>
      </c>
      <c r="BL3274" t="s">
        <v>87</v>
      </c>
    </row>
    <row r="3275" spans="1:64" x14ac:dyDescent="0.3">
      <c r="A3275" t="str">
        <f>"202224B0000"</f>
        <v>202224B0000</v>
      </c>
      <c r="B3275" t="str">
        <f>"202224B00003"</f>
        <v>202224B00003</v>
      </c>
      <c r="C3275" t="str">
        <f t="shared" si="234"/>
        <v>20</v>
      </c>
      <c r="D3275" t="s">
        <v>81</v>
      </c>
      <c r="E3275" t="str">
        <f t="shared" si="233"/>
        <v>515</v>
      </c>
      <c r="F3275" t="s">
        <v>3432</v>
      </c>
      <c r="G3275" t="str">
        <f t="shared" ref="G3275:G3280" si="235">"2224"</f>
        <v>2224</v>
      </c>
      <c r="H3275" t="str">
        <f>"0000"</f>
        <v>0000</v>
      </c>
      <c r="I3275" t="s">
        <v>83</v>
      </c>
      <c r="J3275">
        <v>0</v>
      </c>
      <c r="K3275">
        <v>1</v>
      </c>
      <c r="L3275">
        <v>3</v>
      </c>
      <c r="M3275">
        <v>177</v>
      </c>
      <c r="N3275">
        <v>304</v>
      </c>
      <c r="O3275" t="s">
        <v>92</v>
      </c>
      <c r="P3275">
        <v>304</v>
      </c>
      <c r="Q3275">
        <v>10</v>
      </c>
      <c r="R3275">
        <v>17</v>
      </c>
      <c r="S3275">
        <v>4</v>
      </c>
      <c r="T3275">
        <v>41</v>
      </c>
      <c r="U3275">
        <v>27</v>
      </c>
      <c r="V3275">
        <v>1</v>
      </c>
      <c r="W3275">
        <v>3</v>
      </c>
      <c r="X3275">
        <v>87</v>
      </c>
      <c r="Y3275">
        <v>2</v>
      </c>
      <c r="Z3275">
        <v>5</v>
      </c>
      <c r="AA3275">
        <v>4</v>
      </c>
      <c r="AB3275">
        <v>12</v>
      </c>
      <c r="AT3275">
        <v>0</v>
      </c>
      <c r="AW3275">
        <v>69</v>
      </c>
      <c r="AX3275">
        <v>22</v>
      </c>
      <c r="AY3275">
        <v>304</v>
      </c>
      <c r="AZ3275">
        <v>304</v>
      </c>
      <c r="BA3275">
        <v>437</v>
      </c>
      <c r="BB3275">
        <v>44</v>
      </c>
      <c r="BD3275">
        <v>1</v>
      </c>
      <c r="BF3275" t="s">
        <v>3506</v>
      </c>
      <c r="BG3275" s="1">
        <v>44354.032164351855</v>
      </c>
      <c r="BH3275" s="1">
        <v>44354.040069444447</v>
      </c>
      <c r="BI3275" s="1">
        <v>44354.040613425925</v>
      </c>
      <c r="BJ3275" t="s">
        <v>197</v>
      </c>
      <c r="BK3275" t="s">
        <v>198</v>
      </c>
      <c r="BL3275" t="s">
        <v>87</v>
      </c>
    </row>
    <row r="3276" spans="1:64" x14ac:dyDescent="0.3">
      <c r="A3276" t="str">
        <f>"202224C0100"</f>
        <v>202224C0100</v>
      </c>
      <c r="B3276" t="str">
        <f>"202224C01003"</f>
        <v>202224C01003</v>
      </c>
      <c r="C3276" t="str">
        <f t="shared" si="234"/>
        <v>20</v>
      </c>
      <c r="D3276" t="s">
        <v>81</v>
      </c>
      <c r="E3276" t="str">
        <f t="shared" si="233"/>
        <v>515</v>
      </c>
      <c r="F3276" t="s">
        <v>3432</v>
      </c>
      <c r="G3276" t="str">
        <f t="shared" si="235"/>
        <v>2224</v>
      </c>
      <c r="H3276" t="str">
        <f>"0001"</f>
        <v>0001</v>
      </c>
      <c r="I3276" t="s">
        <v>89</v>
      </c>
      <c r="J3276">
        <v>0</v>
      </c>
      <c r="K3276">
        <v>1</v>
      </c>
      <c r="L3276">
        <v>3</v>
      </c>
      <c r="M3276">
        <v>167</v>
      </c>
      <c r="N3276">
        <v>313</v>
      </c>
      <c r="O3276">
        <v>0</v>
      </c>
      <c r="P3276">
        <v>313</v>
      </c>
      <c r="Q3276">
        <v>7</v>
      </c>
      <c r="R3276">
        <v>31</v>
      </c>
      <c r="S3276">
        <v>3</v>
      </c>
      <c r="T3276">
        <v>47</v>
      </c>
      <c r="U3276">
        <v>25</v>
      </c>
      <c r="V3276">
        <v>2</v>
      </c>
      <c r="W3276">
        <v>1</v>
      </c>
      <c r="X3276">
        <v>92</v>
      </c>
      <c r="Y3276">
        <v>2</v>
      </c>
      <c r="Z3276">
        <v>3</v>
      </c>
      <c r="AA3276">
        <v>6</v>
      </c>
      <c r="AB3276">
        <v>16</v>
      </c>
      <c r="AT3276">
        <v>0</v>
      </c>
      <c r="AW3276">
        <v>57</v>
      </c>
      <c r="AX3276">
        <v>21</v>
      </c>
      <c r="AY3276">
        <v>313</v>
      </c>
      <c r="AZ3276">
        <v>313</v>
      </c>
      <c r="BA3276">
        <v>436</v>
      </c>
      <c r="BB3276">
        <v>44</v>
      </c>
      <c r="BD3276">
        <v>1</v>
      </c>
      <c r="BF3276" t="s">
        <v>3507</v>
      </c>
      <c r="BG3276" s="1">
        <v>44354.195833333331</v>
      </c>
      <c r="BH3276" s="1">
        <v>44354.197337962964</v>
      </c>
      <c r="BI3276" s="1">
        <v>44354.197928240741</v>
      </c>
      <c r="BJ3276" t="s">
        <v>85</v>
      </c>
      <c r="BK3276" t="s">
        <v>86</v>
      </c>
      <c r="BL3276" t="s">
        <v>87</v>
      </c>
    </row>
    <row r="3277" spans="1:64" x14ac:dyDescent="0.3">
      <c r="A3277" t="str">
        <f>"202224E0100"</f>
        <v>202224E0100</v>
      </c>
      <c r="B3277" t="str">
        <f>"202224E01003"</f>
        <v>202224E01003</v>
      </c>
      <c r="C3277" t="str">
        <f t="shared" si="234"/>
        <v>20</v>
      </c>
      <c r="D3277" t="s">
        <v>81</v>
      </c>
      <c r="E3277" t="str">
        <f t="shared" si="233"/>
        <v>515</v>
      </c>
      <c r="F3277" t="s">
        <v>3432</v>
      </c>
      <c r="G3277" t="str">
        <f t="shared" si="235"/>
        <v>2224</v>
      </c>
      <c r="H3277" t="str">
        <f>"0001"</f>
        <v>0001</v>
      </c>
      <c r="I3277" t="s">
        <v>122</v>
      </c>
      <c r="J3277">
        <v>0</v>
      </c>
      <c r="K3277">
        <v>1</v>
      </c>
      <c r="L3277">
        <v>3</v>
      </c>
      <c r="M3277">
        <v>185</v>
      </c>
      <c r="N3277">
        <v>300</v>
      </c>
      <c r="O3277">
        <v>1</v>
      </c>
      <c r="P3277">
        <v>3</v>
      </c>
      <c r="Q3277">
        <v>2</v>
      </c>
      <c r="R3277">
        <v>51</v>
      </c>
      <c r="S3277">
        <v>4</v>
      </c>
      <c r="T3277">
        <v>47</v>
      </c>
      <c r="U3277">
        <v>19</v>
      </c>
      <c r="V3277">
        <v>4</v>
      </c>
      <c r="W3277">
        <v>5</v>
      </c>
      <c r="X3277">
        <v>143</v>
      </c>
      <c r="Y3277">
        <v>0</v>
      </c>
      <c r="Z3277">
        <v>2</v>
      </c>
      <c r="AA3277">
        <v>8</v>
      </c>
      <c r="AB3277">
        <v>7</v>
      </c>
      <c r="AT3277">
        <v>0</v>
      </c>
      <c r="AW3277">
        <v>0</v>
      </c>
      <c r="AX3277">
        <v>8</v>
      </c>
      <c r="AY3277">
        <v>300</v>
      </c>
      <c r="AZ3277">
        <v>300</v>
      </c>
      <c r="BA3277">
        <v>441</v>
      </c>
      <c r="BB3277">
        <v>44</v>
      </c>
      <c r="BD3277">
        <v>1</v>
      </c>
      <c r="BF3277" t="s">
        <v>3508</v>
      </c>
      <c r="BG3277" s="1">
        <v>44353.929618055554</v>
      </c>
      <c r="BH3277" s="1">
        <v>44353.931122685186</v>
      </c>
      <c r="BI3277" s="1">
        <v>44353.931597222225</v>
      </c>
      <c r="BJ3277" t="s">
        <v>197</v>
      </c>
      <c r="BK3277" t="s">
        <v>198</v>
      </c>
      <c r="BL3277" t="s">
        <v>87</v>
      </c>
    </row>
    <row r="3278" spans="1:64" x14ac:dyDescent="0.3">
      <c r="A3278" t="str">
        <f>"202224E0200"</f>
        <v>202224E0200</v>
      </c>
      <c r="B3278" t="str">
        <f>"202224E02003"</f>
        <v>202224E02003</v>
      </c>
      <c r="C3278" t="str">
        <f t="shared" si="234"/>
        <v>20</v>
      </c>
      <c r="D3278" t="s">
        <v>81</v>
      </c>
      <c r="E3278" t="str">
        <f t="shared" si="233"/>
        <v>515</v>
      </c>
      <c r="F3278" t="s">
        <v>3432</v>
      </c>
      <c r="G3278" t="str">
        <f t="shared" si="235"/>
        <v>2224</v>
      </c>
      <c r="H3278" t="str">
        <f>"0002"</f>
        <v>0002</v>
      </c>
      <c r="I3278" t="s">
        <v>122</v>
      </c>
      <c r="J3278">
        <v>0</v>
      </c>
      <c r="K3278">
        <v>1</v>
      </c>
      <c r="L3278">
        <v>3</v>
      </c>
      <c r="M3278">
        <v>243</v>
      </c>
      <c r="N3278">
        <v>254</v>
      </c>
      <c r="O3278">
        <v>3</v>
      </c>
      <c r="P3278">
        <v>251</v>
      </c>
      <c r="Q3278">
        <v>18</v>
      </c>
      <c r="R3278">
        <v>13</v>
      </c>
      <c r="S3278">
        <v>5</v>
      </c>
      <c r="T3278">
        <v>35</v>
      </c>
      <c r="U3278">
        <v>8</v>
      </c>
      <c r="V3278">
        <v>4</v>
      </c>
      <c r="W3278">
        <v>12</v>
      </c>
      <c r="X3278">
        <v>131</v>
      </c>
      <c r="Y3278">
        <v>1</v>
      </c>
      <c r="Z3278">
        <v>4</v>
      </c>
      <c r="AA3278">
        <v>4</v>
      </c>
      <c r="AB3278">
        <v>11</v>
      </c>
      <c r="AT3278">
        <v>0</v>
      </c>
      <c r="AW3278">
        <v>1</v>
      </c>
      <c r="AX3278">
        <v>4</v>
      </c>
      <c r="AY3278">
        <v>250</v>
      </c>
      <c r="AZ3278">
        <v>251</v>
      </c>
      <c r="BA3278">
        <v>450</v>
      </c>
      <c r="BB3278">
        <v>44</v>
      </c>
      <c r="BD3278">
        <v>1</v>
      </c>
      <c r="BF3278" t="s">
        <v>3509</v>
      </c>
      <c r="BG3278" s="1">
        <v>44353.840381944443</v>
      </c>
      <c r="BH3278" s="1">
        <v>44353.84207175926</v>
      </c>
      <c r="BI3278" s="1">
        <v>44353.843287037038</v>
      </c>
      <c r="BJ3278" t="s">
        <v>197</v>
      </c>
      <c r="BK3278" t="s">
        <v>198</v>
      </c>
      <c r="BL3278" t="s">
        <v>87</v>
      </c>
    </row>
    <row r="3279" spans="1:64" x14ac:dyDescent="0.3">
      <c r="A3279" t="str">
        <f>"202224E0201"</f>
        <v>202224E0201</v>
      </c>
      <c r="B3279" t="str">
        <f>"202224E02013"</f>
        <v>202224E02013</v>
      </c>
      <c r="C3279" t="str">
        <f t="shared" si="234"/>
        <v>20</v>
      </c>
      <c r="D3279" t="s">
        <v>81</v>
      </c>
      <c r="E3279" t="str">
        <f t="shared" si="233"/>
        <v>515</v>
      </c>
      <c r="F3279" t="s">
        <v>3432</v>
      </c>
      <c r="G3279" t="str">
        <f t="shared" si="235"/>
        <v>2224</v>
      </c>
      <c r="H3279" t="str">
        <f>"0002"</f>
        <v>0002</v>
      </c>
      <c r="I3279" t="s">
        <v>122</v>
      </c>
      <c r="J3279">
        <v>1</v>
      </c>
      <c r="K3279">
        <v>1</v>
      </c>
      <c r="L3279">
        <v>3</v>
      </c>
      <c r="M3279">
        <v>247</v>
      </c>
      <c r="N3279">
        <v>247</v>
      </c>
      <c r="O3279">
        <v>2</v>
      </c>
      <c r="P3279">
        <v>247</v>
      </c>
      <c r="Q3279">
        <v>14</v>
      </c>
      <c r="R3279">
        <v>22</v>
      </c>
      <c r="S3279">
        <v>5</v>
      </c>
      <c r="T3279">
        <v>23</v>
      </c>
      <c r="U3279">
        <v>11</v>
      </c>
      <c r="V3279">
        <v>9</v>
      </c>
      <c r="W3279">
        <v>9</v>
      </c>
      <c r="X3279">
        <v>141</v>
      </c>
      <c r="Y3279">
        <v>1</v>
      </c>
      <c r="Z3279">
        <v>3</v>
      </c>
      <c r="AA3279">
        <v>0</v>
      </c>
      <c r="AB3279">
        <v>5</v>
      </c>
      <c r="AT3279">
        <v>0</v>
      </c>
      <c r="AW3279">
        <v>2</v>
      </c>
      <c r="AX3279">
        <v>2</v>
      </c>
      <c r="AY3279">
        <v>247</v>
      </c>
      <c r="AZ3279">
        <v>247</v>
      </c>
      <c r="BA3279">
        <v>450</v>
      </c>
      <c r="BB3279">
        <v>44</v>
      </c>
      <c r="BD3279">
        <v>1</v>
      </c>
      <c r="BF3279" t="s">
        <v>3510</v>
      </c>
      <c r="BG3279" s="1">
        <v>44353.885023148148</v>
      </c>
      <c r="BH3279" s="1">
        <v>44353.887372685182</v>
      </c>
      <c r="BI3279" s="1">
        <v>44353.889074074075</v>
      </c>
      <c r="BJ3279" t="s">
        <v>197</v>
      </c>
      <c r="BK3279" t="s">
        <v>198</v>
      </c>
      <c r="BL3279" t="s">
        <v>87</v>
      </c>
    </row>
    <row r="3280" spans="1:64" x14ac:dyDescent="0.3">
      <c r="A3280" t="str">
        <f>"202224E0300"</f>
        <v>202224E0300</v>
      </c>
      <c r="B3280" t="str">
        <f>"202224E03003"</f>
        <v>202224E03003</v>
      </c>
      <c r="C3280" t="str">
        <f t="shared" si="234"/>
        <v>20</v>
      </c>
      <c r="D3280" t="s">
        <v>81</v>
      </c>
      <c r="E3280" t="str">
        <f t="shared" si="233"/>
        <v>515</v>
      </c>
      <c r="F3280" t="s">
        <v>3432</v>
      </c>
      <c r="G3280" t="str">
        <f t="shared" si="235"/>
        <v>2224</v>
      </c>
      <c r="H3280" t="str">
        <f>"0003"</f>
        <v>0003</v>
      </c>
      <c r="I3280" t="s">
        <v>122</v>
      </c>
      <c r="J3280">
        <v>0</v>
      </c>
      <c r="K3280">
        <v>1</v>
      </c>
      <c r="L3280">
        <v>3</v>
      </c>
      <c r="M3280">
        <v>386</v>
      </c>
      <c r="N3280">
        <v>359</v>
      </c>
      <c r="O3280">
        <v>1</v>
      </c>
      <c r="P3280">
        <v>359</v>
      </c>
      <c r="Q3280">
        <v>5</v>
      </c>
      <c r="R3280">
        <v>27</v>
      </c>
      <c r="S3280">
        <v>5</v>
      </c>
      <c r="T3280">
        <v>33</v>
      </c>
      <c r="U3280">
        <v>16</v>
      </c>
      <c r="V3280">
        <v>7</v>
      </c>
      <c r="W3280">
        <v>21</v>
      </c>
      <c r="X3280">
        <v>189</v>
      </c>
      <c r="Y3280">
        <v>2</v>
      </c>
      <c r="Z3280">
        <v>5</v>
      </c>
      <c r="AA3280">
        <v>4</v>
      </c>
      <c r="AB3280">
        <v>36</v>
      </c>
      <c r="AT3280">
        <v>0</v>
      </c>
      <c r="AW3280">
        <v>0</v>
      </c>
      <c r="AX3280">
        <v>9</v>
      </c>
      <c r="AY3280">
        <v>359</v>
      </c>
      <c r="AZ3280">
        <v>359</v>
      </c>
      <c r="BA3280">
        <v>692</v>
      </c>
      <c r="BB3280">
        <v>44</v>
      </c>
      <c r="BD3280">
        <v>1</v>
      </c>
      <c r="BF3280" t="s">
        <v>3511</v>
      </c>
      <c r="BG3280" s="1">
        <v>44353.967766203707</v>
      </c>
      <c r="BH3280" s="1">
        <v>44353.969155092593</v>
      </c>
      <c r="BI3280" s="1">
        <v>44353.96947916667</v>
      </c>
      <c r="BJ3280" t="s">
        <v>197</v>
      </c>
      <c r="BK3280" t="s">
        <v>198</v>
      </c>
      <c r="BL3280" t="s">
        <v>87</v>
      </c>
    </row>
    <row r="3281" spans="1:64" x14ac:dyDescent="0.3">
      <c r="A3281" t="str">
        <f>"202225B0000"</f>
        <v>202225B0000</v>
      </c>
      <c r="B3281" t="str">
        <f>"202225B00003"</f>
        <v>202225B00003</v>
      </c>
      <c r="C3281" t="str">
        <f t="shared" si="234"/>
        <v>20</v>
      </c>
      <c r="D3281" t="s">
        <v>81</v>
      </c>
      <c r="E3281" t="str">
        <f t="shared" si="233"/>
        <v>515</v>
      </c>
      <c r="F3281" t="s">
        <v>3432</v>
      </c>
      <c r="G3281" t="str">
        <f>"2225"</f>
        <v>2225</v>
      </c>
      <c r="H3281" t="str">
        <f>"0000"</f>
        <v>0000</v>
      </c>
      <c r="I3281" t="s">
        <v>83</v>
      </c>
      <c r="J3281">
        <v>0</v>
      </c>
      <c r="K3281">
        <v>1</v>
      </c>
      <c r="L3281">
        <v>3</v>
      </c>
      <c r="M3281">
        <v>150</v>
      </c>
      <c r="N3281" t="s">
        <v>92</v>
      </c>
      <c r="O3281" t="s">
        <v>92</v>
      </c>
      <c r="P3281" t="s">
        <v>92</v>
      </c>
      <c r="Q3281">
        <v>18</v>
      </c>
      <c r="R3281">
        <v>5</v>
      </c>
      <c r="S3281">
        <v>0</v>
      </c>
      <c r="T3281">
        <v>28</v>
      </c>
      <c r="U3281">
        <v>64</v>
      </c>
      <c r="V3281">
        <v>5</v>
      </c>
      <c r="W3281">
        <v>7</v>
      </c>
      <c r="X3281">
        <v>160</v>
      </c>
      <c r="Y3281">
        <v>0</v>
      </c>
      <c r="Z3281">
        <v>7</v>
      </c>
      <c r="AA3281">
        <v>10</v>
      </c>
      <c r="AB3281">
        <v>18</v>
      </c>
      <c r="AT3281" t="s">
        <v>95</v>
      </c>
      <c r="AW3281" t="s">
        <v>95</v>
      </c>
      <c r="AX3281" t="s">
        <v>95</v>
      </c>
      <c r="AY3281" t="s">
        <v>95</v>
      </c>
      <c r="AZ3281">
        <v>322</v>
      </c>
      <c r="BA3281">
        <v>456</v>
      </c>
      <c r="BB3281">
        <v>44</v>
      </c>
      <c r="BC3281" t="s">
        <v>96</v>
      </c>
      <c r="BD3281">
        <v>1</v>
      </c>
      <c r="BF3281" t="s">
        <v>3512</v>
      </c>
      <c r="BG3281" s="1">
        <v>44354.01458333333</v>
      </c>
      <c r="BH3281" s="1">
        <v>44354.020937499998</v>
      </c>
      <c r="BI3281" s="1">
        <v>44354.021898148145</v>
      </c>
      <c r="BJ3281" t="s">
        <v>85</v>
      </c>
      <c r="BK3281" t="s">
        <v>86</v>
      </c>
      <c r="BL3281" t="s">
        <v>87</v>
      </c>
    </row>
    <row r="3282" spans="1:64" x14ac:dyDescent="0.3">
      <c r="A3282" t="str">
        <f>"202226B0000"</f>
        <v>202226B0000</v>
      </c>
      <c r="B3282" t="str">
        <f>"202226B00003"</f>
        <v>202226B00003</v>
      </c>
      <c r="C3282" t="str">
        <f t="shared" si="234"/>
        <v>20</v>
      </c>
      <c r="D3282" t="s">
        <v>81</v>
      </c>
      <c r="E3282" t="str">
        <f t="shared" si="233"/>
        <v>515</v>
      </c>
      <c r="F3282" t="s">
        <v>3432</v>
      </c>
      <c r="G3282" t="str">
        <f>"2226"</f>
        <v>2226</v>
      </c>
      <c r="H3282" t="str">
        <f>"0000"</f>
        <v>0000</v>
      </c>
      <c r="I3282" t="s">
        <v>83</v>
      </c>
      <c r="J3282">
        <v>0</v>
      </c>
      <c r="K3282">
        <v>1</v>
      </c>
      <c r="L3282">
        <v>3</v>
      </c>
      <c r="M3282">
        <v>148</v>
      </c>
      <c r="N3282">
        <v>290</v>
      </c>
      <c r="O3282">
        <v>0</v>
      </c>
      <c r="P3282">
        <v>290</v>
      </c>
      <c r="Q3282">
        <v>38</v>
      </c>
      <c r="R3282">
        <v>4</v>
      </c>
      <c r="S3282">
        <v>20</v>
      </c>
      <c r="T3282">
        <v>21</v>
      </c>
      <c r="U3282">
        <v>30</v>
      </c>
      <c r="V3282">
        <v>0</v>
      </c>
      <c r="W3282">
        <v>0</v>
      </c>
      <c r="X3282">
        <v>146</v>
      </c>
      <c r="Y3282">
        <v>4</v>
      </c>
      <c r="Z3282">
        <v>1</v>
      </c>
      <c r="AA3282">
        <v>5</v>
      </c>
      <c r="AB3282">
        <v>6</v>
      </c>
      <c r="AT3282" t="s">
        <v>95</v>
      </c>
      <c r="AW3282">
        <v>1</v>
      </c>
      <c r="AX3282">
        <v>14</v>
      </c>
      <c r="AY3282">
        <v>290</v>
      </c>
      <c r="AZ3282">
        <v>290</v>
      </c>
      <c r="BA3282">
        <v>395</v>
      </c>
      <c r="BB3282">
        <v>44</v>
      </c>
      <c r="BC3282" t="s">
        <v>96</v>
      </c>
      <c r="BD3282">
        <v>1</v>
      </c>
      <c r="BF3282" t="s">
        <v>3513</v>
      </c>
      <c r="BG3282" s="1">
        <v>44354.031944444447</v>
      </c>
      <c r="BH3282" s="1">
        <v>44354.039479166669</v>
      </c>
      <c r="BI3282" s="1">
        <v>44354.039988425924</v>
      </c>
      <c r="BJ3282" t="s">
        <v>85</v>
      </c>
      <c r="BK3282" t="s">
        <v>86</v>
      </c>
      <c r="BL3282" t="s">
        <v>87</v>
      </c>
    </row>
    <row r="3283" spans="1:64" x14ac:dyDescent="0.3">
      <c r="A3283" t="str">
        <f>"202226C0100"</f>
        <v>202226C0100</v>
      </c>
      <c r="B3283" t="str">
        <f>"202226C01003"</f>
        <v>202226C01003</v>
      </c>
      <c r="C3283" t="str">
        <f t="shared" si="234"/>
        <v>20</v>
      </c>
      <c r="D3283" t="s">
        <v>81</v>
      </c>
      <c r="E3283" t="str">
        <f t="shared" si="233"/>
        <v>515</v>
      </c>
      <c r="F3283" t="s">
        <v>3432</v>
      </c>
      <c r="G3283" t="str">
        <f>"2226"</f>
        <v>2226</v>
      </c>
      <c r="H3283" t="str">
        <f>"0001"</f>
        <v>0001</v>
      </c>
      <c r="I3283" t="s">
        <v>89</v>
      </c>
      <c r="J3283">
        <v>0</v>
      </c>
      <c r="K3283">
        <v>1</v>
      </c>
      <c r="L3283">
        <v>3</v>
      </c>
      <c r="M3283">
        <v>133</v>
      </c>
      <c r="N3283">
        <v>306</v>
      </c>
      <c r="O3283">
        <v>1</v>
      </c>
      <c r="P3283" t="s">
        <v>92</v>
      </c>
      <c r="Q3283">
        <v>36</v>
      </c>
      <c r="R3283">
        <v>4</v>
      </c>
      <c r="S3283">
        <v>22</v>
      </c>
      <c r="T3283">
        <v>43</v>
      </c>
      <c r="U3283">
        <v>41</v>
      </c>
      <c r="V3283">
        <v>4</v>
      </c>
      <c r="W3283">
        <v>0</v>
      </c>
      <c r="X3283">
        <v>135</v>
      </c>
      <c r="Y3283">
        <v>0</v>
      </c>
      <c r="Z3283">
        <v>1</v>
      </c>
      <c r="AA3283">
        <v>5</v>
      </c>
      <c r="AB3283">
        <v>4</v>
      </c>
      <c r="AT3283">
        <v>0</v>
      </c>
      <c r="AW3283" t="s">
        <v>131</v>
      </c>
      <c r="AX3283">
        <v>11</v>
      </c>
      <c r="AY3283">
        <v>306</v>
      </c>
      <c r="AZ3283">
        <v>306</v>
      </c>
      <c r="BA3283">
        <v>395</v>
      </c>
      <c r="BB3283">
        <v>44</v>
      </c>
      <c r="BC3283" t="s">
        <v>96</v>
      </c>
      <c r="BD3283">
        <v>1</v>
      </c>
      <c r="BF3283" t="s">
        <v>3514</v>
      </c>
      <c r="BG3283" s="1">
        <v>44354.015277777777</v>
      </c>
      <c r="BH3283" s="1">
        <v>44354.021956018521</v>
      </c>
      <c r="BI3283" s="1">
        <v>44354.023252314815</v>
      </c>
      <c r="BJ3283" t="s">
        <v>85</v>
      </c>
      <c r="BK3283" t="s">
        <v>86</v>
      </c>
      <c r="BL3283" t="s">
        <v>87</v>
      </c>
    </row>
    <row r="3284" spans="1:64" x14ac:dyDescent="0.3">
      <c r="A3284" t="str">
        <f>"202226E0100"</f>
        <v>202226E0100</v>
      </c>
      <c r="B3284" t="str">
        <f>"202226E01003"</f>
        <v>202226E01003</v>
      </c>
      <c r="C3284" t="str">
        <f t="shared" si="234"/>
        <v>20</v>
      </c>
      <c r="D3284" t="s">
        <v>81</v>
      </c>
      <c r="E3284" t="str">
        <f t="shared" si="233"/>
        <v>515</v>
      </c>
      <c r="F3284" t="s">
        <v>3432</v>
      </c>
      <c r="G3284" t="str">
        <f>"2226"</f>
        <v>2226</v>
      </c>
      <c r="H3284" t="str">
        <f>"0001"</f>
        <v>0001</v>
      </c>
      <c r="I3284" t="s">
        <v>122</v>
      </c>
      <c r="J3284">
        <v>0</v>
      </c>
      <c r="K3284">
        <v>1</v>
      </c>
      <c r="L3284">
        <v>3</v>
      </c>
      <c r="BA3284">
        <v>588</v>
      </c>
      <c r="BB3284">
        <v>44</v>
      </c>
      <c r="BC3284" t="s">
        <v>161</v>
      </c>
      <c r="BD3284">
        <v>0</v>
      </c>
      <c r="BF3284" t="s">
        <v>3515</v>
      </c>
      <c r="BG3284" s="1">
        <v>44354.447222222225</v>
      </c>
      <c r="BH3284" s="1">
        <v>44354.469629629632</v>
      </c>
      <c r="BI3284" s="1">
        <v>44354.469629629632</v>
      </c>
      <c r="BJ3284" t="s">
        <v>85</v>
      </c>
      <c r="BK3284" t="s">
        <v>86</v>
      </c>
      <c r="BL3284" t="s">
        <v>87</v>
      </c>
    </row>
    <row r="3285" spans="1:64" x14ac:dyDescent="0.3">
      <c r="A3285" t="str">
        <f>"202226E0101"</f>
        <v>202226E0101</v>
      </c>
      <c r="B3285" t="str">
        <f>"202226E01013"</f>
        <v>202226E01013</v>
      </c>
      <c r="C3285" t="str">
        <f t="shared" si="234"/>
        <v>20</v>
      </c>
      <c r="D3285" t="s">
        <v>81</v>
      </c>
      <c r="E3285" t="str">
        <f t="shared" si="233"/>
        <v>515</v>
      </c>
      <c r="F3285" t="s">
        <v>3432</v>
      </c>
      <c r="G3285" t="str">
        <f>"2226"</f>
        <v>2226</v>
      </c>
      <c r="H3285" t="str">
        <f>"0001"</f>
        <v>0001</v>
      </c>
      <c r="I3285" t="s">
        <v>122</v>
      </c>
      <c r="J3285">
        <v>1</v>
      </c>
      <c r="K3285">
        <v>1</v>
      </c>
      <c r="L3285">
        <v>3</v>
      </c>
      <c r="BA3285">
        <v>588</v>
      </c>
      <c r="BB3285">
        <v>44</v>
      </c>
      <c r="BC3285" t="s">
        <v>161</v>
      </c>
      <c r="BD3285">
        <v>0</v>
      </c>
      <c r="BF3285" t="s">
        <v>3516</v>
      </c>
      <c r="BG3285" s="1">
        <v>44354.447222222225</v>
      </c>
      <c r="BH3285" s="1">
        <v>44354.469212962962</v>
      </c>
      <c r="BI3285" s="1">
        <v>44354.469212962962</v>
      </c>
      <c r="BJ3285" t="s">
        <v>85</v>
      </c>
      <c r="BK3285" t="s">
        <v>86</v>
      </c>
      <c r="BL3285" t="s">
        <v>87</v>
      </c>
    </row>
    <row r="3286" spans="1:64" x14ac:dyDescent="0.3">
      <c r="A3286" t="str">
        <f>"202227B0000"</f>
        <v>202227B0000</v>
      </c>
      <c r="B3286" t="str">
        <f>"202227B00003"</f>
        <v>202227B00003</v>
      </c>
      <c r="C3286" t="str">
        <f t="shared" si="234"/>
        <v>20</v>
      </c>
      <c r="D3286" t="s">
        <v>81</v>
      </c>
      <c r="E3286" t="str">
        <f t="shared" si="233"/>
        <v>515</v>
      </c>
      <c r="F3286" t="s">
        <v>3432</v>
      </c>
      <c r="G3286" t="str">
        <f>"2227"</f>
        <v>2227</v>
      </c>
      <c r="H3286" t="str">
        <f>"0000"</f>
        <v>0000</v>
      </c>
      <c r="I3286" t="s">
        <v>83</v>
      </c>
      <c r="J3286">
        <v>0</v>
      </c>
      <c r="K3286">
        <v>1</v>
      </c>
      <c r="L3286">
        <v>3</v>
      </c>
      <c r="M3286">
        <v>230</v>
      </c>
      <c r="N3286">
        <v>479</v>
      </c>
      <c r="O3286">
        <v>3</v>
      </c>
      <c r="P3286">
        <v>477</v>
      </c>
      <c r="Q3286">
        <v>16</v>
      </c>
      <c r="R3286">
        <v>38</v>
      </c>
      <c r="S3286">
        <v>3</v>
      </c>
      <c r="T3286">
        <v>31</v>
      </c>
      <c r="U3286">
        <v>80</v>
      </c>
      <c r="V3286">
        <v>3</v>
      </c>
      <c r="W3286">
        <v>22</v>
      </c>
      <c r="X3286">
        <v>217</v>
      </c>
      <c r="Y3286">
        <v>0</v>
      </c>
      <c r="Z3286">
        <v>4</v>
      </c>
      <c r="AA3286">
        <v>3</v>
      </c>
      <c r="AB3286">
        <v>43</v>
      </c>
      <c r="AT3286">
        <v>0</v>
      </c>
      <c r="AW3286">
        <v>0</v>
      </c>
      <c r="AX3286">
        <v>17</v>
      </c>
      <c r="AY3286">
        <v>477</v>
      </c>
      <c r="AZ3286">
        <v>477</v>
      </c>
      <c r="BA3286">
        <v>666</v>
      </c>
      <c r="BB3286">
        <v>44</v>
      </c>
      <c r="BD3286">
        <v>1</v>
      </c>
      <c r="BF3286" t="s">
        <v>3517</v>
      </c>
      <c r="BG3286" s="1">
        <v>44354.146527777775</v>
      </c>
      <c r="BH3286" s="1">
        <v>44354.148379629631</v>
      </c>
      <c r="BI3286" s="1">
        <v>44354.148993055554</v>
      </c>
      <c r="BJ3286" t="s">
        <v>85</v>
      </c>
      <c r="BK3286" t="s">
        <v>86</v>
      </c>
      <c r="BL3286" t="s">
        <v>87</v>
      </c>
    </row>
    <row r="3287" spans="1:64" x14ac:dyDescent="0.3">
      <c r="A3287" t="str">
        <f>"202227C0100"</f>
        <v>202227C0100</v>
      </c>
      <c r="B3287" t="str">
        <f>"202227C01003"</f>
        <v>202227C01003</v>
      </c>
      <c r="C3287" t="str">
        <f t="shared" si="234"/>
        <v>20</v>
      </c>
      <c r="D3287" t="s">
        <v>81</v>
      </c>
      <c r="E3287" t="str">
        <f t="shared" si="233"/>
        <v>515</v>
      </c>
      <c r="F3287" t="s">
        <v>3432</v>
      </c>
      <c r="G3287" t="str">
        <f>"2227"</f>
        <v>2227</v>
      </c>
      <c r="H3287" t="str">
        <f>"0001"</f>
        <v>0001</v>
      </c>
      <c r="I3287" t="s">
        <v>89</v>
      </c>
      <c r="J3287">
        <v>0</v>
      </c>
      <c r="K3287">
        <v>1</v>
      </c>
      <c r="L3287">
        <v>3</v>
      </c>
      <c r="M3287">
        <v>178</v>
      </c>
      <c r="N3287">
        <v>532</v>
      </c>
      <c r="O3287">
        <v>1</v>
      </c>
      <c r="P3287">
        <v>532</v>
      </c>
      <c r="Q3287">
        <v>9</v>
      </c>
      <c r="R3287">
        <v>24</v>
      </c>
      <c r="S3287">
        <v>5</v>
      </c>
      <c r="T3287">
        <v>35</v>
      </c>
      <c r="U3287">
        <v>102</v>
      </c>
      <c r="V3287">
        <v>4</v>
      </c>
      <c r="W3287">
        <v>9</v>
      </c>
      <c r="X3287">
        <v>259</v>
      </c>
      <c r="Y3287">
        <v>1</v>
      </c>
      <c r="Z3287">
        <v>7</v>
      </c>
      <c r="AA3287">
        <v>15</v>
      </c>
      <c r="AB3287">
        <v>50</v>
      </c>
      <c r="AT3287">
        <v>0</v>
      </c>
      <c r="AW3287">
        <v>0</v>
      </c>
      <c r="AX3287">
        <v>13</v>
      </c>
      <c r="AY3287">
        <v>532</v>
      </c>
      <c r="AZ3287">
        <v>533</v>
      </c>
      <c r="BA3287">
        <v>666</v>
      </c>
      <c r="BB3287">
        <v>44</v>
      </c>
      <c r="BD3287">
        <v>1</v>
      </c>
      <c r="BF3287" t="s">
        <v>3518</v>
      </c>
      <c r="BG3287" s="1">
        <v>44354.140972222223</v>
      </c>
      <c r="BH3287" s="1">
        <v>44354.142685185187</v>
      </c>
      <c r="BI3287" s="1">
        <v>44354.143125000002</v>
      </c>
      <c r="BJ3287" t="s">
        <v>85</v>
      </c>
      <c r="BK3287" t="s">
        <v>86</v>
      </c>
      <c r="BL3287" t="s">
        <v>87</v>
      </c>
    </row>
    <row r="3288" spans="1:64" x14ac:dyDescent="0.3">
      <c r="A3288" t="str">
        <f>"202227E0100"</f>
        <v>202227E0100</v>
      </c>
      <c r="B3288" t="str">
        <f>"202227E01003"</f>
        <v>202227E01003</v>
      </c>
      <c r="C3288" t="str">
        <f t="shared" si="234"/>
        <v>20</v>
      </c>
      <c r="D3288" t="s">
        <v>81</v>
      </c>
      <c r="E3288" t="str">
        <f t="shared" si="233"/>
        <v>515</v>
      </c>
      <c r="F3288" t="s">
        <v>3432</v>
      </c>
      <c r="G3288" t="str">
        <f>"2227"</f>
        <v>2227</v>
      </c>
      <c r="H3288" t="str">
        <f>"0001"</f>
        <v>0001</v>
      </c>
      <c r="I3288" t="s">
        <v>122</v>
      </c>
      <c r="J3288">
        <v>0</v>
      </c>
      <c r="K3288">
        <v>1</v>
      </c>
      <c r="L3288">
        <v>3</v>
      </c>
      <c r="M3288">
        <v>151</v>
      </c>
      <c r="N3288">
        <v>183</v>
      </c>
      <c r="O3288">
        <v>2</v>
      </c>
      <c r="P3288">
        <v>183</v>
      </c>
      <c r="Q3288">
        <v>2</v>
      </c>
      <c r="R3288">
        <v>36</v>
      </c>
      <c r="S3288">
        <v>3</v>
      </c>
      <c r="T3288">
        <v>14</v>
      </c>
      <c r="U3288">
        <v>33</v>
      </c>
      <c r="V3288">
        <v>1</v>
      </c>
      <c r="W3288">
        <v>1</v>
      </c>
      <c r="X3288">
        <v>81</v>
      </c>
      <c r="Y3288">
        <v>1</v>
      </c>
      <c r="Z3288">
        <v>1</v>
      </c>
      <c r="AA3288">
        <v>1</v>
      </c>
      <c r="AB3288">
        <v>3</v>
      </c>
      <c r="AT3288">
        <v>0</v>
      </c>
      <c r="AW3288">
        <v>0</v>
      </c>
      <c r="AX3288">
        <v>6</v>
      </c>
      <c r="AY3288">
        <v>183</v>
      </c>
      <c r="AZ3288">
        <v>183</v>
      </c>
      <c r="BA3288">
        <v>290</v>
      </c>
      <c r="BB3288">
        <v>44</v>
      </c>
      <c r="BD3288">
        <v>1</v>
      </c>
      <c r="BF3288" t="s">
        <v>3519</v>
      </c>
      <c r="BG3288" s="1">
        <v>44354.143055555556</v>
      </c>
      <c r="BH3288" s="1">
        <v>44354.144409722219</v>
      </c>
      <c r="BI3288" s="1">
        <v>44354.144942129627</v>
      </c>
      <c r="BJ3288" t="s">
        <v>85</v>
      </c>
      <c r="BK3288" t="s">
        <v>86</v>
      </c>
      <c r="BL3288" t="s">
        <v>87</v>
      </c>
    </row>
    <row r="3289" spans="1:64" x14ac:dyDescent="0.3">
      <c r="A3289" t="str">
        <f>"202228B0000"</f>
        <v>202228B0000</v>
      </c>
      <c r="B3289" t="str">
        <f>"202228B00003"</f>
        <v>202228B00003</v>
      </c>
      <c r="C3289" t="str">
        <f t="shared" si="234"/>
        <v>20</v>
      </c>
      <c r="D3289" t="s">
        <v>81</v>
      </c>
      <c r="E3289" t="str">
        <f t="shared" si="233"/>
        <v>515</v>
      </c>
      <c r="F3289" t="s">
        <v>3432</v>
      </c>
      <c r="G3289" t="str">
        <f>"2228"</f>
        <v>2228</v>
      </c>
      <c r="H3289" t="str">
        <f>"0000"</f>
        <v>0000</v>
      </c>
      <c r="I3289" t="s">
        <v>83</v>
      </c>
      <c r="J3289">
        <v>0</v>
      </c>
      <c r="K3289">
        <v>1</v>
      </c>
      <c r="L3289">
        <v>3</v>
      </c>
      <c r="M3289">
        <v>222</v>
      </c>
      <c r="N3289">
        <v>505</v>
      </c>
      <c r="O3289">
        <v>0</v>
      </c>
      <c r="P3289" t="s">
        <v>92</v>
      </c>
      <c r="Q3289">
        <v>42</v>
      </c>
      <c r="R3289">
        <v>7</v>
      </c>
      <c r="S3289">
        <v>22</v>
      </c>
      <c r="T3289">
        <v>72</v>
      </c>
      <c r="U3289">
        <v>87</v>
      </c>
      <c r="V3289">
        <v>7</v>
      </c>
      <c r="W3289">
        <v>1</v>
      </c>
      <c r="X3289">
        <v>221</v>
      </c>
      <c r="Y3289">
        <v>2</v>
      </c>
      <c r="Z3289">
        <v>2</v>
      </c>
      <c r="AA3289">
        <v>5</v>
      </c>
      <c r="AB3289">
        <v>12</v>
      </c>
      <c r="AT3289">
        <v>0</v>
      </c>
      <c r="AW3289">
        <v>3</v>
      </c>
      <c r="AX3289">
        <v>22</v>
      </c>
      <c r="AY3289">
        <v>505</v>
      </c>
      <c r="AZ3289">
        <v>505</v>
      </c>
      <c r="BA3289">
        <v>683</v>
      </c>
      <c r="BB3289">
        <v>44</v>
      </c>
      <c r="BD3289">
        <v>1</v>
      </c>
      <c r="BF3289" t="s">
        <v>3520</v>
      </c>
      <c r="BG3289" s="1">
        <v>44354.142361111109</v>
      </c>
      <c r="BH3289" s="1">
        <v>44354.14371527778</v>
      </c>
      <c r="BI3289" s="1">
        <v>44354.144212962965</v>
      </c>
      <c r="BJ3289" t="s">
        <v>85</v>
      </c>
      <c r="BK3289" t="s">
        <v>86</v>
      </c>
      <c r="BL3289" t="s">
        <v>87</v>
      </c>
    </row>
    <row r="3290" spans="1:64" x14ac:dyDescent="0.3">
      <c r="A3290" t="str">
        <f>"202228C0100"</f>
        <v>202228C0100</v>
      </c>
      <c r="B3290" t="str">
        <f>"202228C01003"</f>
        <v>202228C01003</v>
      </c>
      <c r="C3290" t="str">
        <f t="shared" si="234"/>
        <v>20</v>
      </c>
      <c r="D3290" t="s">
        <v>81</v>
      </c>
      <c r="E3290" t="str">
        <f t="shared" si="233"/>
        <v>515</v>
      </c>
      <c r="F3290" t="s">
        <v>3432</v>
      </c>
      <c r="G3290" t="str">
        <f>"2228"</f>
        <v>2228</v>
      </c>
      <c r="H3290" t="str">
        <f>"0001"</f>
        <v>0001</v>
      </c>
      <c r="I3290" t="s">
        <v>89</v>
      </c>
      <c r="J3290">
        <v>0</v>
      </c>
      <c r="K3290">
        <v>1</v>
      </c>
      <c r="L3290">
        <v>3</v>
      </c>
      <c r="M3290">
        <v>207</v>
      </c>
      <c r="N3290">
        <v>519</v>
      </c>
      <c r="O3290">
        <v>1</v>
      </c>
      <c r="P3290">
        <v>519</v>
      </c>
      <c r="Q3290">
        <v>41</v>
      </c>
      <c r="R3290">
        <v>11</v>
      </c>
      <c r="S3290">
        <v>25</v>
      </c>
      <c r="T3290">
        <v>83</v>
      </c>
      <c r="U3290">
        <v>109</v>
      </c>
      <c r="V3290">
        <v>0</v>
      </c>
      <c r="W3290">
        <v>1</v>
      </c>
      <c r="X3290">
        <v>215</v>
      </c>
      <c r="Y3290">
        <v>2</v>
      </c>
      <c r="Z3290">
        <v>3</v>
      </c>
      <c r="AA3290">
        <v>3</v>
      </c>
      <c r="AB3290">
        <v>6</v>
      </c>
      <c r="AT3290">
        <v>0</v>
      </c>
      <c r="AW3290">
        <v>4</v>
      </c>
      <c r="AX3290">
        <v>16</v>
      </c>
      <c r="AY3290">
        <v>519</v>
      </c>
      <c r="AZ3290">
        <v>519</v>
      </c>
      <c r="BA3290">
        <v>682</v>
      </c>
      <c r="BB3290">
        <v>44</v>
      </c>
      <c r="BD3290">
        <v>1</v>
      </c>
      <c r="BF3290" t="s">
        <v>3521</v>
      </c>
      <c r="BG3290" s="1">
        <v>44354.143750000003</v>
      </c>
      <c r="BH3290" s="1">
        <v>44354.144976851851</v>
      </c>
      <c r="BI3290" s="1">
        <v>44354.145173611112</v>
      </c>
      <c r="BJ3290" t="s">
        <v>85</v>
      </c>
      <c r="BK3290" t="s">
        <v>86</v>
      </c>
      <c r="BL3290" t="s">
        <v>87</v>
      </c>
    </row>
    <row r="3291" spans="1:64" x14ac:dyDescent="0.3">
      <c r="A3291" t="str">
        <f>"202228E0100"</f>
        <v>202228E0100</v>
      </c>
      <c r="B3291" t="str">
        <f>"202228E01003"</f>
        <v>202228E01003</v>
      </c>
      <c r="C3291" t="str">
        <f t="shared" si="234"/>
        <v>20</v>
      </c>
      <c r="D3291" t="s">
        <v>81</v>
      </c>
      <c r="E3291" t="str">
        <f t="shared" si="233"/>
        <v>515</v>
      </c>
      <c r="F3291" t="s">
        <v>3432</v>
      </c>
      <c r="G3291" t="str">
        <f>"2228"</f>
        <v>2228</v>
      </c>
      <c r="H3291" t="str">
        <f>"0001"</f>
        <v>0001</v>
      </c>
      <c r="I3291" t="s">
        <v>122</v>
      </c>
      <c r="J3291">
        <v>0</v>
      </c>
      <c r="K3291">
        <v>1</v>
      </c>
      <c r="L3291">
        <v>3</v>
      </c>
      <c r="M3291">
        <v>167</v>
      </c>
      <c r="N3291">
        <v>413</v>
      </c>
      <c r="O3291">
        <v>0</v>
      </c>
      <c r="P3291" t="s">
        <v>92</v>
      </c>
      <c r="Q3291">
        <v>11</v>
      </c>
      <c r="R3291">
        <v>15</v>
      </c>
      <c r="S3291">
        <v>14</v>
      </c>
      <c r="T3291">
        <v>36</v>
      </c>
      <c r="U3291">
        <v>87</v>
      </c>
      <c r="V3291">
        <v>3</v>
      </c>
      <c r="W3291">
        <v>1</v>
      </c>
      <c r="X3291">
        <v>170</v>
      </c>
      <c r="Y3291">
        <v>0</v>
      </c>
      <c r="Z3291">
        <v>6</v>
      </c>
      <c r="AA3291">
        <v>7</v>
      </c>
      <c r="AB3291">
        <v>37</v>
      </c>
      <c r="AT3291">
        <v>0</v>
      </c>
      <c r="AW3291">
        <v>1</v>
      </c>
      <c r="AX3291">
        <v>25</v>
      </c>
      <c r="AY3291">
        <v>413</v>
      </c>
      <c r="AZ3291">
        <v>413</v>
      </c>
      <c r="BA3291">
        <v>536</v>
      </c>
      <c r="BB3291">
        <v>44</v>
      </c>
      <c r="BD3291">
        <v>1</v>
      </c>
      <c r="BF3291" t="s">
        <v>3522</v>
      </c>
      <c r="BG3291" s="1">
        <v>44354.143750000003</v>
      </c>
      <c r="BH3291" s="1">
        <v>44354.146840277775</v>
      </c>
      <c r="BI3291" s="1">
        <v>44354.147800925923</v>
      </c>
      <c r="BJ3291" t="s">
        <v>85</v>
      </c>
      <c r="BK3291" t="s">
        <v>86</v>
      </c>
      <c r="BL3291" t="s">
        <v>87</v>
      </c>
    </row>
    <row r="3292" spans="1:64" x14ac:dyDescent="0.3">
      <c r="A3292" t="str">
        <f>"202237B0000"</f>
        <v>202237B0000</v>
      </c>
      <c r="B3292" t="str">
        <f>"202237B00003"</f>
        <v>202237B00003</v>
      </c>
      <c r="C3292" t="str">
        <f t="shared" si="234"/>
        <v>20</v>
      </c>
      <c r="D3292" t="s">
        <v>81</v>
      </c>
      <c r="E3292" t="str">
        <f t="shared" ref="E3292:E3304" si="236">"520"</f>
        <v>520</v>
      </c>
      <c r="F3292" t="s">
        <v>3523</v>
      </c>
      <c r="G3292" t="str">
        <f>"2237"</f>
        <v>2237</v>
      </c>
      <c r="H3292" t="str">
        <f>"0000"</f>
        <v>0000</v>
      </c>
      <c r="I3292" t="s">
        <v>83</v>
      </c>
      <c r="J3292">
        <v>0</v>
      </c>
      <c r="K3292">
        <v>1</v>
      </c>
      <c r="L3292">
        <v>3</v>
      </c>
      <c r="M3292">
        <v>287</v>
      </c>
      <c r="N3292">
        <v>386</v>
      </c>
      <c r="O3292">
        <v>11</v>
      </c>
      <c r="P3292">
        <v>386</v>
      </c>
      <c r="Q3292">
        <v>0</v>
      </c>
      <c r="R3292">
        <v>58</v>
      </c>
      <c r="S3292">
        <v>48</v>
      </c>
      <c r="T3292">
        <v>2</v>
      </c>
      <c r="U3292">
        <v>29</v>
      </c>
      <c r="W3292">
        <v>164</v>
      </c>
      <c r="X3292">
        <v>74</v>
      </c>
      <c r="Z3292">
        <v>1</v>
      </c>
      <c r="AA3292">
        <v>0</v>
      </c>
      <c r="AO3292">
        <v>0</v>
      </c>
      <c r="AW3292">
        <v>0</v>
      </c>
      <c r="AX3292">
        <v>10</v>
      </c>
      <c r="AY3292">
        <v>386</v>
      </c>
      <c r="AZ3292">
        <v>386</v>
      </c>
      <c r="BA3292">
        <v>629</v>
      </c>
      <c r="BB3292">
        <v>44</v>
      </c>
      <c r="BD3292">
        <v>1</v>
      </c>
      <c r="BF3292" t="s">
        <v>3524</v>
      </c>
      <c r="BG3292" s="1">
        <v>44354.157638888886</v>
      </c>
      <c r="BH3292" s="1">
        <v>44354.163124999999</v>
      </c>
      <c r="BI3292" s="1">
        <v>44354.163773148146</v>
      </c>
      <c r="BJ3292" t="s">
        <v>85</v>
      </c>
      <c r="BK3292" t="s">
        <v>86</v>
      </c>
      <c r="BL3292" t="s">
        <v>87</v>
      </c>
    </row>
    <row r="3293" spans="1:64" x14ac:dyDescent="0.3">
      <c r="A3293" t="str">
        <f>"202238B0000"</f>
        <v>202238B0000</v>
      </c>
      <c r="B3293" t="str">
        <f>"202238B00003"</f>
        <v>202238B00003</v>
      </c>
      <c r="C3293" t="str">
        <f t="shared" si="234"/>
        <v>20</v>
      </c>
      <c r="D3293" t="s">
        <v>81</v>
      </c>
      <c r="E3293" t="str">
        <f t="shared" si="236"/>
        <v>520</v>
      </c>
      <c r="F3293" t="s">
        <v>3523</v>
      </c>
      <c r="G3293" t="str">
        <f>"2238"</f>
        <v>2238</v>
      </c>
      <c r="H3293" t="str">
        <f>"0000"</f>
        <v>0000</v>
      </c>
      <c r="I3293" t="s">
        <v>83</v>
      </c>
      <c r="J3293">
        <v>0</v>
      </c>
      <c r="K3293">
        <v>1</v>
      </c>
      <c r="L3293">
        <v>3</v>
      </c>
      <c r="M3293">
        <v>156</v>
      </c>
      <c r="N3293">
        <v>286</v>
      </c>
      <c r="O3293">
        <v>0</v>
      </c>
      <c r="P3293">
        <v>286</v>
      </c>
      <c r="Q3293">
        <v>2</v>
      </c>
      <c r="R3293">
        <v>63</v>
      </c>
      <c r="S3293">
        <v>57</v>
      </c>
      <c r="T3293">
        <v>0</v>
      </c>
      <c r="U3293">
        <v>14</v>
      </c>
      <c r="W3293">
        <v>34</v>
      </c>
      <c r="X3293">
        <v>103</v>
      </c>
      <c r="Z3293">
        <v>3</v>
      </c>
      <c r="AA3293">
        <v>0</v>
      </c>
      <c r="AO3293">
        <v>1</v>
      </c>
      <c r="AW3293">
        <v>0</v>
      </c>
      <c r="AX3293">
        <v>9</v>
      </c>
      <c r="AY3293">
        <v>286</v>
      </c>
      <c r="AZ3293">
        <v>286</v>
      </c>
      <c r="BA3293">
        <v>398</v>
      </c>
      <c r="BB3293">
        <v>44</v>
      </c>
      <c r="BD3293">
        <v>1</v>
      </c>
      <c r="BF3293" t="s">
        <v>3525</v>
      </c>
      <c r="BG3293" s="1">
        <v>44354.164583333331</v>
      </c>
      <c r="BH3293" s="1">
        <v>44354.168194444443</v>
      </c>
      <c r="BI3293" s="1">
        <v>44354.168553240743</v>
      </c>
      <c r="BJ3293" t="s">
        <v>85</v>
      </c>
      <c r="BK3293" t="s">
        <v>86</v>
      </c>
      <c r="BL3293" t="s">
        <v>87</v>
      </c>
    </row>
    <row r="3294" spans="1:64" x14ac:dyDescent="0.3">
      <c r="A3294" t="str">
        <f>"202238C0100"</f>
        <v>202238C0100</v>
      </c>
      <c r="B3294" t="str">
        <f>"202238C01003"</f>
        <v>202238C01003</v>
      </c>
      <c r="C3294" t="str">
        <f t="shared" si="234"/>
        <v>20</v>
      </c>
      <c r="D3294" t="s">
        <v>81</v>
      </c>
      <c r="E3294" t="str">
        <f t="shared" si="236"/>
        <v>520</v>
      </c>
      <c r="F3294" t="s">
        <v>3523</v>
      </c>
      <c r="G3294" t="str">
        <f>"2238"</f>
        <v>2238</v>
      </c>
      <c r="H3294" t="str">
        <f>"0001"</f>
        <v>0001</v>
      </c>
      <c r="I3294" t="s">
        <v>89</v>
      </c>
      <c r="J3294">
        <v>0</v>
      </c>
      <c r="K3294">
        <v>1</v>
      </c>
      <c r="L3294">
        <v>3</v>
      </c>
      <c r="M3294">
        <v>162</v>
      </c>
      <c r="N3294">
        <v>279</v>
      </c>
      <c r="O3294">
        <v>6</v>
      </c>
      <c r="P3294">
        <v>279</v>
      </c>
      <c r="Q3294">
        <v>2</v>
      </c>
      <c r="R3294">
        <v>60</v>
      </c>
      <c r="S3294">
        <v>58</v>
      </c>
      <c r="T3294">
        <v>0</v>
      </c>
      <c r="U3294">
        <v>18</v>
      </c>
      <c r="W3294">
        <v>30</v>
      </c>
      <c r="X3294">
        <v>106</v>
      </c>
      <c r="Z3294">
        <v>0</v>
      </c>
      <c r="AA3294">
        <v>1</v>
      </c>
      <c r="AO3294">
        <v>0</v>
      </c>
      <c r="AW3294">
        <v>0</v>
      </c>
      <c r="AX3294">
        <v>4</v>
      </c>
      <c r="AY3294">
        <v>279</v>
      </c>
      <c r="AZ3294">
        <v>279</v>
      </c>
      <c r="BA3294">
        <v>397</v>
      </c>
      <c r="BB3294">
        <v>44</v>
      </c>
      <c r="BD3294">
        <v>1</v>
      </c>
      <c r="BF3294" t="s">
        <v>3526</v>
      </c>
      <c r="BG3294" s="1">
        <v>44354.17083333333</v>
      </c>
      <c r="BH3294" s="1">
        <v>44354.175844907404</v>
      </c>
      <c r="BI3294" s="1">
        <v>44354.176249999997</v>
      </c>
      <c r="BJ3294" t="s">
        <v>85</v>
      </c>
      <c r="BK3294" t="s">
        <v>86</v>
      </c>
      <c r="BL3294" t="s">
        <v>87</v>
      </c>
    </row>
    <row r="3295" spans="1:64" x14ac:dyDescent="0.3">
      <c r="A3295" t="str">
        <f>"202239B0000"</f>
        <v>202239B0000</v>
      </c>
      <c r="B3295" t="str">
        <f>"202239B00003"</f>
        <v>202239B00003</v>
      </c>
      <c r="C3295" t="str">
        <f t="shared" si="234"/>
        <v>20</v>
      </c>
      <c r="D3295" t="s">
        <v>81</v>
      </c>
      <c r="E3295" t="str">
        <f t="shared" si="236"/>
        <v>520</v>
      </c>
      <c r="F3295" t="s">
        <v>3523</v>
      </c>
      <c r="G3295" t="str">
        <f>"2239"</f>
        <v>2239</v>
      </c>
      <c r="H3295" t="str">
        <f>"0000"</f>
        <v>0000</v>
      </c>
      <c r="I3295" t="s">
        <v>83</v>
      </c>
      <c r="J3295">
        <v>0</v>
      </c>
      <c r="K3295">
        <v>1</v>
      </c>
      <c r="L3295">
        <v>3</v>
      </c>
      <c r="M3295">
        <v>173</v>
      </c>
      <c r="N3295">
        <v>323</v>
      </c>
      <c r="O3295">
        <v>1</v>
      </c>
      <c r="P3295">
        <v>323</v>
      </c>
      <c r="Q3295">
        <v>1</v>
      </c>
      <c r="R3295">
        <v>55</v>
      </c>
      <c r="S3295">
        <v>70</v>
      </c>
      <c r="T3295">
        <v>0</v>
      </c>
      <c r="U3295">
        <v>35</v>
      </c>
      <c r="W3295">
        <v>55</v>
      </c>
      <c r="X3295">
        <v>93</v>
      </c>
      <c r="Z3295">
        <v>2</v>
      </c>
      <c r="AA3295">
        <v>3</v>
      </c>
      <c r="AO3295">
        <v>2</v>
      </c>
      <c r="AW3295">
        <v>0</v>
      </c>
      <c r="AX3295">
        <v>7</v>
      </c>
      <c r="AY3295">
        <v>323</v>
      </c>
      <c r="AZ3295">
        <v>323</v>
      </c>
      <c r="BA3295">
        <v>452</v>
      </c>
      <c r="BB3295">
        <v>44</v>
      </c>
      <c r="BD3295">
        <v>1</v>
      </c>
      <c r="BF3295" t="s">
        <v>3527</v>
      </c>
      <c r="BG3295" s="1">
        <v>44354.109722222223</v>
      </c>
      <c r="BH3295" s="1">
        <v>44354.114351851851</v>
      </c>
      <c r="BI3295" s="1">
        <v>44354.11478009259</v>
      </c>
      <c r="BJ3295" t="s">
        <v>85</v>
      </c>
      <c r="BK3295" t="s">
        <v>86</v>
      </c>
      <c r="BL3295" t="s">
        <v>87</v>
      </c>
    </row>
    <row r="3296" spans="1:64" x14ac:dyDescent="0.3">
      <c r="A3296" t="str">
        <f>"202239C0100"</f>
        <v>202239C0100</v>
      </c>
      <c r="B3296" t="str">
        <f>"202239C01003"</f>
        <v>202239C01003</v>
      </c>
      <c r="C3296" t="str">
        <f t="shared" si="234"/>
        <v>20</v>
      </c>
      <c r="D3296" t="s">
        <v>81</v>
      </c>
      <c r="E3296" t="str">
        <f t="shared" si="236"/>
        <v>520</v>
      </c>
      <c r="F3296" t="s">
        <v>3523</v>
      </c>
      <c r="G3296" t="str">
        <f>"2239"</f>
        <v>2239</v>
      </c>
      <c r="H3296" t="str">
        <f>"0001"</f>
        <v>0001</v>
      </c>
      <c r="I3296" t="s">
        <v>89</v>
      </c>
      <c r="J3296">
        <v>0</v>
      </c>
      <c r="K3296">
        <v>1</v>
      </c>
      <c r="L3296">
        <v>3</v>
      </c>
      <c r="M3296">
        <v>187</v>
      </c>
      <c r="N3296">
        <v>309</v>
      </c>
      <c r="O3296">
        <v>0</v>
      </c>
      <c r="P3296">
        <v>309</v>
      </c>
      <c r="Q3296">
        <v>0</v>
      </c>
      <c r="R3296">
        <v>72</v>
      </c>
      <c r="S3296">
        <v>65</v>
      </c>
      <c r="T3296">
        <v>2</v>
      </c>
      <c r="U3296">
        <v>23</v>
      </c>
      <c r="W3296">
        <v>45</v>
      </c>
      <c r="X3296">
        <v>92</v>
      </c>
      <c r="Z3296">
        <v>0</v>
      </c>
      <c r="AA3296">
        <v>2</v>
      </c>
      <c r="AO3296">
        <v>1</v>
      </c>
      <c r="AW3296">
        <v>0</v>
      </c>
      <c r="AX3296">
        <v>7</v>
      </c>
      <c r="AY3296">
        <v>309</v>
      </c>
      <c r="AZ3296">
        <v>309</v>
      </c>
      <c r="BA3296">
        <v>452</v>
      </c>
      <c r="BB3296">
        <v>44</v>
      </c>
      <c r="BD3296">
        <v>1</v>
      </c>
      <c r="BF3296" t="s">
        <v>3528</v>
      </c>
      <c r="BG3296" s="1">
        <v>44354.109027777777</v>
      </c>
      <c r="BH3296" s="1">
        <v>44354.112500000003</v>
      </c>
      <c r="BI3296" s="1">
        <v>44354.112812500003</v>
      </c>
      <c r="BJ3296" t="s">
        <v>85</v>
      </c>
      <c r="BK3296" t="s">
        <v>86</v>
      </c>
      <c r="BL3296" t="s">
        <v>87</v>
      </c>
    </row>
    <row r="3297" spans="1:64" x14ac:dyDescent="0.3">
      <c r="A3297" t="str">
        <f>"202240B0000"</f>
        <v>202240B0000</v>
      </c>
      <c r="B3297" t="str">
        <f>"202240B00003"</f>
        <v>202240B00003</v>
      </c>
      <c r="C3297" t="str">
        <f t="shared" si="234"/>
        <v>20</v>
      </c>
      <c r="D3297" t="s">
        <v>81</v>
      </c>
      <c r="E3297" t="str">
        <f t="shared" si="236"/>
        <v>520</v>
      </c>
      <c r="F3297" t="s">
        <v>3523</v>
      </c>
      <c r="G3297" t="str">
        <f>"2240"</f>
        <v>2240</v>
      </c>
      <c r="H3297" t="str">
        <f>"0000"</f>
        <v>0000</v>
      </c>
      <c r="I3297" t="s">
        <v>83</v>
      </c>
      <c r="J3297">
        <v>0</v>
      </c>
      <c r="K3297">
        <v>1</v>
      </c>
      <c r="L3297">
        <v>3</v>
      </c>
      <c r="M3297">
        <v>231</v>
      </c>
      <c r="N3297">
        <v>207</v>
      </c>
      <c r="O3297">
        <v>1</v>
      </c>
      <c r="P3297">
        <v>207</v>
      </c>
      <c r="Q3297">
        <v>1</v>
      </c>
      <c r="R3297">
        <v>63</v>
      </c>
      <c r="S3297">
        <v>50</v>
      </c>
      <c r="T3297">
        <v>0</v>
      </c>
      <c r="U3297">
        <v>21</v>
      </c>
      <c r="W3297">
        <v>31</v>
      </c>
      <c r="X3297">
        <v>33</v>
      </c>
      <c r="Z3297">
        <v>2</v>
      </c>
      <c r="AA3297">
        <v>0</v>
      </c>
      <c r="AO3297">
        <v>64</v>
      </c>
      <c r="AW3297">
        <v>0</v>
      </c>
      <c r="AX3297">
        <v>6</v>
      </c>
      <c r="AY3297">
        <v>207</v>
      </c>
      <c r="AZ3297">
        <v>271</v>
      </c>
      <c r="BA3297">
        <v>392</v>
      </c>
      <c r="BB3297">
        <v>44</v>
      </c>
      <c r="BD3297">
        <v>1</v>
      </c>
      <c r="BF3297" t="s">
        <v>3529</v>
      </c>
      <c r="BG3297" s="1">
        <v>44354.122916666667</v>
      </c>
      <c r="BH3297" s="1">
        <v>44354.129953703705</v>
      </c>
      <c r="BI3297" s="1">
        <v>44354.130891203706</v>
      </c>
      <c r="BJ3297" t="s">
        <v>85</v>
      </c>
      <c r="BK3297" t="s">
        <v>86</v>
      </c>
      <c r="BL3297" t="s">
        <v>87</v>
      </c>
    </row>
    <row r="3298" spans="1:64" x14ac:dyDescent="0.3">
      <c r="A3298" t="str">
        <f>"202240C0100"</f>
        <v>202240C0100</v>
      </c>
      <c r="B3298" t="str">
        <f>"202240C01003"</f>
        <v>202240C01003</v>
      </c>
      <c r="C3298" t="str">
        <f t="shared" si="234"/>
        <v>20</v>
      </c>
      <c r="D3298" t="s">
        <v>81</v>
      </c>
      <c r="E3298" t="str">
        <f t="shared" si="236"/>
        <v>520</v>
      </c>
      <c r="F3298" t="s">
        <v>3523</v>
      </c>
      <c r="G3298" t="str">
        <f>"2240"</f>
        <v>2240</v>
      </c>
      <c r="H3298" t="str">
        <f>"0001"</f>
        <v>0001</v>
      </c>
      <c r="I3298" t="s">
        <v>89</v>
      </c>
      <c r="J3298">
        <v>0</v>
      </c>
      <c r="K3298">
        <v>1</v>
      </c>
      <c r="L3298">
        <v>3</v>
      </c>
      <c r="M3298">
        <v>204</v>
      </c>
      <c r="N3298">
        <v>231</v>
      </c>
      <c r="O3298">
        <v>0</v>
      </c>
      <c r="P3298">
        <v>221</v>
      </c>
      <c r="Q3298">
        <v>0</v>
      </c>
      <c r="R3298">
        <v>57</v>
      </c>
      <c r="S3298">
        <v>33</v>
      </c>
      <c r="T3298">
        <v>0</v>
      </c>
      <c r="U3298">
        <v>28</v>
      </c>
      <c r="W3298">
        <v>59</v>
      </c>
      <c r="X3298">
        <v>42</v>
      </c>
      <c r="Z3298">
        <v>1</v>
      </c>
      <c r="AA3298">
        <v>1</v>
      </c>
      <c r="AO3298" t="s">
        <v>95</v>
      </c>
      <c r="AW3298" t="s">
        <v>95</v>
      </c>
      <c r="AX3298" t="s">
        <v>95</v>
      </c>
      <c r="AY3298">
        <v>221</v>
      </c>
      <c r="AZ3298">
        <v>221</v>
      </c>
      <c r="BA3298">
        <v>392</v>
      </c>
      <c r="BB3298">
        <v>44</v>
      </c>
      <c r="BC3298" t="s">
        <v>96</v>
      </c>
      <c r="BD3298">
        <v>1</v>
      </c>
      <c r="BF3298" t="s">
        <v>3530</v>
      </c>
      <c r="BG3298" s="1">
        <v>44354.123611111114</v>
      </c>
      <c r="BH3298" s="1">
        <v>44354.557986111111</v>
      </c>
      <c r="BI3298" s="1">
        <v>44354.558831018519</v>
      </c>
      <c r="BJ3298" t="s">
        <v>85</v>
      </c>
      <c r="BK3298" t="s">
        <v>86</v>
      </c>
      <c r="BL3298" t="s">
        <v>87</v>
      </c>
    </row>
    <row r="3299" spans="1:64" x14ac:dyDescent="0.3">
      <c r="A3299" t="str">
        <f>"202241B0000"</f>
        <v>202241B0000</v>
      </c>
      <c r="B3299" t="str">
        <f>"202241B00003"</f>
        <v>202241B00003</v>
      </c>
      <c r="C3299" t="str">
        <f t="shared" si="234"/>
        <v>20</v>
      </c>
      <c r="D3299" t="s">
        <v>81</v>
      </c>
      <c r="E3299" t="str">
        <f t="shared" si="236"/>
        <v>520</v>
      </c>
      <c r="F3299" t="s">
        <v>3523</v>
      </c>
      <c r="G3299" t="str">
        <f>"2241"</f>
        <v>2241</v>
      </c>
      <c r="H3299" t="str">
        <f>"0000"</f>
        <v>0000</v>
      </c>
      <c r="I3299" t="s">
        <v>83</v>
      </c>
      <c r="J3299">
        <v>0</v>
      </c>
      <c r="K3299">
        <v>1</v>
      </c>
      <c r="L3299">
        <v>3</v>
      </c>
      <c r="M3299">
        <v>113</v>
      </c>
      <c r="N3299">
        <v>78</v>
      </c>
      <c r="O3299">
        <v>10</v>
      </c>
      <c r="P3299">
        <v>78</v>
      </c>
      <c r="Q3299">
        <v>0</v>
      </c>
      <c r="R3299">
        <v>15</v>
      </c>
      <c r="S3299">
        <v>6</v>
      </c>
      <c r="T3299">
        <v>1</v>
      </c>
      <c r="U3299">
        <v>8</v>
      </c>
      <c r="W3299">
        <v>32</v>
      </c>
      <c r="X3299">
        <v>11</v>
      </c>
      <c r="Z3299">
        <v>0</v>
      </c>
      <c r="AA3299">
        <v>0</v>
      </c>
      <c r="AO3299" t="s">
        <v>95</v>
      </c>
      <c r="AW3299" t="s">
        <v>95</v>
      </c>
      <c r="AX3299" t="s">
        <v>95</v>
      </c>
      <c r="AY3299" t="s">
        <v>95</v>
      </c>
      <c r="AZ3299">
        <v>73</v>
      </c>
      <c r="BA3299">
        <v>147</v>
      </c>
      <c r="BB3299">
        <v>44</v>
      </c>
      <c r="BC3299" t="s">
        <v>96</v>
      </c>
      <c r="BD3299">
        <v>1</v>
      </c>
      <c r="BF3299" t="s">
        <v>3531</v>
      </c>
      <c r="BG3299" s="1">
        <v>44353.92291666667</v>
      </c>
      <c r="BH3299" s="1">
        <v>44353.931354166663</v>
      </c>
      <c r="BI3299" s="1">
        <v>44353.931898148148</v>
      </c>
      <c r="BJ3299" t="s">
        <v>85</v>
      </c>
      <c r="BK3299" t="s">
        <v>86</v>
      </c>
      <c r="BL3299" t="s">
        <v>87</v>
      </c>
    </row>
    <row r="3300" spans="1:64" x14ac:dyDescent="0.3">
      <c r="A3300" t="str">
        <f>"202242B0000"</f>
        <v>202242B0000</v>
      </c>
      <c r="B3300" t="str">
        <f>"202242B00003"</f>
        <v>202242B00003</v>
      </c>
      <c r="C3300" t="str">
        <f t="shared" si="234"/>
        <v>20</v>
      </c>
      <c r="D3300" t="s">
        <v>81</v>
      </c>
      <c r="E3300" t="str">
        <f t="shared" si="236"/>
        <v>520</v>
      </c>
      <c r="F3300" t="s">
        <v>3523</v>
      </c>
      <c r="G3300" t="str">
        <f>"2242"</f>
        <v>2242</v>
      </c>
      <c r="H3300" t="str">
        <f>"0000"</f>
        <v>0000</v>
      </c>
      <c r="I3300" t="s">
        <v>83</v>
      </c>
      <c r="J3300">
        <v>0</v>
      </c>
      <c r="K3300">
        <v>1</v>
      </c>
      <c r="L3300">
        <v>3</v>
      </c>
      <c r="M3300">
        <v>375</v>
      </c>
      <c r="N3300">
        <v>277</v>
      </c>
      <c r="O3300">
        <v>9</v>
      </c>
      <c r="P3300">
        <v>277</v>
      </c>
      <c r="Q3300">
        <v>2</v>
      </c>
      <c r="R3300">
        <v>18</v>
      </c>
      <c r="S3300">
        <v>14</v>
      </c>
      <c r="T3300">
        <v>2</v>
      </c>
      <c r="U3300">
        <v>71</v>
      </c>
      <c r="W3300">
        <v>116</v>
      </c>
      <c r="X3300">
        <v>31</v>
      </c>
      <c r="Z3300">
        <v>1</v>
      </c>
      <c r="AA3300">
        <v>4</v>
      </c>
      <c r="AO3300">
        <v>0</v>
      </c>
      <c r="AW3300">
        <v>0</v>
      </c>
      <c r="AX3300">
        <v>18</v>
      </c>
      <c r="AY3300">
        <v>277</v>
      </c>
      <c r="AZ3300">
        <v>277</v>
      </c>
      <c r="BA3300">
        <v>608</v>
      </c>
      <c r="BB3300">
        <v>44</v>
      </c>
      <c r="BD3300">
        <v>1</v>
      </c>
      <c r="BF3300" t="s">
        <v>3532</v>
      </c>
      <c r="BG3300" s="1">
        <v>44354.125694444447</v>
      </c>
      <c r="BH3300" s="1">
        <v>44354.129328703704</v>
      </c>
      <c r="BI3300" s="1">
        <v>44354.129872685182</v>
      </c>
      <c r="BJ3300" t="s">
        <v>85</v>
      </c>
      <c r="BK3300" t="s">
        <v>86</v>
      </c>
      <c r="BL3300" t="s">
        <v>87</v>
      </c>
    </row>
    <row r="3301" spans="1:64" x14ac:dyDescent="0.3">
      <c r="A3301" t="str">
        <f>"202242C0100"</f>
        <v>202242C0100</v>
      </c>
      <c r="B3301" t="str">
        <f>"202242C01003"</f>
        <v>202242C01003</v>
      </c>
      <c r="C3301" t="str">
        <f t="shared" si="234"/>
        <v>20</v>
      </c>
      <c r="D3301" t="s">
        <v>81</v>
      </c>
      <c r="E3301" t="str">
        <f t="shared" si="236"/>
        <v>520</v>
      </c>
      <c r="F3301" t="s">
        <v>3523</v>
      </c>
      <c r="G3301" t="str">
        <f>"2242"</f>
        <v>2242</v>
      </c>
      <c r="H3301" t="str">
        <f>"0001"</f>
        <v>0001</v>
      </c>
      <c r="I3301" t="s">
        <v>89</v>
      </c>
      <c r="J3301">
        <v>0</v>
      </c>
      <c r="K3301">
        <v>1</v>
      </c>
      <c r="L3301">
        <v>3</v>
      </c>
      <c r="M3301">
        <v>376</v>
      </c>
      <c r="N3301">
        <v>276</v>
      </c>
      <c r="O3301">
        <v>5</v>
      </c>
      <c r="P3301">
        <v>276</v>
      </c>
      <c r="Q3301">
        <v>0</v>
      </c>
      <c r="R3301">
        <v>13</v>
      </c>
      <c r="S3301">
        <v>18</v>
      </c>
      <c r="T3301">
        <v>3</v>
      </c>
      <c r="U3301">
        <v>72</v>
      </c>
      <c r="W3301">
        <v>119</v>
      </c>
      <c r="X3301">
        <v>28</v>
      </c>
      <c r="Z3301">
        <v>1</v>
      </c>
      <c r="AA3301">
        <v>4</v>
      </c>
      <c r="AO3301">
        <v>0</v>
      </c>
      <c r="AW3301">
        <v>0</v>
      </c>
      <c r="AX3301">
        <v>18</v>
      </c>
      <c r="AY3301">
        <v>276</v>
      </c>
      <c r="AZ3301">
        <v>276</v>
      </c>
      <c r="BA3301">
        <v>608</v>
      </c>
      <c r="BB3301">
        <v>44</v>
      </c>
      <c r="BD3301">
        <v>1</v>
      </c>
      <c r="BF3301" t="s">
        <v>3533</v>
      </c>
      <c r="BG3301" s="1">
        <v>44354.131944444445</v>
      </c>
      <c r="BH3301" s="1">
        <v>44354.134699074071</v>
      </c>
      <c r="BI3301" s="1">
        <v>44354.135208333333</v>
      </c>
      <c r="BJ3301" t="s">
        <v>85</v>
      </c>
      <c r="BK3301" t="s">
        <v>86</v>
      </c>
      <c r="BL3301" t="s">
        <v>87</v>
      </c>
    </row>
    <row r="3302" spans="1:64" x14ac:dyDescent="0.3">
      <c r="A3302" t="str">
        <f>"202242C0200"</f>
        <v>202242C0200</v>
      </c>
      <c r="B3302" t="str">
        <f>"202242C02003"</f>
        <v>202242C02003</v>
      </c>
      <c r="C3302" t="str">
        <f t="shared" si="234"/>
        <v>20</v>
      </c>
      <c r="D3302" t="s">
        <v>81</v>
      </c>
      <c r="E3302" t="str">
        <f t="shared" si="236"/>
        <v>520</v>
      </c>
      <c r="F3302" t="s">
        <v>3523</v>
      </c>
      <c r="G3302" t="str">
        <f>"2242"</f>
        <v>2242</v>
      </c>
      <c r="H3302" t="str">
        <f>"0002"</f>
        <v>0002</v>
      </c>
      <c r="I3302" t="s">
        <v>89</v>
      </c>
      <c r="J3302">
        <v>0</v>
      </c>
      <c r="K3302">
        <v>1</v>
      </c>
      <c r="L3302">
        <v>3</v>
      </c>
      <c r="M3302">
        <v>384</v>
      </c>
      <c r="N3302">
        <v>267</v>
      </c>
      <c r="O3302">
        <v>9</v>
      </c>
      <c r="P3302">
        <v>267</v>
      </c>
      <c r="Q3302">
        <v>1</v>
      </c>
      <c r="R3302">
        <v>22</v>
      </c>
      <c r="S3302">
        <v>20</v>
      </c>
      <c r="T3302">
        <v>3</v>
      </c>
      <c r="U3302">
        <v>66</v>
      </c>
      <c r="W3302">
        <v>99</v>
      </c>
      <c r="X3302">
        <v>35</v>
      </c>
      <c r="Z3302">
        <v>3</v>
      </c>
      <c r="AA3302">
        <v>3</v>
      </c>
      <c r="AO3302">
        <v>0</v>
      </c>
      <c r="AW3302">
        <v>0</v>
      </c>
      <c r="AX3302">
        <v>15</v>
      </c>
      <c r="AY3302">
        <v>267</v>
      </c>
      <c r="AZ3302">
        <v>267</v>
      </c>
      <c r="BA3302">
        <v>607</v>
      </c>
      <c r="BB3302">
        <v>44</v>
      </c>
      <c r="BD3302">
        <v>1</v>
      </c>
      <c r="BF3302" t="s">
        <v>3534</v>
      </c>
      <c r="BG3302" s="1">
        <v>44354.138888888891</v>
      </c>
      <c r="BH3302" s="1">
        <v>44354.142511574071</v>
      </c>
      <c r="BI3302" s="1">
        <v>44354.142893518518</v>
      </c>
      <c r="BJ3302" t="s">
        <v>85</v>
      </c>
      <c r="BK3302" t="s">
        <v>86</v>
      </c>
      <c r="BL3302" t="s">
        <v>87</v>
      </c>
    </row>
    <row r="3303" spans="1:64" x14ac:dyDescent="0.3">
      <c r="A3303" t="str">
        <f>"202243B0000"</f>
        <v>202243B0000</v>
      </c>
      <c r="B3303" t="str">
        <f>"202243B00003"</f>
        <v>202243B00003</v>
      </c>
      <c r="C3303" t="str">
        <f t="shared" si="234"/>
        <v>20</v>
      </c>
      <c r="D3303" t="s">
        <v>81</v>
      </c>
      <c r="E3303" t="str">
        <f t="shared" si="236"/>
        <v>520</v>
      </c>
      <c r="F3303" t="s">
        <v>3523</v>
      </c>
      <c r="G3303" t="str">
        <f>"2243"</f>
        <v>2243</v>
      </c>
      <c r="H3303" t="str">
        <f>"0000"</f>
        <v>0000</v>
      </c>
      <c r="I3303" t="s">
        <v>83</v>
      </c>
      <c r="J3303">
        <v>0</v>
      </c>
      <c r="K3303">
        <v>1</v>
      </c>
      <c r="L3303">
        <v>3</v>
      </c>
      <c r="M3303">
        <v>270</v>
      </c>
      <c r="N3303">
        <v>273</v>
      </c>
      <c r="O3303">
        <v>4</v>
      </c>
      <c r="P3303">
        <v>273</v>
      </c>
      <c r="Q3303">
        <v>1</v>
      </c>
      <c r="R3303">
        <v>61</v>
      </c>
      <c r="S3303">
        <v>24</v>
      </c>
      <c r="T3303">
        <v>4</v>
      </c>
      <c r="U3303">
        <v>20</v>
      </c>
      <c r="W3303">
        <v>107</v>
      </c>
      <c r="X3303">
        <v>38</v>
      </c>
      <c r="Z3303">
        <v>0</v>
      </c>
      <c r="AA3303">
        <v>1</v>
      </c>
      <c r="AO3303">
        <v>0</v>
      </c>
      <c r="AW3303">
        <v>0</v>
      </c>
      <c r="AX3303">
        <v>17</v>
      </c>
      <c r="AY3303">
        <v>273</v>
      </c>
      <c r="AZ3303">
        <v>273</v>
      </c>
      <c r="BA3303">
        <v>499</v>
      </c>
      <c r="BB3303">
        <v>44</v>
      </c>
      <c r="BD3303">
        <v>1</v>
      </c>
      <c r="BF3303" t="s">
        <v>3535</v>
      </c>
      <c r="BG3303" s="1">
        <v>44354.146527777775</v>
      </c>
      <c r="BH3303" s="1">
        <v>44354.149907407409</v>
      </c>
      <c r="BI3303" s="1">
        <v>44354.150208333333</v>
      </c>
      <c r="BJ3303" t="s">
        <v>85</v>
      </c>
      <c r="BK3303" t="s">
        <v>86</v>
      </c>
      <c r="BL3303" t="s">
        <v>87</v>
      </c>
    </row>
    <row r="3304" spans="1:64" x14ac:dyDescent="0.3">
      <c r="A3304" t="str">
        <f>"202243C0100"</f>
        <v>202243C0100</v>
      </c>
      <c r="B3304" t="str">
        <f>"202243C01003"</f>
        <v>202243C01003</v>
      </c>
      <c r="C3304" t="str">
        <f t="shared" si="234"/>
        <v>20</v>
      </c>
      <c r="D3304" t="s">
        <v>81</v>
      </c>
      <c r="E3304" t="str">
        <f t="shared" si="236"/>
        <v>520</v>
      </c>
      <c r="F3304" t="s">
        <v>3523</v>
      </c>
      <c r="G3304" t="str">
        <f>"2243"</f>
        <v>2243</v>
      </c>
      <c r="H3304" t="str">
        <f>"0001"</f>
        <v>0001</v>
      </c>
      <c r="I3304" t="s">
        <v>89</v>
      </c>
      <c r="J3304">
        <v>0</v>
      </c>
      <c r="K3304">
        <v>1</v>
      </c>
      <c r="L3304">
        <v>3</v>
      </c>
      <c r="M3304">
        <v>262</v>
      </c>
      <c r="N3304">
        <v>280</v>
      </c>
      <c r="O3304">
        <v>9</v>
      </c>
      <c r="P3304">
        <v>280</v>
      </c>
      <c r="Q3304">
        <v>0</v>
      </c>
      <c r="R3304">
        <v>71</v>
      </c>
      <c r="S3304">
        <v>31</v>
      </c>
      <c r="T3304">
        <v>2</v>
      </c>
      <c r="U3304">
        <v>32</v>
      </c>
      <c r="W3304">
        <v>81</v>
      </c>
      <c r="X3304">
        <v>52</v>
      </c>
      <c r="Z3304">
        <v>1</v>
      </c>
      <c r="AA3304">
        <v>0</v>
      </c>
      <c r="AO3304">
        <v>0</v>
      </c>
      <c r="AW3304">
        <v>0</v>
      </c>
      <c r="AX3304">
        <v>10</v>
      </c>
      <c r="AY3304">
        <v>280</v>
      </c>
      <c r="AZ3304">
        <v>280</v>
      </c>
      <c r="BA3304">
        <v>498</v>
      </c>
      <c r="BB3304">
        <v>44</v>
      </c>
      <c r="BD3304">
        <v>1</v>
      </c>
      <c r="BF3304" t="s">
        <v>3536</v>
      </c>
      <c r="BG3304" s="1">
        <v>44354.143750000003</v>
      </c>
      <c r="BH3304" s="1">
        <v>44354.147511574076</v>
      </c>
      <c r="BI3304" s="1">
        <v>44354.147662037038</v>
      </c>
      <c r="BJ3304" t="s">
        <v>85</v>
      </c>
      <c r="BK3304" t="s">
        <v>86</v>
      </c>
      <c r="BL3304" t="s">
        <v>87</v>
      </c>
    </row>
    <row r="3305" spans="1:64" x14ac:dyDescent="0.3">
      <c r="A3305" t="str">
        <f>"202249B0000"</f>
        <v>202249B0000</v>
      </c>
      <c r="B3305" t="str">
        <f>"202249B00003"</f>
        <v>202249B00003</v>
      </c>
      <c r="C3305" t="str">
        <f t="shared" si="234"/>
        <v>20</v>
      </c>
      <c r="D3305" t="s">
        <v>81</v>
      </c>
      <c r="E3305" t="str">
        <f t="shared" ref="E3305:E3322" si="237">"525"</f>
        <v>525</v>
      </c>
      <c r="F3305" t="s">
        <v>3537</v>
      </c>
      <c r="G3305" t="str">
        <f>"2249"</f>
        <v>2249</v>
      </c>
      <c r="H3305" t="str">
        <f>"0000"</f>
        <v>0000</v>
      </c>
      <c r="I3305" t="s">
        <v>83</v>
      </c>
      <c r="J3305">
        <v>0</v>
      </c>
      <c r="K3305">
        <v>1</v>
      </c>
      <c r="L3305">
        <v>3</v>
      </c>
      <c r="M3305">
        <v>180</v>
      </c>
      <c r="N3305">
        <v>424</v>
      </c>
      <c r="O3305">
        <v>0</v>
      </c>
      <c r="P3305">
        <v>424</v>
      </c>
      <c r="Q3305">
        <v>0</v>
      </c>
      <c r="R3305">
        <v>75</v>
      </c>
      <c r="S3305">
        <v>1</v>
      </c>
      <c r="T3305">
        <v>1</v>
      </c>
      <c r="U3305">
        <v>28</v>
      </c>
      <c r="V3305">
        <v>43</v>
      </c>
      <c r="X3305">
        <v>211</v>
      </c>
      <c r="Y3305">
        <v>47</v>
      </c>
      <c r="Z3305">
        <v>1</v>
      </c>
      <c r="AA3305">
        <v>3</v>
      </c>
      <c r="AB3305">
        <v>2</v>
      </c>
      <c r="AF3305">
        <v>3</v>
      </c>
      <c r="AG3305">
        <v>1</v>
      </c>
      <c r="AH3305">
        <v>0</v>
      </c>
      <c r="AI3305">
        <v>2</v>
      </c>
      <c r="AW3305">
        <v>0</v>
      </c>
      <c r="AX3305">
        <v>6</v>
      </c>
      <c r="AY3305">
        <v>424</v>
      </c>
      <c r="AZ3305">
        <v>424</v>
      </c>
      <c r="BA3305">
        <v>560</v>
      </c>
      <c r="BB3305">
        <v>44</v>
      </c>
      <c r="BD3305">
        <v>1</v>
      </c>
      <c r="BF3305" t="s">
        <v>3538</v>
      </c>
      <c r="BG3305" s="1">
        <v>44353.995138888888</v>
      </c>
      <c r="BH3305" s="1">
        <v>44354.001597222225</v>
      </c>
      <c r="BI3305" s="1">
        <v>44354.002164351848</v>
      </c>
      <c r="BJ3305" t="s">
        <v>85</v>
      </c>
      <c r="BK3305" t="s">
        <v>86</v>
      </c>
      <c r="BL3305" t="s">
        <v>87</v>
      </c>
    </row>
    <row r="3306" spans="1:64" x14ac:dyDescent="0.3">
      <c r="A3306" t="str">
        <f>"202249C0100"</f>
        <v>202249C0100</v>
      </c>
      <c r="B3306" t="str">
        <f>"202249C01003"</f>
        <v>202249C01003</v>
      </c>
      <c r="C3306" t="str">
        <f t="shared" si="234"/>
        <v>20</v>
      </c>
      <c r="D3306" t="s">
        <v>81</v>
      </c>
      <c r="E3306" t="str">
        <f t="shared" si="237"/>
        <v>525</v>
      </c>
      <c r="F3306" t="s">
        <v>3537</v>
      </c>
      <c r="G3306" t="str">
        <f>"2249"</f>
        <v>2249</v>
      </c>
      <c r="H3306" t="str">
        <f>"0001"</f>
        <v>0001</v>
      </c>
      <c r="I3306" t="s">
        <v>89</v>
      </c>
      <c r="J3306">
        <v>0</v>
      </c>
      <c r="K3306">
        <v>1</v>
      </c>
      <c r="L3306">
        <v>3</v>
      </c>
      <c r="M3306">
        <v>189</v>
      </c>
      <c r="N3306">
        <v>415</v>
      </c>
      <c r="O3306">
        <v>0</v>
      </c>
      <c r="P3306">
        <v>415</v>
      </c>
      <c r="Q3306">
        <v>1</v>
      </c>
      <c r="R3306">
        <v>75</v>
      </c>
      <c r="S3306">
        <v>1</v>
      </c>
      <c r="T3306">
        <v>0</v>
      </c>
      <c r="U3306">
        <v>23</v>
      </c>
      <c r="V3306">
        <v>48</v>
      </c>
      <c r="X3306">
        <v>208</v>
      </c>
      <c r="Y3306">
        <v>44</v>
      </c>
      <c r="Z3306">
        <v>2</v>
      </c>
      <c r="AA3306">
        <v>1</v>
      </c>
      <c r="AB3306">
        <v>1</v>
      </c>
      <c r="AF3306">
        <v>6</v>
      </c>
      <c r="AG3306">
        <v>0</v>
      </c>
      <c r="AH3306">
        <v>0</v>
      </c>
      <c r="AI3306">
        <v>0</v>
      </c>
      <c r="AW3306">
        <v>0</v>
      </c>
      <c r="AX3306">
        <v>5</v>
      </c>
      <c r="AY3306">
        <v>415</v>
      </c>
      <c r="AZ3306">
        <v>415</v>
      </c>
      <c r="BA3306">
        <v>560</v>
      </c>
      <c r="BB3306">
        <v>44</v>
      </c>
      <c r="BD3306">
        <v>1</v>
      </c>
      <c r="BF3306" t="s">
        <v>3539</v>
      </c>
      <c r="BG3306" s="1">
        <v>44354.03125</v>
      </c>
      <c r="BH3306" s="1">
        <v>44354.039641203701</v>
      </c>
      <c r="BI3306" s="1">
        <v>44354.040023148147</v>
      </c>
      <c r="BJ3306" t="s">
        <v>85</v>
      </c>
      <c r="BK3306" t="s">
        <v>86</v>
      </c>
      <c r="BL3306" t="s">
        <v>87</v>
      </c>
    </row>
    <row r="3307" spans="1:64" x14ac:dyDescent="0.3">
      <c r="A3307" t="str">
        <f>"202250B0000"</f>
        <v>202250B0000</v>
      </c>
      <c r="B3307" t="str">
        <f>"202250B00003"</f>
        <v>202250B00003</v>
      </c>
      <c r="C3307" t="str">
        <f t="shared" si="234"/>
        <v>20</v>
      </c>
      <c r="D3307" t="s">
        <v>81</v>
      </c>
      <c r="E3307" t="str">
        <f t="shared" si="237"/>
        <v>525</v>
      </c>
      <c r="F3307" t="s">
        <v>3537</v>
      </c>
      <c r="G3307" t="str">
        <f>"2250"</f>
        <v>2250</v>
      </c>
      <c r="H3307" t="str">
        <f>"0000"</f>
        <v>0000</v>
      </c>
      <c r="I3307" t="s">
        <v>83</v>
      </c>
      <c r="J3307">
        <v>0</v>
      </c>
      <c r="K3307">
        <v>1</v>
      </c>
      <c r="L3307">
        <v>3</v>
      </c>
      <c r="M3307">
        <v>210</v>
      </c>
      <c r="N3307">
        <v>536</v>
      </c>
      <c r="O3307" t="s">
        <v>92</v>
      </c>
      <c r="P3307">
        <v>536</v>
      </c>
      <c r="Q3307">
        <v>2</v>
      </c>
      <c r="R3307">
        <v>110</v>
      </c>
      <c r="S3307">
        <v>5</v>
      </c>
      <c r="T3307">
        <v>1</v>
      </c>
      <c r="U3307">
        <v>22</v>
      </c>
      <c r="V3307">
        <v>17</v>
      </c>
      <c r="X3307">
        <v>270</v>
      </c>
      <c r="Y3307">
        <v>82</v>
      </c>
      <c r="Z3307">
        <v>2</v>
      </c>
      <c r="AA3307">
        <v>6</v>
      </c>
      <c r="AB3307">
        <v>1</v>
      </c>
      <c r="AF3307">
        <v>7</v>
      </c>
      <c r="AG3307">
        <v>2</v>
      </c>
      <c r="AH3307" t="s">
        <v>95</v>
      </c>
      <c r="AI3307" t="s">
        <v>95</v>
      </c>
      <c r="AW3307" t="s">
        <v>95</v>
      </c>
      <c r="AX3307">
        <v>9</v>
      </c>
      <c r="AY3307">
        <v>536</v>
      </c>
      <c r="AZ3307">
        <v>536</v>
      </c>
      <c r="BA3307">
        <v>702</v>
      </c>
      <c r="BB3307">
        <v>44</v>
      </c>
      <c r="BC3307" t="s">
        <v>96</v>
      </c>
      <c r="BD3307">
        <v>1</v>
      </c>
      <c r="BF3307" t="s">
        <v>3540</v>
      </c>
      <c r="BG3307" s="1">
        <v>44353.962500000001</v>
      </c>
      <c r="BH3307" s="1">
        <v>44353.964780092596</v>
      </c>
      <c r="BI3307" s="1">
        <v>44353.967094907406</v>
      </c>
      <c r="BJ3307" t="s">
        <v>85</v>
      </c>
      <c r="BK3307" t="s">
        <v>86</v>
      </c>
      <c r="BL3307" t="s">
        <v>87</v>
      </c>
    </row>
    <row r="3308" spans="1:64" x14ac:dyDescent="0.3">
      <c r="A3308" t="str">
        <f>"202250C0100"</f>
        <v>202250C0100</v>
      </c>
      <c r="B3308" t="str">
        <f>"202250C01003"</f>
        <v>202250C01003</v>
      </c>
      <c r="C3308" t="str">
        <f t="shared" si="234"/>
        <v>20</v>
      </c>
      <c r="D3308" t="s">
        <v>81</v>
      </c>
      <c r="E3308" t="str">
        <f t="shared" si="237"/>
        <v>525</v>
      </c>
      <c r="F3308" t="s">
        <v>3537</v>
      </c>
      <c r="G3308" t="str">
        <f>"2250"</f>
        <v>2250</v>
      </c>
      <c r="H3308" t="str">
        <f>"0001"</f>
        <v>0001</v>
      </c>
      <c r="I3308" t="s">
        <v>89</v>
      </c>
      <c r="J3308">
        <v>0</v>
      </c>
      <c r="K3308">
        <v>1</v>
      </c>
      <c r="L3308">
        <v>3</v>
      </c>
      <c r="M3308">
        <v>210</v>
      </c>
      <c r="N3308">
        <v>535</v>
      </c>
      <c r="O3308">
        <v>0</v>
      </c>
      <c r="P3308">
        <v>535</v>
      </c>
      <c r="Q3308">
        <v>3</v>
      </c>
      <c r="R3308">
        <v>108</v>
      </c>
      <c r="S3308">
        <v>8</v>
      </c>
      <c r="T3308">
        <v>1</v>
      </c>
      <c r="U3308">
        <v>20</v>
      </c>
      <c r="V3308">
        <v>38</v>
      </c>
      <c r="X3308">
        <v>281</v>
      </c>
      <c r="Y3308">
        <v>62</v>
      </c>
      <c r="Z3308">
        <v>1</v>
      </c>
      <c r="AA3308">
        <v>4</v>
      </c>
      <c r="AB3308">
        <v>0</v>
      </c>
      <c r="AF3308">
        <v>4</v>
      </c>
      <c r="AG3308">
        <v>0</v>
      </c>
      <c r="AH3308">
        <v>0</v>
      </c>
      <c r="AI3308">
        <v>0</v>
      </c>
      <c r="AW3308">
        <v>0</v>
      </c>
      <c r="AX3308">
        <v>6</v>
      </c>
      <c r="AY3308">
        <v>535</v>
      </c>
      <c r="AZ3308">
        <v>536</v>
      </c>
      <c r="BA3308">
        <v>701</v>
      </c>
      <c r="BB3308">
        <v>44</v>
      </c>
      <c r="BD3308">
        <v>1</v>
      </c>
      <c r="BF3308" t="s">
        <v>3541</v>
      </c>
      <c r="BG3308" s="1">
        <v>44353.959027777775</v>
      </c>
      <c r="BH3308" s="1">
        <v>44353.964363425926</v>
      </c>
      <c r="BI3308" s="1">
        <v>44353.964930555558</v>
      </c>
      <c r="BJ3308" t="s">
        <v>85</v>
      </c>
      <c r="BK3308" t="s">
        <v>86</v>
      </c>
      <c r="BL3308" t="s">
        <v>87</v>
      </c>
    </row>
    <row r="3309" spans="1:64" x14ac:dyDescent="0.3">
      <c r="A3309" t="str">
        <f>"202251B0000"</f>
        <v>202251B0000</v>
      </c>
      <c r="B3309" t="str">
        <f>"202251B00003"</f>
        <v>202251B00003</v>
      </c>
      <c r="C3309" t="str">
        <f t="shared" si="234"/>
        <v>20</v>
      </c>
      <c r="D3309" t="s">
        <v>81</v>
      </c>
      <c r="E3309" t="str">
        <f t="shared" si="237"/>
        <v>525</v>
      </c>
      <c r="F3309" t="s">
        <v>3537</v>
      </c>
      <c r="G3309" t="str">
        <f>"2251"</f>
        <v>2251</v>
      </c>
      <c r="H3309" t="str">
        <f>"0000"</f>
        <v>0000</v>
      </c>
      <c r="I3309" t="s">
        <v>83</v>
      </c>
      <c r="J3309">
        <v>0</v>
      </c>
      <c r="K3309">
        <v>1</v>
      </c>
      <c r="L3309">
        <v>3</v>
      </c>
      <c r="M3309" t="s">
        <v>92</v>
      </c>
      <c r="N3309" t="s">
        <v>92</v>
      </c>
      <c r="O3309" t="s">
        <v>92</v>
      </c>
      <c r="P3309" t="s">
        <v>92</v>
      </c>
      <c r="Q3309">
        <v>3</v>
      </c>
      <c r="R3309">
        <v>129</v>
      </c>
      <c r="S3309">
        <v>2</v>
      </c>
      <c r="T3309">
        <v>0</v>
      </c>
      <c r="U3309">
        <v>15</v>
      </c>
      <c r="V3309">
        <v>13</v>
      </c>
      <c r="X3309">
        <v>247</v>
      </c>
      <c r="Y3309">
        <v>63</v>
      </c>
      <c r="Z3309">
        <v>0</v>
      </c>
      <c r="AA3309">
        <v>0</v>
      </c>
      <c r="AB3309">
        <v>0</v>
      </c>
      <c r="AF3309">
        <v>4</v>
      </c>
      <c r="AG3309">
        <v>0</v>
      </c>
      <c r="AH3309">
        <v>0</v>
      </c>
      <c r="AI3309">
        <v>0</v>
      </c>
      <c r="AW3309">
        <v>0</v>
      </c>
      <c r="AX3309">
        <v>3</v>
      </c>
      <c r="AY3309">
        <v>482</v>
      </c>
      <c r="AZ3309">
        <v>479</v>
      </c>
      <c r="BA3309">
        <v>677</v>
      </c>
      <c r="BB3309">
        <v>44</v>
      </c>
      <c r="BD3309">
        <v>1</v>
      </c>
      <c r="BF3309" t="s">
        <v>3542</v>
      </c>
      <c r="BG3309" s="1">
        <v>44354.013194444444</v>
      </c>
      <c r="BH3309" s="1">
        <v>44354.021956018521</v>
      </c>
      <c r="BI3309" s="1">
        <v>44354.022615740738</v>
      </c>
      <c r="BJ3309" t="s">
        <v>85</v>
      </c>
      <c r="BK3309" t="s">
        <v>86</v>
      </c>
      <c r="BL3309" t="s">
        <v>87</v>
      </c>
    </row>
    <row r="3310" spans="1:64" x14ac:dyDescent="0.3">
      <c r="A3310" t="str">
        <f>"202251C0100"</f>
        <v>202251C0100</v>
      </c>
      <c r="B3310" t="str">
        <f>"202251C01003"</f>
        <v>202251C01003</v>
      </c>
      <c r="C3310" t="str">
        <f t="shared" si="234"/>
        <v>20</v>
      </c>
      <c r="D3310" t="s">
        <v>81</v>
      </c>
      <c r="E3310" t="str">
        <f t="shared" si="237"/>
        <v>525</v>
      </c>
      <c r="F3310" t="s">
        <v>3537</v>
      </c>
      <c r="G3310" t="str">
        <f>"2251"</f>
        <v>2251</v>
      </c>
      <c r="H3310" t="str">
        <f>"0001"</f>
        <v>0001</v>
      </c>
      <c r="I3310" t="s">
        <v>89</v>
      </c>
      <c r="J3310">
        <v>0</v>
      </c>
      <c r="K3310">
        <v>1</v>
      </c>
      <c r="L3310">
        <v>3</v>
      </c>
      <c r="M3310">
        <v>237</v>
      </c>
      <c r="N3310">
        <v>483</v>
      </c>
      <c r="O3310">
        <v>2</v>
      </c>
      <c r="P3310">
        <v>483</v>
      </c>
      <c r="Q3310">
        <v>2</v>
      </c>
      <c r="R3310">
        <v>99</v>
      </c>
      <c r="S3310">
        <v>3</v>
      </c>
      <c r="T3310">
        <v>1</v>
      </c>
      <c r="U3310">
        <v>25</v>
      </c>
      <c r="V3310">
        <v>13</v>
      </c>
      <c r="X3310">
        <v>281</v>
      </c>
      <c r="Y3310">
        <v>48</v>
      </c>
      <c r="Z3310">
        <v>2</v>
      </c>
      <c r="AA3310">
        <v>1</v>
      </c>
      <c r="AB3310">
        <v>0</v>
      </c>
      <c r="AF3310">
        <v>0</v>
      </c>
      <c r="AG3310">
        <v>0</v>
      </c>
      <c r="AH3310">
        <v>0</v>
      </c>
      <c r="AI3310">
        <v>0</v>
      </c>
      <c r="AW3310">
        <v>0</v>
      </c>
      <c r="AX3310">
        <v>5</v>
      </c>
      <c r="AY3310">
        <v>483</v>
      </c>
      <c r="AZ3310">
        <v>480</v>
      </c>
      <c r="BA3310">
        <v>676</v>
      </c>
      <c r="BB3310">
        <v>44</v>
      </c>
      <c r="BD3310">
        <v>1</v>
      </c>
      <c r="BF3310" t="s">
        <v>3543</v>
      </c>
      <c r="BG3310" s="1">
        <v>44354.015277777777</v>
      </c>
      <c r="BH3310" s="1">
        <v>44354.023564814815</v>
      </c>
      <c r="BI3310" s="1">
        <v>44354.024097222224</v>
      </c>
      <c r="BJ3310" t="s">
        <v>85</v>
      </c>
      <c r="BK3310" t="s">
        <v>86</v>
      </c>
      <c r="BL3310" t="s">
        <v>87</v>
      </c>
    </row>
    <row r="3311" spans="1:64" x14ac:dyDescent="0.3">
      <c r="A3311" t="str">
        <f>"202252B0000"</f>
        <v>202252B0000</v>
      </c>
      <c r="B3311" t="str">
        <f>"202252B00003"</f>
        <v>202252B00003</v>
      </c>
      <c r="C3311" t="str">
        <f t="shared" si="234"/>
        <v>20</v>
      </c>
      <c r="D3311" t="s">
        <v>81</v>
      </c>
      <c r="E3311" t="str">
        <f t="shared" si="237"/>
        <v>525</v>
      </c>
      <c r="F3311" t="s">
        <v>3537</v>
      </c>
      <c r="G3311" t="str">
        <f>"2252"</f>
        <v>2252</v>
      </c>
      <c r="H3311" t="str">
        <f>"0000"</f>
        <v>0000</v>
      </c>
      <c r="I3311" t="s">
        <v>83</v>
      </c>
      <c r="J3311">
        <v>0</v>
      </c>
      <c r="K3311">
        <v>1</v>
      </c>
      <c r="L3311">
        <v>3</v>
      </c>
      <c r="M3311">
        <v>228</v>
      </c>
      <c r="N3311">
        <v>368</v>
      </c>
      <c r="O3311">
        <v>10</v>
      </c>
      <c r="P3311">
        <v>368</v>
      </c>
      <c r="Q3311">
        <v>1</v>
      </c>
      <c r="R3311">
        <v>76</v>
      </c>
      <c r="S3311">
        <v>2</v>
      </c>
      <c r="T3311">
        <v>0</v>
      </c>
      <c r="U3311">
        <v>14</v>
      </c>
      <c r="V3311">
        <v>26</v>
      </c>
      <c r="X3311">
        <v>193</v>
      </c>
      <c r="Y3311">
        <v>40</v>
      </c>
      <c r="Z3311">
        <v>0</v>
      </c>
      <c r="AA3311">
        <v>3</v>
      </c>
      <c r="AB3311">
        <v>2</v>
      </c>
      <c r="AF3311">
        <v>2</v>
      </c>
      <c r="AG3311">
        <v>0</v>
      </c>
      <c r="AH3311">
        <v>0</v>
      </c>
      <c r="AI3311">
        <v>1</v>
      </c>
      <c r="AW3311">
        <v>0</v>
      </c>
      <c r="AX3311">
        <v>8</v>
      </c>
      <c r="AY3311">
        <v>368</v>
      </c>
      <c r="AZ3311">
        <v>368</v>
      </c>
      <c r="BA3311">
        <v>552</v>
      </c>
      <c r="BB3311">
        <v>44</v>
      </c>
      <c r="BD3311">
        <v>1</v>
      </c>
      <c r="BF3311" t="s">
        <v>3544</v>
      </c>
      <c r="BG3311" s="1">
        <v>44354.019444444442</v>
      </c>
      <c r="BH3311" s="1">
        <v>44354.027974537035</v>
      </c>
      <c r="BI3311" s="1">
        <v>44354.028449074074</v>
      </c>
      <c r="BJ3311" t="s">
        <v>85</v>
      </c>
      <c r="BK3311" t="s">
        <v>86</v>
      </c>
      <c r="BL3311" t="s">
        <v>87</v>
      </c>
    </row>
    <row r="3312" spans="1:64" x14ac:dyDescent="0.3">
      <c r="A3312" t="str">
        <f>"202252C0100"</f>
        <v>202252C0100</v>
      </c>
      <c r="B3312" t="str">
        <f>"202252C01003"</f>
        <v>202252C01003</v>
      </c>
      <c r="C3312" t="str">
        <f t="shared" si="234"/>
        <v>20</v>
      </c>
      <c r="D3312" t="s">
        <v>81</v>
      </c>
      <c r="E3312" t="str">
        <f t="shared" si="237"/>
        <v>525</v>
      </c>
      <c r="F3312" t="s">
        <v>3537</v>
      </c>
      <c r="G3312" t="str">
        <f>"2252"</f>
        <v>2252</v>
      </c>
      <c r="H3312" t="str">
        <f>"0001"</f>
        <v>0001</v>
      </c>
      <c r="I3312" t="s">
        <v>89</v>
      </c>
      <c r="J3312">
        <v>0</v>
      </c>
      <c r="K3312">
        <v>1</v>
      </c>
      <c r="L3312">
        <v>3</v>
      </c>
      <c r="M3312">
        <v>240</v>
      </c>
      <c r="N3312">
        <v>356</v>
      </c>
      <c r="O3312">
        <v>5</v>
      </c>
      <c r="P3312">
        <v>356</v>
      </c>
      <c r="Q3312">
        <v>0</v>
      </c>
      <c r="R3312">
        <v>72</v>
      </c>
      <c r="S3312">
        <v>4</v>
      </c>
      <c r="T3312">
        <v>0</v>
      </c>
      <c r="U3312">
        <v>16</v>
      </c>
      <c r="V3312">
        <v>15</v>
      </c>
      <c r="X3312">
        <v>189</v>
      </c>
      <c r="Y3312">
        <v>47</v>
      </c>
      <c r="Z3312">
        <v>0</v>
      </c>
      <c r="AA3312">
        <v>2</v>
      </c>
      <c r="AB3312">
        <v>0</v>
      </c>
      <c r="AF3312">
        <v>4</v>
      </c>
      <c r="AG3312">
        <v>1</v>
      </c>
      <c r="AH3312">
        <v>0</v>
      </c>
      <c r="AI3312">
        <v>0</v>
      </c>
      <c r="AW3312">
        <v>0</v>
      </c>
      <c r="AX3312">
        <v>6</v>
      </c>
      <c r="AY3312">
        <v>356</v>
      </c>
      <c r="AZ3312">
        <v>356</v>
      </c>
      <c r="BA3312">
        <v>552</v>
      </c>
      <c r="BB3312">
        <v>44</v>
      </c>
      <c r="BD3312">
        <v>1</v>
      </c>
      <c r="BF3312" t="s">
        <v>3545</v>
      </c>
      <c r="BG3312" s="1">
        <v>44354.01666666667</v>
      </c>
      <c r="BH3312" s="1">
        <v>44354.025046296294</v>
      </c>
      <c r="BI3312" s="1">
        <v>44354.025462962964</v>
      </c>
      <c r="BJ3312" t="s">
        <v>85</v>
      </c>
      <c r="BK3312" t="s">
        <v>86</v>
      </c>
      <c r="BL3312" t="s">
        <v>87</v>
      </c>
    </row>
    <row r="3313" spans="1:64" x14ac:dyDescent="0.3">
      <c r="A3313" t="str">
        <f>"202253B0000"</f>
        <v>202253B0000</v>
      </c>
      <c r="B3313" t="str">
        <f>"202253B00003"</f>
        <v>202253B00003</v>
      </c>
      <c r="C3313" t="str">
        <f t="shared" si="234"/>
        <v>20</v>
      </c>
      <c r="D3313" t="s">
        <v>81</v>
      </c>
      <c r="E3313" t="str">
        <f t="shared" si="237"/>
        <v>525</v>
      </c>
      <c r="F3313" t="s">
        <v>3537</v>
      </c>
      <c r="G3313" t="str">
        <f>"2253"</f>
        <v>2253</v>
      </c>
      <c r="H3313" t="str">
        <f>"0000"</f>
        <v>0000</v>
      </c>
      <c r="I3313" t="s">
        <v>83</v>
      </c>
      <c r="J3313">
        <v>0</v>
      </c>
      <c r="K3313">
        <v>1</v>
      </c>
      <c r="L3313">
        <v>3</v>
      </c>
      <c r="M3313">
        <v>205</v>
      </c>
      <c r="N3313">
        <v>403</v>
      </c>
      <c r="O3313">
        <v>2</v>
      </c>
      <c r="P3313">
        <v>403</v>
      </c>
      <c r="Q3313">
        <v>1</v>
      </c>
      <c r="R3313">
        <v>53</v>
      </c>
      <c r="S3313">
        <v>0</v>
      </c>
      <c r="T3313">
        <v>0</v>
      </c>
      <c r="U3313">
        <v>9</v>
      </c>
      <c r="V3313">
        <v>74</v>
      </c>
      <c r="X3313">
        <v>186</v>
      </c>
      <c r="Y3313">
        <v>65</v>
      </c>
      <c r="Z3313">
        <v>1</v>
      </c>
      <c r="AA3313">
        <v>1</v>
      </c>
      <c r="AB3313">
        <v>0</v>
      </c>
      <c r="AF3313">
        <v>5</v>
      </c>
      <c r="AG3313">
        <v>1</v>
      </c>
      <c r="AH3313">
        <v>0</v>
      </c>
      <c r="AI3313">
        <v>0</v>
      </c>
      <c r="AW3313">
        <v>0</v>
      </c>
      <c r="AX3313">
        <v>7</v>
      </c>
      <c r="AY3313">
        <v>403</v>
      </c>
      <c r="AZ3313">
        <v>403</v>
      </c>
      <c r="BA3313">
        <v>564</v>
      </c>
      <c r="BB3313">
        <v>44</v>
      </c>
      <c r="BD3313">
        <v>1</v>
      </c>
      <c r="BF3313" t="s">
        <v>3546</v>
      </c>
      <c r="BG3313" s="1">
        <v>44354.002083333333</v>
      </c>
      <c r="BH3313" s="1">
        <v>44354.0080787037</v>
      </c>
      <c r="BI3313" s="1">
        <v>44354.008657407408</v>
      </c>
      <c r="BJ3313" t="s">
        <v>85</v>
      </c>
      <c r="BK3313" t="s">
        <v>86</v>
      </c>
      <c r="BL3313" t="s">
        <v>87</v>
      </c>
    </row>
    <row r="3314" spans="1:64" x14ac:dyDescent="0.3">
      <c r="A3314" t="str">
        <f>"202253C0100"</f>
        <v>202253C0100</v>
      </c>
      <c r="B3314" t="str">
        <f>"202253C01003"</f>
        <v>202253C01003</v>
      </c>
      <c r="C3314" t="str">
        <f t="shared" si="234"/>
        <v>20</v>
      </c>
      <c r="D3314" t="s">
        <v>81</v>
      </c>
      <c r="E3314" t="str">
        <f t="shared" si="237"/>
        <v>525</v>
      </c>
      <c r="F3314" t="s">
        <v>3537</v>
      </c>
      <c r="G3314" t="str">
        <f>"2253"</f>
        <v>2253</v>
      </c>
      <c r="H3314" t="str">
        <f>"0001"</f>
        <v>0001</v>
      </c>
      <c r="I3314" t="s">
        <v>89</v>
      </c>
      <c r="J3314">
        <v>0</v>
      </c>
      <c r="K3314">
        <v>1</v>
      </c>
      <c r="L3314">
        <v>3</v>
      </c>
      <c r="M3314">
        <v>196</v>
      </c>
      <c r="N3314">
        <v>411</v>
      </c>
      <c r="O3314">
        <v>3</v>
      </c>
      <c r="P3314">
        <v>411</v>
      </c>
      <c r="Q3314">
        <v>1</v>
      </c>
      <c r="R3314">
        <v>48</v>
      </c>
      <c r="S3314">
        <v>3</v>
      </c>
      <c r="T3314">
        <v>1</v>
      </c>
      <c r="U3314">
        <v>19</v>
      </c>
      <c r="V3314">
        <v>59</v>
      </c>
      <c r="X3314">
        <v>182</v>
      </c>
      <c r="Y3314">
        <v>77</v>
      </c>
      <c r="Z3314">
        <v>1</v>
      </c>
      <c r="AA3314">
        <v>2</v>
      </c>
      <c r="AB3314">
        <v>1</v>
      </c>
      <c r="AF3314">
        <v>5</v>
      </c>
      <c r="AG3314">
        <v>0</v>
      </c>
      <c r="AH3314" t="s">
        <v>131</v>
      </c>
      <c r="AI3314">
        <v>1</v>
      </c>
      <c r="AW3314">
        <v>0</v>
      </c>
      <c r="AX3314">
        <v>11</v>
      </c>
      <c r="AY3314">
        <v>411</v>
      </c>
      <c r="AZ3314">
        <v>411</v>
      </c>
      <c r="BA3314">
        <v>563</v>
      </c>
      <c r="BB3314">
        <v>44</v>
      </c>
      <c r="BC3314" t="s">
        <v>96</v>
      </c>
      <c r="BD3314">
        <v>1</v>
      </c>
      <c r="BF3314" t="s">
        <v>3547</v>
      </c>
      <c r="BG3314" s="1">
        <v>44354.009027777778</v>
      </c>
      <c r="BH3314" s="1">
        <v>44354.015428240738</v>
      </c>
      <c r="BI3314" s="1">
        <v>44354.015833333331</v>
      </c>
      <c r="BJ3314" t="s">
        <v>85</v>
      </c>
      <c r="BK3314" t="s">
        <v>86</v>
      </c>
      <c r="BL3314" t="s">
        <v>87</v>
      </c>
    </row>
    <row r="3315" spans="1:64" x14ac:dyDescent="0.3">
      <c r="A3315" t="str">
        <f>"202253E0100"</f>
        <v>202253E0100</v>
      </c>
      <c r="B3315" t="str">
        <f>"202253E01003"</f>
        <v>202253E01003</v>
      </c>
      <c r="C3315" t="str">
        <f t="shared" si="234"/>
        <v>20</v>
      </c>
      <c r="D3315" t="s">
        <v>81</v>
      </c>
      <c r="E3315" t="str">
        <f t="shared" si="237"/>
        <v>525</v>
      </c>
      <c r="F3315" t="s">
        <v>3537</v>
      </c>
      <c r="G3315" t="str">
        <f>"2253"</f>
        <v>2253</v>
      </c>
      <c r="H3315" t="str">
        <f>"0001"</f>
        <v>0001</v>
      </c>
      <c r="I3315" t="s">
        <v>122</v>
      </c>
      <c r="J3315">
        <v>0</v>
      </c>
      <c r="K3315">
        <v>1</v>
      </c>
      <c r="L3315">
        <v>3</v>
      </c>
      <c r="M3315">
        <v>149</v>
      </c>
      <c r="N3315">
        <v>153</v>
      </c>
      <c r="O3315">
        <v>3</v>
      </c>
      <c r="P3315">
        <v>153</v>
      </c>
      <c r="Q3315" t="s">
        <v>95</v>
      </c>
      <c r="R3315">
        <v>23</v>
      </c>
      <c r="S3315" t="s">
        <v>95</v>
      </c>
      <c r="T3315" t="s">
        <v>95</v>
      </c>
      <c r="U3315">
        <v>2</v>
      </c>
      <c r="V3315">
        <v>5</v>
      </c>
      <c r="X3315">
        <v>90</v>
      </c>
      <c r="Y3315">
        <v>29</v>
      </c>
      <c r="Z3315" t="s">
        <v>95</v>
      </c>
      <c r="AA3315" t="s">
        <v>95</v>
      </c>
      <c r="AB3315" t="s">
        <v>95</v>
      </c>
      <c r="AF3315" t="s">
        <v>95</v>
      </c>
      <c r="AG3315" t="s">
        <v>95</v>
      </c>
      <c r="AH3315" t="s">
        <v>95</v>
      </c>
      <c r="AI3315" t="s">
        <v>95</v>
      </c>
      <c r="AW3315" t="s">
        <v>95</v>
      </c>
      <c r="AX3315">
        <v>4</v>
      </c>
      <c r="AY3315">
        <v>153</v>
      </c>
      <c r="AZ3315">
        <v>153</v>
      </c>
      <c r="BA3315">
        <v>259</v>
      </c>
      <c r="BB3315">
        <v>44</v>
      </c>
      <c r="BC3315" t="s">
        <v>96</v>
      </c>
      <c r="BD3315">
        <v>1</v>
      </c>
      <c r="BF3315" t="s">
        <v>3548</v>
      </c>
      <c r="BG3315" s="1">
        <v>44354.004166666666</v>
      </c>
      <c r="BH3315" s="1">
        <v>44354.010648148149</v>
      </c>
      <c r="BI3315" s="1">
        <v>44354.011273148149</v>
      </c>
      <c r="BJ3315" t="s">
        <v>85</v>
      </c>
      <c r="BK3315" t="s">
        <v>86</v>
      </c>
      <c r="BL3315" t="s">
        <v>87</v>
      </c>
    </row>
    <row r="3316" spans="1:64" x14ac:dyDescent="0.3">
      <c r="A3316" t="str">
        <f>"202254B0000"</f>
        <v>202254B0000</v>
      </c>
      <c r="B3316" t="str">
        <f>"202254B00003"</f>
        <v>202254B00003</v>
      </c>
      <c r="C3316" t="str">
        <f t="shared" si="234"/>
        <v>20</v>
      </c>
      <c r="D3316" t="s">
        <v>81</v>
      </c>
      <c r="E3316" t="str">
        <f t="shared" si="237"/>
        <v>525</v>
      </c>
      <c r="F3316" t="s">
        <v>3537</v>
      </c>
      <c r="G3316" t="str">
        <f>"2254"</f>
        <v>2254</v>
      </c>
      <c r="H3316" t="str">
        <f>"0000"</f>
        <v>0000</v>
      </c>
      <c r="I3316" t="s">
        <v>83</v>
      </c>
      <c r="J3316">
        <v>0</v>
      </c>
      <c r="K3316">
        <v>1</v>
      </c>
      <c r="L3316">
        <v>3</v>
      </c>
      <c r="M3316">
        <v>225</v>
      </c>
      <c r="N3316">
        <v>646</v>
      </c>
      <c r="O3316">
        <v>0</v>
      </c>
      <c r="P3316">
        <v>421</v>
      </c>
      <c r="Q3316">
        <v>2</v>
      </c>
      <c r="R3316">
        <v>73</v>
      </c>
      <c r="S3316">
        <v>4</v>
      </c>
      <c r="T3316">
        <v>1</v>
      </c>
      <c r="U3316">
        <v>13</v>
      </c>
      <c r="V3316">
        <v>96</v>
      </c>
      <c r="X3316">
        <v>159</v>
      </c>
      <c r="Y3316">
        <v>58</v>
      </c>
      <c r="Z3316">
        <v>3</v>
      </c>
      <c r="AA3316">
        <v>0</v>
      </c>
      <c r="AB3316">
        <v>3</v>
      </c>
      <c r="AF3316">
        <v>0</v>
      </c>
      <c r="AG3316">
        <v>0</v>
      </c>
      <c r="AH3316">
        <v>0</v>
      </c>
      <c r="AI3316">
        <v>0</v>
      </c>
      <c r="AW3316">
        <v>0</v>
      </c>
      <c r="AX3316">
        <v>9</v>
      </c>
      <c r="AY3316">
        <v>421</v>
      </c>
      <c r="AZ3316">
        <v>421</v>
      </c>
      <c r="BA3316">
        <v>602</v>
      </c>
      <c r="BB3316">
        <v>44</v>
      </c>
      <c r="BD3316">
        <v>1</v>
      </c>
      <c r="BF3316" t="s">
        <v>3549</v>
      </c>
      <c r="BG3316" s="1">
        <v>44354.004861111112</v>
      </c>
      <c r="BH3316" s="1">
        <v>44354.011122685188</v>
      </c>
      <c r="BI3316" s="1">
        <v>44354.011724537035</v>
      </c>
      <c r="BJ3316" t="s">
        <v>85</v>
      </c>
      <c r="BK3316" t="s">
        <v>86</v>
      </c>
      <c r="BL3316" t="s">
        <v>87</v>
      </c>
    </row>
    <row r="3317" spans="1:64" x14ac:dyDescent="0.3">
      <c r="A3317" t="str">
        <f>"202255B0000"</f>
        <v>202255B0000</v>
      </c>
      <c r="B3317" t="str">
        <f>"202255B00003"</f>
        <v>202255B00003</v>
      </c>
      <c r="C3317" t="str">
        <f t="shared" si="234"/>
        <v>20</v>
      </c>
      <c r="D3317" t="s">
        <v>81</v>
      </c>
      <c r="E3317" t="str">
        <f t="shared" si="237"/>
        <v>525</v>
      </c>
      <c r="F3317" t="s">
        <v>3537</v>
      </c>
      <c r="G3317" t="str">
        <f>"2255"</f>
        <v>2255</v>
      </c>
      <c r="H3317" t="str">
        <f>"0000"</f>
        <v>0000</v>
      </c>
      <c r="I3317" t="s">
        <v>83</v>
      </c>
      <c r="J3317">
        <v>0</v>
      </c>
      <c r="K3317">
        <v>1</v>
      </c>
      <c r="L3317">
        <v>3</v>
      </c>
      <c r="M3317">
        <v>194</v>
      </c>
      <c r="N3317">
        <v>317</v>
      </c>
      <c r="O3317">
        <v>0</v>
      </c>
      <c r="P3317">
        <v>317</v>
      </c>
      <c r="Q3317">
        <v>0</v>
      </c>
      <c r="R3317">
        <v>81</v>
      </c>
      <c r="S3317">
        <v>9</v>
      </c>
      <c r="T3317">
        <v>0</v>
      </c>
      <c r="U3317">
        <v>3</v>
      </c>
      <c r="V3317">
        <v>35</v>
      </c>
      <c r="X3317">
        <v>115</v>
      </c>
      <c r="Y3317">
        <v>70</v>
      </c>
      <c r="Z3317">
        <v>0</v>
      </c>
      <c r="AA3317">
        <v>0</v>
      </c>
      <c r="AB3317">
        <v>0</v>
      </c>
      <c r="AF3317">
        <v>0</v>
      </c>
      <c r="AG3317">
        <v>0</v>
      </c>
      <c r="AH3317">
        <v>0</v>
      </c>
      <c r="AI3317">
        <v>0</v>
      </c>
      <c r="AW3317">
        <v>0</v>
      </c>
      <c r="AX3317">
        <v>4</v>
      </c>
      <c r="AY3317">
        <v>317</v>
      </c>
      <c r="AZ3317">
        <v>317</v>
      </c>
      <c r="BA3317">
        <v>467</v>
      </c>
      <c r="BB3317">
        <v>44</v>
      </c>
      <c r="BD3317">
        <v>1</v>
      </c>
      <c r="BF3317" t="s">
        <v>3550</v>
      </c>
      <c r="BG3317" s="1">
        <v>44354.022222222222</v>
      </c>
      <c r="BH3317" s="1">
        <v>44354.030011574076</v>
      </c>
      <c r="BI3317" s="1">
        <v>44354.0309375</v>
      </c>
      <c r="BJ3317" t="s">
        <v>85</v>
      </c>
      <c r="BK3317" t="s">
        <v>86</v>
      </c>
      <c r="BL3317" t="s">
        <v>87</v>
      </c>
    </row>
    <row r="3318" spans="1:64" x14ac:dyDescent="0.3">
      <c r="A3318" t="str">
        <f>"202255C0100"</f>
        <v>202255C0100</v>
      </c>
      <c r="B3318" t="str">
        <f>"202255C01003"</f>
        <v>202255C01003</v>
      </c>
      <c r="C3318" t="str">
        <f t="shared" si="234"/>
        <v>20</v>
      </c>
      <c r="D3318" t="s">
        <v>81</v>
      </c>
      <c r="E3318" t="str">
        <f t="shared" si="237"/>
        <v>525</v>
      </c>
      <c r="F3318" t="s">
        <v>3537</v>
      </c>
      <c r="G3318" t="str">
        <f>"2255"</f>
        <v>2255</v>
      </c>
      <c r="H3318" t="str">
        <f>"0001"</f>
        <v>0001</v>
      </c>
      <c r="I3318" t="s">
        <v>89</v>
      </c>
      <c r="J3318">
        <v>0</v>
      </c>
      <c r="K3318">
        <v>1</v>
      </c>
      <c r="L3318">
        <v>3</v>
      </c>
      <c r="M3318">
        <v>213</v>
      </c>
      <c r="N3318">
        <v>297</v>
      </c>
      <c r="O3318">
        <v>0</v>
      </c>
      <c r="P3318">
        <v>297</v>
      </c>
      <c r="Q3318">
        <v>0</v>
      </c>
      <c r="R3318">
        <v>72</v>
      </c>
      <c r="S3318">
        <v>21</v>
      </c>
      <c r="T3318">
        <v>1</v>
      </c>
      <c r="U3318">
        <v>0</v>
      </c>
      <c r="V3318">
        <v>51</v>
      </c>
      <c r="X3318">
        <v>85</v>
      </c>
      <c r="Y3318">
        <v>62</v>
      </c>
      <c r="Z3318">
        <v>1</v>
      </c>
      <c r="AA3318">
        <v>1</v>
      </c>
      <c r="AB3318">
        <v>0</v>
      </c>
      <c r="AF3318">
        <v>0</v>
      </c>
      <c r="AG3318">
        <v>0</v>
      </c>
      <c r="AH3318">
        <v>0</v>
      </c>
      <c r="AI3318">
        <v>0</v>
      </c>
      <c r="AW3318">
        <v>0</v>
      </c>
      <c r="AX3318">
        <v>3</v>
      </c>
      <c r="AY3318">
        <v>297</v>
      </c>
      <c r="AZ3318">
        <v>297</v>
      </c>
      <c r="BA3318">
        <v>466</v>
      </c>
      <c r="BB3318">
        <v>44</v>
      </c>
      <c r="BD3318">
        <v>1</v>
      </c>
      <c r="BF3318" t="s">
        <v>3551</v>
      </c>
      <c r="BG3318" s="1">
        <v>44354.022222222222</v>
      </c>
      <c r="BH3318" s="1">
        <v>44354.030405092592</v>
      </c>
      <c r="BI3318" s="1">
        <v>44354.030972222223</v>
      </c>
      <c r="BJ3318" t="s">
        <v>85</v>
      </c>
      <c r="BK3318" t="s">
        <v>86</v>
      </c>
      <c r="BL3318" t="s">
        <v>87</v>
      </c>
    </row>
    <row r="3319" spans="1:64" x14ac:dyDescent="0.3">
      <c r="A3319" t="str">
        <f>"202256B0000"</f>
        <v>202256B0000</v>
      </c>
      <c r="B3319" t="str">
        <f>"202256B00003"</f>
        <v>202256B00003</v>
      </c>
      <c r="C3319" t="str">
        <f t="shared" si="234"/>
        <v>20</v>
      </c>
      <c r="D3319" t="s">
        <v>81</v>
      </c>
      <c r="E3319" t="str">
        <f t="shared" si="237"/>
        <v>525</v>
      </c>
      <c r="F3319" t="s">
        <v>3537</v>
      </c>
      <c r="G3319" t="str">
        <f>"2256"</f>
        <v>2256</v>
      </c>
      <c r="H3319" t="str">
        <f>"0000"</f>
        <v>0000</v>
      </c>
      <c r="I3319" t="s">
        <v>83</v>
      </c>
      <c r="J3319">
        <v>0</v>
      </c>
      <c r="K3319">
        <v>1</v>
      </c>
      <c r="L3319">
        <v>3</v>
      </c>
      <c r="M3319">
        <v>75</v>
      </c>
      <c r="N3319">
        <v>89</v>
      </c>
      <c r="O3319">
        <v>1</v>
      </c>
      <c r="P3319">
        <v>89</v>
      </c>
      <c r="Q3319">
        <v>0</v>
      </c>
      <c r="R3319">
        <v>1</v>
      </c>
      <c r="S3319">
        <v>0</v>
      </c>
      <c r="T3319">
        <v>0</v>
      </c>
      <c r="U3319">
        <v>1</v>
      </c>
      <c r="V3319">
        <v>2</v>
      </c>
      <c r="X3319">
        <v>65</v>
      </c>
      <c r="Y3319">
        <v>8</v>
      </c>
      <c r="Z3319">
        <v>0</v>
      </c>
      <c r="AA3319">
        <v>1</v>
      </c>
      <c r="AB3319">
        <v>0</v>
      </c>
      <c r="AF3319">
        <v>1</v>
      </c>
      <c r="AG3319">
        <v>0</v>
      </c>
      <c r="AH3319">
        <v>0</v>
      </c>
      <c r="AI3319">
        <v>0</v>
      </c>
      <c r="AW3319">
        <v>0</v>
      </c>
      <c r="AX3319">
        <v>1</v>
      </c>
      <c r="AY3319">
        <v>89</v>
      </c>
      <c r="AZ3319">
        <v>80</v>
      </c>
      <c r="BA3319">
        <v>120</v>
      </c>
      <c r="BB3319">
        <v>44</v>
      </c>
      <c r="BD3319">
        <v>1</v>
      </c>
      <c r="BF3319" t="s">
        <v>3552</v>
      </c>
      <c r="BG3319" s="1">
        <v>44354.043749999997</v>
      </c>
      <c r="BH3319" s="1">
        <v>44354.052256944444</v>
      </c>
      <c r="BI3319" s="1">
        <v>44354.053032407406</v>
      </c>
      <c r="BJ3319" t="s">
        <v>85</v>
      </c>
      <c r="BK3319" t="s">
        <v>86</v>
      </c>
      <c r="BL3319" t="s">
        <v>87</v>
      </c>
    </row>
    <row r="3320" spans="1:64" x14ac:dyDescent="0.3">
      <c r="A3320" t="str">
        <f>"202257B0000"</f>
        <v>202257B0000</v>
      </c>
      <c r="B3320" t="str">
        <f>"202257B00003"</f>
        <v>202257B00003</v>
      </c>
      <c r="C3320" t="str">
        <f t="shared" si="234"/>
        <v>20</v>
      </c>
      <c r="D3320" t="s">
        <v>81</v>
      </c>
      <c r="E3320" t="str">
        <f t="shared" si="237"/>
        <v>525</v>
      </c>
      <c r="F3320" t="s">
        <v>3537</v>
      </c>
      <c r="G3320" t="str">
        <f>"2257"</f>
        <v>2257</v>
      </c>
      <c r="H3320" t="str">
        <f>"0000"</f>
        <v>0000</v>
      </c>
      <c r="I3320" t="s">
        <v>83</v>
      </c>
      <c r="J3320">
        <v>0</v>
      </c>
      <c r="K3320">
        <v>1</v>
      </c>
      <c r="L3320">
        <v>3</v>
      </c>
      <c r="M3320">
        <v>205</v>
      </c>
      <c r="N3320">
        <v>256</v>
      </c>
      <c r="O3320">
        <v>0</v>
      </c>
      <c r="P3320">
        <v>256</v>
      </c>
      <c r="Q3320">
        <v>6</v>
      </c>
      <c r="R3320">
        <v>73</v>
      </c>
      <c r="S3320">
        <v>2</v>
      </c>
      <c r="T3320">
        <v>2</v>
      </c>
      <c r="U3320">
        <v>2</v>
      </c>
      <c r="V3320">
        <v>11</v>
      </c>
      <c r="X3320">
        <v>113</v>
      </c>
      <c r="Y3320">
        <v>36</v>
      </c>
      <c r="Z3320">
        <v>2</v>
      </c>
      <c r="AA3320">
        <v>2</v>
      </c>
      <c r="AB3320">
        <v>0</v>
      </c>
      <c r="AF3320">
        <v>5</v>
      </c>
      <c r="AG3320">
        <v>0</v>
      </c>
      <c r="AH3320">
        <v>0</v>
      </c>
      <c r="AI3320">
        <v>0</v>
      </c>
      <c r="AW3320">
        <v>0</v>
      </c>
      <c r="AX3320">
        <v>2</v>
      </c>
      <c r="AY3320">
        <v>256</v>
      </c>
      <c r="AZ3320">
        <v>256</v>
      </c>
      <c r="BA3320">
        <v>417</v>
      </c>
      <c r="BB3320">
        <v>44</v>
      </c>
      <c r="BD3320">
        <v>1</v>
      </c>
      <c r="BF3320" t="s">
        <v>3553</v>
      </c>
      <c r="BG3320" s="1">
        <v>44354.036111111112</v>
      </c>
      <c r="BH3320" s="1">
        <v>44354.04409722222</v>
      </c>
      <c r="BI3320" s="1">
        <v>44354.044675925928</v>
      </c>
      <c r="BJ3320" t="s">
        <v>85</v>
      </c>
      <c r="BK3320" t="s">
        <v>86</v>
      </c>
      <c r="BL3320" t="s">
        <v>87</v>
      </c>
    </row>
    <row r="3321" spans="1:64" x14ac:dyDescent="0.3">
      <c r="A3321" t="str">
        <f>"202257C0100"</f>
        <v>202257C0100</v>
      </c>
      <c r="B3321" t="str">
        <f>"202257C01003"</f>
        <v>202257C01003</v>
      </c>
      <c r="C3321" t="str">
        <f t="shared" si="234"/>
        <v>20</v>
      </c>
      <c r="D3321" t="s">
        <v>81</v>
      </c>
      <c r="E3321" t="str">
        <f t="shared" si="237"/>
        <v>525</v>
      </c>
      <c r="F3321" t="s">
        <v>3537</v>
      </c>
      <c r="G3321" t="str">
        <f>"2257"</f>
        <v>2257</v>
      </c>
      <c r="H3321" t="str">
        <f>"0001"</f>
        <v>0001</v>
      </c>
      <c r="I3321" t="s">
        <v>89</v>
      </c>
      <c r="J3321">
        <v>0</v>
      </c>
      <c r="K3321">
        <v>1</v>
      </c>
      <c r="L3321">
        <v>3</v>
      </c>
      <c r="M3321">
        <v>191</v>
      </c>
      <c r="N3321">
        <v>269</v>
      </c>
      <c r="O3321">
        <v>1</v>
      </c>
      <c r="P3321">
        <v>269</v>
      </c>
      <c r="Q3321">
        <v>0</v>
      </c>
      <c r="R3321">
        <v>68</v>
      </c>
      <c r="S3321">
        <v>3</v>
      </c>
      <c r="T3321">
        <v>2</v>
      </c>
      <c r="U3321">
        <v>8</v>
      </c>
      <c r="V3321">
        <v>25</v>
      </c>
      <c r="X3321">
        <v>94</v>
      </c>
      <c r="Y3321">
        <v>54</v>
      </c>
      <c r="Z3321">
        <v>1</v>
      </c>
      <c r="AA3321">
        <v>2</v>
      </c>
      <c r="AB3321">
        <v>1</v>
      </c>
      <c r="AF3321">
        <v>3</v>
      </c>
      <c r="AG3321">
        <v>0</v>
      </c>
      <c r="AH3321">
        <v>0</v>
      </c>
      <c r="AI3321">
        <v>1</v>
      </c>
      <c r="AW3321">
        <v>0</v>
      </c>
      <c r="AX3321">
        <v>7</v>
      </c>
      <c r="AY3321">
        <v>268</v>
      </c>
      <c r="AZ3321">
        <v>269</v>
      </c>
      <c r="BA3321">
        <v>416</v>
      </c>
      <c r="BB3321">
        <v>44</v>
      </c>
      <c r="BD3321">
        <v>1</v>
      </c>
      <c r="BF3321" t="s">
        <v>3554</v>
      </c>
      <c r="BG3321" s="1">
        <v>44354.04583333333</v>
      </c>
      <c r="BH3321" s="1">
        <v>44354.053749999999</v>
      </c>
      <c r="BI3321" s="1">
        <v>44354.054456018515</v>
      </c>
      <c r="BJ3321" t="s">
        <v>85</v>
      </c>
      <c r="BK3321" t="s">
        <v>86</v>
      </c>
      <c r="BL3321" t="s">
        <v>87</v>
      </c>
    </row>
    <row r="3322" spans="1:64" x14ac:dyDescent="0.3">
      <c r="A3322" t="str">
        <f>"202257E0100"</f>
        <v>202257E0100</v>
      </c>
      <c r="B3322" t="str">
        <f>"202257E01003"</f>
        <v>202257E01003</v>
      </c>
      <c r="C3322" t="str">
        <f t="shared" si="234"/>
        <v>20</v>
      </c>
      <c r="D3322" t="s">
        <v>81</v>
      </c>
      <c r="E3322" t="str">
        <f t="shared" si="237"/>
        <v>525</v>
      </c>
      <c r="F3322" t="s">
        <v>3537</v>
      </c>
      <c r="G3322" t="str">
        <f>"2257"</f>
        <v>2257</v>
      </c>
      <c r="H3322" t="str">
        <f>"0001"</f>
        <v>0001</v>
      </c>
      <c r="I3322" t="s">
        <v>122</v>
      </c>
      <c r="J3322">
        <v>0</v>
      </c>
      <c r="K3322">
        <v>1</v>
      </c>
      <c r="L3322">
        <v>3</v>
      </c>
      <c r="M3322">
        <v>134</v>
      </c>
      <c r="N3322">
        <v>239</v>
      </c>
      <c r="O3322">
        <v>3</v>
      </c>
      <c r="P3322">
        <v>239</v>
      </c>
      <c r="Q3322">
        <v>2</v>
      </c>
      <c r="R3322">
        <v>70</v>
      </c>
      <c r="S3322">
        <v>0</v>
      </c>
      <c r="T3322">
        <v>3</v>
      </c>
      <c r="U3322">
        <v>3</v>
      </c>
      <c r="V3322">
        <v>11</v>
      </c>
      <c r="X3322">
        <v>68</v>
      </c>
      <c r="Y3322">
        <v>70</v>
      </c>
      <c r="Z3322">
        <v>1</v>
      </c>
      <c r="AA3322">
        <v>0</v>
      </c>
      <c r="AB3322">
        <v>1</v>
      </c>
      <c r="AF3322">
        <v>1</v>
      </c>
      <c r="AG3322">
        <v>0</v>
      </c>
      <c r="AH3322">
        <v>0</v>
      </c>
      <c r="AI3322">
        <v>0</v>
      </c>
      <c r="AW3322">
        <v>0</v>
      </c>
      <c r="AX3322">
        <v>9</v>
      </c>
      <c r="AY3322">
        <v>239</v>
      </c>
      <c r="AZ3322">
        <v>239</v>
      </c>
      <c r="BA3322">
        <v>329</v>
      </c>
      <c r="BB3322">
        <v>44</v>
      </c>
      <c r="BD3322">
        <v>1</v>
      </c>
      <c r="BF3322" t="s">
        <v>3555</v>
      </c>
      <c r="BG3322" s="1">
        <v>44354.038194444445</v>
      </c>
      <c r="BH3322" s="1">
        <v>44354.047847222224</v>
      </c>
      <c r="BI3322" s="1">
        <v>44354.048310185186</v>
      </c>
      <c r="BJ3322" t="s">
        <v>85</v>
      </c>
      <c r="BK3322" t="s">
        <v>86</v>
      </c>
      <c r="BL3322" t="s">
        <v>87</v>
      </c>
    </row>
    <row r="3323" spans="1:64" x14ac:dyDescent="0.3">
      <c r="A3323" t="str">
        <f>"202275B0000"</f>
        <v>202275B0000</v>
      </c>
      <c r="B3323" t="str">
        <f>"202275B00003"</f>
        <v>202275B00003</v>
      </c>
      <c r="C3323" t="str">
        <f t="shared" si="234"/>
        <v>20</v>
      </c>
      <c r="D3323" t="s">
        <v>81</v>
      </c>
      <c r="E3323" t="str">
        <f t="shared" ref="E3323:E3338" si="238">"534"</f>
        <v>534</v>
      </c>
      <c r="F3323" t="s">
        <v>3556</v>
      </c>
      <c r="G3323" t="str">
        <f>"2275"</f>
        <v>2275</v>
      </c>
      <c r="H3323" t="str">
        <f>"0000"</f>
        <v>0000</v>
      </c>
      <c r="I3323" t="s">
        <v>83</v>
      </c>
      <c r="J3323">
        <v>0</v>
      </c>
      <c r="K3323">
        <v>1</v>
      </c>
      <c r="L3323">
        <v>3</v>
      </c>
      <c r="M3323">
        <v>292</v>
      </c>
      <c r="N3323">
        <v>428</v>
      </c>
      <c r="O3323">
        <v>6</v>
      </c>
      <c r="P3323">
        <v>428</v>
      </c>
      <c r="Q3323">
        <v>4</v>
      </c>
      <c r="R3323">
        <v>73</v>
      </c>
      <c r="S3323">
        <v>39</v>
      </c>
      <c r="T3323">
        <v>3</v>
      </c>
      <c r="U3323">
        <v>138</v>
      </c>
      <c r="X3323">
        <v>132</v>
      </c>
      <c r="Y3323">
        <v>0</v>
      </c>
      <c r="Z3323">
        <v>1</v>
      </c>
      <c r="AA3323">
        <v>5</v>
      </c>
      <c r="AF3323">
        <v>7</v>
      </c>
      <c r="AG3323">
        <v>0</v>
      </c>
      <c r="AH3323">
        <v>7</v>
      </c>
      <c r="AI3323">
        <v>2</v>
      </c>
      <c r="AW3323">
        <v>0</v>
      </c>
      <c r="AX3323">
        <v>17</v>
      </c>
      <c r="AY3323">
        <v>428</v>
      </c>
      <c r="AZ3323">
        <v>428</v>
      </c>
      <c r="BA3323">
        <v>676</v>
      </c>
      <c r="BB3323">
        <v>44</v>
      </c>
      <c r="BD3323">
        <v>1</v>
      </c>
      <c r="BF3323" t="s">
        <v>3557</v>
      </c>
      <c r="BG3323" s="1">
        <v>44354.070138888892</v>
      </c>
      <c r="BH3323" s="1">
        <v>44354.079953703702</v>
      </c>
      <c r="BI3323" s="1">
        <v>44354.080775462964</v>
      </c>
      <c r="BJ3323" t="s">
        <v>85</v>
      </c>
      <c r="BK3323" t="s">
        <v>86</v>
      </c>
      <c r="BL3323" t="s">
        <v>87</v>
      </c>
    </row>
    <row r="3324" spans="1:64" x14ac:dyDescent="0.3">
      <c r="A3324" t="str">
        <f>"202275C0100"</f>
        <v>202275C0100</v>
      </c>
      <c r="B3324" t="str">
        <f>"202275C01003"</f>
        <v>202275C01003</v>
      </c>
      <c r="C3324" t="str">
        <f t="shared" si="234"/>
        <v>20</v>
      </c>
      <c r="D3324" t="s">
        <v>81</v>
      </c>
      <c r="E3324" t="str">
        <f t="shared" si="238"/>
        <v>534</v>
      </c>
      <c r="F3324" t="s">
        <v>3556</v>
      </c>
      <c r="G3324" t="str">
        <f>"2275"</f>
        <v>2275</v>
      </c>
      <c r="H3324" t="str">
        <f>"0001"</f>
        <v>0001</v>
      </c>
      <c r="I3324" t="s">
        <v>89</v>
      </c>
      <c r="J3324">
        <v>0</v>
      </c>
      <c r="K3324">
        <v>1</v>
      </c>
      <c r="L3324">
        <v>3</v>
      </c>
      <c r="M3324">
        <v>251</v>
      </c>
      <c r="N3324">
        <v>469</v>
      </c>
      <c r="O3324">
        <v>10</v>
      </c>
      <c r="P3324">
        <v>469</v>
      </c>
      <c r="Q3324">
        <v>1</v>
      </c>
      <c r="R3324">
        <v>85</v>
      </c>
      <c r="S3324">
        <v>32</v>
      </c>
      <c r="T3324">
        <v>1</v>
      </c>
      <c r="U3324">
        <v>173</v>
      </c>
      <c r="X3324">
        <v>139</v>
      </c>
      <c r="Y3324">
        <v>0</v>
      </c>
      <c r="Z3324">
        <v>0</v>
      </c>
      <c r="AA3324">
        <v>3</v>
      </c>
      <c r="AF3324">
        <v>1</v>
      </c>
      <c r="AG3324">
        <v>15</v>
      </c>
      <c r="AH3324">
        <v>0</v>
      </c>
      <c r="AI3324">
        <v>3</v>
      </c>
      <c r="AW3324">
        <v>0</v>
      </c>
      <c r="AX3324">
        <v>16</v>
      </c>
      <c r="AY3324">
        <v>469</v>
      </c>
      <c r="AZ3324">
        <v>469</v>
      </c>
      <c r="BA3324">
        <v>676</v>
      </c>
      <c r="BB3324">
        <v>44</v>
      </c>
      <c r="BD3324">
        <v>1</v>
      </c>
      <c r="BF3324" t="s">
        <v>3558</v>
      </c>
      <c r="BG3324" s="1">
        <v>44353.992361111108</v>
      </c>
      <c r="BH3324" s="1">
        <v>44354.001446759263</v>
      </c>
      <c r="BI3324" s="1">
        <v>44354.002615740741</v>
      </c>
      <c r="BJ3324" t="s">
        <v>85</v>
      </c>
      <c r="BK3324" t="s">
        <v>86</v>
      </c>
      <c r="BL3324" t="s">
        <v>87</v>
      </c>
    </row>
    <row r="3325" spans="1:64" x14ac:dyDescent="0.3">
      <c r="A3325" t="str">
        <f>"202276B0000"</f>
        <v>202276B0000</v>
      </c>
      <c r="B3325" t="str">
        <f>"202276B00003"</f>
        <v>202276B00003</v>
      </c>
      <c r="C3325" t="str">
        <f t="shared" si="234"/>
        <v>20</v>
      </c>
      <c r="D3325" t="s">
        <v>81</v>
      </c>
      <c r="E3325" t="str">
        <f t="shared" si="238"/>
        <v>534</v>
      </c>
      <c r="F3325" t="s">
        <v>3556</v>
      </c>
      <c r="G3325" t="str">
        <f>"2276"</f>
        <v>2276</v>
      </c>
      <c r="H3325" t="str">
        <f>"0000"</f>
        <v>0000</v>
      </c>
      <c r="I3325" t="s">
        <v>83</v>
      </c>
      <c r="J3325">
        <v>0</v>
      </c>
      <c r="K3325">
        <v>1</v>
      </c>
      <c r="L3325">
        <v>3</v>
      </c>
      <c r="M3325">
        <v>262</v>
      </c>
      <c r="N3325">
        <v>369</v>
      </c>
      <c r="O3325">
        <v>0</v>
      </c>
      <c r="P3325">
        <v>369</v>
      </c>
      <c r="Q3325">
        <v>2</v>
      </c>
      <c r="R3325">
        <v>76</v>
      </c>
      <c r="S3325">
        <v>24</v>
      </c>
      <c r="T3325">
        <v>0</v>
      </c>
      <c r="U3325">
        <v>111</v>
      </c>
      <c r="X3325">
        <v>129</v>
      </c>
      <c r="Y3325">
        <v>0</v>
      </c>
      <c r="Z3325">
        <v>0</v>
      </c>
      <c r="AA3325">
        <v>0</v>
      </c>
      <c r="AF3325">
        <v>6</v>
      </c>
      <c r="AG3325">
        <v>0</v>
      </c>
      <c r="AH3325">
        <v>5</v>
      </c>
      <c r="AI3325">
        <v>6</v>
      </c>
      <c r="AW3325">
        <v>0</v>
      </c>
      <c r="AX3325">
        <v>10</v>
      </c>
      <c r="AY3325">
        <v>369</v>
      </c>
      <c r="AZ3325">
        <v>369</v>
      </c>
      <c r="BA3325">
        <v>588</v>
      </c>
      <c r="BB3325">
        <v>44</v>
      </c>
      <c r="BD3325">
        <v>1</v>
      </c>
      <c r="BF3325" t="s">
        <v>3559</v>
      </c>
      <c r="BG3325" s="1">
        <v>44354.022222222222</v>
      </c>
      <c r="BH3325" s="1">
        <v>44354.031273148146</v>
      </c>
      <c r="BI3325" s="1">
        <v>44354.031817129631</v>
      </c>
      <c r="BJ3325" t="s">
        <v>85</v>
      </c>
      <c r="BK3325" t="s">
        <v>86</v>
      </c>
      <c r="BL3325" t="s">
        <v>87</v>
      </c>
    </row>
    <row r="3326" spans="1:64" x14ac:dyDescent="0.3">
      <c r="A3326" t="str">
        <f>"202276C0100"</f>
        <v>202276C0100</v>
      </c>
      <c r="B3326" t="str">
        <f>"202276C01003"</f>
        <v>202276C01003</v>
      </c>
      <c r="C3326" t="str">
        <f t="shared" si="234"/>
        <v>20</v>
      </c>
      <c r="D3326" t="s">
        <v>81</v>
      </c>
      <c r="E3326" t="str">
        <f t="shared" si="238"/>
        <v>534</v>
      </c>
      <c r="F3326" t="s">
        <v>3556</v>
      </c>
      <c r="G3326" t="str">
        <f>"2276"</f>
        <v>2276</v>
      </c>
      <c r="H3326" t="str">
        <f>"0001"</f>
        <v>0001</v>
      </c>
      <c r="I3326" t="s">
        <v>89</v>
      </c>
      <c r="J3326">
        <v>0</v>
      </c>
      <c r="K3326">
        <v>1</v>
      </c>
      <c r="L3326">
        <v>3</v>
      </c>
      <c r="M3326">
        <v>235</v>
      </c>
      <c r="N3326">
        <v>396</v>
      </c>
      <c r="O3326">
        <v>2</v>
      </c>
      <c r="P3326" t="s">
        <v>92</v>
      </c>
      <c r="Q3326">
        <v>0</v>
      </c>
      <c r="R3326">
        <v>92</v>
      </c>
      <c r="S3326">
        <v>20</v>
      </c>
      <c r="T3326">
        <v>2</v>
      </c>
      <c r="U3326">
        <v>120</v>
      </c>
      <c r="X3326">
        <v>123</v>
      </c>
      <c r="Y3326">
        <v>0</v>
      </c>
      <c r="Z3326">
        <v>0</v>
      </c>
      <c r="AA3326">
        <v>3</v>
      </c>
      <c r="AF3326">
        <v>4</v>
      </c>
      <c r="AG3326">
        <v>1</v>
      </c>
      <c r="AH3326">
        <v>8</v>
      </c>
      <c r="AI3326">
        <v>2</v>
      </c>
      <c r="AW3326">
        <v>0</v>
      </c>
      <c r="AX3326">
        <v>21</v>
      </c>
      <c r="AY3326">
        <v>396</v>
      </c>
      <c r="AZ3326">
        <v>396</v>
      </c>
      <c r="BA3326">
        <v>587</v>
      </c>
      <c r="BB3326">
        <v>44</v>
      </c>
      <c r="BD3326">
        <v>1</v>
      </c>
      <c r="BF3326" t="s">
        <v>3560</v>
      </c>
      <c r="BG3326" s="1">
        <v>44354.030555555553</v>
      </c>
      <c r="BH3326" s="1">
        <v>44354.04078703704</v>
      </c>
      <c r="BI3326" s="1">
        <v>44354.041539351849</v>
      </c>
      <c r="BJ3326" t="s">
        <v>85</v>
      </c>
      <c r="BK3326" t="s">
        <v>86</v>
      </c>
      <c r="BL3326" t="s">
        <v>87</v>
      </c>
    </row>
    <row r="3327" spans="1:64" x14ac:dyDescent="0.3">
      <c r="A3327" t="str">
        <f>"202277B0000"</f>
        <v>202277B0000</v>
      </c>
      <c r="B3327" t="str">
        <f>"202277B00003"</f>
        <v>202277B00003</v>
      </c>
      <c r="C3327" t="str">
        <f t="shared" si="234"/>
        <v>20</v>
      </c>
      <c r="D3327" t="s">
        <v>81</v>
      </c>
      <c r="E3327" t="str">
        <f t="shared" si="238"/>
        <v>534</v>
      </c>
      <c r="F3327" t="s">
        <v>3556</v>
      </c>
      <c r="G3327" t="str">
        <f>"2277"</f>
        <v>2277</v>
      </c>
      <c r="H3327" t="str">
        <f t="shared" ref="H3327:H3340" si="239">"0000"</f>
        <v>0000</v>
      </c>
      <c r="I3327" t="s">
        <v>83</v>
      </c>
      <c r="J3327">
        <v>0</v>
      </c>
      <c r="K3327">
        <v>1</v>
      </c>
      <c r="L3327">
        <v>3</v>
      </c>
      <c r="M3327">
        <v>161</v>
      </c>
      <c r="N3327">
        <v>187</v>
      </c>
      <c r="O3327">
        <v>9</v>
      </c>
      <c r="P3327">
        <v>187</v>
      </c>
      <c r="Q3327">
        <v>0</v>
      </c>
      <c r="R3327">
        <v>100</v>
      </c>
      <c r="S3327">
        <v>2</v>
      </c>
      <c r="T3327">
        <v>0</v>
      </c>
      <c r="U3327">
        <v>61</v>
      </c>
      <c r="X3327">
        <v>15</v>
      </c>
      <c r="Y3327">
        <v>0</v>
      </c>
      <c r="Z3327">
        <v>1</v>
      </c>
      <c r="AA3327">
        <v>0</v>
      </c>
      <c r="AF3327">
        <v>1</v>
      </c>
      <c r="AG3327">
        <v>0</v>
      </c>
      <c r="AH3327">
        <v>0</v>
      </c>
      <c r="AI3327">
        <v>1</v>
      </c>
      <c r="AW3327">
        <v>0</v>
      </c>
      <c r="AX3327">
        <v>6</v>
      </c>
      <c r="AY3327">
        <v>187</v>
      </c>
      <c r="AZ3327">
        <v>187</v>
      </c>
      <c r="BA3327">
        <v>304</v>
      </c>
      <c r="BB3327">
        <v>44</v>
      </c>
      <c r="BD3327">
        <v>1</v>
      </c>
      <c r="BF3327" t="s">
        <v>3561</v>
      </c>
      <c r="BG3327" s="1">
        <v>44354.309027777781</v>
      </c>
      <c r="BH3327" s="1">
        <v>44354.311712962961</v>
      </c>
      <c r="BI3327" s="1">
        <v>44354.312118055554</v>
      </c>
      <c r="BJ3327" t="s">
        <v>85</v>
      </c>
      <c r="BK3327" t="s">
        <v>86</v>
      </c>
      <c r="BL3327" t="s">
        <v>87</v>
      </c>
    </row>
    <row r="3328" spans="1:64" x14ac:dyDescent="0.3">
      <c r="A3328" t="str">
        <f>"202278B0000"</f>
        <v>202278B0000</v>
      </c>
      <c r="B3328" t="str">
        <f>"202278B00003"</f>
        <v>202278B00003</v>
      </c>
      <c r="C3328" t="str">
        <f t="shared" si="234"/>
        <v>20</v>
      </c>
      <c r="D3328" t="s">
        <v>81</v>
      </c>
      <c r="E3328" t="str">
        <f t="shared" si="238"/>
        <v>534</v>
      </c>
      <c r="F3328" t="s">
        <v>3556</v>
      </c>
      <c r="G3328" t="str">
        <f>"2278"</f>
        <v>2278</v>
      </c>
      <c r="H3328" t="str">
        <f t="shared" si="239"/>
        <v>0000</v>
      </c>
      <c r="I3328" t="s">
        <v>83</v>
      </c>
      <c r="J3328">
        <v>0</v>
      </c>
      <c r="K3328">
        <v>1</v>
      </c>
      <c r="L3328">
        <v>3</v>
      </c>
      <c r="M3328">
        <v>212</v>
      </c>
      <c r="N3328">
        <v>129</v>
      </c>
      <c r="O3328">
        <v>8</v>
      </c>
      <c r="P3328">
        <v>129</v>
      </c>
      <c r="Q3328">
        <v>1</v>
      </c>
      <c r="R3328">
        <v>10</v>
      </c>
      <c r="S3328">
        <v>11</v>
      </c>
      <c r="T3328">
        <v>0</v>
      </c>
      <c r="U3328">
        <v>64</v>
      </c>
      <c r="X3328">
        <v>34</v>
      </c>
      <c r="Y3328">
        <v>0</v>
      </c>
      <c r="Z3328">
        <v>1</v>
      </c>
      <c r="AA3328">
        <v>0</v>
      </c>
      <c r="AF3328">
        <v>0</v>
      </c>
      <c r="AG3328">
        <v>0</v>
      </c>
      <c r="AH3328">
        <v>2</v>
      </c>
      <c r="AI3328">
        <v>0</v>
      </c>
      <c r="AW3328">
        <v>0</v>
      </c>
      <c r="AX3328">
        <v>6</v>
      </c>
      <c r="AY3328">
        <v>129</v>
      </c>
      <c r="AZ3328">
        <v>129</v>
      </c>
      <c r="BA3328">
        <v>297</v>
      </c>
      <c r="BB3328">
        <v>44</v>
      </c>
      <c r="BD3328">
        <v>1</v>
      </c>
      <c r="BF3328" t="s">
        <v>3562</v>
      </c>
      <c r="BG3328" s="1">
        <v>44354.311111111114</v>
      </c>
      <c r="BH3328" s="1">
        <v>44354.314780092594</v>
      </c>
      <c r="BI3328" s="1">
        <v>44354.315347222226</v>
      </c>
      <c r="BJ3328" t="s">
        <v>85</v>
      </c>
      <c r="BK3328" t="s">
        <v>86</v>
      </c>
      <c r="BL3328" t="s">
        <v>87</v>
      </c>
    </row>
    <row r="3329" spans="1:64" x14ac:dyDescent="0.3">
      <c r="A3329" t="str">
        <f>"202279B0000"</f>
        <v>202279B0000</v>
      </c>
      <c r="B3329" t="str">
        <f>"202279B00003"</f>
        <v>202279B00003</v>
      </c>
      <c r="C3329" t="str">
        <f t="shared" si="234"/>
        <v>20</v>
      </c>
      <c r="D3329" t="s">
        <v>81</v>
      </c>
      <c r="E3329" t="str">
        <f t="shared" si="238"/>
        <v>534</v>
      </c>
      <c r="F3329" t="s">
        <v>3556</v>
      </c>
      <c r="G3329" t="str">
        <f>"2279"</f>
        <v>2279</v>
      </c>
      <c r="H3329" t="str">
        <f t="shared" si="239"/>
        <v>0000</v>
      </c>
      <c r="I3329" t="s">
        <v>83</v>
      </c>
      <c r="J3329">
        <v>0</v>
      </c>
      <c r="K3329">
        <v>1</v>
      </c>
      <c r="L3329">
        <v>3</v>
      </c>
      <c r="M3329">
        <v>190</v>
      </c>
      <c r="N3329">
        <v>191</v>
      </c>
      <c r="O3329">
        <v>9</v>
      </c>
      <c r="P3329">
        <v>191</v>
      </c>
      <c r="Q3329">
        <v>2</v>
      </c>
      <c r="R3329">
        <v>42</v>
      </c>
      <c r="S3329">
        <v>9</v>
      </c>
      <c r="T3329">
        <v>1</v>
      </c>
      <c r="U3329">
        <v>91</v>
      </c>
      <c r="X3329">
        <v>30</v>
      </c>
      <c r="Y3329">
        <v>0</v>
      </c>
      <c r="Z3329">
        <v>3</v>
      </c>
      <c r="AA3329">
        <v>2</v>
      </c>
      <c r="AF3329">
        <v>0</v>
      </c>
      <c r="AG3329">
        <v>0</v>
      </c>
      <c r="AH3329">
        <v>0</v>
      </c>
      <c r="AI3329">
        <v>0</v>
      </c>
      <c r="AW3329">
        <v>0</v>
      </c>
      <c r="AX3329">
        <v>11</v>
      </c>
      <c r="AY3329">
        <v>191</v>
      </c>
      <c r="AZ3329">
        <v>191</v>
      </c>
      <c r="BA3329">
        <v>337</v>
      </c>
      <c r="BB3329">
        <v>44</v>
      </c>
      <c r="BD3329">
        <v>1</v>
      </c>
      <c r="BF3329" t="s">
        <v>3563</v>
      </c>
      <c r="BG3329" s="1">
        <v>44354.056944444441</v>
      </c>
      <c r="BH3329" s="1">
        <v>44354.066018518519</v>
      </c>
      <c r="BI3329" s="1">
        <v>44354.066435185188</v>
      </c>
      <c r="BJ3329" t="s">
        <v>85</v>
      </c>
      <c r="BK3329" t="s">
        <v>86</v>
      </c>
      <c r="BL3329" t="s">
        <v>87</v>
      </c>
    </row>
    <row r="3330" spans="1:64" x14ac:dyDescent="0.3">
      <c r="A3330" t="str">
        <f>"202280B0000"</f>
        <v>202280B0000</v>
      </c>
      <c r="B3330" t="str">
        <f>"202280B00003"</f>
        <v>202280B00003</v>
      </c>
      <c r="C3330" t="str">
        <f t="shared" si="234"/>
        <v>20</v>
      </c>
      <c r="D3330" t="s">
        <v>81</v>
      </c>
      <c r="E3330" t="str">
        <f t="shared" si="238"/>
        <v>534</v>
      </c>
      <c r="F3330" t="s">
        <v>3556</v>
      </c>
      <c r="G3330" t="str">
        <f>"2280"</f>
        <v>2280</v>
      </c>
      <c r="H3330" t="str">
        <f t="shared" si="239"/>
        <v>0000</v>
      </c>
      <c r="I3330" t="s">
        <v>83</v>
      </c>
      <c r="J3330">
        <v>0</v>
      </c>
      <c r="K3330">
        <v>1</v>
      </c>
      <c r="L3330">
        <v>3</v>
      </c>
      <c r="M3330">
        <v>71</v>
      </c>
      <c r="N3330">
        <v>76</v>
      </c>
      <c r="O3330">
        <v>5</v>
      </c>
      <c r="P3330">
        <v>76</v>
      </c>
      <c r="Q3330">
        <v>1</v>
      </c>
      <c r="R3330">
        <v>15</v>
      </c>
      <c r="S3330">
        <v>4</v>
      </c>
      <c r="T3330">
        <v>1</v>
      </c>
      <c r="U3330">
        <v>53</v>
      </c>
      <c r="X3330">
        <v>2</v>
      </c>
      <c r="Y3330">
        <v>0</v>
      </c>
      <c r="Z3330">
        <v>0</v>
      </c>
      <c r="AA3330">
        <v>0</v>
      </c>
      <c r="AF3330">
        <v>0</v>
      </c>
      <c r="AG3330">
        <v>0</v>
      </c>
      <c r="AH3330">
        <v>0</v>
      </c>
      <c r="AI3330">
        <v>0</v>
      </c>
      <c r="AW3330">
        <v>0</v>
      </c>
      <c r="AX3330">
        <v>0</v>
      </c>
      <c r="AY3330">
        <v>76</v>
      </c>
      <c r="AZ3330">
        <v>76</v>
      </c>
      <c r="BA3330">
        <v>103</v>
      </c>
      <c r="BB3330">
        <v>44</v>
      </c>
      <c r="BD3330">
        <v>1</v>
      </c>
      <c r="BF3330" t="s">
        <v>3564</v>
      </c>
      <c r="BG3330" s="1">
        <v>44354.304861111108</v>
      </c>
      <c r="BH3330" s="1">
        <v>44354.307743055557</v>
      </c>
      <c r="BI3330" s="1">
        <v>44354.308159722219</v>
      </c>
      <c r="BJ3330" t="s">
        <v>85</v>
      </c>
      <c r="BK3330" t="s">
        <v>86</v>
      </c>
      <c r="BL3330" t="s">
        <v>87</v>
      </c>
    </row>
    <row r="3331" spans="1:64" x14ac:dyDescent="0.3">
      <c r="A3331" t="str">
        <f>"202281B0000"</f>
        <v>202281B0000</v>
      </c>
      <c r="B3331" t="str">
        <f>"202281B00003"</f>
        <v>202281B00003</v>
      </c>
      <c r="C3331" t="str">
        <f t="shared" si="234"/>
        <v>20</v>
      </c>
      <c r="D3331" t="s">
        <v>81</v>
      </c>
      <c r="E3331" t="str">
        <f t="shared" si="238"/>
        <v>534</v>
      </c>
      <c r="F3331" t="s">
        <v>3556</v>
      </c>
      <c r="G3331" t="str">
        <f>"2281"</f>
        <v>2281</v>
      </c>
      <c r="H3331" t="str">
        <f t="shared" si="239"/>
        <v>0000</v>
      </c>
      <c r="I3331" t="s">
        <v>83</v>
      </c>
      <c r="J3331">
        <v>0</v>
      </c>
      <c r="K3331">
        <v>1</v>
      </c>
      <c r="L3331">
        <v>3</v>
      </c>
      <c r="M3331">
        <v>274</v>
      </c>
      <c r="N3331">
        <v>112</v>
      </c>
      <c r="O3331">
        <v>9</v>
      </c>
      <c r="P3331">
        <v>112</v>
      </c>
      <c r="Q3331">
        <v>3</v>
      </c>
      <c r="R3331">
        <v>25</v>
      </c>
      <c r="S3331">
        <v>4</v>
      </c>
      <c r="T3331">
        <v>3</v>
      </c>
      <c r="U3331">
        <v>15</v>
      </c>
      <c r="X3331">
        <v>48</v>
      </c>
      <c r="Y3331">
        <v>1</v>
      </c>
      <c r="Z3331">
        <v>2</v>
      </c>
      <c r="AA3331">
        <v>2</v>
      </c>
      <c r="AF3331">
        <v>0</v>
      </c>
      <c r="AG3331">
        <v>0</v>
      </c>
      <c r="AH3331">
        <v>1</v>
      </c>
      <c r="AI3331">
        <v>2</v>
      </c>
      <c r="AW3331">
        <v>0</v>
      </c>
      <c r="AX3331">
        <v>6</v>
      </c>
      <c r="AY3331">
        <v>112</v>
      </c>
      <c r="AZ3331">
        <v>112</v>
      </c>
      <c r="BA3331">
        <v>342</v>
      </c>
      <c r="BB3331">
        <v>44</v>
      </c>
      <c r="BD3331">
        <v>1</v>
      </c>
      <c r="BF3331" t="s">
        <v>3565</v>
      </c>
      <c r="BG3331" s="1">
        <v>44354.307638888888</v>
      </c>
      <c r="BH3331" s="1">
        <v>44354.309953703705</v>
      </c>
      <c r="BI3331" s="1">
        <v>44354.310393518521</v>
      </c>
      <c r="BJ3331" t="s">
        <v>85</v>
      </c>
      <c r="BK3331" t="s">
        <v>86</v>
      </c>
      <c r="BL3331" t="s">
        <v>87</v>
      </c>
    </row>
    <row r="3332" spans="1:64" x14ac:dyDescent="0.3">
      <c r="A3332" t="str">
        <f>"202282B0000"</f>
        <v>202282B0000</v>
      </c>
      <c r="B3332" t="str">
        <f>"202282B00003"</f>
        <v>202282B00003</v>
      </c>
      <c r="C3332" t="str">
        <f t="shared" si="234"/>
        <v>20</v>
      </c>
      <c r="D3332" t="s">
        <v>81</v>
      </c>
      <c r="E3332" t="str">
        <f t="shared" si="238"/>
        <v>534</v>
      </c>
      <c r="F3332" t="s">
        <v>3556</v>
      </c>
      <c r="G3332" t="str">
        <f>"2282"</f>
        <v>2282</v>
      </c>
      <c r="H3332" t="str">
        <f t="shared" si="239"/>
        <v>0000</v>
      </c>
      <c r="I3332" t="s">
        <v>83</v>
      </c>
      <c r="J3332">
        <v>0</v>
      </c>
      <c r="K3332">
        <v>1</v>
      </c>
      <c r="L3332">
        <v>3</v>
      </c>
      <c r="M3332">
        <v>200</v>
      </c>
      <c r="N3332">
        <v>123</v>
      </c>
      <c r="O3332">
        <v>10</v>
      </c>
      <c r="P3332">
        <v>123</v>
      </c>
      <c r="Q3332">
        <v>3</v>
      </c>
      <c r="R3332">
        <v>23</v>
      </c>
      <c r="S3332">
        <v>6</v>
      </c>
      <c r="T3332">
        <v>2</v>
      </c>
      <c r="U3332">
        <v>33</v>
      </c>
      <c r="X3332">
        <v>49</v>
      </c>
      <c r="Y3332">
        <v>0</v>
      </c>
      <c r="Z3332">
        <v>0</v>
      </c>
      <c r="AA3332">
        <v>1</v>
      </c>
      <c r="AF3332">
        <v>2</v>
      </c>
      <c r="AG3332">
        <v>0</v>
      </c>
      <c r="AH3332">
        <v>0</v>
      </c>
      <c r="AI3332">
        <v>0</v>
      </c>
      <c r="AW3332">
        <v>0</v>
      </c>
      <c r="AX3332">
        <v>4</v>
      </c>
      <c r="AY3332">
        <v>123</v>
      </c>
      <c r="AZ3332">
        <v>123</v>
      </c>
      <c r="BA3332">
        <v>279</v>
      </c>
      <c r="BB3332">
        <v>44</v>
      </c>
      <c r="BD3332">
        <v>1</v>
      </c>
      <c r="BF3332" t="s">
        <v>3566</v>
      </c>
      <c r="BG3332" s="1">
        <v>44354.038194444445</v>
      </c>
      <c r="BH3332" s="1">
        <v>44354.049907407411</v>
      </c>
      <c r="BI3332" s="1">
        <v>44354.050717592596</v>
      </c>
      <c r="BJ3332" t="s">
        <v>85</v>
      </c>
      <c r="BK3332" t="s">
        <v>86</v>
      </c>
      <c r="BL3332" t="s">
        <v>87</v>
      </c>
    </row>
    <row r="3333" spans="1:64" x14ac:dyDescent="0.3">
      <c r="A3333" t="str">
        <f>"202283B0000"</f>
        <v>202283B0000</v>
      </c>
      <c r="B3333" t="str">
        <f>"202283B00003"</f>
        <v>202283B00003</v>
      </c>
      <c r="C3333" t="str">
        <f t="shared" si="234"/>
        <v>20</v>
      </c>
      <c r="D3333" t="s">
        <v>81</v>
      </c>
      <c r="E3333" t="str">
        <f t="shared" si="238"/>
        <v>534</v>
      </c>
      <c r="F3333" t="s">
        <v>3556</v>
      </c>
      <c r="G3333" t="str">
        <f>"2283"</f>
        <v>2283</v>
      </c>
      <c r="H3333" t="str">
        <f t="shared" si="239"/>
        <v>0000</v>
      </c>
      <c r="I3333" t="s">
        <v>83</v>
      </c>
      <c r="J3333">
        <v>0</v>
      </c>
      <c r="K3333">
        <v>1</v>
      </c>
      <c r="L3333">
        <v>3</v>
      </c>
      <c r="M3333">
        <v>124</v>
      </c>
      <c r="N3333">
        <v>111</v>
      </c>
      <c r="O3333">
        <v>11</v>
      </c>
      <c r="P3333">
        <v>111</v>
      </c>
      <c r="Q3333">
        <v>0</v>
      </c>
      <c r="R3333">
        <v>29</v>
      </c>
      <c r="S3333">
        <v>10</v>
      </c>
      <c r="T3333">
        <v>1</v>
      </c>
      <c r="U3333">
        <v>7</v>
      </c>
      <c r="X3333">
        <v>56</v>
      </c>
      <c r="Y3333">
        <v>0</v>
      </c>
      <c r="Z3333">
        <v>0</v>
      </c>
      <c r="AA3333">
        <v>1</v>
      </c>
      <c r="AF3333">
        <v>1</v>
      </c>
      <c r="AG3333">
        <v>0</v>
      </c>
      <c r="AH3333">
        <v>3</v>
      </c>
      <c r="AI3333">
        <v>0</v>
      </c>
      <c r="AW3333">
        <v>0</v>
      </c>
      <c r="AX3333">
        <v>3</v>
      </c>
      <c r="AY3333">
        <v>111</v>
      </c>
      <c r="AZ3333">
        <v>111</v>
      </c>
      <c r="BA3333">
        <v>191</v>
      </c>
      <c r="BB3333">
        <v>44</v>
      </c>
      <c r="BD3333">
        <v>1</v>
      </c>
      <c r="BF3333" t="s">
        <v>3567</v>
      </c>
      <c r="BG3333" s="1">
        <v>44354.035416666666</v>
      </c>
      <c r="BH3333" s="1">
        <v>44354.046898148146</v>
      </c>
      <c r="BI3333" s="1">
        <v>44354.047395833331</v>
      </c>
      <c r="BJ3333" t="s">
        <v>85</v>
      </c>
      <c r="BK3333" t="s">
        <v>86</v>
      </c>
      <c r="BL3333" t="s">
        <v>87</v>
      </c>
    </row>
    <row r="3334" spans="1:64" x14ac:dyDescent="0.3">
      <c r="A3334" t="str">
        <f>"202284B0000"</f>
        <v>202284B0000</v>
      </c>
      <c r="B3334" t="str">
        <f>"202284B00003"</f>
        <v>202284B00003</v>
      </c>
      <c r="C3334" t="str">
        <f t="shared" si="234"/>
        <v>20</v>
      </c>
      <c r="D3334" t="s">
        <v>81</v>
      </c>
      <c r="E3334" t="str">
        <f t="shared" si="238"/>
        <v>534</v>
      </c>
      <c r="F3334" t="s">
        <v>3556</v>
      </c>
      <c r="G3334" t="str">
        <f>"2284"</f>
        <v>2284</v>
      </c>
      <c r="H3334" t="str">
        <f t="shared" si="239"/>
        <v>0000</v>
      </c>
      <c r="I3334" t="s">
        <v>83</v>
      </c>
      <c r="J3334">
        <v>0</v>
      </c>
      <c r="K3334">
        <v>1</v>
      </c>
      <c r="L3334">
        <v>3</v>
      </c>
      <c r="M3334">
        <v>108</v>
      </c>
      <c r="N3334">
        <v>162</v>
      </c>
      <c r="O3334">
        <v>10</v>
      </c>
      <c r="P3334">
        <v>162</v>
      </c>
      <c r="Q3334">
        <v>5</v>
      </c>
      <c r="R3334">
        <v>19</v>
      </c>
      <c r="S3334">
        <v>6</v>
      </c>
      <c r="T3334">
        <v>0</v>
      </c>
      <c r="U3334">
        <v>37</v>
      </c>
      <c r="X3334">
        <v>63</v>
      </c>
      <c r="Y3334">
        <v>1</v>
      </c>
      <c r="Z3334">
        <v>0</v>
      </c>
      <c r="AA3334">
        <v>2</v>
      </c>
      <c r="AF3334">
        <v>1</v>
      </c>
      <c r="AG3334">
        <v>0</v>
      </c>
      <c r="AH3334">
        <v>18</v>
      </c>
      <c r="AI3334">
        <v>0</v>
      </c>
      <c r="AW3334">
        <v>0</v>
      </c>
      <c r="AX3334">
        <v>10</v>
      </c>
      <c r="AY3334">
        <v>162</v>
      </c>
      <c r="AZ3334">
        <v>162</v>
      </c>
      <c r="BA3334">
        <v>226</v>
      </c>
      <c r="BB3334">
        <v>44</v>
      </c>
      <c r="BD3334">
        <v>1</v>
      </c>
      <c r="BF3334" t="s">
        <v>3568</v>
      </c>
      <c r="BG3334" s="1">
        <v>44354.027083333334</v>
      </c>
      <c r="BH3334" s="1">
        <v>44354.038263888891</v>
      </c>
      <c r="BI3334" s="1">
        <v>44354.039548611108</v>
      </c>
      <c r="BJ3334" t="s">
        <v>85</v>
      </c>
      <c r="BK3334" t="s">
        <v>86</v>
      </c>
      <c r="BL3334" t="s">
        <v>87</v>
      </c>
    </row>
    <row r="3335" spans="1:64" x14ac:dyDescent="0.3">
      <c r="A3335" t="str">
        <f>"202285B0000"</f>
        <v>202285B0000</v>
      </c>
      <c r="B3335" t="str">
        <f>"202285B00003"</f>
        <v>202285B00003</v>
      </c>
      <c r="C3335" t="str">
        <f t="shared" ref="C3335:C3398" si="240">"20"</f>
        <v>20</v>
      </c>
      <c r="D3335" t="s">
        <v>81</v>
      </c>
      <c r="E3335" t="str">
        <f t="shared" si="238"/>
        <v>534</v>
      </c>
      <c r="F3335" t="s">
        <v>3556</v>
      </c>
      <c r="G3335" t="str">
        <f>"2285"</f>
        <v>2285</v>
      </c>
      <c r="H3335" t="str">
        <f t="shared" si="239"/>
        <v>0000</v>
      </c>
      <c r="I3335" t="s">
        <v>83</v>
      </c>
      <c r="J3335">
        <v>0</v>
      </c>
      <c r="K3335">
        <v>1</v>
      </c>
      <c r="L3335">
        <v>3</v>
      </c>
      <c r="M3335">
        <v>195</v>
      </c>
      <c r="N3335">
        <v>108</v>
      </c>
      <c r="O3335">
        <v>7</v>
      </c>
      <c r="P3335">
        <v>108</v>
      </c>
      <c r="Q3335">
        <v>5</v>
      </c>
      <c r="R3335">
        <v>17</v>
      </c>
      <c r="S3335">
        <v>2</v>
      </c>
      <c r="T3335">
        <v>2</v>
      </c>
      <c r="U3335">
        <v>2</v>
      </c>
      <c r="X3335">
        <v>75</v>
      </c>
      <c r="Y3335">
        <v>0</v>
      </c>
      <c r="Z3335">
        <v>0</v>
      </c>
      <c r="AA3335">
        <v>4</v>
      </c>
      <c r="AF3335">
        <v>0</v>
      </c>
      <c r="AG3335">
        <v>0</v>
      </c>
      <c r="AH3335">
        <v>0</v>
      </c>
      <c r="AI3335">
        <v>0</v>
      </c>
      <c r="AW3335">
        <v>0</v>
      </c>
      <c r="AX3335">
        <v>1</v>
      </c>
      <c r="AY3335">
        <v>108</v>
      </c>
      <c r="AZ3335">
        <v>108</v>
      </c>
      <c r="BA3335">
        <v>259</v>
      </c>
      <c r="BB3335">
        <v>44</v>
      </c>
      <c r="BD3335">
        <v>1</v>
      </c>
      <c r="BF3335" t="s">
        <v>3569</v>
      </c>
      <c r="BG3335" s="1">
        <v>44354.054166666669</v>
      </c>
      <c r="BH3335" s="1">
        <v>44354.062372685185</v>
      </c>
      <c r="BI3335" s="1">
        <v>44354.062939814816</v>
      </c>
      <c r="BJ3335" t="s">
        <v>85</v>
      </c>
      <c r="BK3335" t="s">
        <v>86</v>
      </c>
      <c r="BL3335" t="s">
        <v>87</v>
      </c>
    </row>
    <row r="3336" spans="1:64" x14ac:dyDescent="0.3">
      <c r="A3336" t="str">
        <f>"202286B0000"</f>
        <v>202286B0000</v>
      </c>
      <c r="B3336" t="str">
        <f>"202286B00003"</f>
        <v>202286B00003</v>
      </c>
      <c r="C3336" t="str">
        <f t="shared" si="240"/>
        <v>20</v>
      </c>
      <c r="D3336" t="s">
        <v>81</v>
      </c>
      <c r="E3336" t="str">
        <f t="shared" si="238"/>
        <v>534</v>
      </c>
      <c r="F3336" t="s">
        <v>3556</v>
      </c>
      <c r="G3336" t="str">
        <f>"2286"</f>
        <v>2286</v>
      </c>
      <c r="H3336" t="str">
        <f t="shared" si="239"/>
        <v>0000</v>
      </c>
      <c r="I3336" t="s">
        <v>83</v>
      </c>
      <c r="J3336">
        <v>0</v>
      </c>
      <c r="K3336">
        <v>1</v>
      </c>
      <c r="L3336">
        <v>3</v>
      </c>
      <c r="M3336">
        <v>118</v>
      </c>
      <c r="N3336">
        <v>121</v>
      </c>
      <c r="O3336">
        <v>8</v>
      </c>
      <c r="P3336">
        <v>121</v>
      </c>
      <c r="Q3336">
        <v>7</v>
      </c>
      <c r="R3336">
        <v>36</v>
      </c>
      <c r="S3336">
        <v>2</v>
      </c>
      <c r="T3336">
        <v>2</v>
      </c>
      <c r="U3336">
        <v>32</v>
      </c>
      <c r="X3336">
        <v>36</v>
      </c>
      <c r="Y3336">
        <v>0</v>
      </c>
      <c r="Z3336">
        <v>1</v>
      </c>
      <c r="AA3336">
        <v>0</v>
      </c>
      <c r="AF3336">
        <v>2</v>
      </c>
      <c r="AG3336">
        <v>0</v>
      </c>
      <c r="AH3336">
        <v>0</v>
      </c>
      <c r="AI3336">
        <v>0</v>
      </c>
      <c r="AW3336">
        <v>0</v>
      </c>
      <c r="AX3336">
        <v>3</v>
      </c>
      <c r="AY3336">
        <v>121</v>
      </c>
      <c r="AZ3336">
        <v>121</v>
      </c>
      <c r="BA3336">
        <v>195</v>
      </c>
      <c r="BB3336">
        <v>44</v>
      </c>
      <c r="BD3336">
        <v>1</v>
      </c>
      <c r="BF3336" t="s">
        <v>3570</v>
      </c>
      <c r="BG3336" s="1">
        <v>44354.090277777781</v>
      </c>
      <c r="BH3336" s="1">
        <v>44354.096828703703</v>
      </c>
      <c r="BI3336" s="1">
        <v>44354.097430555557</v>
      </c>
      <c r="BJ3336" t="s">
        <v>85</v>
      </c>
      <c r="BK3336" t="s">
        <v>86</v>
      </c>
      <c r="BL3336" t="s">
        <v>87</v>
      </c>
    </row>
    <row r="3337" spans="1:64" x14ac:dyDescent="0.3">
      <c r="A3337" t="str">
        <f>"202287B0000"</f>
        <v>202287B0000</v>
      </c>
      <c r="B3337" t="str">
        <f>"202287B00003"</f>
        <v>202287B00003</v>
      </c>
      <c r="C3337" t="str">
        <f t="shared" si="240"/>
        <v>20</v>
      </c>
      <c r="D3337" t="s">
        <v>81</v>
      </c>
      <c r="E3337" t="str">
        <f t="shared" si="238"/>
        <v>534</v>
      </c>
      <c r="F3337" t="s">
        <v>3556</v>
      </c>
      <c r="G3337" t="str">
        <f>"2287"</f>
        <v>2287</v>
      </c>
      <c r="H3337" t="str">
        <f t="shared" si="239"/>
        <v>0000</v>
      </c>
      <c r="I3337" t="s">
        <v>83</v>
      </c>
      <c r="J3337">
        <v>0</v>
      </c>
      <c r="K3337">
        <v>1</v>
      </c>
      <c r="L3337">
        <v>3</v>
      </c>
      <c r="M3337">
        <v>163</v>
      </c>
      <c r="N3337">
        <v>124</v>
      </c>
      <c r="O3337">
        <v>10</v>
      </c>
      <c r="P3337">
        <v>125</v>
      </c>
      <c r="Q3337">
        <v>3</v>
      </c>
      <c r="R3337">
        <v>37</v>
      </c>
      <c r="S3337">
        <v>11</v>
      </c>
      <c r="T3337">
        <v>0</v>
      </c>
      <c r="U3337">
        <v>5</v>
      </c>
      <c r="X3337">
        <v>39</v>
      </c>
      <c r="Y3337">
        <v>0</v>
      </c>
      <c r="Z3337">
        <v>0</v>
      </c>
      <c r="AA3337">
        <v>0</v>
      </c>
      <c r="AF3337">
        <v>10</v>
      </c>
      <c r="AG3337">
        <v>0</v>
      </c>
      <c r="AH3337">
        <v>0</v>
      </c>
      <c r="AI3337">
        <v>0</v>
      </c>
      <c r="AW3337">
        <v>0</v>
      </c>
      <c r="AX3337">
        <v>20</v>
      </c>
      <c r="AY3337">
        <v>125</v>
      </c>
      <c r="AZ3337">
        <v>125</v>
      </c>
      <c r="BA3337">
        <v>244</v>
      </c>
      <c r="BB3337">
        <v>44</v>
      </c>
      <c r="BD3337">
        <v>1</v>
      </c>
      <c r="BF3337" t="s">
        <v>3571</v>
      </c>
      <c r="BG3337" s="1">
        <v>44354.075694444444</v>
      </c>
      <c r="BH3337" s="1">
        <v>44354.085312499999</v>
      </c>
      <c r="BI3337" s="1">
        <v>44354.086030092592</v>
      </c>
      <c r="BJ3337" t="s">
        <v>85</v>
      </c>
      <c r="BK3337" t="s">
        <v>86</v>
      </c>
      <c r="BL3337" t="s">
        <v>87</v>
      </c>
    </row>
    <row r="3338" spans="1:64" x14ac:dyDescent="0.3">
      <c r="A3338" t="str">
        <f>"202289B0000"</f>
        <v>202289B0000</v>
      </c>
      <c r="B3338" t="str">
        <f>"202289B00003"</f>
        <v>202289B00003</v>
      </c>
      <c r="C3338" t="str">
        <f t="shared" si="240"/>
        <v>20</v>
      </c>
      <c r="D3338" t="s">
        <v>81</v>
      </c>
      <c r="E3338" t="str">
        <f t="shared" si="238"/>
        <v>534</v>
      </c>
      <c r="F3338" t="s">
        <v>3556</v>
      </c>
      <c r="G3338" t="str">
        <f>"2289"</f>
        <v>2289</v>
      </c>
      <c r="H3338" t="str">
        <f t="shared" si="239"/>
        <v>0000</v>
      </c>
      <c r="I3338" t="s">
        <v>83</v>
      </c>
      <c r="J3338">
        <v>0</v>
      </c>
      <c r="K3338">
        <v>1</v>
      </c>
      <c r="L3338">
        <v>3</v>
      </c>
      <c r="M3338">
        <v>152</v>
      </c>
      <c r="N3338">
        <v>114</v>
      </c>
      <c r="O3338">
        <v>6</v>
      </c>
      <c r="P3338">
        <v>114</v>
      </c>
      <c r="Q3338">
        <v>6</v>
      </c>
      <c r="R3338">
        <v>40</v>
      </c>
      <c r="S3338">
        <v>6</v>
      </c>
      <c r="T3338">
        <v>1</v>
      </c>
      <c r="U3338">
        <v>28</v>
      </c>
      <c r="X3338">
        <v>15</v>
      </c>
      <c r="Y3338">
        <v>1</v>
      </c>
      <c r="Z3338">
        <v>2</v>
      </c>
      <c r="AA3338">
        <v>0</v>
      </c>
      <c r="AF3338">
        <v>2</v>
      </c>
      <c r="AG3338">
        <v>0</v>
      </c>
      <c r="AH3338">
        <v>0</v>
      </c>
      <c r="AI3338">
        <v>1</v>
      </c>
      <c r="AW3338">
        <v>0</v>
      </c>
      <c r="AX3338">
        <v>12</v>
      </c>
      <c r="AY3338">
        <v>114</v>
      </c>
      <c r="AZ3338">
        <v>114</v>
      </c>
      <c r="BA3338">
        <v>222</v>
      </c>
      <c r="BB3338">
        <v>44</v>
      </c>
      <c r="BD3338">
        <v>1</v>
      </c>
      <c r="BF3338" t="s">
        <v>3572</v>
      </c>
      <c r="BG3338" s="1">
        <v>44354.073611111111</v>
      </c>
      <c r="BH3338" s="1">
        <v>44354.082314814812</v>
      </c>
      <c r="BI3338" s="1">
        <v>44354.082719907405</v>
      </c>
      <c r="BJ3338" t="s">
        <v>85</v>
      </c>
      <c r="BK3338" t="s">
        <v>86</v>
      </c>
      <c r="BL3338" t="s">
        <v>87</v>
      </c>
    </row>
    <row r="3339" spans="1:64" x14ac:dyDescent="0.3">
      <c r="A3339" t="str">
        <f>"202291B0000"</f>
        <v>202291B0000</v>
      </c>
      <c r="B3339" t="str">
        <f>"202291B00003"</f>
        <v>202291B00003</v>
      </c>
      <c r="C3339" t="str">
        <f t="shared" si="240"/>
        <v>20</v>
      </c>
      <c r="D3339" t="s">
        <v>81</v>
      </c>
      <c r="E3339" t="str">
        <f t="shared" ref="E3339:E3356" si="241">"536"</f>
        <v>536</v>
      </c>
      <c r="F3339" t="s">
        <v>3573</v>
      </c>
      <c r="G3339" t="str">
        <f>"2291"</f>
        <v>2291</v>
      </c>
      <c r="H3339" t="str">
        <f t="shared" si="239"/>
        <v>0000</v>
      </c>
      <c r="I3339" t="s">
        <v>83</v>
      </c>
      <c r="J3339">
        <v>0</v>
      </c>
      <c r="K3339">
        <v>1</v>
      </c>
      <c r="L3339">
        <v>3</v>
      </c>
      <c r="M3339">
        <v>313</v>
      </c>
      <c r="N3339">
        <v>355</v>
      </c>
      <c r="O3339">
        <v>0</v>
      </c>
      <c r="P3339">
        <v>355</v>
      </c>
      <c r="Q3339">
        <v>8</v>
      </c>
      <c r="R3339">
        <v>25</v>
      </c>
      <c r="S3339">
        <v>8</v>
      </c>
      <c r="T3339">
        <v>59</v>
      </c>
      <c r="U3339">
        <v>2</v>
      </c>
      <c r="V3339">
        <v>2</v>
      </c>
      <c r="X3339">
        <v>8</v>
      </c>
      <c r="Y3339">
        <v>7</v>
      </c>
      <c r="Z3339">
        <v>33</v>
      </c>
      <c r="AA3339">
        <v>1</v>
      </c>
      <c r="AB3339">
        <v>40</v>
      </c>
      <c r="AC3339">
        <v>133</v>
      </c>
      <c r="AF3339">
        <v>9</v>
      </c>
      <c r="AG3339">
        <v>0</v>
      </c>
      <c r="AH3339">
        <v>2</v>
      </c>
      <c r="AI3339">
        <v>0</v>
      </c>
      <c r="AW3339">
        <v>0</v>
      </c>
      <c r="AX3339">
        <v>18</v>
      </c>
      <c r="AY3339">
        <v>355</v>
      </c>
      <c r="AZ3339">
        <v>355</v>
      </c>
      <c r="BA3339">
        <v>624</v>
      </c>
      <c r="BB3339">
        <v>46</v>
      </c>
      <c r="BD3339">
        <v>1</v>
      </c>
      <c r="BF3339" t="s">
        <v>3574</v>
      </c>
      <c r="BG3339" s="1">
        <v>44354.061111111114</v>
      </c>
      <c r="BH3339" s="1">
        <v>44354.078831018516</v>
      </c>
      <c r="BI3339" s="1">
        <v>44354.07949074074</v>
      </c>
      <c r="BJ3339" t="s">
        <v>85</v>
      </c>
      <c r="BK3339" t="s">
        <v>86</v>
      </c>
      <c r="BL3339" t="s">
        <v>87</v>
      </c>
    </row>
    <row r="3340" spans="1:64" x14ac:dyDescent="0.3">
      <c r="A3340" t="str">
        <f>"202292B0000"</f>
        <v>202292B0000</v>
      </c>
      <c r="B3340" t="str">
        <f>"202292B00003"</f>
        <v>202292B00003</v>
      </c>
      <c r="C3340" t="str">
        <f t="shared" si="240"/>
        <v>20</v>
      </c>
      <c r="D3340" t="s">
        <v>81</v>
      </c>
      <c r="E3340" t="str">
        <f t="shared" si="241"/>
        <v>536</v>
      </c>
      <c r="F3340" t="s">
        <v>3573</v>
      </c>
      <c r="G3340" t="str">
        <f>"2292"</f>
        <v>2292</v>
      </c>
      <c r="H3340" t="str">
        <f t="shared" si="239"/>
        <v>0000</v>
      </c>
      <c r="I3340" t="s">
        <v>83</v>
      </c>
      <c r="J3340">
        <v>0</v>
      </c>
      <c r="K3340">
        <v>1</v>
      </c>
      <c r="L3340">
        <v>3</v>
      </c>
      <c r="M3340">
        <v>350</v>
      </c>
      <c r="N3340">
        <v>316</v>
      </c>
      <c r="O3340">
        <v>0</v>
      </c>
      <c r="P3340" t="s">
        <v>92</v>
      </c>
      <c r="Q3340">
        <v>14</v>
      </c>
      <c r="R3340">
        <v>18</v>
      </c>
      <c r="S3340">
        <v>1</v>
      </c>
      <c r="T3340">
        <v>87</v>
      </c>
      <c r="U3340">
        <v>2</v>
      </c>
      <c r="V3340">
        <v>1</v>
      </c>
      <c r="X3340">
        <v>19</v>
      </c>
      <c r="Y3340">
        <v>3</v>
      </c>
      <c r="Z3340">
        <v>22</v>
      </c>
      <c r="AA3340">
        <v>2</v>
      </c>
      <c r="AB3340">
        <v>55</v>
      </c>
      <c r="AC3340">
        <v>63</v>
      </c>
      <c r="AF3340">
        <v>4</v>
      </c>
      <c r="AG3340">
        <v>0</v>
      </c>
      <c r="AH3340">
        <v>0</v>
      </c>
      <c r="AI3340">
        <v>0</v>
      </c>
      <c r="AW3340">
        <v>1</v>
      </c>
      <c r="AX3340">
        <v>23</v>
      </c>
      <c r="AY3340">
        <v>316</v>
      </c>
      <c r="AZ3340">
        <v>315</v>
      </c>
      <c r="BA3340">
        <v>620</v>
      </c>
      <c r="BB3340">
        <v>46</v>
      </c>
      <c r="BD3340">
        <v>1</v>
      </c>
      <c r="BF3340" t="s">
        <v>3575</v>
      </c>
      <c r="BG3340" s="1">
        <v>44353.981249999997</v>
      </c>
      <c r="BH3340" s="1">
        <v>44353.995057870372</v>
      </c>
      <c r="BI3340" s="1">
        <v>44353.996122685188</v>
      </c>
      <c r="BJ3340" t="s">
        <v>85</v>
      </c>
      <c r="BK3340" t="s">
        <v>86</v>
      </c>
      <c r="BL3340" t="s">
        <v>87</v>
      </c>
    </row>
    <row r="3341" spans="1:64" x14ac:dyDescent="0.3">
      <c r="A3341" t="str">
        <f>"202292C0100"</f>
        <v>202292C0100</v>
      </c>
      <c r="B3341" t="str">
        <f>"202292C01003"</f>
        <v>202292C01003</v>
      </c>
      <c r="C3341" t="str">
        <f t="shared" si="240"/>
        <v>20</v>
      </c>
      <c r="D3341" t="s">
        <v>81</v>
      </c>
      <c r="E3341" t="str">
        <f t="shared" si="241"/>
        <v>536</v>
      </c>
      <c r="F3341" t="s">
        <v>3573</v>
      </c>
      <c r="G3341" t="str">
        <f>"2292"</f>
        <v>2292</v>
      </c>
      <c r="H3341" t="str">
        <f>"0001"</f>
        <v>0001</v>
      </c>
      <c r="I3341" t="s">
        <v>89</v>
      </c>
      <c r="J3341">
        <v>0</v>
      </c>
      <c r="K3341">
        <v>1</v>
      </c>
      <c r="L3341">
        <v>3</v>
      </c>
      <c r="M3341">
        <v>359</v>
      </c>
      <c r="N3341">
        <v>307</v>
      </c>
      <c r="O3341">
        <v>0</v>
      </c>
      <c r="P3341">
        <v>307</v>
      </c>
      <c r="Q3341">
        <v>27</v>
      </c>
      <c r="R3341">
        <v>19</v>
      </c>
      <c r="S3341">
        <v>3</v>
      </c>
      <c r="T3341">
        <v>76</v>
      </c>
      <c r="U3341">
        <v>2</v>
      </c>
      <c r="V3341">
        <v>0</v>
      </c>
      <c r="X3341">
        <v>21</v>
      </c>
      <c r="Y3341">
        <v>0</v>
      </c>
      <c r="Z3341">
        <v>13</v>
      </c>
      <c r="AA3341">
        <v>1</v>
      </c>
      <c r="AB3341">
        <v>52</v>
      </c>
      <c r="AC3341">
        <v>73</v>
      </c>
      <c r="AF3341">
        <v>7</v>
      </c>
      <c r="AG3341">
        <v>3</v>
      </c>
      <c r="AH3341">
        <v>0</v>
      </c>
      <c r="AI3341">
        <v>0</v>
      </c>
      <c r="AW3341">
        <v>0</v>
      </c>
      <c r="AX3341">
        <v>10</v>
      </c>
      <c r="AY3341">
        <v>307</v>
      </c>
      <c r="AZ3341">
        <v>307</v>
      </c>
      <c r="BA3341">
        <v>620</v>
      </c>
      <c r="BB3341">
        <v>46</v>
      </c>
      <c r="BD3341">
        <v>1</v>
      </c>
      <c r="BF3341" t="s">
        <v>3576</v>
      </c>
      <c r="BG3341" s="1">
        <v>44353.981944444444</v>
      </c>
      <c r="BH3341" s="1">
        <v>44354.000590277778</v>
      </c>
      <c r="BI3341" s="1">
        <v>44354.001145833332</v>
      </c>
      <c r="BJ3341" t="s">
        <v>85</v>
      </c>
      <c r="BK3341" t="s">
        <v>86</v>
      </c>
      <c r="BL3341" t="s">
        <v>87</v>
      </c>
    </row>
    <row r="3342" spans="1:64" x14ac:dyDescent="0.3">
      <c r="A3342" t="str">
        <f>"202292C0200"</f>
        <v>202292C0200</v>
      </c>
      <c r="B3342" t="str">
        <f>"202292C02003"</f>
        <v>202292C02003</v>
      </c>
      <c r="C3342" t="str">
        <f t="shared" si="240"/>
        <v>20</v>
      </c>
      <c r="D3342" t="s">
        <v>81</v>
      </c>
      <c r="E3342" t="str">
        <f t="shared" si="241"/>
        <v>536</v>
      </c>
      <c r="F3342" t="s">
        <v>3573</v>
      </c>
      <c r="G3342" t="str">
        <f>"2292"</f>
        <v>2292</v>
      </c>
      <c r="H3342" t="str">
        <f>"0002"</f>
        <v>0002</v>
      </c>
      <c r="I3342" t="s">
        <v>89</v>
      </c>
      <c r="J3342">
        <v>0</v>
      </c>
      <c r="K3342">
        <v>1</v>
      </c>
      <c r="L3342">
        <v>3</v>
      </c>
      <c r="M3342">
        <v>348</v>
      </c>
      <c r="N3342">
        <v>318</v>
      </c>
      <c r="O3342">
        <v>0</v>
      </c>
      <c r="P3342">
        <v>318</v>
      </c>
      <c r="Q3342">
        <v>15</v>
      </c>
      <c r="R3342">
        <v>14</v>
      </c>
      <c r="S3342">
        <v>3</v>
      </c>
      <c r="T3342">
        <v>79</v>
      </c>
      <c r="U3342">
        <v>1</v>
      </c>
      <c r="V3342">
        <v>2</v>
      </c>
      <c r="X3342">
        <v>17</v>
      </c>
      <c r="Y3342">
        <v>1</v>
      </c>
      <c r="Z3342">
        <v>30</v>
      </c>
      <c r="AA3342">
        <v>2</v>
      </c>
      <c r="AB3342">
        <v>66</v>
      </c>
      <c r="AC3342">
        <v>65</v>
      </c>
      <c r="AF3342">
        <v>5</v>
      </c>
      <c r="AG3342">
        <v>1</v>
      </c>
      <c r="AH3342">
        <v>0</v>
      </c>
      <c r="AI3342">
        <v>1</v>
      </c>
      <c r="AW3342">
        <v>0</v>
      </c>
      <c r="AX3342">
        <v>16</v>
      </c>
      <c r="AY3342">
        <v>318</v>
      </c>
      <c r="AZ3342">
        <v>318</v>
      </c>
      <c r="BA3342">
        <v>620</v>
      </c>
      <c r="BB3342">
        <v>46</v>
      </c>
      <c r="BD3342">
        <v>1</v>
      </c>
      <c r="BF3342" t="s">
        <v>3577</v>
      </c>
      <c r="BG3342" s="1">
        <v>44353.953472222223</v>
      </c>
      <c r="BH3342" s="1">
        <v>44353.973460648151</v>
      </c>
      <c r="BI3342" s="1">
        <v>44353.974270833336</v>
      </c>
      <c r="BJ3342" t="s">
        <v>85</v>
      </c>
      <c r="BK3342" t="s">
        <v>86</v>
      </c>
      <c r="BL3342" t="s">
        <v>87</v>
      </c>
    </row>
    <row r="3343" spans="1:64" x14ac:dyDescent="0.3">
      <c r="A3343" t="str">
        <f>"202292S0100"</f>
        <v>202292S0100</v>
      </c>
      <c r="B3343" t="str">
        <f>"202292S01003E"</f>
        <v>202292S01003E</v>
      </c>
      <c r="C3343" t="str">
        <f t="shared" si="240"/>
        <v>20</v>
      </c>
      <c r="D3343" t="s">
        <v>81</v>
      </c>
      <c r="E3343" t="str">
        <f t="shared" si="241"/>
        <v>536</v>
      </c>
      <c r="F3343" t="s">
        <v>3573</v>
      </c>
      <c r="G3343" t="str">
        <f>"2292"</f>
        <v>2292</v>
      </c>
      <c r="H3343" t="str">
        <f>"0001"</f>
        <v>0001</v>
      </c>
      <c r="I3343" t="s">
        <v>99</v>
      </c>
      <c r="J3343">
        <v>0</v>
      </c>
      <c r="K3343">
        <v>1</v>
      </c>
      <c r="L3343" t="s">
        <v>100</v>
      </c>
      <c r="M3343">
        <v>921</v>
      </c>
      <c r="N3343">
        <v>79</v>
      </c>
      <c r="O3343">
        <v>0</v>
      </c>
      <c r="P3343">
        <v>79</v>
      </c>
      <c r="Q3343">
        <v>5</v>
      </c>
      <c r="R3343">
        <v>3</v>
      </c>
      <c r="S3343">
        <v>0</v>
      </c>
      <c r="T3343">
        <v>20</v>
      </c>
      <c r="U3343">
        <v>0</v>
      </c>
      <c r="V3343">
        <v>0</v>
      </c>
      <c r="X3343">
        <v>6</v>
      </c>
      <c r="Y3343">
        <v>0</v>
      </c>
      <c r="Z3343">
        <v>8</v>
      </c>
      <c r="AA3343">
        <v>0</v>
      </c>
      <c r="AB3343">
        <v>16</v>
      </c>
      <c r="AC3343">
        <v>19</v>
      </c>
      <c r="AF3343" t="s">
        <v>95</v>
      </c>
      <c r="AG3343" t="s">
        <v>95</v>
      </c>
      <c r="AH3343" t="s">
        <v>95</v>
      </c>
      <c r="AI3343" t="s">
        <v>95</v>
      </c>
      <c r="AW3343" t="s">
        <v>95</v>
      </c>
      <c r="AX3343">
        <v>2</v>
      </c>
      <c r="AY3343">
        <v>79</v>
      </c>
      <c r="AZ3343">
        <v>79</v>
      </c>
      <c r="BA3343">
        <v>0</v>
      </c>
      <c r="BB3343">
        <v>46</v>
      </c>
      <c r="BC3343" t="s">
        <v>96</v>
      </c>
      <c r="BD3343">
        <v>1</v>
      </c>
      <c r="BF3343" t="s">
        <v>3578</v>
      </c>
      <c r="BG3343" s="1">
        <v>44353.953472222223</v>
      </c>
      <c r="BH3343" s="1">
        <v>44353.971365740741</v>
      </c>
      <c r="BI3343" s="1">
        <v>44353.972118055557</v>
      </c>
      <c r="BJ3343" t="s">
        <v>85</v>
      </c>
      <c r="BK3343" t="s">
        <v>86</v>
      </c>
      <c r="BL3343" t="s">
        <v>87</v>
      </c>
    </row>
    <row r="3344" spans="1:64" x14ac:dyDescent="0.3">
      <c r="A3344" t="str">
        <f>"202293E0200"</f>
        <v>202293E0200</v>
      </c>
      <c r="B3344" t="str">
        <f>"202293E02003"</f>
        <v>202293E02003</v>
      </c>
      <c r="C3344" t="str">
        <f t="shared" si="240"/>
        <v>20</v>
      </c>
      <c r="D3344" t="s">
        <v>81</v>
      </c>
      <c r="E3344" t="str">
        <f t="shared" si="241"/>
        <v>536</v>
      </c>
      <c r="F3344" t="s">
        <v>3573</v>
      </c>
      <c r="G3344" t="str">
        <f>"2293"</f>
        <v>2293</v>
      </c>
      <c r="H3344" t="str">
        <f>"0002"</f>
        <v>0002</v>
      </c>
      <c r="I3344" t="s">
        <v>122</v>
      </c>
      <c r="J3344">
        <v>0</v>
      </c>
      <c r="K3344">
        <v>1</v>
      </c>
      <c r="L3344">
        <v>3</v>
      </c>
      <c r="BA3344">
        <v>264</v>
      </c>
      <c r="BB3344">
        <v>46</v>
      </c>
      <c r="BC3344" t="s">
        <v>721</v>
      </c>
      <c r="BD3344">
        <v>0</v>
      </c>
      <c r="BF3344" t="s">
        <v>3579</v>
      </c>
      <c r="BG3344" s="1">
        <v>44354.261111111111</v>
      </c>
      <c r="BH3344" s="1">
        <v>44354.293483796297</v>
      </c>
      <c r="BI3344" s="1">
        <v>44354.293483796297</v>
      </c>
      <c r="BJ3344" t="s">
        <v>85</v>
      </c>
      <c r="BK3344" t="s">
        <v>86</v>
      </c>
      <c r="BL3344" t="s">
        <v>87</v>
      </c>
    </row>
    <row r="3345" spans="1:64" x14ac:dyDescent="0.3">
      <c r="A3345" t="str">
        <f>"202294B0000"</f>
        <v>202294B0000</v>
      </c>
      <c r="B3345" t="str">
        <f>"202294B00003"</f>
        <v>202294B00003</v>
      </c>
      <c r="C3345" t="str">
        <f t="shared" si="240"/>
        <v>20</v>
      </c>
      <c r="D3345" t="s">
        <v>81</v>
      </c>
      <c r="E3345" t="str">
        <f t="shared" si="241"/>
        <v>536</v>
      </c>
      <c r="F3345" t="s">
        <v>3573</v>
      </c>
      <c r="G3345" t="str">
        <f>"2294"</f>
        <v>2294</v>
      </c>
      <c r="H3345" t="str">
        <f>"0000"</f>
        <v>0000</v>
      </c>
      <c r="I3345" t="s">
        <v>83</v>
      </c>
      <c r="J3345">
        <v>0</v>
      </c>
      <c r="K3345">
        <v>1</v>
      </c>
      <c r="L3345">
        <v>3</v>
      </c>
      <c r="M3345">
        <v>317</v>
      </c>
      <c r="N3345">
        <v>475</v>
      </c>
      <c r="O3345">
        <v>8</v>
      </c>
      <c r="P3345">
        <v>475</v>
      </c>
      <c r="Q3345">
        <v>107</v>
      </c>
      <c r="R3345">
        <v>41</v>
      </c>
      <c r="S3345">
        <v>3</v>
      </c>
      <c r="T3345">
        <v>68</v>
      </c>
      <c r="U3345">
        <v>1</v>
      </c>
      <c r="V3345">
        <v>2</v>
      </c>
      <c r="X3345">
        <v>99</v>
      </c>
      <c r="Y3345">
        <v>9</v>
      </c>
      <c r="Z3345">
        <v>56</v>
      </c>
      <c r="AA3345">
        <v>9</v>
      </c>
      <c r="AB3345">
        <v>28</v>
      </c>
      <c r="AC3345">
        <v>26</v>
      </c>
      <c r="AF3345">
        <v>3</v>
      </c>
      <c r="AG3345">
        <v>2</v>
      </c>
      <c r="AH3345">
        <v>0</v>
      </c>
      <c r="AI3345">
        <v>0</v>
      </c>
      <c r="AW3345">
        <v>0</v>
      </c>
      <c r="AX3345">
        <v>21</v>
      </c>
      <c r="AY3345">
        <v>475</v>
      </c>
      <c r="AZ3345">
        <v>475</v>
      </c>
      <c r="BA3345">
        <v>745</v>
      </c>
      <c r="BB3345">
        <v>46</v>
      </c>
      <c r="BD3345">
        <v>1</v>
      </c>
      <c r="BF3345" t="s">
        <v>3580</v>
      </c>
      <c r="BG3345" s="1">
        <v>44354.051388888889</v>
      </c>
      <c r="BH3345" s="1">
        <v>44354.06753472222</v>
      </c>
      <c r="BI3345" s="1">
        <v>44354.068379629629</v>
      </c>
      <c r="BJ3345" t="s">
        <v>85</v>
      </c>
      <c r="BK3345" t="s">
        <v>86</v>
      </c>
      <c r="BL3345" t="s">
        <v>87</v>
      </c>
    </row>
    <row r="3346" spans="1:64" x14ac:dyDescent="0.3">
      <c r="A3346" t="str">
        <f>"202295B0000"</f>
        <v>202295B0000</v>
      </c>
      <c r="B3346" t="str">
        <f>"202295B00003"</f>
        <v>202295B00003</v>
      </c>
      <c r="C3346" t="str">
        <f t="shared" si="240"/>
        <v>20</v>
      </c>
      <c r="D3346" t="s">
        <v>81</v>
      </c>
      <c r="E3346" t="str">
        <f t="shared" si="241"/>
        <v>536</v>
      </c>
      <c r="F3346" t="s">
        <v>3573</v>
      </c>
      <c r="G3346" t="str">
        <f>"2295"</f>
        <v>2295</v>
      </c>
      <c r="H3346" t="str">
        <f>"0000"</f>
        <v>0000</v>
      </c>
      <c r="I3346" t="s">
        <v>83</v>
      </c>
      <c r="J3346">
        <v>0</v>
      </c>
      <c r="K3346">
        <v>1</v>
      </c>
      <c r="L3346">
        <v>3</v>
      </c>
      <c r="M3346">
        <v>449</v>
      </c>
      <c r="N3346">
        <v>183</v>
      </c>
      <c r="O3346">
        <v>0</v>
      </c>
      <c r="P3346">
        <v>183</v>
      </c>
      <c r="Q3346">
        <v>15</v>
      </c>
      <c r="R3346">
        <v>9</v>
      </c>
      <c r="S3346">
        <v>3</v>
      </c>
      <c r="T3346">
        <v>59</v>
      </c>
      <c r="U3346">
        <v>0</v>
      </c>
      <c r="V3346">
        <v>0</v>
      </c>
      <c r="X3346">
        <v>8</v>
      </c>
      <c r="Y3346">
        <v>1</v>
      </c>
      <c r="Z3346">
        <v>5</v>
      </c>
      <c r="AA3346">
        <v>5</v>
      </c>
      <c r="AB3346">
        <v>1</v>
      </c>
      <c r="AC3346">
        <v>59</v>
      </c>
      <c r="AF3346">
        <v>0</v>
      </c>
      <c r="AG3346">
        <v>0</v>
      </c>
      <c r="AH3346">
        <v>0</v>
      </c>
      <c r="AI3346">
        <v>0</v>
      </c>
      <c r="AW3346">
        <v>0</v>
      </c>
      <c r="AX3346">
        <v>18</v>
      </c>
      <c r="AY3346">
        <v>183</v>
      </c>
      <c r="AZ3346">
        <v>183</v>
      </c>
      <c r="BA3346">
        <v>586</v>
      </c>
      <c r="BB3346">
        <v>46</v>
      </c>
      <c r="BD3346">
        <v>1</v>
      </c>
      <c r="BF3346" t="s">
        <v>3581</v>
      </c>
      <c r="BG3346" s="1">
        <v>44354.052083333336</v>
      </c>
      <c r="BH3346" s="1">
        <v>44354.064814814818</v>
      </c>
      <c r="BI3346" s="1">
        <v>44354.065532407411</v>
      </c>
      <c r="BJ3346" t="s">
        <v>85</v>
      </c>
      <c r="BK3346" t="s">
        <v>86</v>
      </c>
      <c r="BL3346" t="s">
        <v>87</v>
      </c>
    </row>
    <row r="3347" spans="1:64" x14ac:dyDescent="0.3">
      <c r="A3347" t="str">
        <f>"202296B0000"</f>
        <v>202296B0000</v>
      </c>
      <c r="B3347" t="str">
        <f>"202296B00003"</f>
        <v>202296B00003</v>
      </c>
      <c r="C3347" t="str">
        <f t="shared" si="240"/>
        <v>20</v>
      </c>
      <c r="D3347" t="s">
        <v>81</v>
      </c>
      <c r="E3347" t="str">
        <f t="shared" si="241"/>
        <v>536</v>
      </c>
      <c r="F3347" t="s">
        <v>3573</v>
      </c>
      <c r="G3347" t="str">
        <f>"2296"</f>
        <v>2296</v>
      </c>
      <c r="H3347" t="str">
        <f>"0000"</f>
        <v>0000</v>
      </c>
      <c r="I3347" t="s">
        <v>83</v>
      </c>
      <c r="J3347">
        <v>0</v>
      </c>
      <c r="K3347">
        <v>1</v>
      </c>
      <c r="L3347">
        <v>3</v>
      </c>
      <c r="M3347">
        <v>327</v>
      </c>
      <c r="N3347">
        <v>342</v>
      </c>
      <c r="O3347">
        <v>1</v>
      </c>
      <c r="P3347">
        <v>342</v>
      </c>
      <c r="Q3347">
        <v>36</v>
      </c>
      <c r="R3347">
        <v>39</v>
      </c>
      <c r="S3347">
        <v>7</v>
      </c>
      <c r="T3347">
        <v>68</v>
      </c>
      <c r="U3347">
        <v>6</v>
      </c>
      <c r="V3347">
        <v>2</v>
      </c>
      <c r="X3347">
        <v>25</v>
      </c>
      <c r="Y3347">
        <v>2</v>
      </c>
      <c r="Z3347">
        <v>17</v>
      </c>
      <c r="AA3347">
        <v>1</v>
      </c>
      <c r="AB3347">
        <v>66</v>
      </c>
      <c r="AC3347">
        <v>41</v>
      </c>
      <c r="AF3347">
        <v>7</v>
      </c>
      <c r="AG3347" t="s">
        <v>95</v>
      </c>
      <c r="AH3347" t="s">
        <v>95</v>
      </c>
      <c r="AI3347" t="s">
        <v>95</v>
      </c>
      <c r="AW3347" t="s">
        <v>95</v>
      </c>
      <c r="AX3347">
        <v>25</v>
      </c>
      <c r="AY3347">
        <v>342</v>
      </c>
      <c r="AZ3347">
        <v>342</v>
      </c>
      <c r="BA3347">
        <v>624</v>
      </c>
      <c r="BB3347">
        <v>46</v>
      </c>
      <c r="BC3347" t="s">
        <v>96</v>
      </c>
      <c r="BD3347">
        <v>1</v>
      </c>
      <c r="BF3347" t="s">
        <v>3582</v>
      </c>
      <c r="BG3347" s="1">
        <v>44354.120833333334</v>
      </c>
      <c r="BH3347" s="1">
        <v>44354.126319444447</v>
      </c>
      <c r="BI3347" s="1">
        <v>44354.127141203702</v>
      </c>
      <c r="BJ3347" t="s">
        <v>85</v>
      </c>
      <c r="BK3347" t="s">
        <v>86</v>
      </c>
      <c r="BL3347" t="s">
        <v>87</v>
      </c>
    </row>
    <row r="3348" spans="1:64" x14ac:dyDescent="0.3">
      <c r="A3348" t="str">
        <f>"202297B0000"</f>
        <v>202297B0000</v>
      </c>
      <c r="B3348" t="str">
        <f>"202297B00003"</f>
        <v>202297B00003</v>
      </c>
      <c r="C3348" t="str">
        <f t="shared" si="240"/>
        <v>20</v>
      </c>
      <c r="D3348" t="s">
        <v>81</v>
      </c>
      <c r="E3348" t="str">
        <f t="shared" si="241"/>
        <v>536</v>
      </c>
      <c r="F3348" t="s">
        <v>3573</v>
      </c>
      <c r="G3348" t="str">
        <f>"2297"</f>
        <v>2297</v>
      </c>
      <c r="H3348" t="str">
        <f>"0000"</f>
        <v>0000</v>
      </c>
      <c r="I3348" t="s">
        <v>83</v>
      </c>
      <c r="J3348">
        <v>0</v>
      </c>
      <c r="K3348">
        <v>1</v>
      </c>
      <c r="L3348">
        <v>3</v>
      </c>
      <c r="M3348">
        <v>192</v>
      </c>
      <c r="N3348" t="s">
        <v>92</v>
      </c>
      <c r="O3348" t="s">
        <v>92</v>
      </c>
      <c r="P3348">
        <v>220</v>
      </c>
      <c r="Q3348">
        <v>13</v>
      </c>
      <c r="R3348">
        <v>21</v>
      </c>
      <c r="S3348">
        <v>1</v>
      </c>
      <c r="T3348">
        <v>52</v>
      </c>
      <c r="U3348">
        <v>2</v>
      </c>
      <c r="V3348">
        <v>3</v>
      </c>
      <c r="X3348">
        <v>8</v>
      </c>
      <c r="Y3348">
        <v>2</v>
      </c>
      <c r="Z3348">
        <v>38</v>
      </c>
      <c r="AA3348">
        <v>3</v>
      </c>
      <c r="AB3348">
        <v>14</v>
      </c>
      <c r="AC3348">
        <v>58</v>
      </c>
      <c r="AF3348">
        <v>4</v>
      </c>
      <c r="AG3348">
        <v>1</v>
      </c>
      <c r="AH3348" t="s">
        <v>95</v>
      </c>
      <c r="AI3348" t="s">
        <v>95</v>
      </c>
      <c r="AW3348" t="s">
        <v>95</v>
      </c>
      <c r="AX3348" t="s">
        <v>95</v>
      </c>
      <c r="AY3348" t="s">
        <v>95</v>
      </c>
      <c r="AZ3348">
        <v>220</v>
      </c>
      <c r="BA3348">
        <v>395</v>
      </c>
      <c r="BB3348">
        <v>46</v>
      </c>
      <c r="BC3348" t="s">
        <v>96</v>
      </c>
      <c r="BD3348">
        <v>1</v>
      </c>
      <c r="BF3348" t="s">
        <v>3583</v>
      </c>
      <c r="BG3348" s="1">
        <v>44354.240972222222</v>
      </c>
      <c r="BH3348" s="1">
        <v>44354.246030092596</v>
      </c>
      <c r="BI3348" s="1">
        <v>44354.246562499997</v>
      </c>
      <c r="BJ3348" t="s">
        <v>85</v>
      </c>
      <c r="BK3348" t="s">
        <v>86</v>
      </c>
      <c r="BL3348" t="s">
        <v>87</v>
      </c>
    </row>
    <row r="3349" spans="1:64" x14ac:dyDescent="0.3">
      <c r="A3349" t="str">
        <f>"202297C0100"</f>
        <v>202297C0100</v>
      </c>
      <c r="B3349" t="str">
        <f>"202297C01003"</f>
        <v>202297C01003</v>
      </c>
      <c r="C3349" t="str">
        <f t="shared" si="240"/>
        <v>20</v>
      </c>
      <c r="D3349" t="s">
        <v>81</v>
      </c>
      <c r="E3349" t="str">
        <f t="shared" si="241"/>
        <v>536</v>
      </c>
      <c r="F3349" t="s">
        <v>3573</v>
      </c>
      <c r="G3349" t="str">
        <f>"2297"</f>
        <v>2297</v>
      </c>
      <c r="H3349" t="str">
        <f>"0001"</f>
        <v>0001</v>
      </c>
      <c r="I3349" t="s">
        <v>89</v>
      </c>
      <c r="J3349">
        <v>0</v>
      </c>
      <c r="K3349">
        <v>1</v>
      </c>
      <c r="L3349">
        <v>3</v>
      </c>
      <c r="M3349">
        <v>203</v>
      </c>
      <c r="N3349">
        <v>237</v>
      </c>
      <c r="O3349">
        <v>9</v>
      </c>
      <c r="P3349">
        <v>237</v>
      </c>
      <c r="Q3349">
        <v>4</v>
      </c>
      <c r="R3349">
        <v>36</v>
      </c>
      <c r="S3349">
        <v>2</v>
      </c>
      <c r="T3349">
        <v>44</v>
      </c>
      <c r="U3349">
        <v>2</v>
      </c>
      <c r="V3349" t="s">
        <v>95</v>
      </c>
      <c r="X3349">
        <v>9</v>
      </c>
      <c r="Y3349">
        <v>3</v>
      </c>
      <c r="Z3349">
        <v>41</v>
      </c>
      <c r="AA3349">
        <v>4</v>
      </c>
      <c r="AB3349">
        <v>14</v>
      </c>
      <c r="AC3349">
        <v>53</v>
      </c>
      <c r="AF3349" t="s">
        <v>95</v>
      </c>
      <c r="AG3349" t="s">
        <v>95</v>
      </c>
      <c r="AH3349" t="s">
        <v>95</v>
      </c>
      <c r="AI3349" t="s">
        <v>95</v>
      </c>
      <c r="AW3349" t="s">
        <v>95</v>
      </c>
      <c r="AX3349">
        <v>24</v>
      </c>
      <c r="AY3349">
        <v>237</v>
      </c>
      <c r="AZ3349">
        <v>236</v>
      </c>
      <c r="BA3349">
        <v>394</v>
      </c>
      <c r="BB3349">
        <v>46</v>
      </c>
      <c r="BC3349" t="s">
        <v>96</v>
      </c>
      <c r="BD3349">
        <v>1</v>
      </c>
      <c r="BF3349" t="s">
        <v>3584</v>
      </c>
      <c r="BG3349" s="1">
        <v>44354.241666666669</v>
      </c>
      <c r="BH3349" s="1">
        <v>44354.256608796299</v>
      </c>
      <c r="BI3349" s="1">
        <v>44354.257384259261</v>
      </c>
      <c r="BJ3349" t="s">
        <v>85</v>
      </c>
      <c r="BK3349" t="s">
        <v>86</v>
      </c>
      <c r="BL3349" t="s">
        <v>87</v>
      </c>
    </row>
    <row r="3350" spans="1:64" x14ac:dyDescent="0.3">
      <c r="A3350" t="str">
        <f>"202298B0000"</f>
        <v>202298B0000</v>
      </c>
      <c r="B3350" t="str">
        <f>"202298B00003"</f>
        <v>202298B00003</v>
      </c>
      <c r="C3350" t="str">
        <f t="shared" si="240"/>
        <v>20</v>
      </c>
      <c r="D3350" t="s">
        <v>81</v>
      </c>
      <c r="E3350" t="str">
        <f t="shared" si="241"/>
        <v>536</v>
      </c>
      <c r="F3350" t="s">
        <v>3573</v>
      </c>
      <c r="G3350" t="str">
        <f>"2298"</f>
        <v>2298</v>
      </c>
      <c r="H3350" t="str">
        <f>"0000"</f>
        <v>0000</v>
      </c>
      <c r="I3350" t="s">
        <v>83</v>
      </c>
      <c r="J3350">
        <v>0</v>
      </c>
      <c r="K3350">
        <v>1</v>
      </c>
      <c r="L3350">
        <v>3</v>
      </c>
      <c r="M3350">
        <v>401</v>
      </c>
      <c r="N3350">
        <v>348</v>
      </c>
      <c r="O3350">
        <v>1</v>
      </c>
      <c r="P3350">
        <v>348</v>
      </c>
      <c r="Q3350">
        <v>0</v>
      </c>
      <c r="R3350">
        <v>0</v>
      </c>
      <c r="S3350">
        <v>0</v>
      </c>
      <c r="T3350">
        <v>72</v>
      </c>
      <c r="U3350">
        <v>1</v>
      </c>
      <c r="V3350">
        <v>2</v>
      </c>
      <c r="X3350">
        <v>9</v>
      </c>
      <c r="Y3350">
        <v>8</v>
      </c>
      <c r="Z3350">
        <v>24</v>
      </c>
      <c r="AA3350">
        <v>3</v>
      </c>
      <c r="AB3350">
        <v>103</v>
      </c>
      <c r="AC3350">
        <v>68</v>
      </c>
      <c r="AF3350">
        <v>39</v>
      </c>
      <c r="AG3350">
        <v>0</v>
      </c>
      <c r="AH3350">
        <v>0</v>
      </c>
      <c r="AI3350">
        <v>0</v>
      </c>
      <c r="AW3350">
        <v>0</v>
      </c>
      <c r="AX3350">
        <v>19</v>
      </c>
      <c r="AY3350">
        <v>348</v>
      </c>
      <c r="AZ3350">
        <v>348</v>
      </c>
      <c r="BA3350">
        <v>703</v>
      </c>
      <c r="BB3350">
        <v>46</v>
      </c>
      <c r="BD3350">
        <v>1</v>
      </c>
      <c r="BF3350" t="s">
        <v>3585</v>
      </c>
      <c r="BG3350" s="1">
        <v>44353.833333333336</v>
      </c>
      <c r="BH3350" s="1">
        <v>44354.07576388889</v>
      </c>
      <c r="BI3350" s="1">
        <v>44354.076249999998</v>
      </c>
      <c r="BJ3350" t="s">
        <v>85</v>
      </c>
      <c r="BK3350" t="s">
        <v>86</v>
      </c>
      <c r="BL3350" t="s">
        <v>87</v>
      </c>
    </row>
    <row r="3351" spans="1:64" x14ac:dyDescent="0.3">
      <c r="A3351" t="str">
        <f>"202298E0100"</f>
        <v>202298E0100</v>
      </c>
      <c r="B3351" t="str">
        <f>"202298E01003"</f>
        <v>202298E01003</v>
      </c>
      <c r="C3351" t="str">
        <f t="shared" si="240"/>
        <v>20</v>
      </c>
      <c r="D3351" t="s">
        <v>81</v>
      </c>
      <c r="E3351" t="str">
        <f t="shared" si="241"/>
        <v>536</v>
      </c>
      <c r="F3351" t="s">
        <v>3573</v>
      </c>
      <c r="G3351" t="str">
        <f>"2298"</f>
        <v>2298</v>
      </c>
      <c r="H3351" t="str">
        <f>"0001"</f>
        <v>0001</v>
      </c>
      <c r="I3351" t="s">
        <v>122</v>
      </c>
      <c r="J3351">
        <v>0</v>
      </c>
      <c r="K3351">
        <v>1</v>
      </c>
      <c r="L3351">
        <v>3</v>
      </c>
      <c r="M3351">
        <v>283</v>
      </c>
      <c r="N3351">
        <v>210</v>
      </c>
      <c r="O3351">
        <v>1</v>
      </c>
      <c r="P3351">
        <v>210</v>
      </c>
      <c r="Q3351">
        <v>7</v>
      </c>
      <c r="R3351">
        <v>11</v>
      </c>
      <c r="S3351">
        <v>3</v>
      </c>
      <c r="T3351">
        <v>79</v>
      </c>
      <c r="U3351">
        <v>3</v>
      </c>
      <c r="V3351">
        <v>3</v>
      </c>
      <c r="X3351">
        <v>1</v>
      </c>
      <c r="Y3351">
        <v>3</v>
      </c>
      <c r="Z3351">
        <v>7</v>
      </c>
      <c r="AA3351">
        <v>5</v>
      </c>
      <c r="AB3351">
        <v>55</v>
      </c>
      <c r="AC3351">
        <v>13</v>
      </c>
      <c r="AF3351">
        <v>0</v>
      </c>
      <c r="AG3351">
        <v>0</v>
      </c>
      <c r="AH3351">
        <v>0</v>
      </c>
      <c r="AI3351">
        <v>0</v>
      </c>
      <c r="AW3351" t="s">
        <v>95</v>
      </c>
      <c r="AX3351">
        <v>20</v>
      </c>
      <c r="AY3351">
        <v>210</v>
      </c>
      <c r="AZ3351">
        <v>210</v>
      </c>
      <c r="BA3351">
        <v>452</v>
      </c>
      <c r="BB3351">
        <v>46</v>
      </c>
      <c r="BC3351" t="s">
        <v>96</v>
      </c>
      <c r="BD3351">
        <v>1</v>
      </c>
      <c r="BF3351" t="s">
        <v>3586</v>
      </c>
      <c r="BG3351" s="1">
        <v>44353.8125</v>
      </c>
      <c r="BH3351" s="1">
        <v>44354.072800925926</v>
      </c>
      <c r="BI3351" s="1">
        <v>44354.074050925927</v>
      </c>
      <c r="BJ3351" t="s">
        <v>85</v>
      </c>
      <c r="BK3351" t="s">
        <v>86</v>
      </c>
      <c r="BL3351" t="s">
        <v>87</v>
      </c>
    </row>
    <row r="3352" spans="1:64" x14ac:dyDescent="0.3">
      <c r="A3352" t="str">
        <f>"202299B0000"</f>
        <v>202299B0000</v>
      </c>
      <c r="B3352" t="str">
        <f>"202299B00003"</f>
        <v>202299B00003</v>
      </c>
      <c r="C3352" t="str">
        <f t="shared" si="240"/>
        <v>20</v>
      </c>
      <c r="D3352" t="s">
        <v>81</v>
      </c>
      <c r="E3352" t="str">
        <f t="shared" si="241"/>
        <v>536</v>
      </c>
      <c r="F3352" t="s">
        <v>3573</v>
      </c>
      <c r="G3352" t="str">
        <f>"2299"</f>
        <v>2299</v>
      </c>
      <c r="H3352" t="str">
        <f>"0000"</f>
        <v>0000</v>
      </c>
      <c r="I3352" t="s">
        <v>83</v>
      </c>
      <c r="J3352">
        <v>0</v>
      </c>
      <c r="K3352">
        <v>1</v>
      </c>
      <c r="L3352">
        <v>3</v>
      </c>
      <c r="M3352">
        <v>238</v>
      </c>
      <c r="N3352">
        <v>270</v>
      </c>
      <c r="O3352">
        <v>0</v>
      </c>
      <c r="P3352">
        <v>270</v>
      </c>
      <c r="Q3352">
        <v>7</v>
      </c>
      <c r="R3352">
        <v>17</v>
      </c>
      <c r="S3352">
        <v>3</v>
      </c>
      <c r="T3352">
        <v>47</v>
      </c>
      <c r="U3352">
        <v>3</v>
      </c>
      <c r="V3352">
        <v>1</v>
      </c>
      <c r="X3352">
        <v>12</v>
      </c>
      <c r="Y3352">
        <v>6</v>
      </c>
      <c r="Z3352">
        <v>31</v>
      </c>
      <c r="AA3352">
        <v>3</v>
      </c>
      <c r="AB3352">
        <v>35</v>
      </c>
      <c r="AC3352">
        <v>100</v>
      </c>
      <c r="AF3352">
        <v>0</v>
      </c>
      <c r="AG3352">
        <v>0</v>
      </c>
      <c r="AH3352">
        <v>0</v>
      </c>
      <c r="AI3352">
        <v>0</v>
      </c>
      <c r="AW3352">
        <v>0</v>
      </c>
      <c r="AX3352">
        <v>0</v>
      </c>
      <c r="AY3352">
        <v>270</v>
      </c>
      <c r="AZ3352">
        <v>265</v>
      </c>
      <c r="BA3352">
        <v>462</v>
      </c>
      <c r="BB3352">
        <v>46</v>
      </c>
      <c r="BD3352">
        <v>1</v>
      </c>
      <c r="BF3352" t="s">
        <v>3587</v>
      </c>
      <c r="BG3352" s="1">
        <v>44354.120138888888</v>
      </c>
      <c r="BH3352" s="1">
        <v>44354.128576388888</v>
      </c>
      <c r="BI3352" s="1">
        <v>44354.129166666666</v>
      </c>
      <c r="BJ3352" t="s">
        <v>85</v>
      </c>
      <c r="BK3352" t="s">
        <v>86</v>
      </c>
      <c r="BL3352" t="s">
        <v>87</v>
      </c>
    </row>
    <row r="3353" spans="1:64" x14ac:dyDescent="0.3">
      <c r="A3353" t="str">
        <f>"202299E0100"</f>
        <v>202299E0100</v>
      </c>
      <c r="B3353" t="str">
        <f>"202299E01003"</f>
        <v>202299E01003</v>
      </c>
      <c r="C3353" t="str">
        <f t="shared" si="240"/>
        <v>20</v>
      </c>
      <c r="D3353" t="s">
        <v>81</v>
      </c>
      <c r="E3353" t="str">
        <f t="shared" si="241"/>
        <v>536</v>
      </c>
      <c r="F3353" t="s">
        <v>3573</v>
      </c>
      <c r="G3353" t="str">
        <f>"2299"</f>
        <v>2299</v>
      </c>
      <c r="H3353" t="str">
        <f>"0001"</f>
        <v>0001</v>
      </c>
      <c r="I3353" t="s">
        <v>122</v>
      </c>
      <c r="J3353">
        <v>0</v>
      </c>
      <c r="K3353">
        <v>1</v>
      </c>
      <c r="L3353">
        <v>3</v>
      </c>
      <c r="M3353">
        <v>236</v>
      </c>
      <c r="N3353">
        <v>168</v>
      </c>
      <c r="O3353">
        <v>0</v>
      </c>
      <c r="P3353">
        <v>168</v>
      </c>
      <c r="Q3353">
        <v>6</v>
      </c>
      <c r="R3353">
        <v>7</v>
      </c>
      <c r="S3353">
        <v>0</v>
      </c>
      <c r="T3353">
        <v>42</v>
      </c>
      <c r="U3353">
        <v>0</v>
      </c>
      <c r="V3353">
        <v>0</v>
      </c>
      <c r="X3353">
        <v>2</v>
      </c>
      <c r="Y3353">
        <v>2</v>
      </c>
      <c r="Z3353">
        <v>18</v>
      </c>
      <c r="AA3353">
        <v>1</v>
      </c>
      <c r="AB3353">
        <v>10</v>
      </c>
      <c r="AC3353">
        <v>68</v>
      </c>
      <c r="AF3353">
        <v>1</v>
      </c>
      <c r="AG3353">
        <v>0</v>
      </c>
      <c r="AH3353">
        <v>0</v>
      </c>
      <c r="AI3353">
        <v>0</v>
      </c>
      <c r="AW3353">
        <v>0</v>
      </c>
      <c r="AX3353">
        <v>11</v>
      </c>
      <c r="AY3353">
        <v>168</v>
      </c>
      <c r="AZ3353">
        <v>168</v>
      </c>
      <c r="BA3353">
        <v>358</v>
      </c>
      <c r="BB3353">
        <v>46</v>
      </c>
      <c r="BD3353">
        <v>1</v>
      </c>
      <c r="BF3353" t="s">
        <v>3588</v>
      </c>
      <c r="BG3353" s="1">
        <v>44354.120833333334</v>
      </c>
      <c r="BH3353" s="1">
        <v>44354.130636574075</v>
      </c>
      <c r="BI3353" s="1">
        <v>44354.130949074075</v>
      </c>
      <c r="BJ3353" t="s">
        <v>85</v>
      </c>
      <c r="BK3353" t="s">
        <v>86</v>
      </c>
      <c r="BL3353" t="s">
        <v>87</v>
      </c>
    </row>
    <row r="3354" spans="1:64" x14ac:dyDescent="0.3">
      <c r="A3354" t="str">
        <f>"202300B0000"</f>
        <v>202300B0000</v>
      </c>
      <c r="B3354" t="str">
        <f>"202300B00003"</f>
        <v>202300B00003</v>
      </c>
      <c r="C3354" t="str">
        <f t="shared" si="240"/>
        <v>20</v>
      </c>
      <c r="D3354" t="s">
        <v>81</v>
      </c>
      <c r="E3354" t="str">
        <f t="shared" si="241"/>
        <v>536</v>
      </c>
      <c r="F3354" t="s">
        <v>3573</v>
      </c>
      <c r="G3354" t="str">
        <f>"2300"</f>
        <v>2300</v>
      </c>
      <c r="H3354" t="str">
        <f>"0000"</f>
        <v>0000</v>
      </c>
      <c r="I3354" t="s">
        <v>83</v>
      </c>
      <c r="J3354">
        <v>0</v>
      </c>
      <c r="K3354">
        <v>1</v>
      </c>
      <c r="L3354">
        <v>3</v>
      </c>
      <c r="M3354">
        <v>193</v>
      </c>
      <c r="N3354">
        <v>330</v>
      </c>
      <c r="O3354">
        <v>0</v>
      </c>
      <c r="P3354">
        <v>330</v>
      </c>
      <c r="Q3354">
        <v>28</v>
      </c>
      <c r="R3354">
        <v>23</v>
      </c>
      <c r="S3354">
        <v>6</v>
      </c>
      <c r="T3354">
        <v>96</v>
      </c>
      <c r="U3354">
        <v>0</v>
      </c>
      <c r="V3354">
        <v>0</v>
      </c>
      <c r="X3354">
        <v>35</v>
      </c>
      <c r="Y3354">
        <v>2</v>
      </c>
      <c r="Z3354">
        <v>4</v>
      </c>
      <c r="AA3354">
        <v>80</v>
      </c>
      <c r="AB3354">
        <v>80</v>
      </c>
      <c r="AC3354">
        <v>46</v>
      </c>
      <c r="AF3354" t="s">
        <v>95</v>
      </c>
      <c r="AG3354" t="s">
        <v>95</v>
      </c>
      <c r="AH3354" t="s">
        <v>95</v>
      </c>
      <c r="AI3354" t="s">
        <v>95</v>
      </c>
      <c r="AW3354" t="s">
        <v>95</v>
      </c>
      <c r="AX3354">
        <v>10</v>
      </c>
      <c r="AY3354">
        <v>330</v>
      </c>
      <c r="AZ3354">
        <v>410</v>
      </c>
      <c r="BA3354">
        <v>478</v>
      </c>
      <c r="BB3354">
        <v>46</v>
      </c>
      <c r="BC3354" t="s">
        <v>96</v>
      </c>
      <c r="BD3354">
        <v>1</v>
      </c>
      <c r="BF3354" t="s">
        <v>3589</v>
      </c>
      <c r="BG3354" s="1">
        <v>44354.240277777775</v>
      </c>
      <c r="BH3354" s="1">
        <v>44354.249930555554</v>
      </c>
      <c r="BI3354" s="1">
        <v>44354.251481481479</v>
      </c>
      <c r="BJ3354" t="s">
        <v>85</v>
      </c>
      <c r="BK3354" t="s">
        <v>86</v>
      </c>
      <c r="BL3354" t="s">
        <v>87</v>
      </c>
    </row>
    <row r="3355" spans="1:64" x14ac:dyDescent="0.3">
      <c r="A3355" t="str">
        <f>"202300E0100"</f>
        <v>202300E0100</v>
      </c>
      <c r="B3355" t="str">
        <f>"202300E01003"</f>
        <v>202300E01003</v>
      </c>
      <c r="C3355" t="str">
        <f t="shared" si="240"/>
        <v>20</v>
      </c>
      <c r="D3355" t="s">
        <v>81</v>
      </c>
      <c r="E3355" t="str">
        <f t="shared" si="241"/>
        <v>536</v>
      </c>
      <c r="F3355" t="s">
        <v>3573</v>
      </c>
      <c r="G3355" t="str">
        <f>"2300"</f>
        <v>2300</v>
      </c>
      <c r="H3355" t="str">
        <f>"0001"</f>
        <v>0001</v>
      </c>
      <c r="I3355" t="s">
        <v>122</v>
      </c>
      <c r="J3355">
        <v>0</v>
      </c>
      <c r="K3355">
        <v>1</v>
      </c>
      <c r="L3355">
        <v>3</v>
      </c>
      <c r="M3355">
        <v>165</v>
      </c>
      <c r="N3355">
        <v>228</v>
      </c>
      <c r="O3355">
        <v>7</v>
      </c>
      <c r="P3355">
        <v>228</v>
      </c>
      <c r="Q3355">
        <v>7</v>
      </c>
      <c r="R3355">
        <v>18</v>
      </c>
      <c r="S3355">
        <v>2</v>
      </c>
      <c r="T3355">
        <v>29</v>
      </c>
      <c r="U3355" t="s">
        <v>95</v>
      </c>
      <c r="V3355">
        <v>1</v>
      </c>
      <c r="X3355">
        <v>7</v>
      </c>
      <c r="Y3355">
        <v>3</v>
      </c>
      <c r="Z3355">
        <v>8</v>
      </c>
      <c r="AA3355" t="s">
        <v>95</v>
      </c>
      <c r="AB3355">
        <v>23</v>
      </c>
      <c r="AC3355">
        <v>123</v>
      </c>
      <c r="AF3355">
        <v>1</v>
      </c>
      <c r="AG3355" t="s">
        <v>95</v>
      </c>
      <c r="AH3355" t="s">
        <v>95</v>
      </c>
      <c r="AI3355" t="s">
        <v>95</v>
      </c>
      <c r="AW3355" t="s">
        <v>95</v>
      </c>
      <c r="AX3355">
        <v>6</v>
      </c>
      <c r="AY3355" t="s">
        <v>95</v>
      </c>
      <c r="AZ3355">
        <v>228</v>
      </c>
      <c r="BA3355">
        <v>347</v>
      </c>
      <c r="BB3355">
        <v>46</v>
      </c>
      <c r="BC3355" t="s">
        <v>96</v>
      </c>
      <c r="BD3355">
        <v>1</v>
      </c>
      <c r="BF3355" t="s">
        <v>3590</v>
      </c>
      <c r="BG3355" s="1">
        <v>44353.993750000001</v>
      </c>
      <c r="BH3355" s="1">
        <v>44354.009062500001</v>
      </c>
      <c r="BI3355" s="1">
        <v>44354.009710648148</v>
      </c>
      <c r="BJ3355" t="s">
        <v>85</v>
      </c>
      <c r="BK3355" t="s">
        <v>86</v>
      </c>
      <c r="BL3355" t="s">
        <v>87</v>
      </c>
    </row>
    <row r="3356" spans="1:64" x14ac:dyDescent="0.3">
      <c r="A3356" t="str">
        <f>"202300E0200"</f>
        <v>202300E0200</v>
      </c>
      <c r="B3356" t="str">
        <f>"202300E02003"</f>
        <v>202300E02003</v>
      </c>
      <c r="C3356" t="str">
        <f t="shared" si="240"/>
        <v>20</v>
      </c>
      <c r="D3356" t="s">
        <v>81</v>
      </c>
      <c r="E3356" t="str">
        <f t="shared" si="241"/>
        <v>536</v>
      </c>
      <c r="F3356" t="s">
        <v>3573</v>
      </c>
      <c r="G3356" t="str">
        <f>"2300"</f>
        <v>2300</v>
      </c>
      <c r="H3356" t="str">
        <f>"0002"</f>
        <v>0002</v>
      </c>
      <c r="I3356" t="s">
        <v>122</v>
      </c>
      <c r="J3356">
        <v>0</v>
      </c>
      <c r="K3356">
        <v>1</v>
      </c>
      <c r="L3356">
        <v>3</v>
      </c>
      <c r="M3356">
        <v>140</v>
      </c>
      <c r="N3356">
        <v>192</v>
      </c>
      <c r="O3356">
        <v>1</v>
      </c>
      <c r="P3356">
        <v>191</v>
      </c>
      <c r="Q3356">
        <v>33</v>
      </c>
      <c r="R3356">
        <v>14</v>
      </c>
      <c r="S3356">
        <v>7</v>
      </c>
      <c r="T3356">
        <v>37</v>
      </c>
      <c r="U3356">
        <v>1</v>
      </c>
      <c r="V3356">
        <v>0</v>
      </c>
      <c r="X3356">
        <v>8</v>
      </c>
      <c r="Y3356">
        <v>3</v>
      </c>
      <c r="Z3356">
        <v>5</v>
      </c>
      <c r="AA3356">
        <v>1</v>
      </c>
      <c r="AB3356">
        <v>4</v>
      </c>
      <c r="AC3356">
        <v>67</v>
      </c>
      <c r="AF3356">
        <v>4</v>
      </c>
      <c r="AG3356">
        <v>0</v>
      </c>
      <c r="AH3356">
        <v>0</v>
      </c>
      <c r="AI3356">
        <v>0</v>
      </c>
      <c r="AW3356">
        <v>0</v>
      </c>
      <c r="AX3356">
        <v>7</v>
      </c>
      <c r="AY3356">
        <v>191</v>
      </c>
      <c r="AZ3356">
        <v>191</v>
      </c>
      <c r="BA3356">
        <v>286</v>
      </c>
      <c r="BB3356">
        <v>46</v>
      </c>
      <c r="BD3356">
        <v>1</v>
      </c>
      <c r="BF3356" t="s">
        <v>3591</v>
      </c>
      <c r="BG3356" s="1">
        <v>44354.239583333336</v>
      </c>
      <c r="BH3356" s="1">
        <v>44354.251631944448</v>
      </c>
      <c r="BI3356" s="1">
        <v>44354.252592592595</v>
      </c>
      <c r="BJ3356" t="s">
        <v>85</v>
      </c>
      <c r="BK3356" t="s">
        <v>86</v>
      </c>
      <c r="BL3356" t="s">
        <v>87</v>
      </c>
    </row>
    <row r="3357" spans="1:64" x14ac:dyDescent="0.3">
      <c r="A3357" t="str">
        <f>"202301B0000"</f>
        <v>202301B0000</v>
      </c>
      <c r="B3357" t="str">
        <f>"202301B00003"</f>
        <v>202301B00003</v>
      </c>
      <c r="C3357" t="str">
        <f t="shared" si="240"/>
        <v>20</v>
      </c>
      <c r="D3357" t="s">
        <v>81</v>
      </c>
      <c r="E3357" t="str">
        <f t="shared" ref="E3357:E3364" si="242">"537"</f>
        <v>537</v>
      </c>
      <c r="F3357" t="s">
        <v>3592</v>
      </c>
      <c r="G3357" t="str">
        <f>"2301"</f>
        <v>2301</v>
      </c>
      <c r="H3357" t="str">
        <f>"0000"</f>
        <v>0000</v>
      </c>
      <c r="I3357" t="s">
        <v>83</v>
      </c>
      <c r="J3357">
        <v>0</v>
      </c>
      <c r="K3357">
        <v>1</v>
      </c>
      <c r="L3357">
        <v>3</v>
      </c>
      <c r="M3357">
        <v>283</v>
      </c>
      <c r="N3357">
        <v>483</v>
      </c>
      <c r="O3357">
        <v>3</v>
      </c>
      <c r="P3357">
        <v>482</v>
      </c>
      <c r="Q3357">
        <v>7</v>
      </c>
      <c r="R3357">
        <v>8</v>
      </c>
      <c r="S3357">
        <v>61</v>
      </c>
      <c r="T3357">
        <v>68</v>
      </c>
      <c r="U3357">
        <v>90</v>
      </c>
      <c r="V3357">
        <v>2</v>
      </c>
      <c r="W3357">
        <v>34</v>
      </c>
      <c r="X3357">
        <v>61</v>
      </c>
      <c r="Y3357">
        <v>0</v>
      </c>
      <c r="Z3357">
        <v>119</v>
      </c>
      <c r="AA3357">
        <v>11</v>
      </c>
      <c r="AB3357">
        <v>2</v>
      </c>
      <c r="AO3357">
        <v>0</v>
      </c>
      <c r="AW3357">
        <v>0</v>
      </c>
      <c r="AX3357">
        <v>19</v>
      </c>
      <c r="AY3357">
        <v>482</v>
      </c>
      <c r="AZ3357">
        <v>482</v>
      </c>
      <c r="BA3357">
        <v>721</v>
      </c>
      <c r="BB3357">
        <v>44</v>
      </c>
      <c r="BD3357">
        <v>1</v>
      </c>
      <c r="BF3357" t="s">
        <v>3593</v>
      </c>
      <c r="BG3357" s="1">
        <v>44353.982800925929</v>
      </c>
      <c r="BH3357" s="1">
        <v>44353.984953703701</v>
      </c>
      <c r="BI3357" s="1">
        <v>44353.985729166663</v>
      </c>
      <c r="BJ3357" t="s">
        <v>197</v>
      </c>
      <c r="BK3357" t="s">
        <v>198</v>
      </c>
      <c r="BL3357" t="s">
        <v>87</v>
      </c>
    </row>
    <row r="3358" spans="1:64" x14ac:dyDescent="0.3">
      <c r="A3358" t="str">
        <f>"202301C0100"</f>
        <v>202301C0100</v>
      </c>
      <c r="B3358" t="str">
        <f>"202301C01003"</f>
        <v>202301C01003</v>
      </c>
      <c r="C3358" t="str">
        <f t="shared" si="240"/>
        <v>20</v>
      </c>
      <c r="D3358" t="s">
        <v>81</v>
      </c>
      <c r="E3358" t="str">
        <f t="shared" si="242"/>
        <v>537</v>
      </c>
      <c r="F3358" t="s">
        <v>3592</v>
      </c>
      <c r="G3358" t="str">
        <f>"2301"</f>
        <v>2301</v>
      </c>
      <c r="H3358" t="str">
        <f>"0001"</f>
        <v>0001</v>
      </c>
      <c r="I3358" t="s">
        <v>89</v>
      </c>
      <c r="J3358">
        <v>0</v>
      </c>
      <c r="K3358">
        <v>1</v>
      </c>
      <c r="L3358">
        <v>3</v>
      </c>
      <c r="M3358">
        <v>269</v>
      </c>
      <c r="N3358">
        <v>495</v>
      </c>
      <c r="O3358">
        <v>6</v>
      </c>
      <c r="P3358">
        <v>495</v>
      </c>
      <c r="Q3358">
        <v>6</v>
      </c>
      <c r="R3358">
        <v>7</v>
      </c>
      <c r="S3358">
        <v>77</v>
      </c>
      <c r="T3358">
        <v>65</v>
      </c>
      <c r="U3358">
        <v>97</v>
      </c>
      <c r="V3358">
        <v>1</v>
      </c>
      <c r="W3358">
        <v>26</v>
      </c>
      <c r="X3358">
        <v>51</v>
      </c>
      <c r="Y3358">
        <v>6</v>
      </c>
      <c r="Z3358">
        <v>122</v>
      </c>
      <c r="AA3358">
        <v>17</v>
      </c>
      <c r="AB3358">
        <v>3</v>
      </c>
      <c r="AO3358">
        <v>0</v>
      </c>
      <c r="AW3358">
        <v>0</v>
      </c>
      <c r="AX3358">
        <v>17</v>
      </c>
      <c r="AY3358">
        <v>495</v>
      </c>
      <c r="AZ3358">
        <v>495</v>
      </c>
      <c r="BA3358">
        <v>720</v>
      </c>
      <c r="BB3358">
        <v>44</v>
      </c>
      <c r="BD3358">
        <v>1</v>
      </c>
      <c r="BF3358" t="s">
        <v>3594</v>
      </c>
      <c r="BG3358" s="1">
        <v>44353.987766203703</v>
      </c>
      <c r="BH3358" s="1">
        <v>44353.990312499998</v>
      </c>
      <c r="BI3358" s="1">
        <v>44353.991296296299</v>
      </c>
      <c r="BJ3358" t="s">
        <v>197</v>
      </c>
      <c r="BK3358" t="s">
        <v>198</v>
      </c>
      <c r="BL3358" t="s">
        <v>87</v>
      </c>
    </row>
    <row r="3359" spans="1:64" x14ac:dyDescent="0.3">
      <c r="A3359" t="str">
        <f>"202301C0200"</f>
        <v>202301C0200</v>
      </c>
      <c r="B3359" t="str">
        <f>"202301C02003"</f>
        <v>202301C02003</v>
      </c>
      <c r="C3359" t="str">
        <f t="shared" si="240"/>
        <v>20</v>
      </c>
      <c r="D3359" t="s">
        <v>81</v>
      </c>
      <c r="E3359" t="str">
        <f t="shared" si="242"/>
        <v>537</v>
      </c>
      <c r="F3359" t="s">
        <v>3592</v>
      </c>
      <c r="G3359" t="str">
        <f>"2301"</f>
        <v>2301</v>
      </c>
      <c r="H3359" t="str">
        <f>"0002"</f>
        <v>0002</v>
      </c>
      <c r="I3359" t="s">
        <v>89</v>
      </c>
      <c r="J3359">
        <v>0</v>
      </c>
      <c r="K3359">
        <v>1</v>
      </c>
      <c r="L3359">
        <v>3</v>
      </c>
      <c r="M3359">
        <v>290</v>
      </c>
      <c r="N3359">
        <v>474</v>
      </c>
      <c r="O3359">
        <v>13</v>
      </c>
      <c r="P3359">
        <v>474</v>
      </c>
      <c r="Q3359">
        <v>1</v>
      </c>
      <c r="R3359">
        <v>4</v>
      </c>
      <c r="S3359">
        <v>62</v>
      </c>
      <c r="T3359">
        <v>65</v>
      </c>
      <c r="U3359">
        <v>87</v>
      </c>
      <c r="V3359">
        <v>1</v>
      </c>
      <c r="W3359">
        <v>31</v>
      </c>
      <c r="X3359">
        <v>57</v>
      </c>
      <c r="Y3359">
        <v>0</v>
      </c>
      <c r="Z3359">
        <v>137</v>
      </c>
      <c r="AA3359">
        <v>13</v>
      </c>
      <c r="AB3359">
        <v>5</v>
      </c>
      <c r="AO3359">
        <v>0</v>
      </c>
      <c r="AW3359">
        <v>0</v>
      </c>
      <c r="AX3359">
        <v>11</v>
      </c>
      <c r="AY3359">
        <v>474</v>
      </c>
      <c r="AZ3359">
        <v>474</v>
      </c>
      <c r="BA3359">
        <v>720</v>
      </c>
      <c r="BB3359">
        <v>44</v>
      </c>
      <c r="BD3359">
        <v>1</v>
      </c>
      <c r="BF3359" t="s">
        <v>3595</v>
      </c>
      <c r="BG3359" s="1">
        <v>44353.976643518516</v>
      </c>
      <c r="BH3359" s="1">
        <v>44353.978750000002</v>
      </c>
      <c r="BI3359" s="1">
        <v>44353.980497685188</v>
      </c>
      <c r="BJ3359" t="s">
        <v>197</v>
      </c>
      <c r="BK3359" t="s">
        <v>198</v>
      </c>
      <c r="BL3359" t="s">
        <v>87</v>
      </c>
    </row>
    <row r="3360" spans="1:64" x14ac:dyDescent="0.3">
      <c r="A3360" t="str">
        <f>"202302B0000"</f>
        <v>202302B0000</v>
      </c>
      <c r="B3360" t="str">
        <f>"202302B00003"</f>
        <v>202302B00003</v>
      </c>
      <c r="C3360" t="str">
        <f t="shared" si="240"/>
        <v>20</v>
      </c>
      <c r="D3360" t="s">
        <v>81</v>
      </c>
      <c r="E3360" t="str">
        <f t="shared" si="242"/>
        <v>537</v>
      </c>
      <c r="F3360" t="s">
        <v>3592</v>
      </c>
      <c r="G3360" t="str">
        <f>"2302"</f>
        <v>2302</v>
      </c>
      <c r="H3360" t="str">
        <f>"0000"</f>
        <v>0000</v>
      </c>
      <c r="I3360" t="s">
        <v>83</v>
      </c>
      <c r="J3360">
        <v>0</v>
      </c>
      <c r="K3360">
        <v>1</v>
      </c>
      <c r="L3360">
        <v>3</v>
      </c>
      <c r="M3360">
        <v>192</v>
      </c>
      <c r="N3360">
        <v>315</v>
      </c>
      <c r="O3360">
        <v>10</v>
      </c>
      <c r="P3360">
        <v>315</v>
      </c>
      <c r="Q3360">
        <v>4</v>
      </c>
      <c r="R3360">
        <v>4</v>
      </c>
      <c r="S3360">
        <v>46</v>
      </c>
      <c r="T3360">
        <v>17</v>
      </c>
      <c r="U3360">
        <v>18</v>
      </c>
      <c r="V3360">
        <v>3</v>
      </c>
      <c r="W3360">
        <v>43</v>
      </c>
      <c r="X3360">
        <v>78</v>
      </c>
      <c r="Y3360">
        <v>0</v>
      </c>
      <c r="Z3360">
        <v>78</v>
      </c>
      <c r="AA3360">
        <v>11</v>
      </c>
      <c r="AB3360">
        <v>0</v>
      </c>
      <c r="AO3360">
        <v>0</v>
      </c>
      <c r="AW3360">
        <v>0</v>
      </c>
      <c r="AX3360">
        <v>13</v>
      </c>
      <c r="AY3360">
        <v>315</v>
      </c>
      <c r="AZ3360">
        <v>315</v>
      </c>
      <c r="BA3360">
        <v>462</v>
      </c>
      <c r="BB3360">
        <v>44</v>
      </c>
      <c r="BD3360">
        <v>1</v>
      </c>
      <c r="BF3360" t="s">
        <v>3596</v>
      </c>
      <c r="BG3360" s="1">
        <v>44353.871006944442</v>
      </c>
      <c r="BH3360" s="1">
        <v>44353.874247685184</v>
      </c>
      <c r="BI3360" s="1">
        <v>44353.874976851854</v>
      </c>
      <c r="BJ3360" t="s">
        <v>197</v>
      </c>
      <c r="BK3360" t="s">
        <v>198</v>
      </c>
      <c r="BL3360" t="s">
        <v>87</v>
      </c>
    </row>
    <row r="3361" spans="1:64" x14ac:dyDescent="0.3">
      <c r="A3361" t="str">
        <f>"202302C0100"</f>
        <v>202302C0100</v>
      </c>
      <c r="B3361" t="str">
        <f>"202302C01003"</f>
        <v>202302C01003</v>
      </c>
      <c r="C3361" t="str">
        <f t="shared" si="240"/>
        <v>20</v>
      </c>
      <c r="D3361" t="s">
        <v>81</v>
      </c>
      <c r="E3361" t="str">
        <f t="shared" si="242"/>
        <v>537</v>
      </c>
      <c r="F3361" t="s">
        <v>3592</v>
      </c>
      <c r="G3361" t="str">
        <f>"2302"</f>
        <v>2302</v>
      </c>
      <c r="H3361" t="str">
        <f>"0001"</f>
        <v>0001</v>
      </c>
      <c r="I3361" t="s">
        <v>89</v>
      </c>
      <c r="J3361">
        <v>0</v>
      </c>
      <c r="K3361">
        <v>1</v>
      </c>
      <c r="L3361">
        <v>3</v>
      </c>
      <c r="M3361">
        <v>188</v>
      </c>
      <c r="N3361">
        <v>317</v>
      </c>
      <c r="O3361">
        <v>8</v>
      </c>
      <c r="P3361">
        <v>317</v>
      </c>
      <c r="Q3361">
        <v>2</v>
      </c>
      <c r="R3361">
        <v>2</v>
      </c>
      <c r="S3361">
        <v>58</v>
      </c>
      <c r="T3361">
        <v>22</v>
      </c>
      <c r="U3361">
        <v>24</v>
      </c>
      <c r="V3361">
        <v>3</v>
      </c>
      <c r="W3361">
        <v>49</v>
      </c>
      <c r="X3361">
        <v>55</v>
      </c>
      <c r="Y3361">
        <v>1</v>
      </c>
      <c r="Z3361">
        <v>86</v>
      </c>
      <c r="AA3361">
        <v>7</v>
      </c>
      <c r="AB3361">
        <v>1</v>
      </c>
      <c r="AO3361">
        <v>0</v>
      </c>
      <c r="AW3361">
        <v>0</v>
      </c>
      <c r="AX3361">
        <v>7</v>
      </c>
      <c r="AY3361">
        <v>317</v>
      </c>
      <c r="AZ3361">
        <v>317</v>
      </c>
      <c r="BA3361">
        <v>461</v>
      </c>
      <c r="BB3361">
        <v>44</v>
      </c>
      <c r="BD3361">
        <v>1</v>
      </c>
      <c r="BF3361" t="s">
        <v>3597</v>
      </c>
      <c r="BG3361" s="1">
        <v>44353.889386574076</v>
      </c>
      <c r="BH3361" s="1">
        <v>44353.891006944446</v>
      </c>
      <c r="BI3361" s="1">
        <v>44353.891805555555</v>
      </c>
      <c r="BJ3361" t="s">
        <v>197</v>
      </c>
      <c r="BK3361" t="s">
        <v>198</v>
      </c>
      <c r="BL3361" t="s">
        <v>87</v>
      </c>
    </row>
    <row r="3362" spans="1:64" x14ac:dyDescent="0.3">
      <c r="A3362" t="str">
        <f>"202303B0000"</f>
        <v>202303B0000</v>
      </c>
      <c r="B3362" t="str">
        <f>"202303B00003"</f>
        <v>202303B00003</v>
      </c>
      <c r="C3362" t="str">
        <f t="shared" si="240"/>
        <v>20</v>
      </c>
      <c r="D3362" t="s">
        <v>81</v>
      </c>
      <c r="E3362" t="str">
        <f t="shared" si="242"/>
        <v>537</v>
      </c>
      <c r="F3362" t="s">
        <v>3592</v>
      </c>
      <c r="G3362" t="str">
        <f>"2303"</f>
        <v>2303</v>
      </c>
      <c r="H3362" t="str">
        <f>"0000"</f>
        <v>0000</v>
      </c>
      <c r="I3362" t="s">
        <v>83</v>
      </c>
      <c r="J3362">
        <v>0</v>
      </c>
      <c r="K3362">
        <v>1</v>
      </c>
      <c r="L3362">
        <v>3</v>
      </c>
      <c r="M3362">
        <v>196</v>
      </c>
      <c r="N3362">
        <v>381</v>
      </c>
      <c r="O3362">
        <v>3</v>
      </c>
      <c r="P3362">
        <v>381</v>
      </c>
      <c r="Q3362">
        <v>1</v>
      </c>
      <c r="R3362">
        <v>3</v>
      </c>
      <c r="S3362">
        <v>82</v>
      </c>
      <c r="T3362">
        <v>52</v>
      </c>
      <c r="U3362">
        <v>79</v>
      </c>
      <c r="V3362">
        <v>0</v>
      </c>
      <c r="W3362">
        <v>13</v>
      </c>
      <c r="X3362">
        <v>57</v>
      </c>
      <c r="Y3362">
        <v>1</v>
      </c>
      <c r="Z3362">
        <v>71</v>
      </c>
      <c r="AA3362">
        <v>5</v>
      </c>
      <c r="AB3362">
        <v>2</v>
      </c>
      <c r="AO3362">
        <v>0</v>
      </c>
      <c r="AW3362">
        <v>0</v>
      </c>
      <c r="AX3362">
        <v>15</v>
      </c>
      <c r="AY3362">
        <v>381</v>
      </c>
      <c r="AZ3362">
        <v>381</v>
      </c>
      <c r="BA3362">
        <v>533</v>
      </c>
      <c r="BB3362">
        <v>44</v>
      </c>
      <c r="BD3362">
        <v>1</v>
      </c>
      <c r="BF3362" t="s">
        <v>3598</v>
      </c>
      <c r="BG3362" s="1">
        <v>44353.966608796298</v>
      </c>
      <c r="BH3362" s="1">
        <v>44353.967766203707</v>
      </c>
      <c r="BI3362" s="1">
        <v>44353.968287037038</v>
      </c>
      <c r="BJ3362" t="s">
        <v>197</v>
      </c>
      <c r="BK3362" t="s">
        <v>198</v>
      </c>
      <c r="BL3362" t="s">
        <v>87</v>
      </c>
    </row>
    <row r="3363" spans="1:64" x14ac:dyDescent="0.3">
      <c r="A3363" t="str">
        <f>"202303C0100"</f>
        <v>202303C0100</v>
      </c>
      <c r="B3363" t="str">
        <f>"202303C01003"</f>
        <v>202303C01003</v>
      </c>
      <c r="C3363" t="str">
        <f t="shared" si="240"/>
        <v>20</v>
      </c>
      <c r="D3363" t="s">
        <v>81</v>
      </c>
      <c r="E3363" t="str">
        <f t="shared" si="242"/>
        <v>537</v>
      </c>
      <c r="F3363" t="s">
        <v>3592</v>
      </c>
      <c r="G3363" t="str">
        <f>"2303"</f>
        <v>2303</v>
      </c>
      <c r="H3363" t="str">
        <f>"0001"</f>
        <v>0001</v>
      </c>
      <c r="I3363" t="s">
        <v>89</v>
      </c>
      <c r="J3363">
        <v>0</v>
      </c>
      <c r="K3363">
        <v>1</v>
      </c>
      <c r="L3363">
        <v>3</v>
      </c>
      <c r="M3363">
        <v>207</v>
      </c>
      <c r="N3363">
        <v>369</v>
      </c>
      <c r="O3363">
        <v>2</v>
      </c>
      <c r="P3363">
        <v>369</v>
      </c>
      <c r="Q3363">
        <v>5</v>
      </c>
      <c r="R3363">
        <v>3</v>
      </c>
      <c r="S3363">
        <v>71</v>
      </c>
      <c r="T3363">
        <v>51</v>
      </c>
      <c r="U3363">
        <v>73</v>
      </c>
      <c r="V3363">
        <v>0</v>
      </c>
      <c r="W3363">
        <v>27</v>
      </c>
      <c r="X3363">
        <v>40</v>
      </c>
      <c r="Y3363">
        <v>0</v>
      </c>
      <c r="Z3363">
        <v>83</v>
      </c>
      <c r="AA3363">
        <v>3</v>
      </c>
      <c r="AB3363">
        <v>1</v>
      </c>
      <c r="AO3363">
        <v>0</v>
      </c>
      <c r="AW3363">
        <v>0</v>
      </c>
      <c r="AX3363">
        <v>12</v>
      </c>
      <c r="AY3363">
        <v>369</v>
      </c>
      <c r="AZ3363">
        <v>369</v>
      </c>
      <c r="BA3363">
        <v>532</v>
      </c>
      <c r="BB3363">
        <v>44</v>
      </c>
      <c r="BD3363">
        <v>1</v>
      </c>
      <c r="BF3363" t="s">
        <v>3599</v>
      </c>
      <c r="BG3363" s="1">
        <v>44353.75</v>
      </c>
      <c r="BH3363" s="1">
        <v>44354.089942129627</v>
      </c>
      <c r="BI3363" s="1">
        <v>44354.090509259258</v>
      </c>
      <c r="BJ3363" t="s">
        <v>85</v>
      </c>
      <c r="BK3363" t="s">
        <v>86</v>
      </c>
      <c r="BL3363" t="s">
        <v>87</v>
      </c>
    </row>
    <row r="3364" spans="1:64" x14ac:dyDescent="0.3">
      <c r="A3364" t="str">
        <f>"202303C0200"</f>
        <v>202303C0200</v>
      </c>
      <c r="B3364" t="str">
        <f>"202303C02003"</f>
        <v>202303C02003</v>
      </c>
      <c r="C3364" t="str">
        <f t="shared" si="240"/>
        <v>20</v>
      </c>
      <c r="D3364" t="s">
        <v>81</v>
      </c>
      <c r="E3364" t="str">
        <f t="shared" si="242"/>
        <v>537</v>
      </c>
      <c r="F3364" t="s">
        <v>3592</v>
      </c>
      <c r="G3364" t="str">
        <f>"2303"</f>
        <v>2303</v>
      </c>
      <c r="H3364" t="str">
        <f>"0002"</f>
        <v>0002</v>
      </c>
      <c r="I3364" t="s">
        <v>89</v>
      </c>
      <c r="J3364">
        <v>0</v>
      </c>
      <c r="K3364">
        <v>1</v>
      </c>
      <c r="L3364">
        <v>3</v>
      </c>
      <c r="M3364">
        <v>195</v>
      </c>
      <c r="N3364">
        <v>381</v>
      </c>
      <c r="O3364">
        <v>3</v>
      </c>
      <c r="P3364">
        <v>381</v>
      </c>
      <c r="Q3364">
        <v>1</v>
      </c>
      <c r="R3364">
        <v>1</v>
      </c>
      <c r="S3364">
        <v>65</v>
      </c>
      <c r="T3364">
        <v>56</v>
      </c>
      <c r="U3364">
        <v>68</v>
      </c>
      <c r="V3364">
        <v>2</v>
      </c>
      <c r="W3364">
        <v>31</v>
      </c>
      <c r="X3364">
        <v>54</v>
      </c>
      <c r="Y3364">
        <v>0</v>
      </c>
      <c r="Z3364">
        <v>69</v>
      </c>
      <c r="AA3364">
        <v>16</v>
      </c>
      <c r="AB3364">
        <v>2</v>
      </c>
      <c r="AO3364" t="s">
        <v>95</v>
      </c>
      <c r="AW3364" t="s">
        <v>95</v>
      </c>
      <c r="AX3364">
        <v>16</v>
      </c>
      <c r="AY3364">
        <v>381</v>
      </c>
      <c r="AZ3364">
        <v>381</v>
      </c>
      <c r="BA3364">
        <v>532</v>
      </c>
      <c r="BB3364">
        <v>44</v>
      </c>
      <c r="BC3364" t="s">
        <v>96</v>
      </c>
      <c r="BD3364">
        <v>1</v>
      </c>
      <c r="BF3364" t="s">
        <v>3600</v>
      </c>
      <c r="BG3364" s="1">
        <v>44353.75</v>
      </c>
      <c r="BH3364" s="1">
        <v>44354.089444444442</v>
      </c>
      <c r="BI3364" s="1">
        <v>44354.090011574073</v>
      </c>
      <c r="BJ3364" t="s">
        <v>85</v>
      </c>
      <c r="BK3364" t="s">
        <v>86</v>
      </c>
      <c r="BL3364" t="s">
        <v>87</v>
      </c>
    </row>
    <row r="3365" spans="1:64" x14ac:dyDescent="0.3">
      <c r="A3365" t="str">
        <f>"202305B0000"</f>
        <v>202305B0000</v>
      </c>
      <c r="B3365" t="str">
        <f>"202305B00003"</f>
        <v>202305B00003</v>
      </c>
      <c r="C3365" t="str">
        <f t="shared" si="240"/>
        <v>20</v>
      </c>
      <c r="D3365" t="s">
        <v>81</v>
      </c>
      <c r="E3365" t="str">
        <f t="shared" ref="E3365:E3378" si="243">"539"</f>
        <v>539</v>
      </c>
      <c r="F3365" t="s">
        <v>3601</v>
      </c>
      <c r="G3365" t="str">
        <f>"2305"</f>
        <v>2305</v>
      </c>
      <c r="H3365" t="str">
        <f>"0000"</f>
        <v>0000</v>
      </c>
      <c r="I3365" t="s">
        <v>83</v>
      </c>
      <c r="J3365">
        <v>0</v>
      </c>
      <c r="K3365">
        <v>1</v>
      </c>
      <c r="L3365">
        <v>3</v>
      </c>
      <c r="M3365">
        <v>198</v>
      </c>
      <c r="N3365">
        <v>368</v>
      </c>
      <c r="O3365">
        <v>4</v>
      </c>
      <c r="P3365">
        <v>366</v>
      </c>
      <c r="Q3365">
        <v>1</v>
      </c>
      <c r="R3365">
        <v>24</v>
      </c>
      <c r="S3365">
        <v>1</v>
      </c>
      <c r="T3365">
        <v>2</v>
      </c>
      <c r="U3365">
        <v>133</v>
      </c>
      <c r="V3365">
        <v>1</v>
      </c>
      <c r="W3365">
        <v>16</v>
      </c>
      <c r="X3365">
        <v>96</v>
      </c>
      <c r="Y3365">
        <v>3</v>
      </c>
      <c r="Z3365">
        <v>1</v>
      </c>
      <c r="AB3365">
        <v>50</v>
      </c>
      <c r="AC3365">
        <v>30</v>
      </c>
      <c r="AF3365">
        <v>0</v>
      </c>
      <c r="AG3365">
        <v>1</v>
      </c>
      <c r="AH3365">
        <v>0</v>
      </c>
      <c r="AI3365">
        <v>0</v>
      </c>
      <c r="AW3365">
        <v>7</v>
      </c>
      <c r="AX3365">
        <v>7</v>
      </c>
      <c r="AY3365">
        <v>366</v>
      </c>
      <c r="AZ3365">
        <v>373</v>
      </c>
      <c r="BA3365">
        <v>518</v>
      </c>
      <c r="BB3365">
        <v>46</v>
      </c>
      <c r="BD3365">
        <v>1</v>
      </c>
      <c r="BF3365" t="s">
        <v>3602</v>
      </c>
      <c r="BG3365" s="1">
        <v>44354.019444444442</v>
      </c>
      <c r="BH3365" s="1">
        <v>44354.029756944445</v>
      </c>
      <c r="BI3365" s="1">
        <v>44354.030995370369</v>
      </c>
      <c r="BJ3365" t="s">
        <v>85</v>
      </c>
      <c r="BK3365" t="s">
        <v>86</v>
      </c>
      <c r="BL3365" t="s">
        <v>87</v>
      </c>
    </row>
    <row r="3366" spans="1:64" x14ac:dyDescent="0.3">
      <c r="A3366" t="str">
        <f>"202305C0100"</f>
        <v>202305C0100</v>
      </c>
      <c r="B3366" t="str">
        <f>"202305C01003"</f>
        <v>202305C01003</v>
      </c>
      <c r="C3366" t="str">
        <f t="shared" si="240"/>
        <v>20</v>
      </c>
      <c r="D3366" t="s">
        <v>81</v>
      </c>
      <c r="E3366" t="str">
        <f t="shared" si="243"/>
        <v>539</v>
      </c>
      <c r="F3366" t="s">
        <v>3601</v>
      </c>
      <c r="G3366" t="str">
        <f>"2305"</f>
        <v>2305</v>
      </c>
      <c r="H3366" t="str">
        <f>"0001"</f>
        <v>0001</v>
      </c>
      <c r="I3366" t="s">
        <v>89</v>
      </c>
      <c r="J3366">
        <v>0</v>
      </c>
      <c r="K3366">
        <v>1</v>
      </c>
      <c r="L3366">
        <v>3</v>
      </c>
      <c r="M3366">
        <v>190</v>
      </c>
      <c r="N3366">
        <v>374</v>
      </c>
      <c r="O3366">
        <v>6</v>
      </c>
      <c r="P3366">
        <v>374</v>
      </c>
      <c r="Q3366">
        <v>1</v>
      </c>
      <c r="R3366">
        <v>44</v>
      </c>
      <c r="S3366">
        <v>0</v>
      </c>
      <c r="T3366">
        <v>1</v>
      </c>
      <c r="U3366">
        <v>128</v>
      </c>
      <c r="V3366">
        <v>1</v>
      </c>
      <c r="W3366">
        <v>39</v>
      </c>
      <c r="X3366">
        <v>110</v>
      </c>
      <c r="Y3366">
        <v>10</v>
      </c>
      <c r="Z3366">
        <v>0</v>
      </c>
      <c r="AB3366">
        <v>22</v>
      </c>
      <c r="AC3366">
        <v>13</v>
      </c>
      <c r="AF3366">
        <v>0</v>
      </c>
      <c r="AG3366">
        <v>0</v>
      </c>
      <c r="AH3366">
        <v>0</v>
      </c>
      <c r="AI3366">
        <v>0</v>
      </c>
      <c r="AW3366" t="s">
        <v>95</v>
      </c>
      <c r="AX3366">
        <v>5</v>
      </c>
      <c r="AY3366">
        <v>374</v>
      </c>
      <c r="AZ3366">
        <v>374</v>
      </c>
      <c r="BA3366">
        <v>518</v>
      </c>
      <c r="BB3366">
        <v>46</v>
      </c>
      <c r="BC3366" t="s">
        <v>96</v>
      </c>
      <c r="BD3366">
        <v>1</v>
      </c>
      <c r="BF3366" t="s">
        <v>3603</v>
      </c>
      <c r="BG3366" s="1">
        <v>44353.961805555555</v>
      </c>
      <c r="BH3366" s="1">
        <v>44353.984525462962</v>
      </c>
      <c r="BI3366" s="1">
        <v>44353.984930555554</v>
      </c>
      <c r="BJ3366" t="s">
        <v>85</v>
      </c>
      <c r="BK3366" t="s">
        <v>86</v>
      </c>
      <c r="BL3366" t="s">
        <v>87</v>
      </c>
    </row>
    <row r="3367" spans="1:64" x14ac:dyDescent="0.3">
      <c r="A3367" t="str">
        <f>"202305C0200"</f>
        <v>202305C0200</v>
      </c>
      <c r="B3367" t="str">
        <f>"202305C02003"</f>
        <v>202305C02003</v>
      </c>
      <c r="C3367" t="str">
        <f t="shared" si="240"/>
        <v>20</v>
      </c>
      <c r="D3367" t="s">
        <v>81</v>
      </c>
      <c r="E3367" t="str">
        <f t="shared" si="243"/>
        <v>539</v>
      </c>
      <c r="F3367" t="s">
        <v>3601</v>
      </c>
      <c r="G3367" t="str">
        <f>"2305"</f>
        <v>2305</v>
      </c>
      <c r="H3367" t="str">
        <f>"0002"</f>
        <v>0002</v>
      </c>
      <c r="I3367" t="s">
        <v>89</v>
      </c>
      <c r="J3367">
        <v>0</v>
      </c>
      <c r="K3367">
        <v>1</v>
      </c>
      <c r="L3367">
        <v>3</v>
      </c>
      <c r="M3367" t="s">
        <v>131</v>
      </c>
      <c r="N3367">
        <v>382</v>
      </c>
      <c r="O3367" t="s">
        <v>92</v>
      </c>
      <c r="P3367" t="s">
        <v>92</v>
      </c>
      <c r="Q3367">
        <v>0</v>
      </c>
      <c r="R3367">
        <v>60</v>
      </c>
      <c r="S3367">
        <v>1</v>
      </c>
      <c r="T3367">
        <v>1</v>
      </c>
      <c r="U3367">
        <v>122</v>
      </c>
      <c r="V3367">
        <v>3</v>
      </c>
      <c r="W3367">
        <v>43</v>
      </c>
      <c r="X3367">
        <v>77</v>
      </c>
      <c r="Y3367">
        <v>10</v>
      </c>
      <c r="Z3367">
        <v>0</v>
      </c>
      <c r="AB3367">
        <v>36</v>
      </c>
      <c r="AC3367">
        <v>20</v>
      </c>
      <c r="AF3367">
        <v>0</v>
      </c>
      <c r="AG3367">
        <v>0</v>
      </c>
      <c r="AH3367">
        <v>0</v>
      </c>
      <c r="AI3367">
        <v>1</v>
      </c>
      <c r="AW3367">
        <v>0</v>
      </c>
      <c r="AX3367">
        <v>8</v>
      </c>
      <c r="AY3367">
        <v>382</v>
      </c>
      <c r="AZ3367">
        <v>382</v>
      </c>
      <c r="BA3367">
        <v>517</v>
      </c>
      <c r="BB3367">
        <v>46</v>
      </c>
      <c r="BD3367">
        <v>1</v>
      </c>
      <c r="BF3367" t="s">
        <v>3604</v>
      </c>
      <c r="BG3367" s="1">
        <v>44354.019444444442</v>
      </c>
      <c r="BH3367" s="1">
        <v>44354.138402777775</v>
      </c>
      <c r="BI3367" s="1">
        <v>44354.139016203706</v>
      </c>
      <c r="BJ3367" t="s">
        <v>85</v>
      </c>
      <c r="BK3367" t="s">
        <v>86</v>
      </c>
      <c r="BL3367" t="s">
        <v>87</v>
      </c>
    </row>
    <row r="3368" spans="1:64" x14ac:dyDescent="0.3">
      <c r="A3368" t="str">
        <f>"202306B0000"</f>
        <v>202306B0000</v>
      </c>
      <c r="B3368" t="str">
        <f>"202306B00003"</f>
        <v>202306B00003</v>
      </c>
      <c r="C3368" t="str">
        <f t="shared" si="240"/>
        <v>20</v>
      </c>
      <c r="D3368" t="s">
        <v>81</v>
      </c>
      <c r="E3368" t="str">
        <f t="shared" si="243"/>
        <v>539</v>
      </c>
      <c r="F3368" t="s">
        <v>3601</v>
      </c>
      <c r="G3368" t="str">
        <f>"2306"</f>
        <v>2306</v>
      </c>
      <c r="H3368" t="str">
        <f>"0000"</f>
        <v>0000</v>
      </c>
      <c r="I3368" t="s">
        <v>83</v>
      </c>
      <c r="J3368">
        <v>0</v>
      </c>
      <c r="K3368">
        <v>1</v>
      </c>
      <c r="L3368">
        <v>3</v>
      </c>
      <c r="M3368">
        <v>157</v>
      </c>
      <c r="N3368">
        <v>346</v>
      </c>
      <c r="O3368">
        <v>7</v>
      </c>
      <c r="P3368">
        <v>346</v>
      </c>
      <c r="Q3368">
        <v>0</v>
      </c>
      <c r="R3368">
        <v>22</v>
      </c>
      <c r="S3368">
        <v>2</v>
      </c>
      <c r="T3368">
        <v>1</v>
      </c>
      <c r="U3368">
        <v>134</v>
      </c>
      <c r="V3368">
        <v>2</v>
      </c>
      <c r="W3368">
        <v>35</v>
      </c>
      <c r="X3368">
        <v>89</v>
      </c>
      <c r="Y3368">
        <v>16</v>
      </c>
      <c r="Z3368">
        <v>0</v>
      </c>
      <c r="AB3368">
        <v>28</v>
      </c>
      <c r="AC3368">
        <v>14</v>
      </c>
      <c r="AF3368">
        <v>0</v>
      </c>
      <c r="AG3368">
        <v>0</v>
      </c>
      <c r="AH3368">
        <v>0</v>
      </c>
      <c r="AI3368">
        <v>0</v>
      </c>
      <c r="AW3368">
        <v>0</v>
      </c>
      <c r="AX3368">
        <v>3</v>
      </c>
      <c r="AY3368">
        <v>346</v>
      </c>
      <c r="AZ3368">
        <v>346</v>
      </c>
      <c r="BA3368">
        <v>457</v>
      </c>
      <c r="BB3368">
        <v>46</v>
      </c>
      <c r="BD3368">
        <v>1</v>
      </c>
      <c r="BF3368" t="s">
        <v>3605</v>
      </c>
      <c r="BG3368" s="1">
        <v>44354.051388888889</v>
      </c>
      <c r="BH3368" s="1">
        <v>44354.059479166666</v>
      </c>
      <c r="BI3368" s="1">
        <v>44354.060115740744</v>
      </c>
      <c r="BJ3368" t="s">
        <v>85</v>
      </c>
      <c r="BK3368" t="s">
        <v>86</v>
      </c>
      <c r="BL3368" t="s">
        <v>87</v>
      </c>
    </row>
    <row r="3369" spans="1:64" x14ac:dyDescent="0.3">
      <c r="A3369" t="str">
        <f>"202306C0100"</f>
        <v>202306C0100</v>
      </c>
      <c r="B3369" t="str">
        <f>"202306C01003"</f>
        <v>202306C01003</v>
      </c>
      <c r="C3369" t="str">
        <f t="shared" si="240"/>
        <v>20</v>
      </c>
      <c r="D3369" t="s">
        <v>81</v>
      </c>
      <c r="E3369" t="str">
        <f t="shared" si="243"/>
        <v>539</v>
      </c>
      <c r="F3369" t="s">
        <v>3601</v>
      </c>
      <c r="G3369" t="str">
        <f>"2306"</f>
        <v>2306</v>
      </c>
      <c r="H3369" t="str">
        <f>"0001"</f>
        <v>0001</v>
      </c>
      <c r="I3369" t="s">
        <v>89</v>
      </c>
      <c r="J3369">
        <v>0</v>
      </c>
      <c r="K3369">
        <v>1</v>
      </c>
      <c r="L3369">
        <v>3</v>
      </c>
      <c r="M3369">
        <v>184</v>
      </c>
      <c r="N3369">
        <v>319</v>
      </c>
      <c r="O3369">
        <v>5</v>
      </c>
      <c r="P3369">
        <v>319</v>
      </c>
      <c r="Q3369">
        <v>0</v>
      </c>
      <c r="R3369">
        <v>27</v>
      </c>
      <c r="S3369">
        <v>2</v>
      </c>
      <c r="T3369">
        <v>1</v>
      </c>
      <c r="U3369">
        <v>117</v>
      </c>
      <c r="V3369">
        <v>0</v>
      </c>
      <c r="W3369">
        <v>32</v>
      </c>
      <c r="X3369">
        <v>66</v>
      </c>
      <c r="Y3369">
        <v>4</v>
      </c>
      <c r="Z3369">
        <v>0</v>
      </c>
      <c r="AB3369">
        <v>27</v>
      </c>
      <c r="AC3369">
        <v>33</v>
      </c>
      <c r="AF3369">
        <v>0</v>
      </c>
      <c r="AG3369">
        <v>0</v>
      </c>
      <c r="AH3369">
        <v>0</v>
      </c>
      <c r="AI3369">
        <v>0</v>
      </c>
      <c r="AW3369">
        <v>0</v>
      </c>
      <c r="AX3369">
        <v>9</v>
      </c>
      <c r="AY3369">
        <v>319</v>
      </c>
      <c r="AZ3369">
        <v>318</v>
      </c>
      <c r="BA3369">
        <v>457</v>
      </c>
      <c r="BB3369">
        <v>46</v>
      </c>
      <c r="BD3369">
        <v>1</v>
      </c>
      <c r="BF3369" t="s">
        <v>3606</v>
      </c>
      <c r="BG3369" s="1">
        <v>44354.036805555559</v>
      </c>
      <c r="BH3369" s="1">
        <v>44354.048819444448</v>
      </c>
      <c r="BI3369" s="1">
        <v>44354.049537037034</v>
      </c>
      <c r="BJ3369" t="s">
        <v>85</v>
      </c>
      <c r="BK3369" t="s">
        <v>86</v>
      </c>
      <c r="BL3369" t="s">
        <v>87</v>
      </c>
    </row>
    <row r="3370" spans="1:64" x14ac:dyDescent="0.3">
      <c r="A3370" t="str">
        <f>"202306E0100"</f>
        <v>202306E0100</v>
      </c>
      <c r="B3370" t="str">
        <f>"202306E01003"</f>
        <v>202306E01003</v>
      </c>
      <c r="C3370" t="str">
        <f t="shared" si="240"/>
        <v>20</v>
      </c>
      <c r="D3370" t="s">
        <v>81</v>
      </c>
      <c r="E3370" t="str">
        <f t="shared" si="243"/>
        <v>539</v>
      </c>
      <c r="F3370" t="s">
        <v>3601</v>
      </c>
      <c r="G3370" t="str">
        <f>"2306"</f>
        <v>2306</v>
      </c>
      <c r="H3370" t="str">
        <f>"0001"</f>
        <v>0001</v>
      </c>
      <c r="I3370" t="s">
        <v>122</v>
      </c>
      <c r="J3370">
        <v>0</v>
      </c>
      <c r="K3370">
        <v>1</v>
      </c>
      <c r="L3370">
        <v>3</v>
      </c>
      <c r="M3370">
        <v>136</v>
      </c>
      <c r="N3370">
        <v>174</v>
      </c>
      <c r="O3370">
        <v>0</v>
      </c>
      <c r="P3370">
        <v>174</v>
      </c>
      <c r="Q3370">
        <v>1</v>
      </c>
      <c r="R3370">
        <v>41</v>
      </c>
      <c r="S3370">
        <v>3</v>
      </c>
      <c r="T3370">
        <v>4</v>
      </c>
      <c r="U3370">
        <v>55</v>
      </c>
      <c r="V3370">
        <v>2</v>
      </c>
      <c r="W3370">
        <v>5</v>
      </c>
      <c r="X3370">
        <v>34</v>
      </c>
      <c r="Y3370">
        <v>6</v>
      </c>
      <c r="Z3370">
        <v>2</v>
      </c>
      <c r="AB3370">
        <v>11</v>
      </c>
      <c r="AC3370">
        <v>6</v>
      </c>
      <c r="AF3370">
        <v>0</v>
      </c>
      <c r="AG3370">
        <v>0</v>
      </c>
      <c r="AH3370">
        <v>0</v>
      </c>
      <c r="AI3370">
        <v>0</v>
      </c>
      <c r="AW3370">
        <v>0</v>
      </c>
      <c r="AX3370">
        <v>4</v>
      </c>
      <c r="AY3370">
        <v>174</v>
      </c>
      <c r="AZ3370">
        <v>174</v>
      </c>
      <c r="BA3370">
        <v>264</v>
      </c>
      <c r="BB3370">
        <v>46</v>
      </c>
      <c r="BD3370">
        <v>1</v>
      </c>
      <c r="BF3370" t="s">
        <v>3607</v>
      </c>
      <c r="BG3370" s="1">
        <v>44354.045138888891</v>
      </c>
      <c r="BH3370" s="1">
        <v>44354.056342592594</v>
      </c>
      <c r="BI3370" s="1">
        <v>44354.056574074071</v>
      </c>
      <c r="BJ3370" t="s">
        <v>85</v>
      </c>
      <c r="BK3370" t="s">
        <v>86</v>
      </c>
      <c r="BL3370" t="s">
        <v>87</v>
      </c>
    </row>
    <row r="3371" spans="1:64" x14ac:dyDescent="0.3">
      <c r="A3371" t="str">
        <f>"202306E0200"</f>
        <v>202306E0200</v>
      </c>
      <c r="B3371" t="str">
        <f>"202306E02003"</f>
        <v>202306E02003</v>
      </c>
      <c r="C3371" t="str">
        <f t="shared" si="240"/>
        <v>20</v>
      </c>
      <c r="D3371" t="s">
        <v>81</v>
      </c>
      <c r="E3371" t="str">
        <f t="shared" si="243"/>
        <v>539</v>
      </c>
      <c r="F3371" t="s">
        <v>3601</v>
      </c>
      <c r="G3371" t="str">
        <f>"2306"</f>
        <v>2306</v>
      </c>
      <c r="H3371" t="str">
        <f>"0002"</f>
        <v>0002</v>
      </c>
      <c r="I3371" t="s">
        <v>122</v>
      </c>
      <c r="J3371">
        <v>0</v>
      </c>
      <c r="K3371">
        <v>1</v>
      </c>
      <c r="L3371">
        <v>3</v>
      </c>
      <c r="M3371">
        <v>91</v>
      </c>
      <c r="N3371">
        <v>98</v>
      </c>
      <c r="O3371" t="s">
        <v>131</v>
      </c>
      <c r="P3371">
        <v>196</v>
      </c>
      <c r="Q3371">
        <v>0</v>
      </c>
      <c r="R3371">
        <v>17</v>
      </c>
      <c r="S3371">
        <v>0</v>
      </c>
      <c r="T3371">
        <v>3</v>
      </c>
      <c r="U3371">
        <v>20</v>
      </c>
      <c r="V3371">
        <v>0</v>
      </c>
      <c r="W3371">
        <v>11</v>
      </c>
      <c r="X3371">
        <v>24</v>
      </c>
      <c r="Y3371">
        <v>13</v>
      </c>
      <c r="Z3371">
        <v>2</v>
      </c>
      <c r="AB3371">
        <v>5</v>
      </c>
      <c r="AC3371">
        <v>4</v>
      </c>
      <c r="AF3371">
        <v>0</v>
      </c>
      <c r="AG3371">
        <v>0</v>
      </c>
      <c r="AH3371">
        <v>0</v>
      </c>
      <c r="AI3371">
        <v>0</v>
      </c>
      <c r="AW3371">
        <v>0</v>
      </c>
      <c r="AX3371">
        <v>97</v>
      </c>
      <c r="AY3371">
        <v>196</v>
      </c>
      <c r="AZ3371">
        <v>196</v>
      </c>
      <c r="BA3371">
        <v>150</v>
      </c>
      <c r="BB3371">
        <v>46</v>
      </c>
      <c r="BD3371">
        <v>1</v>
      </c>
      <c r="BF3371" t="s">
        <v>3608</v>
      </c>
      <c r="BG3371" s="1">
        <v>44354.048611111109</v>
      </c>
      <c r="BH3371" s="1">
        <v>44354.057280092595</v>
      </c>
      <c r="BI3371" s="1">
        <v>44354.059074074074</v>
      </c>
      <c r="BJ3371" t="s">
        <v>85</v>
      </c>
      <c r="BK3371" t="s">
        <v>86</v>
      </c>
      <c r="BL3371" t="s">
        <v>87</v>
      </c>
    </row>
    <row r="3372" spans="1:64" x14ac:dyDescent="0.3">
      <c r="A3372" t="str">
        <f>"202307B0000"</f>
        <v>202307B0000</v>
      </c>
      <c r="B3372" t="str">
        <f>"202307B00003"</f>
        <v>202307B00003</v>
      </c>
      <c r="C3372" t="str">
        <f t="shared" si="240"/>
        <v>20</v>
      </c>
      <c r="D3372" t="s">
        <v>81</v>
      </c>
      <c r="E3372" t="str">
        <f t="shared" si="243"/>
        <v>539</v>
      </c>
      <c r="F3372" t="s">
        <v>3601</v>
      </c>
      <c r="G3372" t="str">
        <f>"2307"</f>
        <v>2307</v>
      </c>
      <c r="H3372" t="str">
        <f>"0000"</f>
        <v>0000</v>
      </c>
      <c r="I3372" t="s">
        <v>83</v>
      </c>
      <c r="J3372">
        <v>0</v>
      </c>
      <c r="K3372">
        <v>1</v>
      </c>
      <c r="L3372">
        <v>3</v>
      </c>
      <c r="M3372">
        <v>182</v>
      </c>
      <c r="N3372">
        <v>320</v>
      </c>
      <c r="O3372">
        <v>7</v>
      </c>
      <c r="P3372">
        <v>320</v>
      </c>
      <c r="Q3372">
        <v>1</v>
      </c>
      <c r="R3372">
        <v>45</v>
      </c>
      <c r="S3372">
        <v>1</v>
      </c>
      <c r="T3372">
        <v>1</v>
      </c>
      <c r="U3372">
        <v>101</v>
      </c>
      <c r="V3372">
        <v>1</v>
      </c>
      <c r="W3372">
        <v>38</v>
      </c>
      <c r="X3372">
        <v>49</v>
      </c>
      <c r="Y3372">
        <v>8</v>
      </c>
      <c r="Z3372">
        <v>0</v>
      </c>
      <c r="AB3372">
        <v>20</v>
      </c>
      <c r="AC3372">
        <v>32</v>
      </c>
      <c r="AF3372">
        <v>1</v>
      </c>
      <c r="AG3372">
        <v>0</v>
      </c>
      <c r="AH3372">
        <v>0</v>
      </c>
      <c r="AI3372">
        <v>0</v>
      </c>
      <c r="AW3372">
        <v>0</v>
      </c>
      <c r="AX3372">
        <v>12</v>
      </c>
      <c r="AY3372">
        <v>320</v>
      </c>
      <c r="AZ3372">
        <v>310</v>
      </c>
      <c r="BA3372">
        <v>464</v>
      </c>
      <c r="BB3372">
        <v>46</v>
      </c>
      <c r="BD3372">
        <v>1</v>
      </c>
      <c r="BF3372" t="s">
        <v>3609</v>
      </c>
      <c r="BG3372" s="1">
        <v>44353.956250000003</v>
      </c>
      <c r="BH3372" s="1">
        <v>44353.963796296295</v>
      </c>
      <c r="BI3372" s="1">
        <v>44353.964699074073</v>
      </c>
      <c r="BJ3372" t="s">
        <v>85</v>
      </c>
      <c r="BK3372" t="s">
        <v>86</v>
      </c>
      <c r="BL3372" t="s">
        <v>87</v>
      </c>
    </row>
    <row r="3373" spans="1:64" x14ac:dyDescent="0.3">
      <c r="A3373" t="str">
        <f>"202307C0100"</f>
        <v>202307C0100</v>
      </c>
      <c r="B3373" t="str">
        <f>"202307C01003"</f>
        <v>202307C01003</v>
      </c>
      <c r="C3373" t="str">
        <f t="shared" si="240"/>
        <v>20</v>
      </c>
      <c r="D3373" t="s">
        <v>81</v>
      </c>
      <c r="E3373" t="str">
        <f t="shared" si="243"/>
        <v>539</v>
      </c>
      <c r="F3373" t="s">
        <v>3601</v>
      </c>
      <c r="G3373" t="str">
        <f>"2307"</f>
        <v>2307</v>
      </c>
      <c r="H3373" t="str">
        <f>"0001"</f>
        <v>0001</v>
      </c>
      <c r="I3373" t="s">
        <v>89</v>
      </c>
      <c r="J3373">
        <v>0</v>
      </c>
      <c r="K3373">
        <v>1</v>
      </c>
      <c r="L3373">
        <v>3</v>
      </c>
      <c r="M3373">
        <v>169</v>
      </c>
      <c r="N3373">
        <v>341</v>
      </c>
      <c r="O3373">
        <v>2</v>
      </c>
      <c r="P3373">
        <v>341</v>
      </c>
      <c r="Q3373">
        <v>0</v>
      </c>
      <c r="R3373">
        <v>48</v>
      </c>
      <c r="S3373">
        <v>0</v>
      </c>
      <c r="T3373">
        <v>1</v>
      </c>
      <c r="U3373">
        <v>117</v>
      </c>
      <c r="V3373">
        <v>2</v>
      </c>
      <c r="W3373">
        <v>60</v>
      </c>
      <c r="X3373">
        <v>62</v>
      </c>
      <c r="Y3373">
        <v>4</v>
      </c>
      <c r="Z3373">
        <v>1</v>
      </c>
      <c r="AB3373">
        <v>15</v>
      </c>
      <c r="AC3373">
        <v>27</v>
      </c>
      <c r="AF3373">
        <v>1</v>
      </c>
      <c r="AG3373">
        <v>0</v>
      </c>
      <c r="AH3373">
        <v>0</v>
      </c>
      <c r="AI3373">
        <v>0</v>
      </c>
      <c r="AW3373">
        <v>0</v>
      </c>
      <c r="AX3373">
        <v>3</v>
      </c>
      <c r="AY3373">
        <v>341</v>
      </c>
      <c r="AZ3373">
        <v>341</v>
      </c>
      <c r="BA3373">
        <v>464</v>
      </c>
      <c r="BB3373">
        <v>46</v>
      </c>
      <c r="BD3373">
        <v>1</v>
      </c>
      <c r="BF3373" t="s">
        <v>3610</v>
      </c>
      <c r="BG3373" s="1">
        <v>44354.003472222219</v>
      </c>
      <c r="BH3373" s="1">
        <v>44354.011365740742</v>
      </c>
      <c r="BI3373" s="1">
        <v>44354.011724537035</v>
      </c>
      <c r="BJ3373" t="s">
        <v>85</v>
      </c>
      <c r="BK3373" t="s">
        <v>86</v>
      </c>
      <c r="BL3373" t="s">
        <v>87</v>
      </c>
    </row>
    <row r="3374" spans="1:64" x14ac:dyDescent="0.3">
      <c r="A3374" t="str">
        <f>"202308B0000"</f>
        <v>202308B0000</v>
      </c>
      <c r="B3374" t="str">
        <f>"202308B00003"</f>
        <v>202308B00003</v>
      </c>
      <c r="C3374" t="str">
        <f t="shared" si="240"/>
        <v>20</v>
      </c>
      <c r="D3374" t="s">
        <v>81</v>
      </c>
      <c r="E3374" t="str">
        <f t="shared" si="243"/>
        <v>539</v>
      </c>
      <c r="F3374" t="s">
        <v>3601</v>
      </c>
      <c r="G3374" t="str">
        <f>"2308"</f>
        <v>2308</v>
      </c>
      <c r="H3374" t="str">
        <f>"0000"</f>
        <v>0000</v>
      </c>
      <c r="I3374" t="s">
        <v>83</v>
      </c>
      <c r="J3374">
        <v>0</v>
      </c>
      <c r="K3374">
        <v>1</v>
      </c>
      <c r="L3374">
        <v>3</v>
      </c>
      <c r="M3374">
        <v>167</v>
      </c>
      <c r="N3374">
        <v>390</v>
      </c>
      <c r="O3374">
        <v>5</v>
      </c>
      <c r="P3374" t="s">
        <v>92</v>
      </c>
      <c r="Q3374">
        <v>6</v>
      </c>
      <c r="R3374">
        <v>38</v>
      </c>
      <c r="S3374">
        <v>2</v>
      </c>
      <c r="T3374">
        <v>0</v>
      </c>
      <c r="U3374">
        <v>162</v>
      </c>
      <c r="V3374">
        <v>1</v>
      </c>
      <c r="W3374">
        <v>25</v>
      </c>
      <c r="X3374">
        <v>57</v>
      </c>
      <c r="Y3374">
        <v>25</v>
      </c>
      <c r="Z3374">
        <v>2</v>
      </c>
      <c r="AB3374">
        <v>59</v>
      </c>
      <c r="AC3374">
        <v>11</v>
      </c>
      <c r="AF3374">
        <v>0</v>
      </c>
      <c r="AG3374">
        <v>0</v>
      </c>
      <c r="AH3374">
        <v>0</v>
      </c>
      <c r="AI3374">
        <v>0</v>
      </c>
      <c r="AW3374">
        <v>0</v>
      </c>
      <c r="AX3374">
        <v>8</v>
      </c>
      <c r="AY3374">
        <v>390</v>
      </c>
      <c r="AZ3374">
        <v>396</v>
      </c>
      <c r="BA3374">
        <v>511</v>
      </c>
      <c r="BB3374">
        <v>46</v>
      </c>
      <c r="BD3374">
        <v>1</v>
      </c>
      <c r="BF3374" t="s">
        <v>3611</v>
      </c>
      <c r="BG3374" s="1">
        <v>44354.086111111108</v>
      </c>
      <c r="BH3374" s="1">
        <v>44354.095405092594</v>
      </c>
      <c r="BI3374" s="1">
        <v>44354.095694444448</v>
      </c>
      <c r="BJ3374" t="s">
        <v>85</v>
      </c>
      <c r="BK3374" t="s">
        <v>86</v>
      </c>
      <c r="BL3374" t="s">
        <v>87</v>
      </c>
    </row>
    <row r="3375" spans="1:64" x14ac:dyDescent="0.3">
      <c r="A3375" t="str">
        <f>"202308C0100"</f>
        <v>202308C0100</v>
      </c>
      <c r="B3375" t="str">
        <f>"202308C01003"</f>
        <v>202308C01003</v>
      </c>
      <c r="C3375" t="str">
        <f t="shared" si="240"/>
        <v>20</v>
      </c>
      <c r="D3375" t="s">
        <v>81</v>
      </c>
      <c r="E3375" t="str">
        <f t="shared" si="243"/>
        <v>539</v>
      </c>
      <c r="F3375" t="s">
        <v>3601</v>
      </c>
      <c r="G3375" t="str">
        <f>"2308"</f>
        <v>2308</v>
      </c>
      <c r="H3375" t="str">
        <f>"0001"</f>
        <v>0001</v>
      </c>
      <c r="I3375" t="s">
        <v>89</v>
      </c>
      <c r="J3375">
        <v>0</v>
      </c>
      <c r="K3375">
        <v>1</v>
      </c>
      <c r="L3375">
        <v>3</v>
      </c>
      <c r="M3375">
        <v>197</v>
      </c>
      <c r="N3375">
        <v>359</v>
      </c>
      <c r="O3375">
        <v>2</v>
      </c>
      <c r="P3375">
        <v>359</v>
      </c>
      <c r="Q3375">
        <v>0</v>
      </c>
      <c r="R3375">
        <v>49</v>
      </c>
      <c r="S3375">
        <v>1</v>
      </c>
      <c r="T3375">
        <v>0</v>
      </c>
      <c r="U3375">
        <v>112</v>
      </c>
      <c r="V3375">
        <v>0</v>
      </c>
      <c r="W3375">
        <v>42</v>
      </c>
      <c r="X3375">
        <v>79</v>
      </c>
      <c r="Y3375">
        <v>12</v>
      </c>
      <c r="Z3375">
        <v>1</v>
      </c>
      <c r="AB3375">
        <v>36</v>
      </c>
      <c r="AC3375">
        <v>17</v>
      </c>
      <c r="AF3375">
        <v>0</v>
      </c>
      <c r="AG3375">
        <v>0</v>
      </c>
      <c r="AH3375">
        <v>0</v>
      </c>
      <c r="AI3375">
        <v>0</v>
      </c>
      <c r="AW3375">
        <v>0</v>
      </c>
      <c r="AX3375">
        <v>10</v>
      </c>
      <c r="AY3375">
        <v>359</v>
      </c>
      <c r="AZ3375">
        <v>359</v>
      </c>
      <c r="BA3375">
        <v>510</v>
      </c>
      <c r="BB3375">
        <v>46</v>
      </c>
      <c r="BD3375">
        <v>1</v>
      </c>
      <c r="BF3375" t="s">
        <v>3612</v>
      </c>
      <c r="BG3375" s="1">
        <v>44354.07916666667</v>
      </c>
      <c r="BH3375" s="1">
        <v>44354.088865740741</v>
      </c>
      <c r="BI3375" s="1">
        <v>44354.089456018519</v>
      </c>
      <c r="BJ3375" t="s">
        <v>85</v>
      </c>
      <c r="BK3375" t="s">
        <v>86</v>
      </c>
      <c r="BL3375" t="s">
        <v>87</v>
      </c>
    </row>
    <row r="3376" spans="1:64" x14ac:dyDescent="0.3">
      <c r="A3376" t="str">
        <f>"202309B0000"</f>
        <v>202309B0000</v>
      </c>
      <c r="B3376" t="str">
        <f>"202309B00003"</f>
        <v>202309B00003</v>
      </c>
      <c r="C3376" t="str">
        <f t="shared" si="240"/>
        <v>20</v>
      </c>
      <c r="D3376" t="s">
        <v>81</v>
      </c>
      <c r="E3376" t="str">
        <f t="shared" si="243"/>
        <v>539</v>
      </c>
      <c r="F3376" t="s">
        <v>3601</v>
      </c>
      <c r="G3376" t="str">
        <f>"2309"</f>
        <v>2309</v>
      </c>
      <c r="H3376" t="str">
        <f>"0000"</f>
        <v>0000</v>
      </c>
      <c r="I3376" t="s">
        <v>83</v>
      </c>
      <c r="J3376">
        <v>0</v>
      </c>
      <c r="K3376">
        <v>1</v>
      </c>
      <c r="L3376">
        <v>3</v>
      </c>
      <c r="M3376">
        <v>202</v>
      </c>
      <c r="N3376">
        <v>347</v>
      </c>
      <c r="O3376">
        <v>2</v>
      </c>
      <c r="P3376">
        <v>347</v>
      </c>
      <c r="Q3376">
        <v>0</v>
      </c>
      <c r="R3376">
        <v>16</v>
      </c>
      <c r="S3376">
        <v>0</v>
      </c>
      <c r="T3376">
        <v>0</v>
      </c>
      <c r="U3376">
        <v>135</v>
      </c>
      <c r="V3376">
        <v>0</v>
      </c>
      <c r="W3376">
        <v>18</v>
      </c>
      <c r="X3376">
        <v>61</v>
      </c>
      <c r="Y3376">
        <v>6</v>
      </c>
      <c r="Z3376">
        <v>1</v>
      </c>
      <c r="AB3376">
        <v>67</v>
      </c>
      <c r="AC3376">
        <v>23</v>
      </c>
      <c r="AF3376">
        <v>0</v>
      </c>
      <c r="AG3376">
        <v>0</v>
      </c>
      <c r="AH3376">
        <v>0</v>
      </c>
      <c r="AI3376">
        <v>0</v>
      </c>
      <c r="AW3376">
        <v>0</v>
      </c>
      <c r="AX3376">
        <v>20</v>
      </c>
      <c r="AY3376">
        <v>347</v>
      </c>
      <c r="AZ3376">
        <v>347</v>
      </c>
      <c r="BA3376">
        <v>503</v>
      </c>
      <c r="BB3376">
        <v>46</v>
      </c>
      <c r="BD3376">
        <v>1</v>
      </c>
      <c r="BF3376" t="s">
        <v>3613</v>
      </c>
      <c r="BG3376" s="1">
        <v>44354.081250000003</v>
      </c>
      <c r="BH3376" s="1">
        <v>44354.089571759258</v>
      </c>
      <c r="BI3376" s="1">
        <v>44354.089861111112</v>
      </c>
      <c r="BJ3376" t="s">
        <v>85</v>
      </c>
      <c r="BK3376" t="s">
        <v>86</v>
      </c>
      <c r="BL3376" t="s">
        <v>87</v>
      </c>
    </row>
    <row r="3377" spans="1:64" x14ac:dyDescent="0.3">
      <c r="A3377" t="str">
        <f>"202309C0100"</f>
        <v>202309C0100</v>
      </c>
      <c r="B3377" t="str">
        <f>"202309C01003"</f>
        <v>202309C01003</v>
      </c>
      <c r="C3377" t="str">
        <f t="shared" si="240"/>
        <v>20</v>
      </c>
      <c r="D3377" t="s">
        <v>81</v>
      </c>
      <c r="E3377" t="str">
        <f t="shared" si="243"/>
        <v>539</v>
      </c>
      <c r="F3377" t="s">
        <v>3601</v>
      </c>
      <c r="G3377" t="str">
        <f>"2309"</f>
        <v>2309</v>
      </c>
      <c r="H3377" t="str">
        <f>"0001"</f>
        <v>0001</v>
      </c>
      <c r="I3377" t="s">
        <v>89</v>
      </c>
      <c r="J3377">
        <v>0</v>
      </c>
      <c r="K3377">
        <v>1</v>
      </c>
      <c r="L3377">
        <v>3</v>
      </c>
      <c r="M3377">
        <v>211</v>
      </c>
      <c r="N3377">
        <v>337</v>
      </c>
      <c r="O3377">
        <v>1</v>
      </c>
      <c r="P3377">
        <v>337</v>
      </c>
      <c r="Q3377">
        <v>1</v>
      </c>
      <c r="R3377">
        <v>20</v>
      </c>
      <c r="S3377">
        <v>0</v>
      </c>
      <c r="T3377">
        <v>0</v>
      </c>
      <c r="U3377">
        <v>106</v>
      </c>
      <c r="V3377">
        <v>2</v>
      </c>
      <c r="W3377">
        <v>31</v>
      </c>
      <c r="X3377">
        <v>87</v>
      </c>
      <c r="Y3377">
        <v>5</v>
      </c>
      <c r="Z3377">
        <v>0</v>
      </c>
      <c r="AB3377">
        <v>56</v>
      </c>
      <c r="AC3377">
        <v>24</v>
      </c>
      <c r="AF3377">
        <v>0</v>
      </c>
      <c r="AG3377">
        <v>0</v>
      </c>
      <c r="AH3377">
        <v>0</v>
      </c>
      <c r="AI3377">
        <v>0</v>
      </c>
      <c r="AW3377">
        <v>0</v>
      </c>
      <c r="AX3377">
        <v>5</v>
      </c>
      <c r="AY3377">
        <v>337</v>
      </c>
      <c r="AZ3377">
        <v>337</v>
      </c>
      <c r="BA3377">
        <v>502</v>
      </c>
      <c r="BB3377">
        <v>46</v>
      </c>
      <c r="BD3377">
        <v>1</v>
      </c>
      <c r="BF3377" t="s">
        <v>3614</v>
      </c>
      <c r="BG3377" s="1">
        <v>44354.084027777775</v>
      </c>
      <c r="BH3377" s="1">
        <v>44354.095185185186</v>
      </c>
      <c r="BI3377" s="1">
        <v>44354.095717592594</v>
      </c>
      <c r="BJ3377" t="s">
        <v>85</v>
      </c>
      <c r="BK3377" t="s">
        <v>86</v>
      </c>
      <c r="BL3377" t="s">
        <v>87</v>
      </c>
    </row>
    <row r="3378" spans="1:64" x14ac:dyDescent="0.3">
      <c r="A3378" t="str">
        <f>"202310B0000"</f>
        <v>202310B0000</v>
      </c>
      <c r="B3378" t="str">
        <f>"202310B00003"</f>
        <v>202310B00003</v>
      </c>
      <c r="C3378" t="str">
        <f t="shared" si="240"/>
        <v>20</v>
      </c>
      <c r="D3378" t="s">
        <v>81</v>
      </c>
      <c r="E3378" t="str">
        <f t="shared" si="243"/>
        <v>539</v>
      </c>
      <c r="F3378" t="s">
        <v>3601</v>
      </c>
      <c r="G3378" t="str">
        <f>"2310"</f>
        <v>2310</v>
      </c>
      <c r="H3378" t="str">
        <f>"0000"</f>
        <v>0000</v>
      </c>
      <c r="I3378" t="s">
        <v>83</v>
      </c>
      <c r="J3378">
        <v>0</v>
      </c>
      <c r="K3378">
        <v>1</v>
      </c>
      <c r="L3378">
        <v>3</v>
      </c>
      <c r="M3378">
        <v>75</v>
      </c>
      <c r="N3378">
        <v>130</v>
      </c>
      <c r="O3378">
        <v>5</v>
      </c>
      <c r="P3378">
        <v>0</v>
      </c>
      <c r="Q3378">
        <v>0</v>
      </c>
      <c r="R3378">
        <v>12</v>
      </c>
      <c r="S3378">
        <v>0</v>
      </c>
      <c r="T3378">
        <v>0</v>
      </c>
      <c r="U3378">
        <v>68</v>
      </c>
      <c r="V3378">
        <v>1</v>
      </c>
      <c r="W3378">
        <v>3</v>
      </c>
      <c r="X3378">
        <v>13</v>
      </c>
      <c r="Y3378">
        <v>0</v>
      </c>
      <c r="Z3378">
        <v>0</v>
      </c>
      <c r="AB3378">
        <v>21</v>
      </c>
      <c r="AC3378">
        <v>6</v>
      </c>
      <c r="AF3378">
        <v>0</v>
      </c>
      <c r="AG3378">
        <v>0</v>
      </c>
      <c r="AH3378">
        <v>0</v>
      </c>
      <c r="AI3378">
        <v>0</v>
      </c>
      <c r="AW3378">
        <v>0</v>
      </c>
      <c r="AX3378">
        <v>2</v>
      </c>
      <c r="AY3378">
        <v>126</v>
      </c>
      <c r="AZ3378">
        <v>126</v>
      </c>
      <c r="BA3378">
        <v>159</v>
      </c>
      <c r="BB3378">
        <v>46</v>
      </c>
      <c r="BD3378">
        <v>1</v>
      </c>
      <c r="BF3378" t="s">
        <v>3615</v>
      </c>
      <c r="BG3378" s="1">
        <v>44354.040972222225</v>
      </c>
      <c r="BH3378" s="1">
        <v>44354.053796296299</v>
      </c>
      <c r="BI3378" s="1">
        <v>44354.054351851853</v>
      </c>
      <c r="BJ3378" t="s">
        <v>85</v>
      </c>
      <c r="BK3378" t="s">
        <v>86</v>
      </c>
      <c r="BL3378" t="s">
        <v>87</v>
      </c>
    </row>
    <row r="3379" spans="1:64" x14ac:dyDescent="0.3">
      <c r="A3379" t="str">
        <f>"202321B0000"</f>
        <v>202321B0000</v>
      </c>
      <c r="B3379" t="str">
        <f>"202321B00003"</f>
        <v>202321B00003</v>
      </c>
      <c r="C3379" t="str">
        <f t="shared" si="240"/>
        <v>20</v>
      </c>
      <c r="D3379" t="s">
        <v>81</v>
      </c>
      <c r="E3379" t="str">
        <f>"543"</f>
        <v>543</v>
      </c>
      <c r="F3379" t="s">
        <v>3616</v>
      </c>
      <c r="G3379" t="str">
        <f>"2321"</f>
        <v>2321</v>
      </c>
      <c r="H3379" t="str">
        <f>"0000"</f>
        <v>0000</v>
      </c>
      <c r="I3379" t="s">
        <v>83</v>
      </c>
      <c r="J3379">
        <v>0</v>
      </c>
      <c r="K3379">
        <v>1</v>
      </c>
      <c r="L3379">
        <v>3</v>
      </c>
      <c r="M3379">
        <v>204</v>
      </c>
      <c r="N3379">
        <v>566</v>
      </c>
      <c r="O3379">
        <v>2</v>
      </c>
      <c r="P3379">
        <v>566</v>
      </c>
      <c r="Q3379">
        <v>0</v>
      </c>
      <c r="R3379">
        <v>25</v>
      </c>
      <c r="S3379">
        <v>144</v>
      </c>
      <c r="T3379">
        <v>2</v>
      </c>
      <c r="U3379">
        <v>41</v>
      </c>
      <c r="V3379">
        <v>5</v>
      </c>
      <c r="X3379">
        <v>326</v>
      </c>
      <c r="Y3379">
        <v>6</v>
      </c>
      <c r="Z3379">
        <v>1</v>
      </c>
      <c r="AB3379">
        <v>0</v>
      </c>
      <c r="AF3379">
        <v>4</v>
      </c>
      <c r="AG3379">
        <v>0</v>
      </c>
      <c r="AH3379">
        <v>0</v>
      </c>
      <c r="AI3379">
        <v>2</v>
      </c>
      <c r="AU3379">
        <v>0</v>
      </c>
      <c r="AW3379">
        <v>0</v>
      </c>
      <c r="AX3379">
        <v>10</v>
      </c>
      <c r="AY3379">
        <v>566</v>
      </c>
      <c r="AZ3379">
        <v>566</v>
      </c>
      <c r="BA3379">
        <v>726</v>
      </c>
      <c r="BB3379">
        <v>44</v>
      </c>
      <c r="BD3379">
        <v>1</v>
      </c>
      <c r="BF3379" t="s">
        <v>3617</v>
      </c>
      <c r="BG3379" s="1">
        <v>44354.060763888891</v>
      </c>
      <c r="BH3379" s="1">
        <v>44354.067361111112</v>
      </c>
      <c r="BI3379" s="1">
        <v>44354.068182870367</v>
      </c>
      <c r="BJ3379" t="s">
        <v>197</v>
      </c>
      <c r="BK3379" t="s">
        <v>198</v>
      </c>
      <c r="BL3379" t="s">
        <v>87</v>
      </c>
    </row>
    <row r="3380" spans="1:64" x14ac:dyDescent="0.3">
      <c r="A3380" t="str">
        <f>"202322B0000"</f>
        <v>202322B0000</v>
      </c>
      <c r="B3380" t="str">
        <f>"202322B00003"</f>
        <v>202322B00003</v>
      </c>
      <c r="C3380" t="str">
        <f t="shared" si="240"/>
        <v>20</v>
      </c>
      <c r="D3380" t="s">
        <v>81</v>
      </c>
      <c r="E3380" t="str">
        <f>"543"</f>
        <v>543</v>
      </c>
      <c r="F3380" t="s">
        <v>3616</v>
      </c>
      <c r="G3380" t="str">
        <f>"2322"</f>
        <v>2322</v>
      </c>
      <c r="H3380" t="str">
        <f>"0000"</f>
        <v>0000</v>
      </c>
      <c r="I3380" t="s">
        <v>83</v>
      </c>
      <c r="J3380">
        <v>0</v>
      </c>
      <c r="K3380">
        <v>1</v>
      </c>
      <c r="L3380">
        <v>3</v>
      </c>
      <c r="M3380">
        <v>125</v>
      </c>
      <c r="N3380">
        <v>318</v>
      </c>
      <c r="O3380">
        <v>0</v>
      </c>
      <c r="P3380">
        <v>318</v>
      </c>
      <c r="Q3380">
        <v>5</v>
      </c>
      <c r="R3380">
        <v>10</v>
      </c>
      <c r="S3380">
        <v>122</v>
      </c>
      <c r="T3380">
        <v>0</v>
      </c>
      <c r="U3380">
        <v>10</v>
      </c>
      <c r="V3380">
        <v>0</v>
      </c>
      <c r="X3380">
        <v>150</v>
      </c>
      <c r="Y3380">
        <v>0</v>
      </c>
      <c r="Z3380">
        <v>0</v>
      </c>
      <c r="AB3380">
        <v>0</v>
      </c>
      <c r="AF3380">
        <v>9</v>
      </c>
      <c r="AG3380">
        <v>0</v>
      </c>
      <c r="AH3380">
        <v>1</v>
      </c>
      <c r="AI3380">
        <v>1</v>
      </c>
      <c r="AU3380">
        <v>0</v>
      </c>
      <c r="AW3380" t="s">
        <v>95</v>
      </c>
      <c r="AX3380">
        <v>10</v>
      </c>
      <c r="AY3380">
        <v>318</v>
      </c>
      <c r="AZ3380">
        <v>318</v>
      </c>
      <c r="BA3380">
        <v>399</v>
      </c>
      <c r="BB3380">
        <v>44</v>
      </c>
      <c r="BC3380" t="s">
        <v>96</v>
      </c>
      <c r="BD3380">
        <v>1</v>
      </c>
      <c r="BF3380" t="s">
        <v>3618</v>
      </c>
      <c r="BG3380" s="1">
        <v>44354.157638888886</v>
      </c>
      <c r="BH3380" s="1">
        <v>44354.160752314812</v>
      </c>
      <c r="BI3380" s="1">
        <v>44354.161168981482</v>
      </c>
      <c r="BJ3380" t="s">
        <v>85</v>
      </c>
      <c r="BK3380" t="s">
        <v>86</v>
      </c>
      <c r="BL3380" t="s">
        <v>87</v>
      </c>
    </row>
    <row r="3381" spans="1:64" x14ac:dyDescent="0.3">
      <c r="A3381" t="str">
        <f>"202322C0100"</f>
        <v>202322C0100</v>
      </c>
      <c r="B3381" t="str">
        <f>"202322C01003"</f>
        <v>202322C01003</v>
      </c>
      <c r="C3381" t="str">
        <f t="shared" si="240"/>
        <v>20</v>
      </c>
      <c r="D3381" t="s">
        <v>81</v>
      </c>
      <c r="E3381" t="str">
        <f>"543"</f>
        <v>543</v>
      </c>
      <c r="F3381" t="s">
        <v>3616</v>
      </c>
      <c r="G3381" t="str">
        <f>"2322"</f>
        <v>2322</v>
      </c>
      <c r="H3381" t="str">
        <f>"0001"</f>
        <v>0001</v>
      </c>
      <c r="I3381" t="s">
        <v>89</v>
      </c>
      <c r="J3381">
        <v>0</v>
      </c>
      <c r="K3381">
        <v>1</v>
      </c>
      <c r="L3381">
        <v>3</v>
      </c>
      <c r="M3381">
        <v>150</v>
      </c>
      <c r="N3381">
        <v>293</v>
      </c>
      <c r="O3381">
        <v>1</v>
      </c>
      <c r="P3381">
        <v>293</v>
      </c>
      <c r="Q3381">
        <v>2</v>
      </c>
      <c r="R3381">
        <v>13</v>
      </c>
      <c r="S3381">
        <v>104</v>
      </c>
      <c r="T3381">
        <v>0</v>
      </c>
      <c r="U3381">
        <v>13</v>
      </c>
      <c r="V3381">
        <v>2</v>
      </c>
      <c r="X3381">
        <v>141</v>
      </c>
      <c r="Y3381">
        <v>2</v>
      </c>
      <c r="Z3381">
        <v>0</v>
      </c>
      <c r="AB3381">
        <v>1</v>
      </c>
      <c r="AF3381">
        <v>7</v>
      </c>
      <c r="AG3381">
        <v>0</v>
      </c>
      <c r="AH3381">
        <v>0</v>
      </c>
      <c r="AI3381">
        <v>1</v>
      </c>
      <c r="AU3381">
        <v>0</v>
      </c>
      <c r="AW3381">
        <v>0</v>
      </c>
      <c r="AX3381">
        <v>7</v>
      </c>
      <c r="AY3381">
        <v>293</v>
      </c>
      <c r="AZ3381">
        <v>293</v>
      </c>
      <c r="BA3381">
        <v>399</v>
      </c>
      <c r="BB3381">
        <v>44</v>
      </c>
      <c r="BD3381">
        <v>1</v>
      </c>
      <c r="BF3381" s="2" t="s">
        <v>3619</v>
      </c>
      <c r="BG3381" s="1">
        <v>44353.944074074076</v>
      </c>
      <c r="BH3381" s="1">
        <v>44353.945497685185</v>
      </c>
      <c r="BI3381" s="1">
        <v>44353.945937500001</v>
      </c>
      <c r="BJ3381" t="s">
        <v>197</v>
      </c>
      <c r="BK3381" t="s">
        <v>198</v>
      </c>
      <c r="BL3381" t="s">
        <v>87</v>
      </c>
    </row>
    <row r="3382" spans="1:64" x14ac:dyDescent="0.3">
      <c r="A3382" t="str">
        <f>"202323B0000"</f>
        <v>202323B0000</v>
      </c>
      <c r="B3382" t="str">
        <f>"202323B00003"</f>
        <v>202323B00003</v>
      </c>
      <c r="C3382" t="str">
        <f t="shared" si="240"/>
        <v>20</v>
      </c>
      <c r="D3382" t="s">
        <v>81</v>
      </c>
      <c r="E3382" t="str">
        <f>"543"</f>
        <v>543</v>
      </c>
      <c r="F3382" t="s">
        <v>3616</v>
      </c>
      <c r="G3382" t="str">
        <f>"2323"</f>
        <v>2323</v>
      </c>
      <c r="H3382" t="str">
        <f>"0000"</f>
        <v>0000</v>
      </c>
      <c r="I3382" t="s">
        <v>83</v>
      </c>
      <c r="J3382">
        <v>0</v>
      </c>
      <c r="K3382">
        <v>1</v>
      </c>
      <c r="L3382">
        <v>3</v>
      </c>
      <c r="M3382">
        <v>125</v>
      </c>
      <c r="N3382">
        <v>196</v>
      </c>
      <c r="O3382">
        <v>5</v>
      </c>
      <c r="P3382">
        <v>196</v>
      </c>
      <c r="Q3382">
        <v>1</v>
      </c>
      <c r="R3382">
        <v>6</v>
      </c>
      <c r="S3382">
        <v>41</v>
      </c>
      <c r="T3382">
        <v>0</v>
      </c>
      <c r="U3382">
        <v>15</v>
      </c>
      <c r="V3382">
        <v>1</v>
      </c>
      <c r="X3382">
        <v>119</v>
      </c>
      <c r="Y3382">
        <v>4</v>
      </c>
      <c r="Z3382">
        <v>4</v>
      </c>
      <c r="AB3382">
        <v>1</v>
      </c>
      <c r="AF3382">
        <v>2</v>
      </c>
      <c r="AG3382">
        <v>0</v>
      </c>
      <c r="AH3382">
        <v>0</v>
      </c>
      <c r="AI3382">
        <v>0</v>
      </c>
      <c r="AU3382">
        <v>0</v>
      </c>
      <c r="AW3382">
        <v>0</v>
      </c>
      <c r="AX3382">
        <v>2</v>
      </c>
      <c r="AY3382">
        <v>196</v>
      </c>
      <c r="AZ3382">
        <v>196</v>
      </c>
      <c r="BA3382">
        <v>277</v>
      </c>
      <c r="BB3382">
        <v>44</v>
      </c>
      <c r="BD3382">
        <v>1</v>
      </c>
      <c r="BF3382" s="2" t="s">
        <v>3620</v>
      </c>
      <c r="BG3382" s="1">
        <v>44354.15625</v>
      </c>
      <c r="BH3382" s="1">
        <v>44354.15966435185</v>
      </c>
      <c r="BI3382" s="1">
        <v>44354.160219907404</v>
      </c>
      <c r="BJ3382" t="s">
        <v>85</v>
      </c>
      <c r="BK3382" t="s">
        <v>86</v>
      </c>
      <c r="BL3382" t="s">
        <v>87</v>
      </c>
    </row>
    <row r="3383" spans="1:64" x14ac:dyDescent="0.3">
      <c r="A3383" t="str">
        <f>"202323E0100"</f>
        <v>202323E0100</v>
      </c>
      <c r="B3383" t="str">
        <f>"202323E01003"</f>
        <v>202323E01003</v>
      </c>
      <c r="C3383" t="str">
        <f t="shared" si="240"/>
        <v>20</v>
      </c>
      <c r="D3383" t="s">
        <v>81</v>
      </c>
      <c r="E3383" t="str">
        <f>"543"</f>
        <v>543</v>
      </c>
      <c r="F3383" t="s">
        <v>3616</v>
      </c>
      <c r="G3383" t="str">
        <f>"2323"</f>
        <v>2323</v>
      </c>
      <c r="H3383" t="str">
        <f>"0001"</f>
        <v>0001</v>
      </c>
      <c r="I3383" t="s">
        <v>122</v>
      </c>
      <c r="J3383">
        <v>0</v>
      </c>
      <c r="K3383">
        <v>1</v>
      </c>
      <c r="L3383">
        <v>3</v>
      </c>
      <c r="M3383">
        <v>75</v>
      </c>
      <c r="N3383">
        <v>81</v>
      </c>
      <c r="O3383">
        <v>3</v>
      </c>
      <c r="P3383">
        <v>81</v>
      </c>
      <c r="Q3383">
        <v>0</v>
      </c>
      <c r="R3383">
        <v>4</v>
      </c>
      <c r="S3383">
        <v>17</v>
      </c>
      <c r="T3383">
        <v>0</v>
      </c>
      <c r="U3383">
        <v>3</v>
      </c>
      <c r="V3383">
        <v>0</v>
      </c>
      <c r="X3383">
        <v>51</v>
      </c>
      <c r="Y3383">
        <v>2</v>
      </c>
      <c r="Z3383">
        <v>1</v>
      </c>
      <c r="AB3383">
        <v>0</v>
      </c>
      <c r="AF3383">
        <v>2</v>
      </c>
      <c r="AG3383">
        <v>0</v>
      </c>
      <c r="AH3383">
        <v>0</v>
      </c>
      <c r="AI3383">
        <v>0</v>
      </c>
      <c r="AU3383">
        <v>0</v>
      </c>
      <c r="AW3383">
        <v>0</v>
      </c>
      <c r="AX3383">
        <v>1</v>
      </c>
      <c r="AY3383">
        <v>81</v>
      </c>
      <c r="AZ3383">
        <v>81</v>
      </c>
      <c r="BA3383">
        <v>112</v>
      </c>
      <c r="BB3383">
        <v>44</v>
      </c>
      <c r="BD3383">
        <v>1</v>
      </c>
      <c r="BF3383" t="s">
        <v>3621</v>
      </c>
      <c r="BG3383" s="1">
        <v>44353.846192129633</v>
      </c>
      <c r="BH3383" s="1">
        <v>44354.060694444444</v>
      </c>
      <c r="BI3383" s="1">
        <v>44354.061597222222</v>
      </c>
      <c r="BJ3383" t="s">
        <v>197</v>
      </c>
      <c r="BK3383" t="s">
        <v>198</v>
      </c>
      <c r="BL3383" t="s">
        <v>87</v>
      </c>
    </row>
    <row r="3384" spans="1:64" x14ac:dyDescent="0.3">
      <c r="A3384" t="str">
        <f>"202325B0000"</f>
        <v>202325B0000</v>
      </c>
      <c r="B3384" t="str">
        <f>"202325B00003"</f>
        <v>202325B00003</v>
      </c>
      <c r="C3384" t="str">
        <f t="shared" si="240"/>
        <v>20</v>
      </c>
      <c r="D3384" t="s">
        <v>81</v>
      </c>
      <c r="E3384" t="str">
        <f t="shared" ref="E3384:E3397" si="244">"545"</f>
        <v>545</v>
      </c>
      <c r="F3384" t="s">
        <v>3622</v>
      </c>
      <c r="G3384" t="str">
        <f>"2325"</f>
        <v>2325</v>
      </c>
      <c r="H3384" t="str">
        <f>"0000"</f>
        <v>0000</v>
      </c>
      <c r="I3384" t="s">
        <v>83</v>
      </c>
      <c r="J3384">
        <v>0</v>
      </c>
      <c r="K3384">
        <v>1</v>
      </c>
      <c r="L3384">
        <v>3</v>
      </c>
      <c r="M3384">
        <v>302</v>
      </c>
      <c r="N3384">
        <v>430</v>
      </c>
      <c r="O3384">
        <v>0</v>
      </c>
      <c r="P3384">
        <v>430</v>
      </c>
      <c r="Q3384">
        <v>6</v>
      </c>
      <c r="R3384">
        <v>20</v>
      </c>
      <c r="S3384">
        <v>11</v>
      </c>
      <c r="T3384">
        <v>26</v>
      </c>
      <c r="U3384">
        <v>127</v>
      </c>
      <c r="V3384">
        <v>18</v>
      </c>
      <c r="W3384">
        <v>21</v>
      </c>
      <c r="X3384">
        <v>118</v>
      </c>
      <c r="Z3384">
        <v>38</v>
      </c>
      <c r="AA3384">
        <v>16</v>
      </c>
      <c r="AB3384">
        <v>18</v>
      </c>
      <c r="AW3384">
        <v>0</v>
      </c>
      <c r="AX3384">
        <v>11</v>
      </c>
      <c r="AY3384">
        <v>430</v>
      </c>
      <c r="AZ3384">
        <v>430</v>
      </c>
      <c r="BA3384">
        <v>688</v>
      </c>
      <c r="BB3384">
        <v>44</v>
      </c>
      <c r="BD3384">
        <v>1</v>
      </c>
      <c r="BF3384" t="s">
        <v>3623</v>
      </c>
      <c r="BG3384" s="1">
        <v>44354.177777777775</v>
      </c>
      <c r="BH3384" s="1">
        <v>44354.184016203704</v>
      </c>
      <c r="BI3384" s="1">
        <v>44354.184548611112</v>
      </c>
      <c r="BJ3384" t="s">
        <v>85</v>
      </c>
      <c r="BK3384" t="s">
        <v>86</v>
      </c>
      <c r="BL3384" t="s">
        <v>87</v>
      </c>
    </row>
    <row r="3385" spans="1:64" x14ac:dyDescent="0.3">
      <c r="A3385" t="str">
        <f>"202325C0100"</f>
        <v>202325C0100</v>
      </c>
      <c r="B3385" t="str">
        <f>"202325C01003"</f>
        <v>202325C01003</v>
      </c>
      <c r="C3385" t="str">
        <f t="shared" si="240"/>
        <v>20</v>
      </c>
      <c r="D3385" t="s">
        <v>81</v>
      </c>
      <c r="E3385" t="str">
        <f t="shared" si="244"/>
        <v>545</v>
      </c>
      <c r="F3385" t="s">
        <v>3622</v>
      </c>
      <c r="G3385" t="str">
        <f>"2325"</f>
        <v>2325</v>
      </c>
      <c r="H3385" t="str">
        <f>"0001"</f>
        <v>0001</v>
      </c>
      <c r="I3385" t="s">
        <v>89</v>
      </c>
      <c r="J3385">
        <v>0</v>
      </c>
      <c r="K3385">
        <v>1</v>
      </c>
      <c r="L3385">
        <v>3</v>
      </c>
      <c r="M3385">
        <v>281</v>
      </c>
      <c r="N3385">
        <v>452</v>
      </c>
      <c r="O3385">
        <v>12</v>
      </c>
      <c r="P3385">
        <v>452</v>
      </c>
      <c r="Q3385">
        <v>5</v>
      </c>
      <c r="R3385">
        <v>17</v>
      </c>
      <c r="S3385">
        <v>19</v>
      </c>
      <c r="T3385">
        <v>26</v>
      </c>
      <c r="U3385">
        <v>101</v>
      </c>
      <c r="V3385">
        <v>29</v>
      </c>
      <c r="W3385">
        <v>22</v>
      </c>
      <c r="X3385">
        <v>134</v>
      </c>
      <c r="Z3385">
        <v>45</v>
      </c>
      <c r="AA3385">
        <v>25</v>
      </c>
      <c r="AB3385">
        <v>19</v>
      </c>
      <c r="AW3385">
        <v>0</v>
      </c>
      <c r="AX3385">
        <v>8</v>
      </c>
      <c r="AY3385">
        <v>452</v>
      </c>
      <c r="AZ3385">
        <v>450</v>
      </c>
      <c r="BA3385">
        <v>688</v>
      </c>
      <c r="BB3385">
        <v>44</v>
      </c>
      <c r="BD3385">
        <v>1</v>
      </c>
      <c r="BF3385" t="s">
        <v>3624</v>
      </c>
      <c r="BG3385" s="1">
        <v>44354.15347222222</v>
      </c>
      <c r="BH3385" s="1">
        <v>44354.157581018517</v>
      </c>
      <c r="BI3385" s="1">
        <v>44354.158321759256</v>
      </c>
      <c r="BJ3385" t="s">
        <v>85</v>
      </c>
      <c r="BK3385" t="s">
        <v>86</v>
      </c>
      <c r="BL3385" t="s">
        <v>87</v>
      </c>
    </row>
    <row r="3386" spans="1:64" x14ac:dyDescent="0.3">
      <c r="A3386" t="str">
        <f>"202325S0100"</f>
        <v>202325S0100</v>
      </c>
      <c r="B3386" t="str">
        <f>"202325S01003E"</f>
        <v>202325S01003E</v>
      </c>
      <c r="C3386" t="str">
        <f t="shared" si="240"/>
        <v>20</v>
      </c>
      <c r="D3386" t="s">
        <v>81</v>
      </c>
      <c r="E3386" t="str">
        <f t="shared" si="244"/>
        <v>545</v>
      </c>
      <c r="F3386" t="s">
        <v>3622</v>
      </c>
      <c r="G3386" t="str">
        <f>"2325"</f>
        <v>2325</v>
      </c>
      <c r="H3386" t="str">
        <f>"0001"</f>
        <v>0001</v>
      </c>
      <c r="I3386" t="s">
        <v>99</v>
      </c>
      <c r="J3386">
        <v>0</v>
      </c>
      <c r="K3386">
        <v>1</v>
      </c>
      <c r="L3386" t="s">
        <v>100</v>
      </c>
      <c r="M3386">
        <v>964</v>
      </c>
      <c r="N3386">
        <v>36</v>
      </c>
      <c r="O3386">
        <v>0</v>
      </c>
      <c r="P3386">
        <v>36</v>
      </c>
      <c r="Q3386">
        <v>3</v>
      </c>
      <c r="R3386">
        <v>1</v>
      </c>
      <c r="S3386">
        <v>0</v>
      </c>
      <c r="T3386">
        <v>2</v>
      </c>
      <c r="U3386">
        <v>6</v>
      </c>
      <c r="V3386">
        <v>0</v>
      </c>
      <c r="W3386">
        <v>4</v>
      </c>
      <c r="X3386">
        <v>7</v>
      </c>
      <c r="Z3386">
        <v>8</v>
      </c>
      <c r="AA3386">
        <v>2</v>
      </c>
      <c r="AB3386">
        <v>3</v>
      </c>
      <c r="AW3386">
        <v>0</v>
      </c>
      <c r="AX3386">
        <v>0</v>
      </c>
      <c r="AY3386">
        <v>36</v>
      </c>
      <c r="AZ3386">
        <v>36</v>
      </c>
      <c r="BA3386">
        <v>0</v>
      </c>
      <c r="BB3386">
        <v>44</v>
      </c>
      <c r="BD3386">
        <v>1</v>
      </c>
      <c r="BF3386" t="s">
        <v>3625</v>
      </c>
      <c r="BG3386" s="1">
        <v>44354.165277777778</v>
      </c>
      <c r="BH3386" s="1">
        <v>44354.168263888889</v>
      </c>
      <c r="BI3386" s="1">
        <v>44354.168645833335</v>
      </c>
      <c r="BJ3386" t="s">
        <v>85</v>
      </c>
      <c r="BK3386" t="s">
        <v>86</v>
      </c>
      <c r="BL3386" t="s">
        <v>87</v>
      </c>
    </row>
    <row r="3387" spans="1:64" x14ac:dyDescent="0.3">
      <c r="A3387" t="str">
        <f>"202326B0000"</f>
        <v>202326B0000</v>
      </c>
      <c r="B3387" t="str">
        <f>"202326B00003"</f>
        <v>202326B00003</v>
      </c>
      <c r="C3387" t="str">
        <f t="shared" si="240"/>
        <v>20</v>
      </c>
      <c r="D3387" t="s">
        <v>81</v>
      </c>
      <c r="E3387" t="str">
        <f t="shared" si="244"/>
        <v>545</v>
      </c>
      <c r="F3387" t="s">
        <v>3622</v>
      </c>
      <c r="G3387" t="str">
        <f>"2326"</f>
        <v>2326</v>
      </c>
      <c r="H3387" t="str">
        <f>"0000"</f>
        <v>0000</v>
      </c>
      <c r="I3387" t="s">
        <v>83</v>
      </c>
      <c r="J3387">
        <v>0</v>
      </c>
      <c r="K3387">
        <v>1</v>
      </c>
      <c r="L3387">
        <v>3</v>
      </c>
      <c r="M3387">
        <v>288</v>
      </c>
      <c r="N3387">
        <v>449</v>
      </c>
      <c r="O3387">
        <v>8</v>
      </c>
      <c r="P3387">
        <v>449</v>
      </c>
      <c r="Q3387">
        <v>11</v>
      </c>
      <c r="R3387">
        <v>27</v>
      </c>
      <c r="S3387">
        <v>11</v>
      </c>
      <c r="T3387">
        <v>20</v>
      </c>
      <c r="U3387">
        <v>83</v>
      </c>
      <c r="V3387">
        <v>12</v>
      </c>
      <c r="W3387">
        <v>26</v>
      </c>
      <c r="X3387">
        <v>93</v>
      </c>
      <c r="Z3387">
        <v>77</v>
      </c>
      <c r="AA3387">
        <v>16</v>
      </c>
      <c r="AB3387">
        <v>54</v>
      </c>
      <c r="AW3387">
        <v>1</v>
      </c>
      <c r="AX3387">
        <v>18</v>
      </c>
      <c r="AY3387">
        <v>449</v>
      </c>
      <c r="AZ3387">
        <v>449</v>
      </c>
      <c r="BA3387">
        <v>693</v>
      </c>
      <c r="BB3387">
        <v>44</v>
      </c>
      <c r="BD3387">
        <v>1</v>
      </c>
      <c r="BF3387" t="s">
        <v>3626</v>
      </c>
      <c r="BG3387" s="1">
        <v>44354.142361111109</v>
      </c>
      <c r="BH3387" s="1">
        <v>44354.144583333335</v>
      </c>
      <c r="BI3387" s="1">
        <v>44354.145185185182</v>
      </c>
      <c r="BJ3387" t="s">
        <v>85</v>
      </c>
      <c r="BK3387" t="s">
        <v>86</v>
      </c>
      <c r="BL3387" t="s">
        <v>87</v>
      </c>
    </row>
    <row r="3388" spans="1:64" x14ac:dyDescent="0.3">
      <c r="A3388" t="str">
        <f>"202326C0100"</f>
        <v>202326C0100</v>
      </c>
      <c r="B3388" t="str">
        <f>"202326C01003"</f>
        <v>202326C01003</v>
      </c>
      <c r="C3388" t="str">
        <f t="shared" si="240"/>
        <v>20</v>
      </c>
      <c r="D3388" t="s">
        <v>81</v>
      </c>
      <c r="E3388" t="str">
        <f t="shared" si="244"/>
        <v>545</v>
      </c>
      <c r="F3388" t="s">
        <v>3622</v>
      </c>
      <c r="G3388" t="str">
        <f>"2326"</f>
        <v>2326</v>
      </c>
      <c r="H3388" t="str">
        <f>"0001"</f>
        <v>0001</v>
      </c>
      <c r="I3388" t="s">
        <v>89</v>
      </c>
      <c r="J3388">
        <v>0</v>
      </c>
      <c r="K3388">
        <v>1</v>
      </c>
      <c r="L3388">
        <v>3</v>
      </c>
      <c r="M3388">
        <v>277</v>
      </c>
      <c r="N3388">
        <v>459</v>
      </c>
      <c r="O3388">
        <v>6</v>
      </c>
      <c r="P3388">
        <v>459</v>
      </c>
      <c r="Q3388">
        <v>7</v>
      </c>
      <c r="R3388">
        <v>26</v>
      </c>
      <c r="S3388">
        <v>25</v>
      </c>
      <c r="T3388">
        <v>15</v>
      </c>
      <c r="U3388">
        <v>92</v>
      </c>
      <c r="V3388">
        <v>9</v>
      </c>
      <c r="W3388">
        <v>29</v>
      </c>
      <c r="X3388">
        <v>114</v>
      </c>
      <c r="Z3388">
        <v>70</v>
      </c>
      <c r="AA3388">
        <v>27</v>
      </c>
      <c r="AB3388">
        <v>36</v>
      </c>
      <c r="AW3388">
        <v>0</v>
      </c>
      <c r="AX3388">
        <v>9</v>
      </c>
      <c r="AY3388">
        <v>459</v>
      </c>
      <c r="AZ3388">
        <v>459</v>
      </c>
      <c r="BA3388">
        <v>692</v>
      </c>
      <c r="BB3388">
        <v>44</v>
      </c>
      <c r="BD3388">
        <v>1</v>
      </c>
      <c r="BF3388" t="s">
        <v>3627</v>
      </c>
      <c r="BG3388" s="1">
        <v>44354.143055555556</v>
      </c>
      <c r="BH3388" s="1">
        <v>44354.520555555559</v>
      </c>
      <c r="BI3388" s="1">
        <v>44354.521956018521</v>
      </c>
      <c r="BJ3388" t="s">
        <v>85</v>
      </c>
      <c r="BK3388" t="s">
        <v>86</v>
      </c>
      <c r="BL3388" t="s">
        <v>87</v>
      </c>
    </row>
    <row r="3389" spans="1:64" x14ac:dyDescent="0.3">
      <c r="A3389" t="str">
        <f>"202326C0200"</f>
        <v>202326C0200</v>
      </c>
      <c r="B3389" t="str">
        <f>"202326C02003"</f>
        <v>202326C02003</v>
      </c>
      <c r="C3389" t="str">
        <f t="shared" si="240"/>
        <v>20</v>
      </c>
      <c r="D3389" t="s">
        <v>81</v>
      </c>
      <c r="E3389" t="str">
        <f t="shared" si="244"/>
        <v>545</v>
      </c>
      <c r="F3389" t="s">
        <v>3622</v>
      </c>
      <c r="G3389" t="str">
        <f>"2326"</f>
        <v>2326</v>
      </c>
      <c r="H3389" t="str">
        <f>"0002"</f>
        <v>0002</v>
      </c>
      <c r="I3389" t="s">
        <v>89</v>
      </c>
      <c r="J3389">
        <v>0</v>
      </c>
      <c r="K3389">
        <v>1</v>
      </c>
      <c r="L3389">
        <v>3</v>
      </c>
      <c r="M3389">
        <v>277</v>
      </c>
      <c r="N3389">
        <v>459</v>
      </c>
      <c r="O3389">
        <v>6</v>
      </c>
      <c r="P3389">
        <v>459</v>
      </c>
      <c r="Q3389">
        <v>7</v>
      </c>
      <c r="R3389">
        <v>26</v>
      </c>
      <c r="S3389">
        <v>25</v>
      </c>
      <c r="T3389">
        <v>15</v>
      </c>
      <c r="U3389">
        <v>92</v>
      </c>
      <c r="V3389">
        <v>9</v>
      </c>
      <c r="W3389">
        <v>29</v>
      </c>
      <c r="X3389">
        <v>114</v>
      </c>
      <c r="Z3389">
        <v>70</v>
      </c>
      <c r="AA3389">
        <v>27</v>
      </c>
      <c r="AB3389">
        <v>36</v>
      </c>
      <c r="AW3389">
        <v>0</v>
      </c>
      <c r="AX3389">
        <v>9</v>
      </c>
      <c r="AY3389">
        <v>459</v>
      </c>
      <c r="AZ3389">
        <v>459</v>
      </c>
      <c r="BA3389">
        <v>692</v>
      </c>
      <c r="BB3389">
        <v>44</v>
      </c>
      <c r="BD3389">
        <v>1</v>
      </c>
      <c r="BF3389" t="s">
        <v>3628</v>
      </c>
      <c r="BG3389" s="1">
        <v>44354.143055555556</v>
      </c>
      <c r="BH3389" s="1">
        <v>44354.169189814813</v>
      </c>
      <c r="BI3389" s="1">
        <v>44354.169976851852</v>
      </c>
      <c r="BJ3389" t="s">
        <v>85</v>
      </c>
      <c r="BK3389" t="s">
        <v>86</v>
      </c>
      <c r="BL3389" t="s">
        <v>87</v>
      </c>
    </row>
    <row r="3390" spans="1:64" x14ac:dyDescent="0.3">
      <c r="A3390" t="str">
        <f>"202326E0100"</f>
        <v>202326E0100</v>
      </c>
      <c r="B3390" t="str">
        <f>"202326E01003"</f>
        <v>202326E01003</v>
      </c>
      <c r="C3390" t="str">
        <f t="shared" si="240"/>
        <v>20</v>
      </c>
      <c r="D3390" t="s">
        <v>81</v>
      </c>
      <c r="E3390" t="str">
        <f t="shared" si="244"/>
        <v>545</v>
      </c>
      <c r="F3390" t="s">
        <v>3622</v>
      </c>
      <c r="G3390" t="str">
        <f>"2326"</f>
        <v>2326</v>
      </c>
      <c r="H3390" t="str">
        <f>"0001"</f>
        <v>0001</v>
      </c>
      <c r="I3390" t="s">
        <v>122</v>
      </c>
      <c r="J3390">
        <v>0</v>
      </c>
      <c r="K3390">
        <v>1</v>
      </c>
      <c r="L3390">
        <v>3</v>
      </c>
      <c r="M3390">
        <v>65</v>
      </c>
      <c r="N3390">
        <v>88</v>
      </c>
      <c r="O3390">
        <v>8</v>
      </c>
      <c r="P3390">
        <v>88</v>
      </c>
      <c r="Q3390">
        <v>0</v>
      </c>
      <c r="R3390">
        <v>1</v>
      </c>
      <c r="S3390">
        <v>2</v>
      </c>
      <c r="T3390">
        <v>1</v>
      </c>
      <c r="U3390">
        <v>19</v>
      </c>
      <c r="V3390">
        <v>7</v>
      </c>
      <c r="W3390">
        <v>2</v>
      </c>
      <c r="X3390">
        <v>1</v>
      </c>
      <c r="Z3390">
        <v>20</v>
      </c>
      <c r="AA3390">
        <v>5</v>
      </c>
      <c r="AB3390">
        <v>27</v>
      </c>
      <c r="AW3390">
        <v>0</v>
      </c>
      <c r="AX3390">
        <v>2</v>
      </c>
      <c r="AY3390">
        <v>88</v>
      </c>
      <c r="AZ3390">
        <v>87</v>
      </c>
      <c r="BA3390">
        <v>109</v>
      </c>
      <c r="BB3390">
        <v>44</v>
      </c>
      <c r="BD3390">
        <v>1</v>
      </c>
      <c r="BF3390" t="s">
        <v>3629</v>
      </c>
      <c r="BG3390" s="1">
        <v>44354.175000000003</v>
      </c>
      <c r="BH3390" s="1">
        <v>44354.179212962961</v>
      </c>
      <c r="BI3390" s="1">
        <v>44354.179664351854</v>
      </c>
      <c r="BJ3390" t="s">
        <v>85</v>
      </c>
      <c r="BK3390" t="s">
        <v>86</v>
      </c>
      <c r="BL3390" t="s">
        <v>87</v>
      </c>
    </row>
    <row r="3391" spans="1:64" x14ac:dyDescent="0.3">
      <c r="A3391" t="str">
        <f>"202327B0000"</f>
        <v>202327B0000</v>
      </c>
      <c r="B3391" t="str">
        <f>"202327B00003"</f>
        <v>202327B00003</v>
      </c>
      <c r="C3391" t="str">
        <f t="shared" si="240"/>
        <v>20</v>
      </c>
      <c r="D3391" t="s">
        <v>81</v>
      </c>
      <c r="E3391" t="str">
        <f t="shared" si="244"/>
        <v>545</v>
      </c>
      <c r="F3391" t="s">
        <v>3622</v>
      </c>
      <c r="G3391" t="str">
        <f>"2327"</f>
        <v>2327</v>
      </c>
      <c r="H3391" t="str">
        <f>"0000"</f>
        <v>0000</v>
      </c>
      <c r="I3391" t="s">
        <v>83</v>
      </c>
      <c r="J3391">
        <v>0</v>
      </c>
      <c r="K3391">
        <v>1</v>
      </c>
      <c r="L3391">
        <v>3</v>
      </c>
      <c r="M3391">
        <v>295</v>
      </c>
      <c r="N3391">
        <v>483</v>
      </c>
      <c r="O3391">
        <v>7</v>
      </c>
      <c r="P3391">
        <v>483</v>
      </c>
      <c r="Q3391">
        <v>4</v>
      </c>
      <c r="R3391">
        <v>11</v>
      </c>
      <c r="S3391">
        <v>35</v>
      </c>
      <c r="T3391">
        <v>25</v>
      </c>
      <c r="U3391">
        <v>141</v>
      </c>
      <c r="V3391">
        <v>15</v>
      </c>
      <c r="W3391">
        <v>17</v>
      </c>
      <c r="X3391">
        <v>100</v>
      </c>
      <c r="Z3391">
        <v>60</v>
      </c>
      <c r="AA3391">
        <v>19</v>
      </c>
      <c r="AB3391">
        <v>47</v>
      </c>
      <c r="AW3391">
        <v>0</v>
      </c>
      <c r="AX3391">
        <v>9</v>
      </c>
      <c r="AY3391">
        <v>483</v>
      </c>
      <c r="AZ3391">
        <v>483</v>
      </c>
      <c r="BA3391">
        <v>734</v>
      </c>
      <c r="BB3391">
        <v>44</v>
      </c>
      <c r="BD3391">
        <v>1</v>
      </c>
      <c r="BF3391" t="s">
        <v>3630</v>
      </c>
      <c r="BG3391" s="1">
        <v>44354.165277777778</v>
      </c>
      <c r="BH3391" s="1">
        <v>44354.168680555558</v>
      </c>
      <c r="BI3391" s="1">
        <v>44354.169305555559</v>
      </c>
      <c r="BJ3391" t="s">
        <v>85</v>
      </c>
      <c r="BK3391" t="s">
        <v>86</v>
      </c>
      <c r="BL3391" t="s">
        <v>87</v>
      </c>
    </row>
    <row r="3392" spans="1:64" x14ac:dyDescent="0.3">
      <c r="A3392" t="str">
        <f>"202327C0100"</f>
        <v>202327C0100</v>
      </c>
      <c r="B3392" t="str">
        <f>"202327C01003"</f>
        <v>202327C01003</v>
      </c>
      <c r="C3392" t="str">
        <f t="shared" si="240"/>
        <v>20</v>
      </c>
      <c r="D3392" t="s">
        <v>81</v>
      </c>
      <c r="E3392" t="str">
        <f t="shared" si="244"/>
        <v>545</v>
      </c>
      <c r="F3392" t="s">
        <v>3622</v>
      </c>
      <c r="G3392" t="str">
        <f>"2327"</f>
        <v>2327</v>
      </c>
      <c r="H3392" t="str">
        <f>"0001"</f>
        <v>0001</v>
      </c>
      <c r="I3392" t="s">
        <v>89</v>
      </c>
      <c r="J3392">
        <v>0</v>
      </c>
      <c r="K3392">
        <v>1</v>
      </c>
      <c r="L3392">
        <v>3</v>
      </c>
      <c r="M3392">
        <v>278</v>
      </c>
      <c r="N3392">
        <v>500</v>
      </c>
      <c r="O3392">
        <v>6</v>
      </c>
      <c r="P3392">
        <v>500</v>
      </c>
      <c r="Q3392">
        <v>9</v>
      </c>
      <c r="R3392">
        <v>14</v>
      </c>
      <c r="S3392">
        <v>17</v>
      </c>
      <c r="T3392">
        <v>34</v>
      </c>
      <c r="U3392">
        <v>156</v>
      </c>
      <c r="V3392">
        <v>31</v>
      </c>
      <c r="W3392">
        <v>12</v>
      </c>
      <c r="X3392">
        <v>111</v>
      </c>
      <c r="Z3392">
        <v>59</v>
      </c>
      <c r="AA3392">
        <v>19</v>
      </c>
      <c r="AB3392">
        <v>31</v>
      </c>
      <c r="AW3392">
        <v>0</v>
      </c>
      <c r="AX3392">
        <v>7</v>
      </c>
      <c r="AY3392">
        <v>500</v>
      </c>
      <c r="AZ3392">
        <v>500</v>
      </c>
      <c r="BA3392">
        <v>734</v>
      </c>
      <c r="BB3392">
        <v>44</v>
      </c>
      <c r="BD3392">
        <v>1</v>
      </c>
      <c r="BF3392" t="s">
        <v>3631</v>
      </c>
      <c r="BG3392" s="1">
        <v>44354.173611111109</v>
      </c>
      <c r="BH3392" s="1">
        <v>44354.176759259259</v>
      </c>
      <c r="BI3392" s="1">
        <v>44354.177164351851</v>
      </c>
      <c r="BJ3392" t="s">
        <v>85</v>
      </c>
      <c r="BK3392" t="s">
        <v>86</v>
      </c>
      <c r="BL3392" t="s">
        <v>87</v>
      </c>
    </row>
    <row r="3393" spans="1:64" x14ac:dyDescent="0.3">
      <c r="A3393" t="str">
        <f>"202328B0000"</f>
        <v>202328B0000</v>
      </c>
      <c r="B3393" t="str">
        <f>"202328B00003"</f>
        <v>202328B00003</v>
      </c>
      <c r="C3393" t="str">
        <f t="shared" si="240"/>
        <v>20</v>
      </c>
      <c r="D3393" t="s">
        <v>81</v>
      </c>
      <c r="E3393" t="str">
        <f t="shared" si="244"/>
        <v>545</v>
      </c>
      <c r="F3393" t="s">
        <v>3622</v>
      </c>
      <c r="G3393" t="str">
        <f>"2328"</f>
        <v>2328</v>
      </c>
      <c r="H3393" t="str">
        <f>"0000"</f>
        <v>0000</v>
      </c>
      <c r="I3393" t="s">
        <v>83</v>
      </c>
      <c r="J3393">
        <v>0</v>
      </c>
      <c r="K3393">
        <v>1</v>
      </c>
      <c r="L3393">
        <v>3</v>
      </c>
      <c r="M3393">
        <v>241</v>
      </c>
      <c r="N3393">
        <v>336</v>
      </c>
      <c r="O3393">
        <v>6</v>
      </c>
      <c r="P3393">
        <v>336</v>
      </c>
      <c r="Q3393">
        <v>3</v>
      </c>
      <c r="R3393">
        <v>12</v>
      </c>
      <c r="S3393">
        <v>12</v>
      </c>
      <c r="T3393">
        <v>13</v>
      </c>
      <c r="U3393">
        <v>90</v>
      </c>
      <c r="V3393">
        <v>15</v>
      </c>
      <c r="W3393">
        <v>13</v>
      </c>
      <c r="X3393">
        <v>83</v>
      </c>
      <c r="Z3393">
        <v>53</v>
      </c>
      <c r="AA3393">
        <v>14</v>
      </c>
      <c r="AB3393">
        <v>19</v>
      </c>
      <c r="AW3393">
        <v>0</v>
      </c>
      <c r="AX3393">
        <v>9</v>
      </c>
      <c r="AY3393">
        <v>336</v>
      </c>
      <c r="AZ3393">
        <v>336</v>
      </c>
      <c r="BA3393">
        <v>533</v>
      </c>
      <c r="BB3393">
        <v>44</v>
      </c>
      <c r="BD3393">
        <v>1</v>
      </c>
      <c r="BF3393" t="s">
        <v>3632</v>
      </c>
      <c r="BG3393" s="1">
        <v>44354.174305555556</v>
      </c>
      <c r="BH3393" s="1">
        <v>44354.17863425926</v>
      </c>
      <c r="BI3393" s="1">
        <v>44354.179490740738</v>
      </c>
      <c r="BJ3393" t="s">
        <v>85</v>
      </c>
      <c r="BK3393" t="s">
        <v>86</v>
      </c>
      <c r="BL3393" t="s">
        <v>87</v>
      </c>
    </row>
    <row r="3394" spans="1:64" x14ac:dyDescent="0.3">
      <c r="A3394" t="str">
        <f>"202328C0100"</f>
        <v>202328C0100</v>
      </c>
      <c r="B3394" t="str">
        <f>"202328C01003"</f>
        <v>202328C01003</v>
      </c>
      <c r="C3394" t="str">
        <f t="shared" si="240"/>
        <v>20</v>
      </c>
      <c r="D3394" t="s">
        <v>81</v>
      </c>
      <c r="E3394" t="str">
        <f t="shared" si="244"/>
        <v>545</v>
      </c>
      <c r="F3394" t="s">
        <v>3622</v>
      </c>
      <c r="G3394" t="str">
        <f>"2328"</f>
        <v>2328</v>
      </c>
      <c r="H3394" t="str">
        <f>"0001"</f>
        <v>0001</v>
      </c>
      <c r="I3394" t="s">
        <v>89</v>
      </c>
      <c r="J3394">
        <v>0</v>
      </c>
      <c r="K3394">
        <v>1</v>
      </c>
      <c r="L3394">
        <v>3</v>
      </c>
      <c r="M3394">
        <v>228</v>
      </c>
      <c r="N3394">
        <v>349</v>
      </c>
      <c r="O3394">
        <v>14</v>
      </c>
      <c r="P3394">
        <v>349</v>
      </c>
      <c r="Q3394">
        <v>3</v>
      </c>
      <c r="R3394">
        <v>19</v>
      </c>
      <c r="S3394">
        <v>12</v>
      </c>
      <c r="T3394">
        <v>16</v>
      </c>
      <c r="U3394">
        <v>78</v>
      </c>
      <c r="V3394">
        <v>15</v>
      </c>
      <c r="W3394">
        <v>3</v>
      </c>
      <c r="X3394">
        <v>83</v>
      </c>
      <c r="Z3394">
        <v>63</v>
      </c>
      <c r="AA3394">
        <v>13</v>
      </c>
      <c r="AB3394">
        <v>35</v>
      </c>
      <c r="AW3394">
        <v>0</v>
      </c>
      <c r="AX3394">
        <v>9</v>
      </c>
      <c r="AY3394">
        <v>349</v>
      </c>
      <c r="AZ3394">
        <v>349</v>
      </c>
      <c r="BA3394">
        <v>533</v>
      </c>
      <c r="BB3394">
        <v>44</v>
      </c>
      <c r="BD3394">
        <v>1</v>
      </c>
      <c r="BF3394" t="s">
        <v>3633</v>
      </c>
      <c r="BG3394" s="1">
        <v>44354.165972222225</v>
      </c>
      <c r="BH3394" s="1">
        <v>44354.168252314812</v>
      </c>
      <c r="BI3394" s="1">
        <v>44354.169259259259</v>
      </c>
      <c r="BJ3394" t="s">
        <v>85</v>
      </c>
      <c r="BK3394" t="s">
        <v>86</v>
      </c>
      <c r="BL3394" t="s">
        <v>87</v>
      </c>
    </row>
    <row r="3395" spans="1:64" x14ac:dyDescent="0.3">
      <c r="A3395" t="str">
        <f>"202328C0200"</f>
        <v>202328C0200</v>
      </c>
      <c r="B3395" t="str">
        <f>"202328C02003"</f>
        <v>202328C02003</v>
      </c>
      <c r="C3395" t="str">
        <f t="shared" si="240"/>
        <v>20</v>
      </c>
      <c r="D3395" t="s">
        <v>81</v>
      </c>
      <c r="E3395" t="str">
        <f t="shared" si="244"/>
        <v>545</v>
      </c>
      <c r="F3395" t="s">
        <v>3622</v>
      </c>
      <c r="G3395" t="str">
        <f>"2328"</f>
        <v>2328</v>
      </c>
      <c r="H3395" t="str">
        <f>"0002"</f>
        <v>0002</v>
      </c>
      <c r="I3395" t="s">
        <v>89</v>
      </c>
      <c r="J3395">
        <v>0</v>
      </c>
      <c r="K3395">
        <v>1</v>
      </c>
      <c r="L3395">
        <v>3</v>
      </c>
      <c r="M3395">
        <v>237</v>
      </c>
      <c r="N3395">
        <v>340</v>
      </c>
      <c r="O3395">
        <v>10</v>
      </c>
      <c r="P3395">
        <v>331</v>
      </c>
      <c r="Q3395">
        <v>5</v>
      </c>
      <c r="R3395">
        <v>17</v>
      </c>
      <c r="S3395">
        <v>16</v>
      </c>
      <c r="T3395">
        <v>18</v>
      </c>
      <c r="U3395">
        <v>73</v>
      </c>
      <c r="V3395">
        <v>17</v>
      </c>
      <c r="W3395">
        <v>12</v>
      </c>
      <c r="X3395">
        <v>98</v>
      </c>
      <c r="Z3395">
        <v>46</v>
      </c>
      <c r="AA3395">
        <v>14</v>
      </c>
      <c r="AB3395">
        <v>15</v>
      </c>
      <c r="AW3395" t="s">
        <v>95</v>
      </c>
      <c r="AX3395">
        <v>9</v>
      </c>
      <c r="AY3395">
        <v>340</v>
      </c>
      <c r="AZ3395">
        <v>340</v>
      </c>
      <c r="BA3395">
        <v>533</v>
      </c>
      <c r="BB3395">
        <v>44</v>
      </c>
      <c r="BC3395" t="s">
        <v>96</v>
      </c>
      <c r="BD3395">
        <v>1</v>
      </c>
      <c r="BF3395" t="s">
        <v>3634</v>
      </c>
      <c r="BG3395" s="1">
        <v>44354.164583333331</v>
      </c>
      <c r="BH3395" s="1">
        <v>44354.166666666664</v>
      </c>
      <c r="BI3395" s="1">
        <v>44354.167731481481</v>
      </c>
      <c r="BJ3395" t="s">
        <v>85</v>
      </c>
      <c r="BK3395" t="s">
        <v>86</v>
      </c>
      <c r="BL3395" t="s">
        <v>87</v>
      </c>
    </row>
    <row r="3396" spans="1:64" x14ac:dyDescent="0.3">
      <c r="A3396" t="str">
        <f>"202329B0000"</f>
        <v>202329B0000</v>
      </c>
      <c r="B3396" t="str">
        <f>"202329B00003"</f>
        <v>202329B00003</v>
      </c>
      <c r="C3396" t="str">
        <f t="shared" si="240"/>
        <v>20</v>
      </c>
      <c r="D3396" t="s">
        <v>81</v>
      </c>
      <c r="E3396" t="str">
        <f t="shared" si="244"/>
        <v>545</v>
      </c>
      <c r="F3396" t="s">
        <v>3622</v>
      </c>
      <c r="G3396" t="str">
        <f>"2329"</f>
        <v>2329</v>
      </c>
      <c r="H3396" t="str">
        <f>"0000"</f>
        <v>0000</v>
      </c>
      <c r="I3396" t="s">
        <v>83</v>
      </c>
      <c r="J3396">
        <v>0</v>
      </c>
      <c r="K3396">
        <v>1</v>
      </c>
      <c r="L3396">
        <v>3</v>
      </c>
      <c r="M3396">
        <v>123</v>
      </c>
      <c r="N3396">
        <v>270</v>
      </c>
      <c r="O3396">
        <v>13</v>
      </c>
      <c r="P3396">
        <v>270</v>
      </c>
      <c r="Q3396">
        <v>1</v>
      </c>
      <c r="R3396">
        <v>18</v>
      </c>
      <c r="S3396">
        <v>3</v>
      </c>
      <c r="T3396">
        <v>9</v>
      </c>
      <c r="U3396">
        <v>13</v>
      </c>
      <c r="V3396">
        <v>2</v>
      </c>
      <c r="W3396">
        <v>104</v>
      </c>
      <c r="X3396">
        <v>67</v>
      </c>
      <c r="Z3396">
        <v>1</v>
      </c>
      <c r="AA3396">
        <v>5</v>
      </c>
      <c r="AB3396">
        <v>37</v>
      </c>
      <c r="AW3396" t="s">
        <v>95</v>
      </c>
      <c r="AX3396">
        <v>10</v>
      </c>
      <c r="AY3396">
        <v>270</v>
      </c>
      <c r="AZ3396">
        <v>270</v>
      </c>
      <c r="BA3396">
        <v>349</v>
      </c>
      <c r="BB3396">
        <v>44</v>
      </c>
      <c r="BC3396" t="s">
        <v>96</v>
      </c>
      <c r="BD3396">
        <v>1</v>
      </c>
      <c r="BF3396" t="s">
        <v>3635</v>
      </c>
      <c r="BG3396" s="1">
        <v>44354.632638888892</v>
      </c>
      <c r="BH3396" s="1">
        <v>44354.636076388888</v>
      </c>
      <c r="BI3396" s="1">
        <v>44354.636643518519</v>
      </c>
      <c r="BJ3396" t="s">
        <v>85</v>
      </c>
      <c r="BK3396" t="s">
        <v>86</v>
      </c>
      <c r="BL3396" t="s">
        <v>87</v>
      </c>
    </row>
    <row r="3397" spans="1:64" x14ac:dyDescent="0.3">
      <c r="A3397" t="str">
        <f>"202330B0000"</f>
        <v>202330B0000</v>
      </c>
      <c r="B3397" t="str">
        <f>"202330B00003"</f>
        <v>202330B00003</v>
      </c>
      <c r="C3397" t="str">
        <f t="shared" si="240"/>
        <v>20</v>
      </c>
      <c r="D3397" t="s">
        <v>81</v>
      </c>
      <c r="E3397" t="str">
        <f t="shared" si="244"/>
        <v>545</v>
      </c>
      <c r="F3397" t="s">
        <v>3622</v>
      </c>
      <c r="G3397" t="str">
        <f>"2330"</f>
        <v>2330</v>
      </c>
      <c r="H3397" t="str">
        <f>"0000"</f>
        <v>0000</v>
      </c>
      <c r="I3397" t="s">
        <v>83</v>
      </c>
      <c r="J3397">
        <v>0</v>
      </c>
      <c r="K3397">
        <v>1</v>
      </c>
      <c r="L3397">
        <v>3</v>
      </c>
      <c r="M3397">
        <v>180</v>
      </c>
      <c r="N3397">
        <v>325</v>
      </c>
      <c r="O3397">
        <v>1</v>
      </c>
      <c r="P3397">
        <v>325</v>
      </c>
      <c r="Q3397">
        <v>0</v>
      </c>
      <c r="R3397">
        <v>4</v>
      </c>
      <c r="S3397">
        <v>6</v>
      </c>
      <c r="T3397">
        <v>5</v>
      </c>
      <c r="U3397">
        <v>53</v>
      </c>
      <c r="V3397">
        <v>11</v>
      </c>
      <c r="W3397">
        <v>23</v>
      </c>
      <c r="X3397">
        <v>113</v>
      </c>
      <c r="Z3397">
        <v>72</v>
      </c>
      <c r="AA3397">
        <v>6</v>
      </c>
      <c r="AB3397">
        <v>20</v>
      </c>
      <c r="AW3397">
        <v>0</v>
      </c>
      <c r="AX3397">
        <v>12</v>
      </c>
      <c r="AY3397">
        <v>325</v>
      </c>
      <c r="AZ3397">
        <v>325</v>
      </c>
      <c r="BA3397">
        <v>461</v>
      </c>
      <c r="BB3397">
        <v>44</v>
      </c>
      <c r="BD3397">
        <v>1</v>
      </c>
      <c r="BF3397" t="s">
        <v>3636</v>
      </c>
      <c r="BG3397" s="1">
        <v>44354.165277777778</v>
      </c>
      <c r="BH3397" s="1">
        <v>44354.167592592596</v>
      </c>
      <c r="BI3397" s="1">
        <v>44354.167962962965</v>
      </c>
      <c r="BJ3397" t="s">
        <v>85</v>
      </c>
      <c r="BK3397" t="s">
        <v>86</v>
      </c>
      <c r="BL3397" t="s">
        <v>87</v>
      </c>
    </row>
    <row r="3398" spans="1:64" x14ac:dyDescent="0.3">
      <c r="A3398" t="str">
        <f>"202339B0000"</f>
        <v>202339B0000</v>
      </c>
      <c r="B3398" t="str">
        <f>"202339B00003"</f>
        <v>202339B00003</v>
      </c>
      <c r="C3398" t="str">
        <f t="shared" si="240"/>
        <v>20</v>
      </c>
      <c r="D3398" t="s">
        <v>81</v>
      </c>
      <c r="E3398" t="str">
        <f t="shared" ref="E3398:E3417" si="245">"549"</f>
        <v>549</v>
      </c>
      <c r="F3398" t="s">
        <v>3637</v>
      </c>
      <c r="G3398" t="str">
        <f>"2339"</f>
        <v>2339</v>
      </c>
      <c r="H3398" t="str">
        <f>"0000"</f>
        <v>0000</v>
      </c>
      <c r="I3398" t="s">
        <v>83</v>
      </c>
      <c r="J3398">
        <v>0</v>
      </c>
      <c r="K3398">
        <v>1</v>
      </c>
      <c r="L3398">
        <v>3</v>
      </c>
      <c r="M3398">
        <v>341</v>
      </c>
      <c r="N3398">
        <v>399</v>
      </c>
      <c r="O3398">
        <v>8</v>
      </c>
      <c r="P3398">
        <v>391</v>
      </c>
      <c r="Q3398">
        <v>10</v>
      </c>
      <c r="R3398">
        <v>134</v>
      </c>
      <c r="S3398">
        <v>4</v>
      </c>
      <c r="T3398">
        <v>9</v>
      </c>
      <c r="U3398">
        <v>54</v>
      </c>
      <c r="V3398">
        <v>3</v>
      </c>
      <c r="X3398">
        <v>94</v>
      </c>
      <c r="Y3398">
        <v>30</v>
      </c>
      <c r="Z3398">
        <v>1</v>
      </c>
      <c r="AA3398">
        <v>5</v>
      </c>
      <c r="AB3398">
        <v>41</v>
      </c>
      <c r="AP3398">
        <v>0</v>
      </c>
      <c r="AW3398">
        <v>0</v>
      </c>
      <c r="AX3398">
        <v>6</v>
      </c>
      <c r="AY3398">
        <v>391</v>
      </c>
      <c r="AZ3398">
        <v>391</v>
      </c>
      <c r="BA3398">
        <v>688</v>
      </c>
      <c r="BB3398">
        <v>44</v>
      </c>
      <c r="BD3398">
        <v>1</v>
      </c>
      <c r="BF3398" t="s">
        <v>3638</v>
      </c>
      <c r="BG3398" s="1">
        <v>44354.047222222223</v>
      </c>
      <c r="BH3398" s="1">
        <v>44354.055393518516</v>
      </c>
      <c r="BI3398" s="1">
        <v>44354.056527777779</v>
      </c>
      <c r="BJ3398" t="s">
        <v>85</v>
      </c>
      <c r="BK3398" t="s">
        <v>86</v>
      </c>
      <c r="BL3398" t="s">
        <v>87</v>
      </c>
    </row>
    <row r="3399" spans="1:64" x14ac:dyDescent="0.3">
      <c r="A3399" t="str">
        <f>"202339C0100"</f>
        <v>202339C0100</v>
      </c>
      <c r="B3399" t="str">
        <f>"202339C01003"</f>
        <v>202339C01003</v>
      </c>
      <c r="C3399" t="str">
        <f t="shared" ref="C3399:C3462" si="246">"20"</f>
        <v>20</v>
      </c>
      <c r="D3399" t="s">
        <v>81</v>
      </c>
      <c r="E3399" t="str">
        <f t="shared" si="245"/>
        <v>549</v>
      </c>
      <c r="F3399" t="s">
        <v>3637</v>
      </c>
      <c r="G3399" t="str">
        <f>"2339"</f>
        <v>2339</v>
      </c>
      <c r="H3399" t="str">
        <f>"0001"</f>
        <v>0001</v>
      </c>
      <c r="I3399" t="s">
        <v>89</v>
      </c>
      <c r="J3399">
        <v>0</v>
      </c>
      <c r="K3399">
        <v>1</v>
      </c>
      <c r="L3399">
        <v>3</v>
      </c>
      <c r="M3399">
        <v>342</v>
      </c>
      <c r="N3399">
        <v>378</v>
      </c>
      <c r="O3399">
        <v>8</v>
      </c>
      <c r="P3399">
        <v>389</v>
      </c>
      <c r="Q3399">
        <v>0</v>
      </c>
      <c r="R3399">
        <v>100</v>
      </c>
      <c r="S3399">
        <v>0</v>
      </c>
      <c r="T3399">
        <v>9</v>
      </c>
      <c r="U3399">
        <v>60</v>
      </c>
      <c r="V3399">
        <v>3</v>
      </c>
      <c r="X3399">
        <v>106</v>
      </c>
      <c r="Y3399">
        <v>40</v>
      </c>
      <c r="Z3399">
        <v>1</v>
      </c>
      <c r="AA3399">
        <v>5</v>
      </c>
      <c r="AB3399">
        <v>32</v>
      </c>
      <c r="AP3399">
        <v>20</v>
      </c>
      <c r="AW3399">
        <v>0</v>
      </c>
      <c r="AX3399">
        <v>13</v>
      </c>
      <c r="AY3399">
        <v>389</v>
      </c>
      <c r="AZ3399">
        <v>389</v>
      </c>
      <c r="BA3399">
        <v>687</v>
      </c>
      <c r="BB3399">
        <v>44</v>
      </c>
      <c r="BD3399">
        <v>1</v>
      </c>
      <c r="BF3399" t="s">
        <v>3639</v>
      </c>
      <c r="BG3399" s="1">
        <v>44354.050694444442</v>
      </c>
      <c r="BH3399" s="1">
        <v>44354.059050925927</v>
      </c>
      <c r="BI3399" s="1">
        <v>44354.059548611112</v>
      </c>
      <c r="BJ3399" t="s">
        <v>85</v>
      </c>
      <c r="BK3399" t="s">
        <v>86</v>
      </c>
      <c r="BL3399" t="s">
        <v>87</v>
      </c>
    </row>
    <row r="3400" spans="1:64" x14ac:dyDescent="0.3">
      <c r="A3400" t="str">
        <f>"202340B0000"</f>
        <v>202340B0000</v>
      </c>
      <c r="B3400" t="str">
        <f>"202340B00003"</f>
        <v>202340B00003</v>
      </c>
      <c r="C3400" t="str">
        <f t="shared" si="246"/>
        <v>20</v>
      </c>
      <c r="D3400" t="s">
        <v>81</v>
      </c>
      <c r="E3400" t="str">
        <f t="shared" si="245"/>
        <v>549</v>
      </c>
      <c r="F3400" t="s">
        <v>3637</v>
      </c>
      <c r="G3400" t="str">
        <f>"2340"</f>
        <v>2340</v>
      </c>
      <c r="H3400" t="str">
        <f>"0000"</f>
        <v>0000</v>
      </c>
      <c r="I3400" t="s">
        <v>83</v>
      </c>
      <c r="J3400">
        <v>0</v>
      </c>
      <c r="K3400">
        <v>1</v>
      </c>
      <c r="L3400">
        <v>3</v>
      </c>
      <c r="M3400">
        <v>245</v>
      </c>
      <c r="N3400">
        <v>301</v>
      </c>
      <c r="O3400">
        <v>10</v>
      </c>
      <c r="P3400">
        <v>301</v>
      </c>
      <c r="Q3400">
        <v>27</v>
      </c>
      <c r="R3400">
        <v>108</v>
      </c>
      <c r="S3400">
        <v>3</v>
      </c>
      <c r="T3400">
        <v>11</v>
      </c>
      <c r="U3400">
        <v>25</v>
      </c>
      <c r="V3400">
        <v>0</v>
      </c>
      <c r="X3400">
        <v>82</v>
      </c>
      <c r="Y3400">
        <v>2</v>
      </c>
      <c r="Z3400">
        <v>1</v>
      </c>
      <c r="AA3400">
        <v>0</v>
      </c>
      <c r="AB3400">
        <v>39</v>
      </c>
      <c r="AP3400">
        <v>0</v>
      </c>
      <c r="AW3400">
        <v>0</v>
      </c>
      <c r="AX3400">
        <v>3</v>
      </c>
      <c r="AY3400">
        <v>301</v>
      </c>
      <c r="AZ3400">
        <v>301</v>
      </c>
      <c r="BA3400">
        <v>502</v>
      </c>
      <c r="BB3400">
        <v>44</v>
      </c>
      <c r="BD3400">
        <v>1</v>
      </c>
      <c r="BF3400" t="s">
        <v>3640</v>
      </c>
      <c r="BG3400" s="1">
        <v>44353.978472222225</v>
      </c>
      <c r="BH3400" s="1">
        <v>44353.984259259261</v>
      </c>
      <c r="BI3400" s="1">
        <v>44353.987199074072</v>
      </c>
      <c r="BJ3400" t="s">
        <v>85</v>
      </c>
      <c r="BK3400" t="s">
        <v>86</v>
      </c>
      <c r="BL3400" t="s">
        <v>87</v>
      </c>
    </row>
    <row r="3401" spans="1:64" x14ac:dyDescent="0.3">
      <c r="A3401" t="str">
        <f>"202341B0000"</f>
        <v>202341B0000</v>
      </c>
      <c r="B3401" t="str">
        <f>"202341B00003"</f>
        <v>202341B00003</v>
      </c>
      <c r="C3401" t="str">
        <f t="shared" si="246"/>
        <v>20</v>
      </c>
      <c r="D3401" t="s">
        <v>81</v>
      </c>
      <c r="E3401" t="str">
        <f t="shared" si="245"/>
        <v>549</v>
      </c>
      <c r="F3401" t="s">
        <v>3637</v>
      </c>
      <c r="G3401" t="str">
        <f>"2341"</f>
        <v>2341</v>
      </c>
      <c r="H3401" t="str">
        <f>"0000"</f>
        <v>0000</v>
      </c>
      <c r="I3401" t="s">
        <v>83</v>
      </c>
      <c r="J3401">
        <v>0</v>
      </c>
      <c r="K3401">
        <v>1</v>
      </c>
      <c r="L3401">
        <v>3</v>
      </c>
      <c r="M3401">
        <v>229</v>
      </c>
      <c r="N3401">
        <v>290</v>
      </c>
      <c r="O3401">
        <v>11</v>
      </c>
      <c r="P3401">
        <v>290</v>
      </c>
      <c r="Q3401">
        <v>22</v>
      </c>
      <c r="R3401">
        <v>71</v>
      </c>
      <c r="S3401">
        <v>15</v>
      </c>
      <c r="T3401">
        <v>12</v>
      </c>
      <c r="U3401">
        <v>43</v>
      </c>
      <c r="V3401">
        <v>0</v>
      </c>
      <c r="X3401">
        <v>58</v>
      </c>
      <c r="Y3401">
        <v>22</v>
      </c>
      <c r="Z3401">
        <v>1</v>
      </c>
      <c r="AA3401">
        <v>0</v>
      </c>
      <c r="AB3401">
        <v>37</v>
      </c>
      <c r="AP3401">
        <v>1</v>
      </c>
      <c r="AW3401">
        <v>1</v>
      </c>
      <c r="AX3401">
        <v>7</v>
      </c>
      <c r="AY3401">
        <v>290</v>
      </c>
      <c r="AZ3401">
        <v>290</v>
      </c>
      <c r="BA3401">
        <v>475</v>
      </c>
      <c r="BB3401">
        <v>44</v>
      </c>
      <c r="BD3401">
        <v>1</v>
      </c>
      <c r="BF3401" t="s">
        <v>3641</v>
      </c>
      <c r="BG3401" s="1">
        <v>44353.979861111111</v>
      </c>
      <c r="BH3401" s="1">
        <v>44353.985497685186</v>
      </c>
      <c r="BI3401" s="1">
        <v>44353.985960648148</v>
      </c>
      <c r="BJ3401" t="s">
        <v>85</v>
      </c>
      <c r="BK3401" t="s">
        <v>86</v>
      </c>
      <c r="BL3401" t="s">
        <v>87</v>
      </c>
    </row>
    <row r="3402" spans="1:64" x14ac:dyDescent="0.3">
      <c r="A3402" t="str">
        <f>"202341C0100"</f>
        <v>202341C0100</v>
      </c>
      <c r="B3402" t="str">
        <f>"202341C01003"</f>
        <v>202341C01003</v>
      </c>
      <c r="C3402" t="str">
        <f t="shared" si="246"/>
        <v>20</v>
      </c>
      <c r="D3402" t="s">
        <v>81</v>
      </c>
      <c r="E3402" t="str">
        <f t="shared" si="245"/>
        <v>549</v>
      </c>
      <c r="F3402" t="s">
        <v>3637</v>
      </c>
      <c r="G3402" t="str">
        <f>"2341"</f>
        <v>2341</v>
      </c>
      <c r="H3402" t="str">
        <f>"0001"</f>
        <v>0001</v>
      </c>
      <c r="I3402" t="s">
        <v>89</v>
      </c>
      <c r="J3402">
        <v>0</v>
      </c>
      <c r="K3402">
        <v>1</v>
      </c>
      <c r="L3402">
        <v>3</v>
      </c>
      <c r="M3402">
        <v>210</v>
      </c>
      <c r="N3402">
        <v>309</v>
      </c>
      <c r="O3402">
        <v>11</v>
      </c>
      <c r="P3402">
        <v>309</v>
      </c>
      <c r="Q3402">
        <v>32</v>
      </c>
      <c r="R3402">
        <v>77</v>
      </c>
      <c r="S3402">
        <v>12</v>
      </c>
      <c r="T3402">
        <v>13</v>
      </c>
      <c r="U3402">
        <v>67</v>
      </c>
      <c r="V3402">
        <v>0</v>
      </c>
      <c r="X3402">
        <v>37</v>
      </c>
      <c r="Y3402">
        <v>23</v>
      </c>
      <c r="Z3402">
        <v>0</v>
      </c>
      <c r="AA3402">
        <v>3</v>
      </c>
      <c r="AB3402">
        <v>30</v>
      </c>
      <c r="AP3402">
        <v>2</v>
      </c>
      <c r="AW3402">
        <v>0</v>
      </c>
      <c r="AX3402">
        <v>13</v>
      </c>
      <c r="AY3402" t="s">
        <v>95</v>
      </c>
      <c r="AZ3402">
        <v>309</v>
      </c>
      <c r="BA3402">
        <v>475</v>
      </c>
      <c r="BB3402">
        <v>44</v>
      </c>
      <c r="BD3402">
        <v>1</v>
      </c>
      <c r="BF3402" t="s">
        <v>3642</v>
      </c>
      <c r="BG3402" s="1">
        <v>44353.977083333331</v>
      </c>
      <c r="BH3402" s="1">
        <v>44353.982268518521</v>
      </c>
      <c r="BI3402" s="1">
        <v>44353.982592592591</v>
      </c>
      <c r="BJ3402" t="s">
        <v>85</v>
      </c>
      <c r="BK3402" t="s">
        <v>86</v>
      </c>
      <c r="BL3402" t="s">
        <v>87</v>
      </c>
    </row>
    <row r="3403" spans="1:64" x14ac:dyDescent="0.3">
      <c r="A3403" t="str">
        <f>"202342B0000"</f>
        <v>202342B0000</v>
      </c>
      <c r="B3403" t="str">
        <f>"202342B00003"</f>
        <v>202342B00003</v>
      </c>
      <c r="C3403" t="str">
        <f t="shared" si="246"/>
        <v>20</v>
      </c>
      <c r="D3403" t="s">
        <v>81</v>
      </c>
      <c r="E3403" t="str">
        <f t="shared" si="245"/>
        <v>549</v>
      </c>
      <c r="F3403" t="s">
        <v>3637</v>
      </c>
      <c r="G3403" t="str">
        <f>"2342"</f>
        <v>2342</v>
      </c>
      <c r="H3403" t="str">
        <f>"0000"</f>
        <v>0000</v>
      </c>
      <c r="I3403" t="s">
        <v>83</v>
      </c>
      <c r="J3403">
        <v>0</v>
      </c>
      <c r="K3403">
        <v>1</v>
      </c>
      <c r="L3403">
        <v>3</v>
      </c>
      <c r="M3403">
        <v>217</v>
      </c>
      <c r="N3403">
        <v>210</v>
      </c>
      <c r="O3403">
        <v>4</v>
      </c>
      <c r="P3403" t="s">
        <v>92</v>
      </c>
      <c r="Q3403">
        <v>9</v>
      </c>
      <c r="R3403">
        <v>35</v>
      </c>
      <c r="S3403">
        <v>6</v>
      </c>
      <c r="T3403">
        <v>84</v>
      </c>
      <c r="U3403">
        <v>30</v>
      </c>
      <c r="V3403">
        <v>0</v>
      </c>
      <c r="X3403">
        <v>10</v>
      </c>
      <c r="Y3403">
        <v>18</v>
      </c>
      <c r="Z3403">
        <v>1</v>
      </c>
      <c r="AA3403">
        <v>1</v>
      </c>
      <c r="AB3403">
        <v>9</v>
      </c>
      <c r="AP3403" t="s">
        <v>95</v>
      </c>
      <c r="AW3403" t="s">
        <v>95</v>
      </c>
      <c r="AX3403">
        <v>7</v>
      </c>
      <c r="AY3403">
        <v>210</v>
      </c>
      <c r="AZ3403">
        <v>210</v>
      </c>
      <c r="BA3403">
        <v>383</v>
      </c>
      <c r="BB3403">
        <v>44</v>
      </c>
      <c r="BC3403" t="s">
        <v>96</v>
      </c>
      <c r="BD3403">
        <v>1</v>
      </c>
      <c r="BF3403" t="s">
        <v>3643</v>
      </c>
      <c r="BG3403" s="1">
        <v>44354.043749999997</v>
      </c>
      <c r="BH3403" s="1">
        <v>44354.053541666668</v>
      </c>
      <c r="BI3403" s="1">
        <v>44354.054537037038</v>
      </c>
      <c r="BJ3403" t="s">
        <v>85</v>
      </c>
      <c r="BK3403" t="s">
        <v>86</v>
      </c>
      <c r="BL3403" t="s">
        <v>87</v>
      </c>
    </row>
    <row r="3404" spans="1:64" x14ac:dyDescent="0.3">
      <c r="A3404" t="str">
        <f>"202343B0000"</f>
        <v>202343B0000</v>
      </c>
      <c r="B3404" t="str">
        <f>"202343B00003"</f>
        <v>202343B00003</v>
      </c>
      <c r="C3404" t="str">
        <f t="shared" si="246"/>
        <v>20</v>
      </c>
      <c r="D3404" t="s">
        <v>81</v>
      </c>
      <c r="E3404" t="str">
        <f t="shared" si="245"/>
        <v>549</v>
      </c>
      <c r="F3404" t="s">
        <v>3637</v>
      </c>
      <c r="G3404" t="str">
        <f>"2343"</f>
        <v>2343</v>
      </c>
      <c r="H3404" t="str">
        <f>"0000"</f>
        <v>0000</v>
      </c>
      <c r="I3404" t="s">
        <v>83</v>
      </c>
      <c r="J3404">
        <v>0</v>
      </c>
      <c r="K3404">
        <v>1</v>
      </c>
      <c r="L3404">
        <v>3</v>
      </c>
      <c r="M3404">
        <v>163</v>
      </c>
      <c r="N3404">
        <v>119</v>
      </c>
      <c r="O3404">
        <v>9</v>
      </c>
      <c r="P3404">
        <v>119</v>
      </c>
      <c r="Q3404">
        <v>5</v>
      </c>
      <c r="R3404">
        <v>11</v>
      </c>
      <c r="S3404">
        <v>3</v>
      </c>
      <c r="T3404">
        <v>10</v>
      </c>
      <c r="U3404">
        <v>7</v>
      </c>
      <c r="V3404">
        <v>0</v>
      </c>
      <c r="X3404">
        <v>29</v>
      </c>
      <c r="Y3404">
        <v>1</v>
      </c>
      <c r="Z3404">
        <v>0</v>
      </c>
      <c r="AA3404">
        <v>10</v>
      </c>
      <c r="AB3404">
        <v>35</v>
      </c>
      <c r="AP3404">
        <v>0</v>
      </c>
      <c r="AW3404">
        <v>0</v>
      </c>
      <c r="AX3404">
        <v>8</v>
      </c>
      <c r="AY3404">
        <v>119</v>
      </c>
      <c r="AZ3404">
        <v>119</v>
      </c>
      <c r="BA3404">
        <v>238</v>
      </c>
      <c r="BB3404">
        <v>44</v>
      </c>
      <c r="BD3404">
        <v>1</v>
      </c>
      <c r="BF3404" t="s">
        <v>3644</v>
      </c>
      <c r="BG3404" s="1">
        <v>44354.032638888886</v>
      </c>
      <c r="BH3404" s="1">
        <v>44354.040833333333</v>
      </c>
      <c r="BI3404" s="1">
        <v>44354.041388888887</v>
      </c>
      <c r="BJ3404" t="s">
        <v>85</v>
      </c>
      <c r="BK3404" t="s">
        <v>86</v>
      </c>
      <c r="BL3404" t="s">
        <v>87</v>
      </c>
    </row>
    <row r="3405" spans="1:64" x14ac:dyDescent="0.3">
      <c r="A3405" t="str">
        <f>"202343E0100"</f>
        <v>202343E0100</v>
      </c>
      <c r="B3405" t="str">
        <f>"202343E01003"</f>
        <v>202343E01003</v>
      </c>
      <c r="C3405" t="str">
        <f t="shared" si="246"/>
        <v>20</v>
      </c>
      <c r="D3405" t="s">
        <v>81</v>
      </c>
      <c r="E3405" t="str">
        <f t="shared" si="245"/>
        <v>549</v>
      </c>
      <c r="F3405" t="s">
        <v>3637</v>
      </c>
      <c r="G3405" t="str">
        <f>"2343"</f>
        <v>2343</v>
      </c>
      <c r="H3405" t="str">
        <f>"0001"</f>
        <v>0001</v>
      </c>
      <c r="I3405" t="s">
        <v>122</v>
      </c>
      <c r="J3405">
        <v>0</v>
      </c>
      <c r="K3405">
        <v>1</v>
      </c>
      <c r="L3405">
        <v>3</v>
      </c>
      <c r="M3405">
        <v>126</v>
      </c>
      <c r="N3405">
        <v>153</v>
      </c>
      <c r="O3405">
        <v>7</v>
      </c>
      <c r="P3405">
        <v>153</v>
      </c>
      <c r="Q3405">
        <v>22</v>
      </c>
      <c r="R3405">
        <v>30</v>
      </c>
      <c r="S3405">
        <v>0</v>
      </c>
      <c r="T3405">
        <v>25</v>
      </c>
      <c r="U3405">
        <v>9</v>
      </c>
      <c r="V3405">
        <v>2</v>
      </c>
      <c r="X3405">
        <v>21</v>
      </c>
      <c r="Y3405">
        <v>7</v>
      </c>
      <c r="Z3405">
        <v>14</v>
      </c>
      <c r="AA3405">
        <v>11</v>
      </c>
      <c r="AB3405">
        <v>6</v>
      </c>
      <c r="AP3405">
        <v>0</v>
      </c>
      <c r="AW3405">
        <v>0</v>
      </c>
      <c r="AX3405">
        <v>6</v>
      </c>
      <c r="AY3405">
        <v>153</v>
      </c>
      <c r="AZ3405">
        <v>153</v>
      </c>
      <c r="BA3405">
        <v>234</v>
      </c>
      <c r="BB3405">
        <v>44</v>
      </c>
      <c r="BD3405">
        <v>1</v>
      </c>
      <c r="BF3405" t="s">
        <v>3645</v>
      </c>
      <c r="BG3405" s="1">
        <v>44354.026388888888</v>
      </c>
      <c r="BH3405" s="1">
        <v>44354.033865740741</v>
      </c>
      <c r="BI3405" s="1">
        <v>44354.035601851851</v>
      </c>
      <c r="BJ3405" t="s">
        <v>85</v>
      </c>
      <c r="BK3405" t="s">
        <v>86</v>
      </c>
      <c r="BL3405" t="s">
        <v>87</v>
      </c>
    </row>
    <row r="3406" spans="1:64" x14ac:dyDescent="0.3">
      <c r="A3406" t="str">
        <f>"202344B0000"</f>
        <v>202344B0000</v>
      </c>
      <c r="B3406" t="str">
        <f>"202344B00003"</f>
        <v>202344B00003</v>
      </c>
      <c r="C3406" t="str">
        <f t="shared" si="246"/>
        <v>20</v>
      </c>
      <c r="D3406" t="s">
        <v>81</v>
      </c>
      <c r="E3406" t="str">
        <f t="shared" si="245"/>
        <v>549</v>
      </c>
      <c r="F3406" t="s">
        <v>3637</v>
      </c>
      <c r="G3406" t="str">
        <f>"2344"</f>
        <v>2344</v>
      </c>
      <c r="H3406" t="str">
        <f>"0000"</f>
        <v>0000</v>
      </c>
      <c r="I3406" t="s">
        <v>83</v>
      </c>
      <c r="J3406">
        <v>0</v>
      </c>
      <c r="K3406">
        <v>1</v>
      </c>
      <c r="L3406">
        <v>3</v>
      </c>
      <c r="M3406">
        <v>391</v>
      </c>
      <c r="N3406">
        <v>287</v>
      </c>
      <c r="O3406">
        <v>11</v>
      </c>
      <c r="P3406">
        <v>287</v>
      </c>
      <c r="Q3406">
        <v>11</v>
      </c>
      <c r="R3406">
        <v>20</v>
      </c>
      <c r="S3406">
        <v>8</v>
      </c>
      <c r="T3406">
        <v>19</v>
      </c>
      <c r="U3406">
        <v>31</v>
      </c>
      <c r="V3406">
        <v>1</v>
      </c>
      <c r="X3406">
        <v>39</v>
      </c>
      <c r="Y3406">
        <v>53</v>
      </c>
      <c r="Z3406">
        <v>6</v>
      </c>
      <c r="AA3406">
        <v>43</v>
      </c>
      <c r="AB3406">
        <v>34</v>
      </c>
      <c r="AP3406">
        <v>1</v>
      </c>
      <c r="AW3406">
        <v>1</v>
      </c>
      <c r="AX3406">
        <v>19</v>
      </c>
      <c r="AY3406">
        <v>287</v>
      </c>
      <c r="AZ3406">
        <v>286</v>
      </c>
      <c r="BA3406">
        <v>634</v>
      </c>
      <c r="BB3406">
        <v>44</v>
      </c>
      <c r="BD3406">
        <v>1</v>
      </c>
      <c r="BF3406" t="s">
        <v>3646</v>
      </c>
      <c r="BG3406" s="1">
        <v>44354.115972222222</v>
      </c>
      <c r="BH3406" s="1">
        <v>44354.12054398148</v>
      </c>
      <c r="BI3406" s="1">
        <v>44354.121620370373</v>
      </c>
      <c r="BJ3406" t="s">
        <v>85</v>
      </c>
      <c r="BK3406" t="s">
        <v>86</v>
      </c>
      <c r="BL3406" t="s">
        <v>87</v>
      </c>
    </row>
    <row r="3407" spans="1:64" x14ac:dyDescent="0.3">
      <c r="A3407" t="str">
        <f>"202345B0000"</f>
        <v>202345B0000</v>
      </c>
      <c r="B3407" t="str">
        <f>"202345B00003"</f>
        <v>202345B00003</v>
      </c>
      <c r="C3407" t="str">
        <f t="shared" si="246"/>
        <v>20</v>
      </c>
      <c r="D3407" t="s">
        <v>81</v>
      </c>
      <c r="E3407" t="str">
        <f t="shared" si="245"/>
        <v>549</v>
      </c>
      <c r="F3407" t="s">
        <v>3637</v>
      </c>
      <c r="G3407" t="str">
        <f>"2345"</f>
        <v>2345</v>
      </c>
      <c r="H3407" t="str">
        <f>"0000"</f>
        <v>0000</v>
      </c>
      <c r="I3407" t="s">
        <v>83</v>
      </c>
      <c r="J3407">
        <v>0</v>
      </c>
      <c r="K3407">
        <v>1</v>
      </c>
      <c r="L3407">
        <v>3</v>
      </c>
      <c r="M3407">
        <v>371</v>
      </c>
      <c r="N3407">
        <v>318</v>
      </c>
      <c r="O3407">
        <v>15</v>
      </c>
      <c r="P3407">
        <v>318</v>
      </c>
      <c r="Q3407">
        <v>7</v>
      </c>
      <c r="R3407">
        <v>31</v>
      </c>
      <c r="S3407">
        <v>7</v>
      </c>
      <c r="T3407">
        <v>66</v>
      </c>
      <c r="U3407">
        <v>65</v>
      </c>
      <c r="V3407">
        <v>2</v>
      </c>
      <c r="X3407">
        <v>39</v>
      </c>
      <c r="Y3407">
        <v>32</v>
      </c>
      <c r="Z3407">
        <v>0</v>
      </c>
      <c r="AA3407">
        <v>36</v>
      </c>
      <c r="AB3407">
        <v>21</v>
      </c>
      <c r="AP3407">
        <v>0</v>
      </c>
      <c r="AW3407">
        <v>0</v>
      </c>
      <c r="AX3407">
        <v>11</v>
      </c>
      <c r="AY3407">
        <v>318</v>
      </c>
      <c r="AZ3407">
        <v>317</v>
      </c>
      <c r="BA3407">
        <v>645</v>
      </c>
      <c r="BB3407">
        <v>44</v>
      </c>
      <c r="BD3407">
        <v>1</v>
      </c>
      <c r="BF3407" t="s">
        <v>3647</v>
      </c>
      <c r="BG3407" s="1">
        <v>44353.919502314813</v>
      </c>
      <c r="BH3407" s="1">
        <v>44353.922708333332</v>
      </c>
      <c r="BI3407" s="1">
        <v>44353.923541666663</v>
      </c>
      <c r="BJ3407" t="s">
        <v>197</v>
      </c>
      <c r="BK3407" t="s">
        <v>198</v>
      </c>
      <c r="BL3407" t="s">
        <v>87</v>
      </c>
    </row>
    <row r="3408" spans="1:64" x14ac:dyDescent="0.3">
      <c r="A3408" t="str">
        <f>"202345E0100"</f>
        <v>202345E0100</v>
      </c>
      <c r="B3408" t="str">
        <f>"202345E01003"</f>
        <v>202345E01003</v>
      </c>
      <c r="C3408" t="str">
        <f t="shared" si="246"/>
        <v>20</v>
      </c>
      <c r="D3408" t="s">
        <v>81</v>
      </c>
      <c r="E3408" t="str">
        <f t="shared" si="245"/>
        <v>549</v>
      </c>
      <c r="F3408" t="s">
        <v>3637</v>
      </c>
      <c r="G3408" t="str">
        <f>"2345"</f>
        <v>2345</v>
      </c>
      <c r="H3408" t="str">
        <f>"0001"</f>
        <v>0001</v>
      </c>
      <c r="I3408" t="s">
        <v>122</v>
      </c>
      <c r="J3408">
        <v>0</v>
      </c>
      <c r="K3408">
        <v>1</v>
      </c>
      <c r="L3408">
        <v>3</v>
      </c>
      <c r="M3408">
        <v>130</v>
      </c>
      <c r="N3408">
        <v>89</v>
      </c>
      <c r="O3408">
        <v>4</v>
      </c>
      <c r="P3408">
        <v>89</v>
      </c>
      <c r="Q3408">
        <v>1</v>
      </c>
      <c r="R3408">
        <v>11</v>
      </c>
      <c r="S3408">
        <v>3</v>
      </c>
      <c r="T3408">
        <v>15</v>
      </c>
      <c r="U3408">
        <v>17</v>
      </c>
      <c r="V3408">
        <v>1</v>
      </c>
      <c r="X3408">
        <v>24</v>
      </c>
      <c r="Y3408">
        <v>3</v>
      </c>
      <c r="Z3408">
        <v>1</v>
      </c>
      <c r="AA3408">
        <v>6</v>
      </c>
      <c r="AB3408">
        <v>2</v>
      </c>
      <c r="AP3408" t="s">
        <v>95</v>
      </c>
      <c r="AW3408" t="s">
        <v>95</v>
      </c>
      <c r="AX3408">
        <v>5</v>
      </c>
      <c r="AY3408">
        <v>89</v>
      </c>
      <c r="AZ3408">
        <v>89</v>
      </c>
      <c r="BA3408">
        <v>175</v>
      </c>
      <c r="BB3408">
        <v>44</v>
      </c>
      <c r="BC3408" t="s">
        <v>96</v>
      </c>
      <c r="BD3408">
        <v>1</v>
      </c>
      <c r="BF3408" t="s">
        <v>3648</v>
      </c>
      <c r="BG3408" s="1">
        <v>44354.10833333333</v>
      </c>
      <c r="BH3408" s="1">
        <v>44354.112615740742</v>
      </c>
      <c r="BI3408" s="1">
        <v>44354.112939814811</v>
      </c>
      <c r="BJ3408" t="s">
        <v>85</v>
      </c>
      <c r="BK3408" t="s">
        <v>86</v>
      </c>
      <c r="BL3408" t="s">
        <v>87</v>
      </c>
    </row>
    <row r="3409" spans="1:64" x14ac:dyDescent="0.3">
      <c r="A3409" t="str">
        <f>"202346B0000"</f>
        <v>202346B0000</v>
      </c>
      <c r="B3409" t="str">
        <f>"202346B00003"</f>
        <v>202346B00003</v>
      </c>
      <c r="C3409" t="str">
        <f t="shared" si="246"/>
        <v>20</v>
      </c>
      <c r="D3409" t="s">
        <v>81</v>
      </c>
      <c r="E3409" t="str">
        <f t="shared" si="245"/>
        <v>549</v>
      </c>
      <c r="F3409" t="s">
        <v>3637</v>
      </c>
      <c r="G3409" t="str">
        <f>"2346"</f>
        <v>2346</v>
      </c>
      <c r="H3409" t="str">
        <f>"0000"</f>
        <v>0000</v>
      </c>
      <c r="I3409" t="s">
        <v>83</v>
      </c>
      <c r="J3409">
        <v>0</v>
      </c>
      <c r="K3409">
        <v>1</v>
      </c>
      <c r="L3409">
        <v>3</v>
      </c>
      <c r="M3409">
        <v>418</v>
      </c>
      <c r="N3409">
        <v>273</v>
      </c>
      <c r="O3409">
        <v>5</v>
      </c>
      <c r="P3409">
        <v>273</v>
      </c>
      <c r="Q3409">
        <v>2</v>
      </c>
      <c r="R3409">
        <v>29</v>
      </c>
      <c r="S3409">
        <v>7</v>
      </c>
      <c r="T3409">
        <v>60</v>
      </c>
      <c r="U3409">
        <v>61</v>
      </c>
      <c r="V3409">
        <v>4</v>
      </c>
      <c r="X3409">
        <v>38</v>
      </c>
      <c r="Y3409">
        <v>40</v>
      </c>
      <c r="Z3409">
        <v>3</v>
      </c>
      <c r="AA3409">
        <v>11</v>
      </c>
      <c r="AB3409">
        <v>1</v>
      </c>
      <c r="AP3409">
        <v>0</v>
      </c>
      <c r="AW3409">
        <v>0</v>
      </c>
      <c r="AX3409">
        <v>17</v>
      </c>
      <c r="AY3409">
        <v>273</v>
      </c>
      <c r="AZ3409">
        <v>273</v>
      </c>
      <c r="BA3409">
        <v>648</v>
      </c>
      <c r="BB3409">
        <v>44</v>
      </c>
      <c r="BD3409">
        <v>1</v>
      </c>
      <c r="BF3409" t="s">
        <v>3649</v>
      </c>
      <c r="BG3409" s="1">
        <v>44353.973912037036</v>
      </c>
      <c r="BH3409" s="1">
        <v>44353.977442129632</v>
      </c>
      <c r="BI3409" s="1">
        <v>44353.978229166663</v>
      </c>
      <c r="BJ3409" t="s">
        <v>197</v>
      </c>
      <c r="BK3409" t="s">
        <v>198</v>
      </c>
      <c r="BL3409" t="s">
        <v>87</v>
      </c>
    </row>
    <row r="3410" spans="1:64" x14ac:dyDescent="0.3">
      <c r="A3410" t="str">
        <f>"202346C0100"</f>
        <v>202346C0100</v>
      </c>
      <c r="B3410" t="str">
        <f>"202346C01003"</f>
        <v>202346C01003</v>
      </c>
      <c r="C3410" t="str">
        <f t="shared" si="246"/>
        <v>20</v>
      </c>
      <c r="D3410" t="s">
        <v>81</v>
      </c>
      <c r="E3410" t="str">
        <f t="shared" si="245"/>
        <v>549</v>
      </c>
      <c r="F3410" t="s">
        <v>3637</v>
      </c>
      <c r="G3410" t="str">
        <f>"2346"</f>
        <v>2346</v>
      </c>
      <c r="H3410" t="str">
        <f>"0001"</f>
        <v>0001</v>
      </c>
      <c r="I3410" t="s">
        <v>89</v>
      </c>
      <c r="J3410">
        <v>0</v>
      </c>
      <c r="K3410">
        <v>1</v>
      </c>
      <c r="L3410">
        <v>3</v>
      </c>
      <c r="M3410">
        <v>460</v>
      </c>
      <c r="N3410">
        <v>231</v>
      </c>
      <c r="O3410">
        <v>8</v>
      </c>
      <c r="P3410">
        <v>231</v>
      </c>
      <c r="Q3410">
        <v>0</v>
      </c>
      <c r="R3410">
        <v>25</v>
      </c>
      <c r="S3410">
        <v>6</v>
      </c>
      <c r="T3410">
        <v>39</v>
      </c>
      <c r="U3410">
        <v>68</v>
      </c>
      <c r="V3410">
        <v>3</v>
      </c>
      <c r="X3410">
        <v>38</v>
      </c>
      <c r="Y3410">
        <v>21</v>
      </c>
      <c r="Z3410">
        <v>2</v>
      </c>
      <c r="AA3410">
        <v>7</v>
      </c>
      <c r="AB3410">
        <v>1</v>
      </c>
      <c r="AP3410">
        <v>0</v>
      </c>
      <c r="AW3410">
        <v>0</v>
      </c>
      <c r="AX3410">
        <v>21</v>
      </c>
      <c r="AY3410">
        <v>231</v>
      </c>
      <c r="AZ3410">
        <v>231</v>
      </c>
      <c r="BA3410">
        <v>647</v>
      </c>
      <c r="BB3410">
        <v>44</v>
      </c>
      <c r="BD3410">
        <v>1</v>
      </c>
      <c r="BF3410" t="s">
        <v>3650</v>
      </c>
      <c r="BG3410" s="1">
        <v>44353.978425925925</v>
      </c>
      <c r="BH3410" s="1">
        <v>44353.98065972222</v>
      </c>
      <c r="BI3410" s="1">
        <v>44353.981435185182</v>
      </c>
      <c r="BJ3410" t="s">
        <v>197</v>
      </c>
      <c r="BK3410" t="s">
        <v>198</v>
      </c>
      <c r="BL3410" t="s">
        <v>87</v>
      </c>
    </row>
    <row r="3411" spans="1:64" x14ac:dyDescent="0.3">
      <c r="A3411" t="str">
        <f>"202346C0200"</f>
        <v>202346C0200</v>
      </c>
      <c r="B3411" t="str">
        <f>"202346C02003"</f>
        <v>202346C02003</v>
      </c>
      <c r="C3411" t="str">
        <f t="shared" si="246"/>
        <v>20</v>
      </c>
      <c r="D3411" t="s">
        <v>81</v>
      </c>
      <c r="E3411" t="str">
        <f t="shared" si="245"/>
        <v>549</v>
      </c>
      <c r="F3411" t="s">
        <v>3637</v>
      </c>
      <c r="G3411" t="str">
        <f>"2346"</f>
        <v>2346</v>
      </c>
      <c r="H3411" t="str">
        <f>"0002"</f>
        <v>0002</v>
      </c>
      <c r="I3411" t="s">
        <v>89</v>
      </c>
      <c r="J3411">
        <v>0</v>
      </c>
      <c r="K3411">
        <v>1</v>
      </c>
      <c r="L3411">
        <v>3</v>
      </c>
      <c r="M3411">
        <v>444</v>
      </c>
      <c r="N3411">
        <v>244</v>
      </c>
      <c r="O3411">
        <v>5</v>
      </c>
      <c r="P3411">
        <v>244</v>
      </c>
      <c r="Q3411">
        <v>1</v>
      </c>
      <c r="R3411">
        <v>22</v>
      </c>
      <c r="S3411">
        <v>9</v>
      </c>
      <c r="T3411">
        <v>59</v>
      </c>
      <c r="U3411">
        <v>66</v>
      </c>
      <c r="V3411">
        <v>4</v>
      </c>
      <c r="X3411">
        <v>36</v>
      </c>
      <c r="Y3411">
        <v>26</v>
      </c>
      <c r="Z3411">
        <v>2</v>
      </c>
      <c r="AA3411">
        <v>4</v>
      </c>
      <c r="AB3411">
        <v>3</v>
      </c>
      <c r="AP3411">
        <v>0</v>
      </c>
      <c r="AW3411">
        <v>0</v>
      </c>
      <c r="AX3411">
        <v>16</v>
      </c>
      <c r="AY3411">
        <v>244</v>
      </c>
      <c r="AZ3411">
        <v>248</v>
      </c>
      <c r="BA3411">
        <v>647</v>
      </c>
      <c r="BB3411">
        <v>44</v>
      </c>
      <c r="BD3411">
        <v>1</v>
      </c>
      <c r="BF3411" t="s">
        <v>3651</v>
      </c>
      <c r="BG3411" s="1">
        <v>44353.988715277781</v>
      </c>
      <c r="BH3411" s="1">
        <v>44353.993622685186</v>
      </c>
      <c r="BI3411" s="1">
        <v>44353.994444444441</v>
      </c>
      <c r="BJ3411" t="s">
        <v>197</v>
      </c>
      <c r="BK3411" t="s">
        <v>198</v>
      </c>
      <c r="BL3411" t="s">
        <v>87</v>
      </c>
    </row>
    <row r="3412" spans="1:64" x14ac:dyDescent="0.3">
      <c r="A3412" t="str">
        <f>"202347B0000"</f>
        <v>202347B0000</v>
      </c>
      <c r="B3412" t="str">
        <f>"202347B00003"</f>
        <v>202347B00003</v>
      </c>
      <c r="C3412" t="str">
        <f t="shared" si="246"/>
        <v>20</v>
      </c>
      <c r="D3412" t="s">
        <v>81</v>
      </c>
      <c r="E3412" t="str">
        <f t="shared" si="245"/>
        <v>549</v>
      </c>
      <c r="F3412" t="s">
        <v>3637</v>
      </c>
      <c r="G3412" t="str">
        <f>"2347"</f>
        <v>2347</v>
      </c>
      <c r="H3412" t="str">
        <f>"0000"</f>
        <v>0000</v>
      </c>
      <c r="I3412" t="s">
        <v>83</v>
      </c>
      <c r="J3412">
        <v>0</v>
      </c>
      <c r="K3412">
        <v>1</v>
      </c>
      <c r="L3412">
        <v>3</v>
      </c>
      <c r="M3412">
        <v>197</v>
      </c>
      <c r="N3412">
        <v>131</v>
      </c>
      <c r="O3412">
        <v>6</v>
      </c>
      <c r="P3412">
        <v>131</v>
      </c>
      <c r="Q3412">
        <v>4</v>
      </c>
      <c r="R3412">
        <v>7</v>
      </c>
      <c r="S3412">
        <v>2</v>
      </c>
      <c r="T3412">
        <v>62</v>
      </c>
      <c r="U3412">
        <v>30</v>
      </c>
      <c r="V3412">
        <v>1</v>
      </c>
      <c r="X3412">
        <v>6</v>
      </c>
      <c r="Y3412">
        <v>3</v>
      </c>
      <c r="Z3412">
        <v>1</v>
      </c>
      <c r="AA3412">
        <v>2</v>
      </c>
      <c r="AB3412">
        <v>6</v>
      </c>
      <c r="AP3412">
        <v>0</v>
      </c>
      <c r="AW3412">
        <v>0</v>
      </c>
      <c r="AX3412">
        <v>7</v>
      </c>
      <c r="AY3412">
        <v>131</v>
      </c>
      <c r="AZ3412">
        <v>131</v>
      </c>
      <c r="BA3412">
        <v>284</v>
      </c>
      <c r="BB3412">
        <v>44</v>
      </c>
      <c r="BD3412">
        <v>1</v>
      </c>
      <c r="BF3412" t="s">
        <v>3652</v>
      </c>
      <c r="BG3412" s="1">
        <v>44354.008333333331</v>
      </c>
      <c r="BH3412" s="1">
        <v>44354.014884259261</v>
      </c>
      <c r="BI3412" s="1">
        <v>44354.015474537038</v>
      </c>
      <c r="BJ3412" t="s">
        <v>85</v>
      </c>
      <c r="BK3412" t="s">
        <v>86</v>
      </c>
      <c r="BL3412" t="s">
        <v>87</v>
      </c>
    </row>
    <row r="3413" spans="1:64" x14ac:dyDescent="0.3">
      <c r="A3413" t="str">
        <f>"202348B0000"</f>
        <v>202348B0000</v>
      </c>
      <c r="B3413" t="str">
        <f>"202348B00003"</f>
        <v>202348B00003</v>
      </c>
      <c r="C3413" t="str">
        <f t="shared" si="246"/>
        <v>20</v>
      </c>
      <c r="D3413" t="s">
        <v>81</v>
      </c>
      <c r="E3413" t="str">
        <f t="shared" si="245"/>
        <v>549</v>
      </c>
      <c r="F3413" t="s">
        <v>3637</v>
      </c>
      <c r="G3413" t="str">
        <f>"2348"</f>
        <v>2348</v>
      </c>
      <c r="H3413" t="str">
        <f>"0000"</f>
        <v>0000</v>
      </c>
      <c r="I3413" t="s">
        <v>83</v>
      </c>
      <c r="J3413">
        <v>0</v>
      </c>
      <c r="K3413">
        <v>1</v>
      </c>
      <c r="L3413">
        <v>3</v>
      </c>
      <c r="M3413">
        <v>451</v>
      </c>
      <c r="N3413">
        <v>236</v>
      </c>
      <c r="O3413">
        <v>9</v>
      </c>
      <c r="P3413">
        <v>236</v>
      </c>
      <c r="Q3413">
        <v>7</v>
      </c>
      <c r="R3413">
        <v>16</v>
      </c>
      <c r="S3413">
        <v>8</v>
      </c>
      <c r="T3413">
        <v>34</v>
      </c>
      <c r="U3413">
        <v>34</v>
      </c>
      <c r="V3413">
        <v>1</v>
      </c>
      <c r="X3413">
        <v>93</v>
      </c>
      <c r="Y3413">
        <v>24</v>
      </c>
      <c r="Z3413">
        <v>4</v>
      </c>
      <c r="AA3413">
        <v>2</v>
      </c>
      <c r="AB3413">
        <v>9</v>
      </c>
      <c r="AP3413">
        <v>0</v>
      </c>
      <c r="AW3413">
        <v>0</v>
      </c>
      <c r="AX3413">
        <v>4</v>
      </c>
      <c r="AY3413">
        <v>236</v>
      </c>
      <c r="AZ3413">
        <v>236</v>
      </c>
      <c r="BA3413">
        <v>643</v>
      </c>
      <c r="BB3413">
        <v>44</v>
      </c>
      <c r="BD3413">
        <v>1</v>
      </c>
      <c r="BF3413" t="s">
        <v>3653</v>
      </c>
      <c r="BG3413" s="1">
        <v>44354.064259259256</v>
      </c>
      <c r="BH3413" s="1">
        <v>44354.069548611114</v>
      </c>
      <c r="BI3413" s="1">
        <v>44354.069988425923</v>
      </c>
      <c r="BJ3413" t="s">
        <v>197</v>
      </c>
      <c r="BK3413" t="s">
        <v>198</v>
      </c>
      <c r="BL3413" t="s">
        <v>87</v>
      </c>
    </row>
    <row r="3414" spans="1:64" x14ac:dyDescent="0.3">
      <c r="A3414" t="str">
        <f>"202349B0000"</f>
        <v>202349B0000</v>
      </c>
      <c r="B3414" t="str">
        <f>"202349B00003"</f>
        <v>202349B00003</v>
      </c>
      <c r="C3414" t="str">
        <f t="shared" si="246"/>
        <v>20</v>
      </c>
      <c r="D3414" t="s">
        <v>81</v>
      </c>
      <c r="E3414" t="str">
        <f t="shared" si="245"/>
        <v>549</v>
      </c>
      <c r="F3414" t="s">
        <v>3637</v>
      </c>
      <c r="G3414" t="str">
        <f>"2349"</f>
        <v>2349</v>
      </c>
      <c r="H3414" t="str">
        <f>"0000"</f>
        <v>0000</v>
      </c>
      <c r="I3414" t="s">
        <v>83</v>
      </c>
      <c r="J3414">
        <v>0</v>
      </c>
      <c r="K3414">
        <v>1</v>
      </c>
      <c r="L3414">
        <v>3</v>
      </c>
      <c r="M3414">
        <v>127</v>
      </c>
      <c r="N3414">
        <v>110</v>
      </c>
      <c r="O3414">
        <v>3</v>
      </c>
      <c r="P3414">
        <v>110</v>
      </c>
      <c r="Q3414">
        <v>2</v>
      </c>
      <c r="R3414">
        <v>9</v>
      </c>
      <c r="S3414">
        <v>0</v>
      </c>
      <c r="T3414">
        <v>60</v>
      </c>
      <c r="U3414">
        <v>18</v>
      </c>
      <c r="V3414">
        <v>0</v>
      </c>
      <c r="X3414">
        <v>6</v>
      </c>
      <c r="Y3414">
        <v>5</v>
      </c>
      <c r="Z3414">
        <v>0</v>
      </c>
      <c r="AA3414">
        <v>3</v>
      </c>
      <c r="AB3414">
        <v>3</v>
      </c>
      <c r="AP3414">
        <v>0</v>
      </c>
      <c r="AW3414">
        <v>0</v>
      </c>
      <c r="AX3414">
        <v>4</v>
      </c>
      <c r="AY3414">
        <v>110</v>
      </c>
      <c r="AZ3414">
        <v>110</v>
      </c>
      <c r="BA3414">
        <v>193</v>
      </c>
      <c r="BB3414">
        <v>44</v>
      </c>
      <c r="BD3414">
        <v>1</v>
      </c>
      <c r="BF3414" t="s">
        <v>3654</v>
      </c>
      <c r="BG3414" s="1">
        <v>44354.004166666666</v>
      </c>
      <c r="BH3414" s="1">
        <v>44354.011886574073</v>
      </c>
      <c r="BI3414" s="1">
        <v>44354.012407407405</v>
      </c>
      <c r="BJ3414" t="s">
        <v>85</v>
      </c>
      <c r="BK3414" t="s">
        <v>86</v>
      </c>
      <c r="BL3414" t="s">
        <v>87</v>
      </c>
    </row>
    <row r="3415" spans="1:64" x14ac:dyDescent="0.3">
      <c r="A3415" t="str">
        <f>"202350B0000"</f>
        <v>202350B0000</v>
      </c>
      <c r="B3415" t="str">
        <f>"202350B00003"</f>
        <v>202350B00003</v>
      </c>
      <c r="C3415" t="str">
        <f t="shared" si="246"/>
        <v>20</v>
      </c>
      <c r="D3415" t="s">
        <v>81</v>
      </c>
      <c r="E3415" t="str">
        <f t="shared" si="245"/>
        <v>549</v>
      </c>
      <c r="F3415" t="s">
        <v>3637</v>
      </c>
      <c r="G3415" t="str">
        <f>"2350"</f>
        <v>2350</v>
      </c>
      <c r="H3415" t="str">
        <f>"0000"</f>
        <v>0000</v>
      </c>
      <c r="I3415" t="s">
        <v>83</v>
      </c>
      <c r="J3415">
        <v>0</v>
      </c>
      <c r="K3415">
        <v>1</v>
      </c>
      <c r="L3415">
        <v>3</v>
      </c>
      <c r="M3415">
        <v>277</v>
      </c>
      <c r="N3415">
        <v>182</v>
      </c>
      <c r="O3415">
        <v>8</v>
      </c>
      <c r="P3415">
        <v>182</v>
      </c>
      <c r="Q3415">
        <v>3</v>
      </c>
      <c r="R3415">
        <v>35</v>
      </c>
      <c r="S3415">
        <v>6</v>
      </c>
      <c r="T3415">
        <v>34</v>
      </c>
      <c r="U3415">
        <v>29</v>
      </c>
      <c r="V3415">
        <v>1</v>
      </c>
      <c r="X3415">
        <v>42</v>
      </c>
      <c r="Y3415">
        <v>13</v>
      </c>
      <c r="Z3415">
        <v>4</v>
      </c>
      <c r="AA3415">
        <v>3</v>
      </c>
      <c r="AB3415">
        <v>1</v>
      </c>
      <c r="AP3415" t="s">
        <v>95</v>
      </c>
      <c r="AW3415" t="s">
        <v>95</v>
      </c>
      <c r="AX3415" t="s">
        <v>95</v>
      </c>
      <c r="AY3415" t="s">
        <v>95</v>
      </c>
      <c r="AZ3415">
        <v>171</v>
      </c>
      <c r="BA3415">
        <v>415</v>
      </c>
      <c r="BB3415">
        <v>44</v>
      </c>
      <c r="BC3415" t="s">
        <v>96</v>
      </c>
      <c r="BD3415">
        <v>1</v>
      </c>
      <c r="BF3415" t="s">
        <v>3655</v>
      </c>
      <c r="BG3415" s="1">
        <v>44354.234027777777</v>
      </c>
      <c r="BH3415" s="1">
        <v>44354.240937499999</v>
      </c>
      <c r="BI3415" s="1">
        <v>44354.241412037038</v>
      </c>
      <c r="BJ3415" t="s">
        <v>85</v>
      </c>
      <c r="BK3415" t="s">
        <v>86</v>
      </c>
      <c r="BL3415" t="s">
        <v>87</v>
      </c>
    </row>
    <row r="3416" spans="1:64" x14ac:dyDescent="0.3">
      <c r="A3416" t="str">
        <f>"202350E0100"</f>
        <v>202350E0100</v>
      </c>
      <c r="B3416" t="str">
        <f>"202350E01003"</f>
        <v>202350E01003</v>
      </c>
      <c r="C3416" t="str">
        <f t="shared" si="246"/>
        <v>20</v>
      </c>
      <c r="D3416" t="s">
        <v>81</v>
      </c>
      <c r="E3416" t="str">
        <f t="shared" si="245"/>
        <v>549</v>
      </c>
      <c r="F3416" t="s">
        <v>3637</v>
      </c>
      <c r="G3416" t="str">
        <f>"2350"</f>
        <v>2350</v>
      </c>
      <c r="H3416" t="str">
        <f>"0001"</f>
        <v>0001</v>
      </c>
      <c r="I3416" t="s">
        <v>122</v>
      </c>
      <c r="J3416">
        <v>0</v>
      </c>
      <c r="K3416">
        <v>1</v>
      </c>
      <c r="L3416">
        <v>3</v>
      </c>
      <c r="M3416">
        <v>146</v>
      </c>
      <c r="N3416">
        <v>50</v>
      </c>
      <c r="O3416">
        <v>6</v>
      </c>
      <c r="P3416">
        <v>50</v>
      </c>
      <c r="Q3416">
        <v>0</v>
      </c>
      <c r="R3416">
        <v>11</v>
      </c>
      <c r="S3416">
        <v>1</v>
      </c>
      <c r="T3416">
        <v>25</v>
      </c>
      <c r="U3416">
        <v>3</v>
      </c>
      <c r="V3416">
        <v>0</v>
      </c>
      <c r="X3416">
        <v>7</v>
      </c>
      <c r="Y3416">
        <v>1</v>
      </c>
      <c r="Z3416">
        <v>0</v>
      </c>
      <c r="AA3416">
        <v>0</v>
      </c>
      <c r="AB3416">
        <v>1</v>
      </c>
      <c r="AP3416">
        <v>0</v>
      </c>
      <c r="AW3416">
        <v>0</v>
      </c>
      <c r="AX3416">
        <v>1</v>
      </c>
      <c r="AY3416">
        <v>50</v>
      </c>
      <c r="AZ3416">
        <v>50</v>
      </c>
      <c r="BA3416">
        <v>152</v>
      </c>
      <c r="BB3416">
        <v>44</v>
      </c>
      <c r="BD3416">
        <v>1</v>
      </c>
      <c r="BF3416" t="s">
        <v>3656</v>
      </c>
      <c r="BG3416" s="1">
        <v>44354.122916666667</v>
      </c>
      <c r="BH3416" s="1">
        <v>44354.128761574073</v>
      </c>
      <c r="BI3416" s="1">
        <v>44354.129363425927</v>
      </c>
      <c r="BJ3416" t="s">
        <v>85</v>
      </c>
      <c r="BK3416" t="s">
        <v>86</v>
      </c>
      <c r="BL3416" t="s">
        <v>87</v>
      </c>
    </row>
    <row r="3417" spans="1:64" x14ac:dyDescent="0.3">
      <c r="A3417" t="str">
        <f>"202351B0000"</f>
        <v>202351B0000</v>
      </c>
      <c r="B3417" t="str">
        <f>"202351B00003"</f>
        <v>202351B00003</v>
      </c>
      <c r="C3417" t="str">
        <f t="shared" si="246"/>
        <v>20</v>
      </c>
      <c r="D3417" t="s">
        <v>81</v>
      </c>
      <c r="E3417" t="str">
        <f t="shared" si="245"/>
        <v>549</v>
      </c>
      <c r="F3417" t="s">
        <v>3637</v>
      </c>
      <c r="G3417" t="str">
        <f>"2351"</f>
        <v>2351</v>
      </c>
      <c r="H3417" t="str">
        <f>"0000"</f>
        <v>0000</v>
      </c>
      <c r="I3417" t="s">
        <v>83</v>
      </c>
      <c r="J3417">
        <v>0</v>
      </c>
      <c r="K3417">
        <v>1</v>
      </c>
      <c r="L3417">
        <v>3</v>
      </c>
      <c r="M3417">
        <v>422</v>
      </c>
      <c r="N3417">
        <v>204</v>
      </c>
      <c r="O3417">
        <v>6</v>
      </c>
      <c r="P3417">
        <v>204</v>
      </c>
      <c r="Q3417">
        <v>1</v>
      </c>
      <c r="R3417">
        <v>17</v>
      </c>
      <c r="S3417">
        <v>5</v>
      </c>
      <c r="T3417">
        <v>40</v>
      </c>
      <c r="U3417">
        <v>9</v>
      </c>
      <c r="V3417">
        <v>3</v>
      </c>
      <c r="X3417">
        <v>67</v>
      </c>
      <c r="Y3417">
        <v>15</v>
      </c>
      <c r="Z3417">
        <v>4</v>
      </c>
      <c r="AA3417">
        <v>3</v>
      </c>
      <c r="AB3417">
        <v>20</v>
      </c>
      <c r="AP3417">
        <v>0</v>
      </c>
      <c r="AW3417">
        <v>0</v>
      </c>
      <c r="AX3417">
        <v>20</v>
      </c>
      <c r="AY3417">
        <v>204</v>
      </c>
      <c r="AZ3417">
        <v>204</v>
      </c>
      <c r="BA3417">
        <v>582</v>
      </c>
      <c r="BB3417">
        <v>44</v>
      </c>
      <c r="BD3417">
        <v>1</v>
      </c>
      <c r="BF3417" t="s">
        <v>3657</v>
      </c>
      <c r="BG3417" s="1">
        <v>44354.227083333331</v>
      </c>
      <c r="BH3417" s="1">
        <v>44354.231122685182</v>
      </c>
      <c r="BI3417" s="1">
        <v>44354.231736111113</v>
      </c>
      <c r="BJ3417" t="s">
        <v>85</v>
      </c>
      <c r="BK3417" t="s">
        <v>86</v>
      </c>
      <c r="BL3417" t="s">
        <v>87</v>
      </c>
    </row>
    <row r="3418" spans="1:64" x14ac:dyDescent="0.3">
      <c r="A3418" t="str">
        <f>"202352B0000"</f>
        <v>202352B0000</v>
      </c>
      <c r="B3418" t="str">
        <f>"202352B00003"</f>
        <v>202352B00003</v>
      </c>
      <c r="C3418" t="str">
        <f t="shared" si="246"/>
        <v>20</v>
      </c>
      <c r="D3418" t="s">
        <v>81</v>
      </c>
      <c r="E3418" t="str">
        <f t="shared" ref="E3418:E3453" si="247">"550"</f>
        <v>550</v>
      </c>
      <c r="F3418" t="s">
        <v>3658</v>
      </c>
      <c r="G3418" t="str">
        <f t="shared" ref="G3418:G3426" si="248">"2352"</f>
        <v>2352</v>
      </c>
      <c r="H3418" t="str">
        <f>"0000"</f>
        <v>0000</v>
      </c>
      <c r="I3418" t="s">
        <v>83</v>
      </c>
      <c r="J3418">
        <v>0</v>
      </c>
      <c r="K3418">
        <v>1</v>
      </c>
      <c r="L3418">
        <v>3</v>
      </c>
      <c r="M3418">
        <v>333</v>
      </c>
      <c r="N3418">
        <v>357</v>
      </c>
      <c r="O3418">
        <v>6</v>
      </c>
      <c r="P3418">
        <v>357</v>
      </c>
      <c r="Q3418">
        <v>19</v>
      </c>
      <c r="R3418">
        <v>52</v>
      </c>
      <c r="S3418">
        <v>3</v>
      </c>
      <c r="U3418">
        <v>139</v>
      </c>
      <c r="V3418">
        <v>48</v>
      </c>
      <c r="W3418">
        <v>16</v>
      </c>
      <c r="X3418">
        <v>56</v>
      </c>
      <c r="Y3418">
        <v>0</v>
      </c>
      <c r="Z3418">
        <v>0</v>
      </c>
      <c r="AB3418">
        <v>13</v>
      </c>
      <c r="AL3418">
        <v>1</v>
      </c>
      <c r="AO3418">
        <v>1</v>
      </c>
      <c r="AQ3418">
        <v>0</v>
      </c>
      <c r="AS3418">
        <v>0</v>
      </c>
      <c r="AW3418">
        <v>1</v>
      </c>
      <c r="AX3418">
        <v>8</v>
      </c>
      <c r="AY3418" t="s">
        <v>131</v>
      </c>
      <c r="AZ3418">
        <v>357</v>
      </c>
      <c r="BA3418">
        <v>646</v>
      </c>
      <c r="BB3418">
        <v>44</v>
      </c>
      <c r="BD3418">
        <v>1</v>
      </c>
      <c r="BF3418" t="s">
        <v>3659</v>
      </c>
      <c r="BG3418" s="1">
        <v>44354.120138888888</v>
      </c>
      <c r="BH3418" s="1">
        <v>44354.128611111111</v>
      </c>
      <c r="BI3418" s="1">
        <v>44354.129189814812</v>
      </c>
      <c r="BJ3418" t="s">
        <v>85</v>
      </c>
      <c r="BK3418" t="s">
        <v>86</v>
      </c>
      <c r="BL3418" t="s">
        <v>87</v>
      </c>
    </row>
    <row r="3419" spans="1:64" x14ac:dyDescent="0.3">
      <c r="A3419" t="str">
        <f>"202352C0100"</f>
        <v>202352C0100</v>
      </c>
      <c r="B3419" t="str">
        <f>"202352C01003"</f>
        <v>202352C01003</v>
      </c>
      <c r="C3419" t="str">
        <f t="shared" si="246"/>
        <v>20</v>
      </c>
      <c r="D3419" t="s">
        <v>81</v>
      </c>
      <c r="E3419" t="str">
        <f t="shared" si="247"/>
        <v>550</v>
      </c>
      <c r="F3419" t="s">
        <v>3658</v>
      </c>
      <c r="G3419" t="str">
        <f t="shared" si="248"/>
        <v>2352</v>
      </c>
      <c r="H3419" t="str">
        <f>"0001"</f>
        <v>0001</v>
      </c>
      <c r="I3419" t="s">
        <v>89</v>
      </c>
      <c r="J3419">
        <v>0</v>
      </c>
      <c r="K3419">
        <v>1</v>
      </c>
      <c r="L3419">
        <v>3</v>
      </c>
      <c r="M3419">
        <v>330</v>
      </c>
      <c r="N3419">
        <v>358</v>
      </c>
      <c r="O3419">
        <v>8</v>
      </c>
      <c r="P3419">
        <v>361</v>
      </c>
      <c r="Q3419">
        <v>19</v>
      </c>
      <c r="R3419">
        <v>42</v>
      </c>
      <c r="S3419">
        <v>1</v>
      </c>
      <c r="U3419">
        <v>138</v>
      </c>
      <c r="V3419">
        <v>37</v>
      </c>
      <c r="W3419">
        <v>23</v>
      </c>
      <c r="X3419">
        <v>70</v>
      </c>
      <c r="Y3419">
        <v>2</v>
      </c>
      <c r="Z3419">
        <v>1</v>
      </c>
      <c r="AB3419">
        <v>16</v>
      </c>
      <c r="AL3419">
        <v>0</v>
      </c>
      <c r="AO3419">
        <v>0</v>
      </c>
      <c r="AQ3419">
        <v>0</v>
      </c>
      <c r="AS3419">
        <v>0</v>
      </c>
      <c r="AW3419">
        <v>0</v>
      </c>
      <c r="AX3419">
        <v>12</v>
      </c>
      <c r="AY3419">
        <v>361</v>
      </c>
      <c r="AZ3419">
        <v>361</v>
      </c>
      <c r="BA3419">
        <v>646</v>
      </c>
      <c r="BB3419">
        <v>44</v>
      </c>
      <c r="BD3419">
        <v>1</v>
      </c>
      <c r="BF3419" t="s">
        <v>3660</v>
      </c>
      <c r="BG3419" s="1">
        <v>44354.115972222222</v>
      </c>
      <c r="BH3419" s="1">
        <v>44354.126157407409</v>
      </c>
      <c r="BI3419" s="1">
        <v>44354.126562500001</v>
      </c>
      <c r="BJ3419" t="s">
        <v>85</v>
      </c>
      <c r="BK3419" t="s">
        <v>86</v>
      </c>
      <c r="BL3419" t="s">
        <v>87</v>
      </c>
    </row>
    <row r="3420" spans="1:64" x14ac:dyDescent="0.3">
      <c r="A3420" t="str">
        <f>"202352C0200"</f>
        <v>202352C0200</v>
      </c>
      <c r="B3420" t="str">
        <f>"202352C02003"</f>
        <v>202352C02003</v>
      </c>
      <c r="C3420" t="str">
        <f t="shared" si="246"/>
        <v>20</v>
      </c>
      <c r="D3420" t="s">
        <v>81</v>
      </c>
      <c r="E3420" t="str">
        <f t="shared" si="247"/>
        <v>550</v>
      </c>
      <c r="F3420" t="s">
        <v>3658</v>
      </c>
      <c r="G3420" t="str">
        <f t="shared" si="248"/>
        <v>2352</v>
      </c>
      <c r="H3420" t="str">
        <f>"0002"</f>
        <v>0002</v>
      </c>
      <c r="I3420" t="s">
        <v>89</v>
      </c>
      <c r="J3420">
        <v>0</v>
      </c>
      <c r="K3420">
        <v>1</v>
      </c>
      <c r="L3420">
        <v>3</v>
      </c>
      <c r="M3420">
        <v>348</v>
      </c>
      <c r="N3420">
        <v>342</v>
      </c>
      <c r="O3420">
        <v>6</v>
      </c>
      <c r="P3420" t="s">
        <v>92</v>
      </c>
      <c r="Q3420">
        <v>22</v>
      </c>
      <c r="R3420">
        <v>38</v>
      </c>
      <c r="S3420">
        <v>4</v>
      </c>
      <c r="U3420">
        <v>134</v>
      </c>
      <c r="V3420">
        <v>53</v>
      </c>
      <c r="W3420">
        <v>21</v>
      </c>
      <c r="X3420">
        <v>43</v>
      </c>
      <c r="Y3420">
        <v>0</v>
      </c>
      <c r="Z3420">
        <v>1</v>
      </c>
      <c r="AB3420">
        <v>13</v>
      </c>
      <c r="AL3420">
        <v>1</v>
      </c>
      <c r="AO3420">
        <v>4</v>
      </c>
      <c r="AQ3420">
        <v>0</v>
      </c>
      <c r="AS3420">
        <v>0</v>
      </c>
      <c r="AW3420">
        <v>0</v>
      </c>
      <c r="AX3420">
        <v>7</v>
      </c>
      <c r="AY3420">
        <v>341</v>
      </c>
      <c r="AZ3420">
        <v>341</v>
      </c>
      <c r="BA3420">
        <v>646</v>
      </c>
      <c r="BB3420">
        <v>44</v>
      </c>
      <c r="BD3420">
        <v>1</v>
      </c>
      <c r="BF3420" t="s">
        <v>3661</v>
      </c>
      <c r="BG3420" s="1">
        <v>44354.115972222222</v>
      </c>
      <c r="BH3420" s="1">
        <v>44354.126192129632</v>
      </c>
      <c r="BI3420" s="1">
        <v>44354.126805555556</v>
      </c>
      <c r="BJ3420" t="s">
        <v>85</v>
      </c>
      <c r="BK3420" t="s">
        <v>86</v>
      </c>
      <c r="BL3420" t="s">
        <v>87</v>
      </c>
    </row>
    <row r="3421" spans="1:64" x14ac:dyDescent="0.3">
      <c r="A3421" t="str">
        <f>"202352C0300"</f>
        <v>202352C0300</v>
      </c>
      <c r="B3421" t="str">
        <f>"202352C03003"</f>
        <v>202352C03003</v>
      </c>
      <c r="C3421" t="str">
        <f t="shared" si="246"/>
        <v>20</v>
      </c>
      <c r="D3421" t="s">
        <v>81</v>
      </c>
      <c r="E3421" t="str">
        <f t="shared" si="247"/>
        <v>550</v>
      </c>
      <c r="F3421" t="s">
        <v>3658</v>
      </c>
      <c r="G3421" t="str">
        <f t="shared" si="248"/>
        <v>2352</v>
      </c>
      <c r="H3421" t="str">
        <f>"0003"</f>
        <v>0003</v>
      </c>
      <c r="I3421" t="s">
        <v>89</v>
      </c>
      <c r="J3421">
        <v>0</v>
      </c>
      <c r="K3421">
        <v>1</v>
      </c>
      <c r="L3421">
        <v>3</v>
      </c>
      <c r="M3421">
        <v>311</v>
      </c>
      <c r="N3421">
        <v>380</v>
      </c>
      <c r="O3421">
        <v>2</v>
      </c>
      <c r="P3421">
        <v>379</v>
      </c>
      <c r="Q3421">
        <v>27</v>
      </c>
      <c r="R3421">
        <v>42</v>
      </c>
      <c r="S3421">
        <v>2</v>
      </c>
      <c r="U3421">
        <v>148</v>
      </c>
      <c r="V3421">
        <v>45</v>
      </c>
      <c r="W3421">
        <v>23</v>
      </c>
      <c r="X3421">
        <v>58</v>
      </c>
      <c r="Y3421">
        <v>5</v>
      </c>
      <c r="Z3421">
        <v>1</v>
      </c>
      <c r="AB3421">
        <v>18</v>
      </c>
      <c r="AL3421">
        <v>0</v>
      </c>
      <c r="AO3421">
        <v>0</v>
      </c>
      <c r="AQ3421">
        <v>0</v>
      </c>
      <c r="AS3421">
        <v>0</v>
      </c>
      <c r="AW3421" t="s">
        <v>131</v>
      </c>
      <c r="AX3421">
        <v>9</v>
      </c>
      <c r="AY3421">
        <v>379</v>
      </c>
      <c r="AZ3421">
        <v>378</v>
      </c>
      <c r="BA3421">
        <v>646</v>
      </c>
      <c r="BB3421">
        <v>44</v>
      </c>
      <c r="BC3421" t="s">
        <v>96</v>
      </c>
      <c r="BD3421">
        <v>1</v>
      </c>
      <c r="BF3421" t="s">
        <v>3662</v>
      </c>
      <c r="BG3421" s="1">
        <v>44354.114583333336</v>
      </c>
      <c r="BH3421" s="1">
        <v>44354.11755787037</v>
      </c>
      <c r="BI3421" s="1">
        <v>44354.118217592593</v>
      </c>
      <c r="BJ3421" t="s">
        <v>85</v>
      </c>
      <c r="BK3421" t="s">
        <v>86</v>
      </c>
      <c r="BL3421" t="s">
        <v>87</v>
      </c>
    </row>
    <row r="3422" spans="1:64" x14ac:dyDescent="0.3">
      <c r="A3422" t="str">
        <f>"202352C0400"</f>
        <v>202352C0400</v>
      </c>
      <c r="B3422" t="str">
        <f>"202352C04003"</f>
        <v>202352C04003</v>
      </c>
      <c r="C3422" t="str">
        <f t="shared" si="246"/>
        <v>20</v>
      </c>
      <c r="D3422" t="s">
        <v>81</v>
      </c>
      <c r="E3422" t="str">
        <f t="shared" si="247"/>
        <v>550</v>
      </c>
      <c r="F3422" t="s">
        <v>3658</v>
      </c>
      <c r="G3422" t="str">
        <f t="shared" si="248"/>
        <v>2352</v>
      </c>
      <c r="H3422" t="str">
        <f>"0004"</f>
        <v>0004</v>
      </c>
      <c r="I3422" t="s">
        <v>89</v>
      </c>
      <c r="J3422">
        <v>0</v>
      </c>
      <c r="K3422">
        <v>1</v>
      </c>
      <c r="L3422">
        <v>3</v>
      </c>
      <c r="M3422">
        <v>359</v>
      </c>
      <c r="N3422">
        <v>331</v>
      </c>
      <c r="O3422">
        <v>3</v>
      </c>
      <c r="P3422">
        <v>331</v>
      </c>
      <c r="Q3422">
        <v>17</v>
      </c>
      <c r="R3422">
        <v>39</v>
      </c>
      <c r="S3422">
        <v>3</v>
      </c>
      <c r="U3422">
        <v>118</v>
      </c>
      <c r="V3422">
        <v>47</v>
      </c>
      <c r="W3422">
        <v>24</v>
      </c>
      <c r="X3422">
        <v>53</v>
      </c>
      <c r="Y3422">
        <v>4</v>
      </c>
      <c r="Z3422">
        <v>0</v>
      </c>
      <c r="AB3422">
        <v>18</v>
      </c>
      <c r="AL3422">
        <v>1</v>
      </c>
      <c r="AO3422">
        <v>1</v>
      </c>
      <c r="AQ3422" t="s">
        <v>95</v>
      </c>
      <c r="AS3422" t="s">
        <v>95</v>
      </c>
      <c r="AW3422" t="s">
        <v>95</v>
      </c>
      <c r="AX3422">
        <v>6</v>
      </c>
      <c r="AY3422">
        <v>331</v>
      </c>
      <c r="AZ3422">
        <v>331</v>
      </c>
      <c r="BA3422">
        <v>646</v>
      </c>
      <c r="BB3422">
        <v>44</v>
      </c>
      <c r="BC3422" t="s">
        <v>96</v>
      </c>
      <c r="BD3422">
        <v>1</v>
      </c>
      <c r="BF3422" t="s">
        <v>3663</v>
      </c>
      <c r="BG3422" s="1">
        <v>44354.116666666669</v>
      </c>
      <c r="BH3422" s="1">
        <v>44354.124143518522</v>
      </c>
      <c r="BI3422" s="1">
        <v>44354.124745370369</v>
      </c>
      <c r="BJ3422" t="s">
        <v>85</v>
      </c>
      <c r="BK3422" t="s">
        <v>86</v>
      </c>
      <c r="BL3422" t="s">
        <v>87</v>
      </c>
    </row>
    <row r="3423" spans="1:64" x14ac:dyDescent="0.3">
      <c r="A3423" t="str">
        <f>"202352C0500"</f>
        <v>202352C0500</v>
      </c>
      <c r="B3423" t="str">
        <f>"202352C05003"</f>
        <v>202352C05003</v>
      </c>
      <c r="C3423" t="str">
        <f t="shared" si="246"/>
        <v>20</v>
      </c>
      <c r="D3423" t="s">
        <v>81</v>
      </c>
      <c r="E3423" t="str">
        <f t="shared" si="247"/>
        <v>550</v>
      </c>
      <c r="F3423" t="s">
        <v>3658</v>
      </c>
      <c r="G3423" t="str">
        <f t="shared" si="248"/>
        <v>2352</v>
      </c>
      <c r="H3423" t="str">
        <f>"0005"</f>
        <v>0005</v>
      </c>
      <c r="I3423" t="s">
        <v>89</v>
      </c>
      <c r="J3423">
        <v>0</v>
      </c>
      <c r="K3423">
        <v>1</v>
      </c>
      <c r="L3423">
        <v>3</v>
      </c>
      <c r="M3423">
        <v>327</v>
      </c>
      <c r="N3423">
        <v>362</v>
      </c>
      <c r="O3423">
        <v>5</v>
      </c>
      <c r="P3423">
        <v>362</v>
      </c>
      <c r="Q3423">
        <v>21</v>
      </c>
      <c r="R3423">
        <v>37</v>
      </c>
      <c r="S3423">
        <v>4</v>
      </c>
      <c r="U3423">
        <v>129</v>
      </c>
      <c r="V3423">
        <v>57</v>
      </c>
      <c r="W3423">
        <v>24</v>
      </c>
      <c r="X3423">
        <v>63</v>
      </c>
      <c r="Y3423">
        <v>0</v>
      </c>
      <c r="Z3423">
        <v>2</v>
      </c>
      <c r="AB3423">
        <v>8</v>
      </c>
      <c r="AL3423">
        <v>0</v>
      </c>
      <c r="AO3423">
        <v>3</v>
      </c>
      <c r="AQ3423">
        <v>0</v>
      </c>
      <c r="AS3423">
        <v>0</v>
      </c>
      <c r="AW3423">
        <v>0</v>
      </c>
      <c r="AX3423">
        <v>14</v>
      </c>
      <c r="AY3423">
        <v>362</v>
      </c>
      <c r="AZ3423">
        <v>362</v>
      </c>
      <c r="BA3423">
        <v>645</v>
      </c>
      <c r="BB3423">
        <v>44</v>
      </c>
      <c r="BD3423">
        <v>1</v>
      </c>
      <c r="BF3423" t="s">
        <v>3664</v>
      </c>
      <c r="BG3423" s="1">
        <v>44354.118055555555</v>
      </c>
      <c r="BH3423" s="1">
        <v>44354.122650462959</v>
      </c>
      <c r="BI3423" s="1">
        <v>44354.123159722221</v>
      </c>
      <c r="BJ3423" t="s">
        <v>85</v>
      </c>
      <c r="BK3423" t="s">
        <v>86</v>
      </c>
      <c r="BL3423" t="s">
        <v>87</v>
      </c>
    </row>
    <row r="3424" spans="1:64" x14ac:dyDescent="0.3">
      <c r="A3424" t="str">
        <f>"202352C0600"</f>
        <v>202352C0600</v>
      </c>
      <c r="B3424" t="str">
        <f>"202352C06003"</f>
        <v>202352C06003</v>
      </c>
      <c r="C3424" t="str">
        <f t="shared" si="246"/>
        <v>20</v>
      </c>
      <c r="D3424" t="s">
        <v>81</v>
      </c>
      <c r="E3424" t="str">
        <f t="shared" si="247"/>
        <v>550</v>
      </c>
      <c r="F3424" t="s">
        <v>3658</v>
      </c>
      <c r="G3424" t="str">
        <f t="shared" si="248"/>
        <v>2352</v>
      </c>
      <c r="H3424" t="str">
        <f>"0006"</f>
        <v>0006</v>
      </c>
      <c r="I3424" t="s">
        <v>89</v>
      </c>
      <c r="J3424">
        <v>0</v>
      </c>
      <c r="K3424">
        <v>1</v>
      </c>
      <c r="L3424">
        <v>3</v>
      </c>
      <c r="M3424">
        <v>342</v>
      </c>
      <c r="N3424">
        <v>347</v>
      </c>
      <c r="O3424">
        <v>4</v>
      </c>
      <c r="P3424" t="s">
        <v>92</v>
      </c>
      <c r="Q3424">
        <v>16</v>
      </c>
      <c r="R3424">
        <v>39</v>
      </c>
      <c r="S3424">
        <v>14</v>
      </c>
      <c r="U3424">
        <v>0</v>
      </c>
      <c r="V3424">
        <v>111</v>
      </c>
      <c r="W3424">
        <v>52</v>
      </c>
      <c r="X3424" t="s">
        <v>95</v>
      </c>
      <c r="Y3424" t="s">
        <v>95</v>
      </c>
      <c r="Z3424" t="s">
        <v>95</v>
      </c>
      <c r="AB3424" t="s">
        <v>95</v>
      </c>
      <c r="AL3424" t="s">
        <v>95</v>
      </c>
      <c r="AO3424" t="s">
        <v>95</v>
      </c>
      <c r="AQ3424" t="s">
        <v>95</v>
      </c>
      <c r="AS3424" t="s">
        <v>95</v>
      </c>
      <c r="AW3424" t="s">
        <v>95</v>
      </c>
      <c r="AX3424" t="s">
        <v>95</v>
      </c>
      <c r="AY3424" t="s">
        <v>95</v>
      </c>
      <c r="AZ3424">
        <v>232</v>
      </c>
      <c r="BA3424">
        <v>645</v>
      </c>
      <c r="BB3424">
        <v>44</v>
      </c>
      <c r="BC3424" t="s">
        <v>96</v>
      </c>
      <c r="BD3424">
        <v>1</v>
      </c>
      <c r="BF3424" t="s">
        <v>3665</v>
      </c>
      <c r="BG3424" s="1">
        <v>44354.05972222222</v>
      </c>
      <c r="BH3424" s="1">
        <v>44354.111770833333</v>
      </c>
      <c r="BI3424" s="1">
        <v>44354.117465277777</v>
      </c>
      <c r="BJ3424" t="s">
        <v>85</v>
      </c>
      <c r="BK3424" t="s">
        <v>86</v>
      </c>
      <c r="BL3424" t="s">
        <v>87</v>
      </c>
    </row>
    <row r="3425" spans="1:64" x14ac:dyDescent="0.3">
      <c r="A3425" t="str">
        <f>"202352E0100"</f>
        <v>202352E0100</v>
      </c>
      <c r="B3425" t="str">
        <f>"202352E01003"</f>
        <v>202352E01003</v>
      </c>
      <c r="C3425" t="str">
        <f t="shared" si="246"/>
        <v>20</v>
      </c>
      <c r="D3425" t="s">
        <v>81</v>
      </c>
      <c r="E3425" t="str">
        <f t="shared" si="247"/>
        <v>550</v>
      </c>
      <c r="F3425" t="s">
        <v>3658</v>
      </c>
      <c r="G3425" t="str">
        <f t="shared" si="248"/>
        <v>2352</v>
      </c>
      <c r="H3425" t="str">
        <f>"0001"</f>
        <v>0001</v>
      </c>
      <c r="I3425" t="s">
        <v>122</v>
      </c>
      <c r="J3425">
        <v>0</v>
      </c>
      <c r="K3425">
        <v>1</v>
      </c>
      <c r="L3425">
        <v>3</v>
      </c>
      <c r="M3425">
        <v>497</v>
      </c>
      <c r="N3425">
        <v>245</v>
      </c>
      <c r="O3425">
        <v>11</v>
      </c>
      <c r="P3425">
        <v>245</v>
      </c>
      <c r="Q3425">
        <v>20</v>
      </c>
      <c r="R3425">
        <v>30</v>
      </c>
      <c r="S3425">
        <v>2</v>
      </c>
      <c r="U3425">
        <v>49</v>
      </c>
      <c r="V3425">
        <v>13</v>
      </c>
      <c r="W3425">
        <v>5</v>
      </c>
      <c r="X3425">
        <v>102</v>
      </c>
      <c r="Y3425">
        <v>2</v>
      </c>
      <c r="Z3425">
        <v>3</v>
      </c>
      <c r="AB3425">
        <v>14</v>
      </c>
      <c r="AL3425">
        <v>0</v>
      </c>
      <c r="AO3425">
        <v>0</v>
      </c>
      <c r="AQ3425">
        <v>0</v>
      </c>
      <c r="AS3425">
        <v>0</v>
      </c>
      <c r="AW3425">
        <v>0</v>
      </c>
      <c r="AX3425">
        <v>5</v>
      </c>
      <c r="AY3425">
        <v>245</v>
      </c>
      <c r="AZ3425">
        <v>245</v>
      </c>
      <c r="BA3425">
        <v>698</v>
      </c>
      <c r="BB3425">
        <v>44</v>
      </c>
      <c r="BD3425">
        <v>1</v>
      </c>
      <c r="BF3425" t="s">
        <v>3666</v>
      </c>
      <c r="BG3425" s="1">
        <v>44354.118055555555</v>
      </c>
      <c r="BH3425" s="1">
        <v>44354.122152777774</v>
      </c>
      <c r="BI3425" s="1">
        <v>44354.123263888891</v>
      </c>
      <c r="BJ3425" t="s">
        <v>85</v>
      </c>
      <c r="BK3425" t="s">
        <v>86</v>
      </c>
      <c r="BL3425" t="s">
        <v>87</v>
      </c>
    </row>
    <row r="3426" spans="1:64" x14ac:dyDescent="0.3">
      <c r="A3426" t="str">
        <f>"202352S0100"</f>
        <v>202352S0100</v>
      </c>
      <c r="B3426" t="str">
        <f>"202352S01003E"</f>
        <v>202352S01003E</v>
      </c>
      <c r="C3426" t="str">
        <f t="shared" si="246"/>
        <v>20</v>
      </c>
      <c r="D3426" t="s">
        <v>81</v>
      </c>
      <c r="E3426" t="str">
        <f t="shared" si="247"/>
        <v>550</v>
      </c>
      <c r="F3426" t="s">
        <v>3658</v>
      </c>
      <c r="G3426" t="str">
        <f t="shared" si="248"/>
        <v>2352</v>
      </c>
      <c r="H3426" t="str">
        <f>"0001"</f>
        <v>0001</v>
      </c>
      <c r="I3426" t="s">
        <v>99</v>
      </c>
      <c r="J3426">
        <v>0</v>
      </c>
      <c r="K3426">
        <v>1</v>
      </c>
      <c r="L3426" t="s">
        <v>100</v>
      </c>
      <c r="M3426">
        <v>938</v>
      </c>
      <c r="N3426">
        <v>69</v>
      </c>
      <c r="O3426">
        <v>0</v>
      </c>
      <c r="P3426">
        <v>69</v>
      </c>
      <c r="Q3426">
        <v>3</v>
      </c>
      <c r="R3426">
        <v>15</v>
      </c>
      <c r="S3426">
        <v>0</v>
      </c>
      <c r="U3426">
        <v>14</v>
      </c>
      <c r="V3426">
        <v>4</v>
      </c>
      <c r="W3426">
        <v>3</v>
      </c>
      <c r="X3426">
        <v>23</v>
      </c>
      <c r="Y3426">
        <v>0</v>
      </c>
      <c r="Z3426">
        <v>1</v>
      </c>
      <c r="AB3426">
        <v>2</v>
      </c>
      <c r="AL3426">
        <v>0</v>
      </c>
      <c r="AO3426">
        <v>1</v>
      </c>
      <c r="AQ3426">
        <v>0</v>
      </c>
      <c r="AS3426">
        <v>0</v>
      </c>
      <c r="AW3426">
        <v>0</v>
      </c>
      <c r="AX3426">
        <v>3</v>
      </c>
      <c r="AY3426">
        <v>69</v>
      </c>
      <c r="AZ3426">
        <v>69</v>
      </c>
      <c r="BA3426">
        <v>0</v>
      </c>
      <c r="BB3426">
        <v>44</v>
      </c>
      <c r="BD3426">
        <v>1</v>
      </c>
      <c r="BF3426" t="s">
        <v>3667</v>
      </c>
      <c r="BG3426" s="1">
        <v>44354.115972222222</v>
      </c>
      <c r="BH3426" s="1">
        <v>44354.125289351854</v>
      </c>
      <c r="BI3426" s="1">
        <v>44354.125868055555</v>
      </c>
      <c r="BJ3426" t="s">
        <v>85</v>
      </c>
      <c r="BK3426" t="s">
        <v>86</v>
      </c>
      <c r="BL3426" t="s">
        <v>87</v>
      </c>
    </row>
    <row r="3427" spans="1:64" x14ac:dyDescent="0.3">
      <c r="A3427" t="str">
        <f>"202353B0000"</f>
        <v>202353B0000</v>
      </c>
      <c r="B3427" t="str">
        <f>"202353B00003"</f>
        <v>202353B00003</v>
      </c>
      <c r="C3427" t="str">
        <f t="shared" si="246"/>
        <v>20</v>
      </c>
      <c r="D3427" t="s">
        <v>81</v>
      </c>
      <c r="E3427" t="str">
        <f t="shared" si="247"/>
        <v>550</v>
      </c>
      <c r="F3427" t="s">
        <v>3658</v>
      </c>
      <c r="G3427" t="str">
        <f t="shared" ref="G3427:G3434" si="249">"2353"</f>
        <v>2353</v>
      </c>
      <c r="H3427" t="str">
        <f>"0000"</f>
        <v>0000</v>
      </c>
      <c r="I3427" t="s">
        <v>83</v>
      </c>
      <c r="J3427">
        <v>0</v>
      </c>
      <c r="K3427">
        <v>1</v>
      </c>
      <c r="L3427">
        <v>3</v>
      </c>
      <c r="M3427">
        <v>406</v>
      </c>
      <c r="N3427">
        <v>337</v>
      </c>
      <c r="O3427">
        <v>11</v>
      </c>
      <c r="P3427" t="s">
        <v>92</v>
      </c>
      <c r="Q3427">
        <v>23</v>
      </c>
      <c r="R3427">
        <v>70</v>
      </c>
      <c r="S3427">
        <v>4</v>
      </c>
      <c r="U3427">
        <v>108</v>
      </c>
      <c r="V3427">
        <v>30</v>
      </c>
      <c r="W3427">
        <v>33</v>
      </c>
      <c r="X3427">
        <v>40</v>
      </c>
      <c r="Y3427">
        <v>3</v>
      </c>
      <c r="Z3427">
        <v>1</v>
      </c>
      <c r="AB3427">
        <v>9</v>
      </c>
      <c r="AL3427">
        <v>1</v>
      </c>
      <c r="AO3427">
        <v>5</v>
      </c>
      <c r="AQ3427">
        <v>0</v>
      </c>
      <c r="AS3427">
        <v>0</v>
      </c>
      <c r="AW3427">
        <v>0</v>
      </c>
      <c r="AX3427">
        <v>10</v>
      </c>
      <c r="AY3427">
        <v>337</v>
      </c>
      <c r="AZ3427">
        <v>337</v>
      </c>
      <c r="BA3427">
        <v>701</v>
      </c>
      <c r="BB3427">
        <v>44</v>
      </c>
      <c r="BD3427">
        <v>1</v>
      </c>
      <c r="BF3427" t="s">
        <v>3668</v>
      </c>
      <c r="BG3427" s="1">
        <v>44354.118750000001</v>
      </c>
      <c r="BH3427" s="1">
        <v>44354.121458333335</v>
      </c>
      <c r="BI3427" s="1">
        <v>44354.121921296297</v>
      </c>
      <c r="BJ3427" t="s">
        <v>85</v>
      </c>
      <c r="BK3427" t="s">
        <v>86</v>
      </c>
      <c r="BL3427" t="s">
        <v>87</v>
      </c>
    </row>
    <row r="3428" spans="1:64" x14ac:dyDescent="0.3">
      <c r="A3428" t="str">
        <f>"202353C0100"</f>
        <v>202353C0100</v>
      </c>
      <c r="B3428" t="str">
        <f>"202353C01003"</f>
        <v>202353C01003</v>
      </c>
      <c r="C3428" t="str">
        <f t="shared" si="246"/>
        <v>20</v>
      </c>
      <c r="D3428" t="s">
        <v>81</v>
      </c>
      <c r="E3428" t="str">
        <f t="shared" si="247"/>
        <v>550</v>
      </c>
      <c r="F3428" t="s">
        <v>3658</v>
      </c>
      <c r="G3428" t="str">
        <f t="shared" si="249"/>
        <v>2353</v>
      </c>
      <c r="H3428" t="str">
        <f>"0001"</f>
        <v>0001</v>
      </c>
      <c r="I3428" t="s">
        <v>89</v>
      </c>
      <c r="J3428">
        <v>0</v>
      </c>
      <c r="K3428">
        <v>1</v>
      </c>
      <c r="L3428">
        <v>3</v>
      </c>
      <c r="M3428">
        <v>384</v>
      </c>
      <c r="N3428">
        <v>360</v>
      </c>
      <c r="O3428">
        <v>3</v>
      </c>
      <c r="P3428">
        <v>361</v>
      </c>
      <c r="Q3428">
        <v>16</v>
      </c>
      <c r="R3428">
        <v>78</v>
      </c>
      <c r="S3428">
        <v>3</v>
      </c>
      <c r="U3428">
        <v>118</v>
      </c>
      <c r="V3428">
        <v>41</v>
      </c>
      <c r="W3428">
        <v>27</v>
      </c>
      <c r="X3428">
        <v>44</v>
      </c>
      <c r="Y3428">
        <v>2</v>
      </c>
      <c r="Z3428">
        <v>1</v>
      </c>
      <c r="AB3428">
        <v>16</v>
      </c>
      <c r="AL3428">
        <v>2</v>
      </c>
      <c r="AO3428">
        <v>1</v>
      </c>
      <c r="AQ3428">
        <v>0</v>
      </c>
      <c r="AS3428">
        <v>0</v>
      </c>
      <c r="AW3428">
        <v>0</v>
      </c>
      <c r="AX3428">
        <v>12</v>
      </c>
      <c r="AY3428">
        <v>361</v>
      </c>
      <c r="AZ3428">
        <v>361</v>
      </c>
      <c r="BA3428">
        <v>700</v>
      </c>
      <c r="BB3428">
        <v>44</v>
      </c>
      <c r="BD3428">
        <v>1</v>
      </c>
      <c r="BF3428" t="s">
        <v>3669</v>
      </c>
      <c r="BG3428" s="1">
        <v>44354.118750000001</v>
      </c>
      <c r="BH3428" s="1">
        <v>44354.12222222222</v>
      </c>
      <c r="BI3428" s="1">
        <v>44354.123101851852</v>
      </c>
      <c r="BJ3428" t="s">
        <v>85</v>
      </c>
      <c r="BK3428" t="s">
        <v>86</v>
      </c>
      <c r="BL3428" t="s">
        <v>87</v>
      </c>
    </row>
    <row r="3429" spans="1:64" x14ac:dyDescent="0.3">
      <c r="A3429" t="str">
        <f>"202353C0200"</f>
        <v>202353C0200</v>
      </c>
      <c r="B3429" t="str">
        <f>"202353C02003"</f>
        <v>202353C02003</v>
      </c>
      <c r="C3429" t="str">
        <f t="shared" si="246"/>
        <v>20</v>
      </c>
      <c r="D3429" t="s">
        <v>81</v>
      </c>
      <c r="E3429" t="str">
        <f t="shared" si="247"/>
        <v>550</v>
      </c>
      <c r="F3429" t="s">
        <v>3658</v>
      </c>
      <c r="G3429" t="str">
        <f t="shared" si="249"/>
        <v>2353</v>
      </c>
      <c r="H3429" t="str">
        <f>"0002"</f>
        <v>0002</v>
      </c>
      <c r="I3429" t="s">
        <v>89</v>
      </c>
      <c r="J3429">
        <v>0</v>
      </c>
      <c r="K3429">
        <v>1</v>
      </c>
      <c r="L3429">
        <v>3</v>
      </c>
      <c r="M3429">
        <v>369</v>
      </c>
      <c r="N3429">
        <v>375</v>
      </c>
      <c r="O3429">
        <v>4</v>
      </c>
      <c r="P3429" t="s">
        <v>92</v>
      </c>
      <c r="Q3429">
        <v>22</v>
      </c>
      <c r="R3429">
        <v>85</v>
      </c>
      <c r="S3429">
        <v>5</v>
      </c>
      <c r="U3429">
        <v>144</v>
      </c>
      <c r="V3429">
        <v>27</v>
      </c>
      <c r="W3429">
        <v>26</v>
      </c>
      <c r="X3429">
        <v>37</v>
      </c>
      <c r="Y3429">
        <v>1</v>
      </c>
      <c r="Z3429">
        <v>1</v>
      </c>
      <c r="AB3429">
        <v>18</v>
      </c>
      <c r="AL3429" t="s">
        <v>95</v>
      </c>
      <c r="AO3429" t="s">
        <v>95</v>
      </c>
      <c r="AQ3429" t="s">
        <v>95</v>
      </c>
      <c r="AS3429" t="s">
        <v>95</v>
      </c>
      <c r="AW3429" t="s">
        <v>95</v>
      </c>
      <c r="AX3429">
        <v>6</v>
      </c>
      <c r="AY3429">
        <v>375</v>
      </c>
      <c r="AZ3429">
        <v>372</v>
      </c>
      <c r="BA3429">
        <v>700</v>
      </c>
      <c r="BB3429">
        <v>44</v>
      </c>
      <c r="BC3429" t="s">
        <v>96</v>
      </c>
      <c r="BD3429">
        <v>1</v>
      </c>
      <c r="BF3429" t="s">
        <v>3670</v>
      </c>
      <c r="BG3429" s="1">
        <v>44354.118750000001</v>
      </c>
      <c r="BH3429" s="1">
        <v>44354.126284722224</v>
      </c>
      <c r="BI3429" s="1">
        <v>44354.126817129632</v>
      </c>
      <c r="BJ3429" t="s">
        <v>85</v>
      </c>
      <c r="BK3429" t="s">
        <v>86</v>
      </c>
      <c r="BL3429" t="s">
        <v>87</v>
      </c>
    </row>
    <row r="3430" spans="1:64" x14ac:dyDescent="0.3">
      <c r="A3430" t="str">
        <f>"202353E0100"</f>
        <v>202353E0100</v>
      </c>
      <c r="B3430" t="str">
        <f>"202353E01003"</f>
        <v>202353E01003</v>
      </c>
      <c r="C3430" t="str">
        <f t="shared" si="246"/>
        <v>20</v>
      </c>
      <c r="D3430" t="s">
        <v>81</v>
      </c>
      <c r="E3430" t="str">
        <f t="shared" si="247"/>
        <v>550</v>
      </c>
      <c r="F3430" t="s">
        <v>3658</v>
      </c>
      <c r="G3430" t="str">
        <f t="shared" si="249"/>
        <v>2353</v>
      </c>
      <c r="H3430" t="str">
        <f>"0001"</f>
        <v>0001</v>
      </c>
      <c r="I3430" t="s">
        <v>122</v>
      </c>
      <c r="J3430">
        <v>0</v>
      </c>
      <c r="K3430">
        <v>1</v>
      </c>
      <c r="L3430">
        <v>3</v>
      </c>
      <c r="M3430">
        <v>374</v>
      </c>
      <c r="N3430">
        <v>273</v>
      </c>
      <c r="O3430">
        <v>3</v>
      </c>
      <c r="P3430">
        <v>272</v>
      </c>
      <c r="Q3430">
        <v>19</v>
      </c>
      <c r="R3430">
        <v>68</v>
      </c>
      <c r="S3430">
        <v>2</v>
      </c>
      <c r="U3430">
        <v>63</v>
      </c>
      <c r="V3430">
        <v>21</v>
      </c>
      <c r="W3430">
        <v>10</v>
      </c>
      <c r="X3430">
        <v>65</v>
      </c>
      <c r="Y3430">
        <v>5</v>
      </c>
      <c r="Z3430">
        <v>2</v>
      </c>
      <c r="AB3430">
        <v>5</v>
      </c>
      <c r="AL3430">
        <v>2</v>
      </c>
      <c r="AO3430">
        <v>3</v>
      </c>
      <c r="AQ3430">
        <v>0</v>
      </c>
      <c r="AS3430">
        <v>1</v>
      </c>
      <c r="AW3430">
        <v>0</v>
      </c>
      <c r="AX3430">
        <v>6</v>
      </c>
      <c r="AY3430">
        <v>272</v>
      </c>
      <c r="AZ3430">
        <v>272</v>
      </c>
      <c r="BA3430">
        <v>603</v>
      </c>
      <c r="BB3430">
        <v>44</v>
      </c>
      <c r="BD3430">
        <v>1</v>
      </c>
      <c r="BF3430" t="s">
        <v>3671</v>
      </c>
      <c r="BG3430" s="1">
        <v>44354.118750000001</v>
      </c>
      <c r="BH3430" s="1">
        <v>44354.122037037036</v>
      </c>
      <c r="BI3430" s="1">
        <v>44354.123518518521</v>
      </c>
      <c r="BJ3430" t="s">
        <v>85</v>
      </c>
      <c r="BK3430" t="s">
        <v>86</v>
      </c>
      <c r="BL3430" t="s">
        <v>87</v>
      </c>
    </row>
    <row r="3431" spans="1:64" x14ac:dyDescent="0.3">
      <c r="A3431" t="str">
        <f>"202353E0101"</f>
        <v>202353E0101</v>
      </c>
      <c r="B3431" t="str">
        <f>"202353E01013"</f>
        <v>202353E01013</v>
      </c>
      <c r="C3431" t="str">
        <f t="shared" si="246"/>
        <v>20</v>
      </c>
      <c r="D3431" t="s">
        <v>81</v>
      </c>
      <c r="E3431" t="str">
        <f t="shared" si="247"/>
        <v>550</v>
      </c>
      <c r="F3431" t="s">
        <v>3658</v>
      </c>
      <c r="G3431" t="str">
        <f t="shared" si="249"/>
        <v>2353</v>
      </c>
      <c r="H3431" t="str">
        <f>"0001"</f>
        <v>0001</v>
      </c>
      <c r="I3431" t="s">
        <v>122</v>
      </c>
      <c r="J3431">
        <v>1</v>
      </c>
      <c r="K3431">
        <v>1</v>
      </c>
      <c r="L3431">
        <v>3</v>
      </c>
      <c r="M3431">
        <v>351</v>
      </c>
      <c r="N3431">
        <v>296</v>
      </c>
      <c r="O3431">
        <v>4</v>
      </c>
      <c r="P3431">
        <v>297</v>
      </c>
      <c r="Q3431">
        <v>28</v>
      </c>
      <c r="R3431">
        <v>83</v>
      </c>
      <c r="S3431">
        <v>2</v>
      </c>
      <c r="U3431">
        <v>64</v>
      </c>
      <c r="V3431">
        <v>8</v>
      </c>
      <c r="W3431">
        <v>10</v>
      </c>
      <c r="X3431">
        <v>81</v>
      </c>
      <c r="Y3431">
        <v>1</v>
      </c>
      <c r="Z3431">
        <v>7</v>
      </c>
      <c r="AB3431">
        <v>5</v>
      </c>
      <c r="AL3431">
        <v>0</v>
      </c>
      <c r="AO3431">
        <v>1</v>
      </c>
      <c r="AQ3431">
        <v>0</v>
      </c>
      <c r="AS3431">
        <v>0</v>
      </c>
      <c r="AW3431">
        <v>0</v>
      </c>
      <c r="AX3431">
        <v>7</v>
      </c>
      <c r="AY3431">
        <v>297</v>
      </c>
      <c r="AZ3431">
        <v>297</v>
      </c>
      <c r="BA3431">
        <v>603</v>
      </c>
      <c r="BB3431">
        <v>44</v>
      </c>
      <c r="BD3431">
        <v>1</v>
      </c>
      <c r="BF3431" t="s">
        <v>3672</v>
      </c>
      <c r="BG3431" s="1">
        <v>44354.119444444441</v>
      </c>
      <c r="BH3431" s="1">
        <v>44354.129513888889</v>
      </c>
      <c r="BI3431" s="1">
        <v>44354.129907407405</v>
      </c>
      <c r="BJ3431" t="s">
        <v>85</v>
      </c>
      <c r="BK3431" t="s">
        <v>86</v>
      </c>
      <c r="BL3431" t="s">
        <v>87</v>
      </c>
    </row>
    <row r="3432" spans="1:64" x14ac:dyDescent="0.3">
      <c r="A3432" t="str">
        <f>"202353E0102"</f>
        <v>202353E0102</v>
      </c>
      <c r="B3432" t="str">
        <f>"202353E01023"</f>
        <v>202353E01023</v>
      </c>
      <c r="C3432" t="str">
        <f t="shared" si="246"/>
        <v>20</v>
      </c>
      <c r="D3432" t="s">
        <v>81</v>
      </c>
      <c r="E3432" t="str">
        <f t="shared" si="247"/>
        <v>550</v>
      </c>
      <c r="F3432" t="s">
        <v>3658</v>
      </c>
      <c r="G3432" t="str">
        <f t="shared" si="249"/>
        <v>2353</v>
      </c>
      <c r="H3432" t="str">
        <f>"0001"</f>
        <v>0001</v>
      </c>
      <c r="I3432" t="s">
        <v>122</v>
      </c>
      <c r="J3432">
        <v>2</v>
      </c>
      <c r="K3432">
        <v>1</v>
      </c>
      <c r="L3432">
        <v>3</v>
      </c>
      <c r="M3432">
        <v>443</v>
      </c>
      <c r="N3432">
        <v>269</v>
      </c>
      <c r="O3432">
        <v>4</v>
      </c>
      <c r="P3432">
        <v>263</v>
      </c>
      <c r="Q3432">
        <v>12</v>
      </c>
      <c r="R3432">
        <v>73</v>
      </c>
      <c r="S3432">
        <v>1</v>
      </c>
      <c r="U3432">
        <v>66</v>
      </c>
      <c r="V3432">
        <v>10</v>
      </c>
      <c r="W3432">
        <v>9</v>
      </c>
      <c r="X3432">
        <v>76</v>
      </c>
      <c r="Y3432">
        <v>1</v>
      </c>
      <c r="Z3432">
        <v>8</v>
      </c>
      <c r="AB3432">
        <v>4</v>
      </c>
      <c r="AL3432">
        <v>2</v>
      </c>
      <c r="AO3432">
        <v>0</v>
      </c>
      <c r="AQ3432">
        <v>0</v>
      </c>
      <c r="AS3432">
        <v>0</v>
      </c>
      <c r="AW3432">
        <v>1</v>
      </c>
      <c r="AX3432">
        <v>6</v>
      </c>
      <c r="AY3432">
        <v>263</v>
      </c>
      <c r="AZ3432">
        <v>269</v>
      </c>
      <c r="BA3432">
        <v>603</v>
      </c>
      <c r="BB3432">
        <v>44</v>
      </c>
      <c r="BD3432">
        <v>1</v>
      </c>
      <c r="BF3432" t="s">
        <v>3673</v>
      </c>
      <c r="BG3432" s="1">
        <v>44354.119444444441</v>
      </c>
      <c r="BH3432" s="1">
        <v>44354.127280092594</v>
      </c>
      <c r="BI3432" s="1">
        <v>44354.129305555558</v>
      </c>
      <c r="BJ3432" t="s">
        <v>85</v>
      </c>
      <c r="BK3432" t="s">
        <v>86</v>
      </c>
      <c r="BL3432" t="s">
        <v>87</v>
      </c>
    </row>
    <row r="3433" spans="1:64" x14ac:dyDescent="0.3">
      <c r="A3433" t="str">
        <f>"202353E0103"</f>
        <v>202353E0103</v>
      </c>
      <c r="B3433" t="str">
        <f>"202353E01033"</f>
        <v>202353E01033</v>
      </c>
      <c r="C3433" t="str">
        <f t="shared" si="246"/>
        <v>20</v>
      </c>
      <c r="D3433" t="s">
        <v>81</v>
      </c>
      <c r="E3433" t="str">
        <f t="shared" si="247"/>
        <v>550</v>
      </c>
      <c r="F3433" t="s">
        <v>3658</v>
      </c>
      <c r="G3433" t="str">
        <f t="shared" si="249"/>
        <v>2353</v>
      </c>
      <c r="H3433" t="str">
        <f>"0001"</f>
        <v>0001</v>
      </c>
      <c r="I3433" t="s">
        <v>122</v>
      </c>
      <c r="J3433">
        <v>3</v>
      </c>
      <c r="K3433">
        <v>1</v>
      </c>
      <c r="L3433">
        <v>3</v>
      </c>
      <c r="M3433">
        <v>377</v>
      </c>
      <c r="N3433">
        <v>279</v>
      </c>
      <c r="O3433">
        <v>7</v>
      </c>
      <c r="P3433">
        <v>279</v>
      </c>
      <c r="Q3433">
        <v>20</v>
      </c>
      <c r="R3433">
        <v>91</v>
      </c>
      <c r="S3433">
        <v>0</v>
      </c>
      <c r="U3433">
        <v>64</v>
      </c>
      <c r="V3433">
        <v>9</v>
      </c>
      <c r="W3433">
        <v>6</v>
      </c>
      <c r="X3433">
        <v>74</v>
      </c>
      <c r="Y3433">
        <v>2</v>
      </c>
      <c r="Z3433">
        <v>3</v>
      </c>
      <c r="AB3433">
        <v>2</v>
      </c>
      <c r="AL3433">
        <v>3</v>
      </c>
      <c r="AO3433">
        <v>1</v>
      </c>
      <c r="AQ3433">
        <v>0</v>
      </c>
      <c r="AS3433">
        <v>0</v>
      </c>
      <c r="AW3433">
        <v>0</v>
      </c>
      <c r="AX3433">
        <v>4</v>
      </c>
      <c r="AY3433">
        <v>279</v>
      </c>
      <c r="AZ3433">
        <v>279</v>
      </c>
      <c r="BA3433">
        <v>603</v>
      </c>
      <c r="BB3433">
        <v>44</v>
      </c>
      <c r="BD3433">
        <v>1</v>
      </c>
      <c r="BF3433" t="s">
        <v>3674</v>
      </c>
      <c r="BG3433" s="1">
        <v>44354.119444444441</v>
      </c>
      <c r="BH3433" s="1">
        <v>44354.131111111114</v>
      </c>
      <c r="BI3433" s="1">
        <v>44354.132106481484</v>
      </c>
      <c r="BJ3433" t="s">
        <v>85</v>
      </c>
      <c r="BK3433" t="s">
        <v>86</v>
      </c>
      <c r="BL3433" t="s">
        <v>87</v>
      </c>
    </row>
    <row r="3434" spans="1:64" x14ac:dyDescent="0.3">
      <c r="A3434" t="str">
        <f>"202353E0104"</f>
        <v>202353E0104</v>
      </c>
      <c r="B3434" t="str">
        <f>"202353E01043"</f>
        <v>202353E01043</v>
      </c>
      <c r="C3434" t="str">
        <f t="shared" si="246"/>
        <v>20</v>
      </c>
      <c r="D3434" t="s">
        <v>81</v>
      </c>
      <c r="E3434" t="str">
        <f t="shared" si="247"/>
        <v>550</v>
      </c>
      <c r="F3434" t="s">
        <v>3658</v>
      </c>
      <c r="G3434" t="str">
        <f t="shared" si="249"/>
        <v>2353</v>
      </c>
      <c r="H3434" t="str">
        <f>"0001"</f>
        <v>0001</v>
      </c>
      <c r="I3434" t="s">
        <v>122</v>
      </c>
      <c r="J3434">
        <v>4</v>
      </c>
      <c r="K3434">
        <v>1</v>
      </c>
      <c r="L3434">
        <v>3</v>
      </c>
      <c r="M3434">
        <v>372</v>
      </c>
      <c r="N3434">
        <v>274</v>
      </c>
      <c r="O3434">
        <v>2</v>
      </c>
      <c r="P3434">
        <v>273</v>
      </c>
      <c r="Q3434">
        <v>15</v>
      </c>
      <c r="R3434">
        <v>86</v>
      </c>
      <c r="S3434">
        <v>2</v>
      </c>
      <c r="U3434">
        <v>53</v>
      </c>
      <c r="V3434">
        <v>9</v>
      </c>
      <c r="W3434">
        <v>10</v>
      </c>
      <c r="X3434">
        <v>76</v>
      </c>
      <c r="Y3434">
        <v>4</v>
      </c>
      <c r="Z3434">
        <v>0</v>
      </c>
      <c r="AB3434">
        <v>4</v>
      </c>
      <c r="AL3434">
        <v>0</v>
      </c>
      <c r="AO3434">
        <v>6</v>
      </c>
      <c r="AQ3434">
        <v>0</v>
      </c>
      <c r="AS3434">
        <v>0</v>
      </c>
      <c r="AW3434">
        <v>0</v>
      </c>
      <c r="AX3434">
        <v>8</v>
      </c>
      <c r="AY3434">
        <v>273</v>
      </c>
      <c r="AZ3434">
        <v>273</v>
      </c>
      <c r="BA3434">
        <v>603</v>
      </c>
      <c r="BB3434">
        <v>44</v>
      </c>
      <c r="BD3434">
        <v>1</v>
      </c>
      <c r="BF3434" t="s">
        <v>3675</v>
      </c>
      <c r="BG3434" s="1">
        <v>44354.119444444441</v>
      </c>
      <c r="BH3434" s="1">
        <v>44354.12667824074</v>
      </c>
      <c r="BI3434" s="1">
        <v>44354.12736111111</v>
      </c>
      <c r="BJ3434" t="s">
        <v>85</v>
      </c>
      <c r="BK3434" t="s">
        <v>86</v>
      </c>
      <c r="BL3434" t="s">
        <v>87</v>
      </c>
    </row>
    <row r="3435" spans="1:64" x14ac:dyDescent="0.3">
      <c r="A3435" t="str">
        <f>"202354B0000"</f>
        <v>202354B0000</v>
      </c>
      <c r="B3435" t="str">
        <f>"202354B00003"</f>
        <v>202354B00003</v>
      </c>
      <c r="C3435" t="str">
        <f t="shared" si="246"/>
        <v>20</v>
      </c>
      <c r="D3435" t="s">
        <v>81</v>
      </c>
      <c r="E3435" t="str">
        <f t="shared" si="247"/>
        <v>550</v>
      </c>
      <c r="F3435" t="s">
        <v>3658</v>
      </c>
      <c r="G3435" t="str">
        <f>"2354"</f>
        <v>2354</v>
      </c>
      <c r="H3435" t="str">
        <f>"0000"</f>
        <v>0000</v>
      </c>
      <c r="I3435" t="s">
        <v>83</v>
      </c>
      <c r="J3435">
        <v>0</v>
      </c>
      <c r="K3435">
        <v>1</v>
      </c>
      <c r="L3435">
        <v>3</v>
      </c>
      <c r="M3435">
        <v>305</v>
      </c>
      <c r="N3435">
        <v>352</v>
      </c>
      <c r="O3435">
        <v>3</v>
      </c>
      <c r="P3435">
        <v>352</v>
      </c>
      <c r="Q3435">
        <v>22</v>
      </c>
      <c r="R3435">
        <v>62</v>
      </c>
      <c r="S3435">
        <v>6</v>
      </c>
      <c r="U3435">
        <v>146</v>
      </c>
      <c r="V3435">
        <v>31</v>
      </c>
      <c r="W3435">
        <v>23</v>
      </c>
      <c r="X3435">
        <v>39</v>
      </c>
      <c r="Y3435">
        <v>1</v>
      </c>
      <c r="Z3435">
        <v>2</v>
      </c>
      <c r="AB3435">
        <v>13</v>
      </c>
      <c r="AL3435">
        <v>1</v>
      </c>
      <c r="AO3435">
        <v>1</v>
      </c>
      <c r="AQ3435">
        <v>0</v>
      </c>
      <c r="AS3435">
        <v>1</v>
      </c>
      <c r="AW3435">
        <v>0</v>
      </c>
      <c r="AX3435">
        <v>4</v>
      </c>
      <c r="AY3435">
        <v>352</v>
      </c>
      <c r="AZ3435">
        <v>352</v>
      </c>
      <c r="BA3435">
        <v>613</v>
      </c>
      <c r="BB3435">
        <v>44</v>
      </c>
      <c r="BD3435">
        <v>1</v>
      </c>
      <c r="BF3435" t="s">
        <v>3676</v>
      </c>
      <c r="BG3435" s="1">
        <v>44354.115277777775</v>
      </c>
      <c r="BH3435" s="1">
        <v>44354.118668981479</v>
      </c>
      <c r="BI3435" s="1">
        <v>44354.119201388887</v>
      </c>
      <c r="BJ3435" t="s">
        <v>85</v>
      </c>
      <c r="BK3435" t="s">
        <v>86</v>
      </c>
      <c r="BL3435" t="s">
        <v>87</v>
      </c>
    </row>
    <row r="3436" spans="1:64" x14ac:dyDescent="0.3">
      <c r="A3436" t="str">
        <f>"202354C0100"</f>
        <v>202354C0100</v>
      </c>
      <c r="B3436" t="str">
        <f>"202354C01003"</f>
        <v>202354C01003</v>
      </c>
      <c r="C3436" t="str">
        <f t="shared" si="246"/>
        <v>20</v>
      </c>
      <c r="D3436" t="s">
        <v>81</v>
      </c>
      <c r="E3436" t="str">
        <f t="shared" si="247"/>
        <v>550</v>
      </c>
      <c r="F3436" t="s">
        <v>3658</v>
      </c>
      <c r="G3436" t="str">
        <f>"2354"</f>
        <v>2354</v>
      </c>
      <c r="H3436" t="str">
        <f>"0001"</f>
        <v>0001</v>
      </c>
      <c r="I3436" t="s">
        <v>89</v>
      </c>
      <c r="J3436">
        <v>0</v>
      </c>
      <c r="K3436">
        <v>1</v>
      </c>
      <c r="L3436">
        <v>3</v>
      </c>
      <c r="M3436">
        <v>288</v>
      </c>
      <c r="N3436">
        <v>361</v>
      </c>
      <c r="O3436">
        <v>361</v>
      </c>
      <c r="P3436">
        <v>369</v>
      </c>
      <c r="Q3436">
        <v>20</v>
      </c>
      <c r="R3436">
        <v>69</v>
      </c>
      <c r="S3436">
        <v>7</v>
      </c>
      <c r="U3436">
        <v>132</v>
      </c>
      <c r="V3436">
        <v>18</v>
      </c>
      <c r="W3436">
        <v>42</v>
      </c>
      <c r="X3436">
        <v>42</v>
      </c>
      <c r="Y3436">
        <v>4</v>
      </c>
      <c r="Z3436">
        <v>9</v>
      </c>
      <c r="AB3436">
        <v>12</v>
      </c>
      <c r="AL3436">
        <v>0</v>
      </c>
      <c r="AO3436">
        <v>1</v>
      </c>
      <c r="AQ3436">
        <v>0</v>
      </c>
      <c r="AS3436">
        <v>0</v>
      </c>
      <c r="AW3436">
        <v>0</v>
      </c>
      <c r="AX3436">
        <v>13</v>
      </c>
      <c r="AY3436">
        <v>369</v>
      </c>
      <c r="AZ3436">
        <v>369</v>
      </c>
      <c r="BA3436">
        <v>613</v>
      </c>
      <c r="BB3436">
        <v>44</v>
      </c>
      <c r="BD3436">
        <v>1</v>
      </c>
      <c r="BF3436" t="s">
        <v>3677</v>
      </c>
      <c r="BG3436" s="1">
        <v>44354.120138888888</v>
      </c>
      <c r="BH3436" s="1">
        <v>44354.127071759256</v>
      </c>
      <c r="BI3436" s="1">
        <v>44354.127395833333</v>
      </c>
      <c r="BJ3436" t="s">
        <v>85</v>
      </c>
      <c r="BK3436" t="s">
        <v>86</v>
      </c>
      <c r="BL3436" t="s">
        <v>87</v>
      </c>
    </row>
    <row r="3437" spans="1:64" x14ac:dyDescent="0.3">
      <c r="A3437" t="str">
        <f>"202354C0200"</f>
        <v>202354C0200</v>
      </c>
      <c r="B3437" t="str">
        <f>"202354C02003"</f>
        <v>202354C02003</v>
      </c>
      <c r="C3437" t="str">
        <f t="shared" si="246"/>
        <v>20</v>
      </c>
      <c r="D3437" t="s">
        <v>81</v>
      </c>
      <c r="E3437" t="str">
        <f t="shared" si="247"/>
        <v>550</v>
      </c>
      <c r="F3437" t="s">
        <v>3658</v>
      </c>
      <c r="G3437" t="str">
        <f>"2354"</f>
        <v>2354</v>
      </c>
      <c r="H3437" t="str">
        <f>"0002"</f>
        <v>0002</v>
      </c>
      <c r="I3437" t="s">
        <v>89</v>
      </c>
      <c r="J3437">
        <v>0</v>
      </c>
      <c r="K3437">
        <v>1</v>
      </c>
      <c r="L3437">
        <v>3</v>
      </c>
      <c r="M3437">
        <v>332</v>
      </c>
      <c r="N3437" t="s">
        <v>92</v>
      </c>
      <c r="O3437">
        <v>6</v>
      </c>
      <c r="P3437">
        <v>325</v>
      </c>
      <c r="Q3437">
        <v>15</v>
      </c>
      <c r="R3437">
        <v>63</v>
      </c>
      <c r="S3437">
        <v>3</v>
      </c>
      <c r="U3437">
        <v>112</v>
      </c>
      <c r="V3437">
        <v>39</v>
      </c>
      <c r="W3437">
        <v>41</v>
      </c>
      <c r="X3437">
        <v>23</v>
      </c>
      <c r="Y3437">
        <v>2</v>
      </c>
      <c r="Z3437">
        <v>1</v>
      </c>
      <c r="AB3437">
        <v>17</v>
      </c>
      <c r="AL3437">
        <v>0</v>
      </c>
      <c r="AO3437">
        <v>1</v>
      </c>
      <c r="AQ3437">
        <v>0</v>
      </c>
      <c r="AS3437">
        <v>0</v>
      </c>
      <c r="AW3437">
        <v>0</v>
      </c>
      <c r="AX3437">
        <v>8</v>
      </c>
      <c r="AY3437">
        <v>325</v>
      </c>
      <c r="AZ3437">
        <v>325</v>
      </c>
      <c r="BA3437">
        <v>613</v>
      </c>
      <c r="BB3437">
        <v>44</v>
      </c>
      <c r="BD3437">
        <v>1</v>
      </c>
      <c r="BF3437" t="s">
        <v>3678</v>
      </c>
      <c r="BG3437" s="1">
        <v>44354.120138888888</v>
      </c>
      <c r="BH3437" s="1">
        <v>44354.124560185184</v>
      </c>
      <c r="BI3437" s="1">
        <v>44354.125011574077</v>
      </c>
      <c r="BJ3437" t="s">
        <v>85</v>
      </c>
      <c r="BK3437" t="s">
        <v>86</v>
      </c>
      <c r="BL3437" t="s">
        <v>87</v>
      </c>
    </row>
    <row r="3438" spans="1:64" x14ac:dyDescent="0.3">
      <c r="A3438" t="str">
        <f>"202354C0300"</f>
        <v>202354C0300</v>
      </c>
      <c r="B3438" t="str">
        <f>"202354C03003"</f>
        <v>202354C03003</v>
      </c>
      <c r="C3438" t="str">
        <f t="shared" si="246"/>
        <v>20</v>
      </c>
      <c r="D3438" t="s">
        <v>81</v>
      </c>
      <c r="E3438" t="str">
        <f t="shared" si="247"/>
        <v>550</v>
      </c>
      <c r="F3438" t="s">
        <v>3658</v>
      </c>
      <c r="G3438" t="str">
        <f>"2354"</f>
        <v>2354</v>
      </c>
      <c r="H3438" t="str">
        <f>"0003"</f>
        <v>0003</v>
      </c>
      <c r="I3438" t="s">
        <v>89</v>
      </c>
      <c r="J3438">
        <v>0</v>
      </c>
      <c r="K3438">
        <v>1</v>
      </c>
      <c r="L3438">
        <v>3</v>
      </c>
      <c r="M3438">
        <v>324</v>
      </c>
      <c r="N3438">
        <v>327</v>
      </c>
      <c r="O3438">
        <v>7</v>
      </c>
      <c r="P3438">
        <v>327</v>
      </c>
      <c r="Q3438">
        <v>14</v>
      </c>
      <c r="R3438">
        <v>55</v>
      </c>
      <c r="S3438">
        <v>4</v>
      </c>
      <c r="U3438">
        <v>149</v>
      </c>
      <c r="V3438">
        <v>22</v>
      </c>
      <c r="W3438">
        <v>20</v>
      </c>
      <c r="X3438">
        <v>38</v>
      </c>
      <c r="Y3438">
        <v>1</v>
      </c>
      <c r="Z3438">
        <v>3</v>
      </c>
      <c r="AB3438">
        <v>15</v>
      </c>
      <c r="AL3438">
        <v>0</v>
      </c>
      <c r="AO3438">
        <v>1</v>
      </c>
      <c r="AQ3438">
        <v>0</v>
      </c>
      <c r="AS3438">
        <v>0</v>
      </c>
      <c r="AW3438">
        <v>0</v>
      </c>
      <c r="AX3438">
        <v>5</v>
      </c>
      <c r="AY3438">
        <v>327</v>
      </c>
      <c r="AZ3438">
        <v>327</v>
      </c>
      <c r="BA3438">
        <v>613</v>
      </c>
      <c r="BB3438">
        <v>44</v>
      </c>
      <c r="BD3438">
        <v>1</v>
      </c>
      <c r="BF3438" t="s">
        <v>3679</v>
      </c>
      <c r="BG3438" s="1">
        <v>44354.120833333334</v>
      </c>
      <c r="BH3438" s="1">
        <v>44354.124479166669</v>
      </c>
      <c r="BI3438" s="1">
        <v>44354.124942129631</v>
      </c>
      <c r="BJ3438" t="s">
        <v>85</v>
      </c>
      <c r="BK3438" t="s">
        <v>86</v>
      </c>
      <c r="BL3438" t="s">
        <v>87</v>
      </c>
    </row>
    <row r="3439" spans="1:64" x14ac:dyDescent="0.3">
      <c r="A3439" t="str">
        <f>"202354C0400"</f>
        <v>202354C0400</v>
      </c>
      <c r="B3439" t="str">
        <f>"202354C04003"</f>
        <v>202354C04003</v>
      </c>
      <c r="C3439" t="str">
        <f t="shared" si="246"/>
        <v>20</v>
      </c>
      <c r="D3439" t="s">
        <v>81</v>
      </c>
      <c r="E3439" t="str">
        <f t="shared" si="247"/>
        <v>550</v>
      </c>
      <c r="F3439" t="s">
        <v>3658</v>
      </c>
      <c r="G3439" t="str">
        <f>"2354"</f>
        <v>2354</v>
      </c>
      <c r="H3439" t="str">
        <f>"0004"</f>
        <v>0004</v>
      </c>
      <c r="I3439" t="s">
        <v>89</v>
      </c>
      <c r="J3439">
        <v>0</v>
      </c>
      <c r="K3439">
        <v>1</v>
      </c>
      <c r="L3439">
        <v>3</v>
      </c>
      <c r="M3439">
        <v>323</v>
      </c>
      <c r="N3439">
        <v>342</v>
      </c>
      <c r="O3439">
        <v>8</v>
      </c>
      <c r="P3439">
        <v>334</v>
      </c>
      <c r="Q3439">
        <v>12</v>
      </c>
      <c r="R3439">
        <v>52</v>
      </c>
      <c r="S3439">
        <v>5</v>
      </c>
      <c r="U3439">
        <v>140</v>
      </c>
      <c r="V3439">
        <v>33</v>
      </c>
      <c r="W3439">
        <v>26</v>
      </c>
      <c r="X3439">
        <v>32</v>
      </c>
      <c r="Y3439">
        <v>7</v>
      </c>
      <c r="Z3439">
        <v>4</v>
      </c>
      <c r="AB3439">
        <v>14</v>
      </c>
      <c r="AL3439">
        <v>2</v>
      </c>
      <c r="AO3439">
        <v>0</v>
      </c>
      <c r="AQ3439">
        <v>0</v>
      </c>
      <c r="AS3439">
        <v>0</v>
      </c>
      <c r="AW3439">
        <v>0</v>
      </c>
      <c r="AX3439">
        <v>5</v>
      </c>
      <c r="AY3439">
        <v>334</v>
      </c>
      <c r="AZ3439">
        <v>332</v>
      </c>
      <c r="BA3439">
        <v>613</v>
      </c>
      <c r="BB3439">
        <v>44</v>
      </c>
      <c r="BD3439">
        <v>1</v>
      </c>
      <c r="BF3439" t="s">
        <v>3680</v>
      </c>
      <c r="BG3439" s="1">
        <v>44354.117361111108</v>
      </c>
      <c r="BH3439" s="1">
        <v>44354.119988425926</v>
      </c>
      <c r="BI3439" s="1">
        <v>44354.120416666665</v>
      </c>
      <c r="BJ3439" t="s">
        <v>85</v>
      </c>
      <c r="BK3439" t="s">
        <v>86</v>
      </c>
      <c r="BL3439" t="s">
        <v>87</v>
      </c>
    </row>
    <row r="3440" spans="1:64" x14ac:dyDescent="0.3">
      <c r="A3440" t="str">
        <f>"202355B0000"</f>
        <v>202355B0000</v>
      </c>
      <c r="B3440" t="str">
        <f>"202355B00003"</f>
        <v>202355B00003</v>
      </c>
      <c r="C3440" t="str">
        <f t="shared" si="246"/>
        <v>20</v>
      </c>
      <c r="D3440" t="s">
        <v>81</v>
      </c>
      <c r="E3440" t="str">
        <f t="shared" si="247"/>
        <v>550</v>
      </c>
      <c r="F3440" t="s">
        <v>3658</v>
      </c>
      <c r="G3440" t="str">
        <f>"2355"</f>
        <v>2355</v>
      </c>
      <c r="H3440" t="str">
        <f>"0000"</f>
        <v>0000</v>
      </c>
      <c r="I3440" t="s">
        <v>83</v>
      </c>
      <c r="J3440">
        <v>0</v>
      </c>
      <c r="K3440">
        <v>1</v>
      </c>
      <c r="L3440">
        <v>3</v>
      </c>
      <c r="M3440">
        <v>298</v>
      </c>
      <c r="N3440">
        <v>439</v>
      </c>
      <c r="O3440">
        <v>2</v>
      </c>
      <c r="P3440">
        <v>439</v>
      </c>
      <c r="Q3440">
        <v>34</v>
      </c>
      <c r="R3440">
        <v>51</v>
      </c>
      <c r="S3440">
        <v>8</v>
      </c>
      <c r="U3440">
        <v>129</v>
      </c>
      <c r="V3440">
        <v>80</v>
      </c>
      <c r="W3440">
        <v>54</v>
      </c>
      <c r="X3440">
        <v>48</v>
      </c>
      <c r="Y3440">
        <v>1</v>
      </c>
      <c r="Z3440">
        <v>2</v>
      </c>
      <c r="AB3440">
        <v>16</v>
      </c>
      <c r="AL3440">
        <v>5</v>
      </c>
      <c r="AO3440">
        <v>0</v>
      </c>
      <c r="AQ3440">
        <v>0</v>
      </c>
      <c r="AS3440">
        <v>0</v>
      </c>
      <c r="AW3440">
        <v>1</v>
      </c>
      <c r="AX3440">
        <v>10</v>
      </c>
      <c r="AY3440">
        <v>439</v>
      </c>
      <c r="AZ3440">
        <v>439</v>
      </c>
      <c r="BA3440">
        <v>693</v>
      </c>
      <c r="BB3440">
        <v>44</v>
      </c>
      <c r="BD3440">
        <v>1</v>
      </c>
      <c r="BF3440" t="s">
        <v>3681</v>
      </c>
      <c r="BG3440" s="1">
        <v>44354.117361111108</v>
      </c>
      <c r="BH3440" s="1">
        <v>44354.121203703704</v>
      </c>
      <c r="BI3440" s="1">
        <v>44354.121805555558</v>
      </c>
      <c r="BJ3440" t="s">
        <v>85</v>
      </c>
      <c r="BK3440" t="s">
        <v>86</v>
      </c>
      <c r="BL3440" t="s">
        <v>87</v>
      </c>
    </row>
    <row r="3441" spans="1:64" x14ac:dyDescent="0.3">
      <c r="A3441" t="str">
        <f>"202355C0100"</f>
        <v>202355C0100</v>
      </c>
      <c r="B3441" t="str">
        <f>"202355C01003"</f>
        <v>202355C01003</v>
      </c>
      <c r="C3441" t="str">
        <f t="shared" si="246"/>
        <v>20</v>
      </c>
      <c r="D3441" t="s">
        <v>81</v>
      </c>
      <c r="E3441" t="str">
        <f t="shared" si="247"/>
        <v>550</v>
      </c>
      <c r="F3441" t="s">
        <v>3658</v>
      </c>
      <c r="G3441" t="str">
        <f>"2355"</f>
        <v>2355</v>
      </c>
      <c r="H3441" t="str">
        <f>"0001"</f>
        <v>0001</v>
      </c>
      <c r="I3441" t="s">
        <v>89</v>
      </c>
      <c r="J3441">
        <v>0</v>
      </c>
      <c r="K3441">
        <v>1</v>
      </c>
      <c r="L3441">
        <v>3</v>
      </c>
      <c r="M3441">
        <v>314</v>
      </c>
      <c r="N3441">
        <v>423</v>
      </c>
      <c r="O3441">
        <v>6</v>
      </c>
      <c r="P3441">
        <v>423</v>
      </c>
      <c r="Q3441">
        <v>23</v>
      </c>
      <c r="R3441">
        <v>43</v>
      </c>
      <c r="S3441">
        <v>14</v>
      </c>
      <c r="U3441">
        <v>141</v>
      </c>
      <c r="V3441">
        <v>82</v>
      </c>
      <c r="W3441">
        <v>45</v>
      </c>
      <c r="X3441">
        <v>39</v>
      </c>
      <c r="Y3441">
        <v>2</v>
      </c>
      <c r="Z3441">
        <v>3</v>
      </c>
      <c r="AB3441">
        <v>23</v>
      </c>
      <c r="AL3441">
        <v>0</v>
      </c>
      <c r="AO3441">
        <v>1</v>
      </c>
      <c r="AQ3441">
        <v>0</v>
      </c>
      <c r="AS3441">
        <v>0</v>
      </c>
      <c r="AW3441">
        <v>0</v>
      </c>
      <c r="AX3441">
        <v>7</v>
      </c>
      <c r="AY3441">
        <v>423</v>
      </c>
      <c r="AZ3441">
        <v>423</v>
      </c>
      <c r="BA3441">
        <v>693</v>
      </c>
      <c r="BB3441">
        <v>44</v>
      </c>
      <c r="BD3441">
        <v>1</v>
      </c>
      <c r="BF3441" t="s">
        <v>3682</v>
      </c>
      <c r="BG3441" s="1">
        <v>44354.115972222222</v>
      </c>
      <c r="BH3441" s="1">
        <v>44354.120983796296</v>
      </c>
      <c r="BI3441" s="1">
        <v>44354.121550925927</v>
      </c>
      <c r="BJ3441" t="s">
        <v>85</v>
      </c>
      <c r="BK3441" t="s">
        <v>86</v>
      </c>
      <c r="BL3441" t="s">
        <v>87</v>
      </c>
    </row>
    <row r="3442" spans="1:64" x14ac:dyDescent="0.3">
      <c r="A3442" t="str">
        <f>"202356B0000"</f>
        <v>202356B0000</v>
      </c>
      <c r="B3442" t="str">
        <f>"202356B00003"</f>
        <v>202356B00003</v>
      </c>
      <c r="C3442" t="str">
        <f t="shared" si="246"/>
        <v>20</v>
      </c>
      <c r="D3442" t="s">
        <v>81</v>
      </c>
      <c r="E3442" t="str">
        <f t="shared" si="247"/>
        <v>550</v>
      </c>
      <c r="F3442" t="s">
        <v>3658</v>
      </c>
      <c r="G3442" t="str">
        <f>"2356"</f>
        <v>2356</v>
      </c>
      <c r="H3442" t="str">
        <f>"0000"</f>
        <v>0000</v>
      </c>
      <c r="I3442" t="s">
        <v>83</v>
      </c>
      <c r="J3442">
        <v>0</v>
      </c>
      <c r="K3442">
        <v>1</v>
      </c>
      <c r="L3442">
        <v>3</v>
      </c>
      <c r="M3442">
        <v>217</v>
      </c>
      <c r="N3442">
        <v>0</v>
      </c>
      <c r="O3442">
        <v>0</v>
      </c>
      <c r="P3442">
        <v>290</v>
      </c>
      <c r="Q3442">
        <v>17</v>
      </c>
      <c r="R3442">
        <v>33</v>
      </c>
      <c r="S3442">
        <v>4</v>
      </c>
      <c r="U3442">
        <v>75</v>
      </c>
      <c r="V3442">
        <v>64</v>
      </c>
      <c r="W3442">
        <v>11</v>
      </c>
      <c r="X3442">
        <v>56</v>
      </c>
      <c r="Y3442">
        <v>2</v>
      </c>
      <c r="Z3442">
        <v>1</v>
      </c>
      <c r="AB3442">
        <v>13</v>
      </c>
      <c r="AL3442">
        <v>0</v>
      </c>
      <c r="AO3442">
        <v>1</v>
      </c>
      <c r="AQ3442">
        <v>0</v>
      </c>
      <c r="AS3442">
        <v>0</v>
      </c>
      <c r="AW3442">
        <v>0</v>
      </c>
      <c r="AX3442">
        <v>13</v>
      </c>
      <c r="AY3442">
        <v>290</v>
      </c>
      <c r="AZ3442">
        <v>290</v>
      </c>
      <c r="BA3442">
        <v>463</v>
      </c>
      <c r="BB3442">
        <v>44</v>
      </c>
      <c r="BD3442">
        <v>1</v>
      </c>
      <c r="BF3442" t="s">
        <v>3683</v>
      </c>
      <c r="BG3442" s="1">
        <v>44354.115972222222</v>
      </c>
      <c r="BH3442" s="1">
        <v>44354.123472222222</v>
      </c>
      <c r="BI3442" s="1">
        <v>44354.124027777776</v>
      </c>
      <c r="BJ3442" t="s">
        <v>85</v>
      </c>
      <c r="BK3442" t="s">
        <v>86</v>
      </c>
      <c r="BL3442" t="s">
        <v>87</v>
      </c>
    </row>
    <row r="3443" spans="1:64" x14ac:dyDescent="0.3">
      <c r="A3443" t="str">
        <f>"202356C0100"</f>
        <v>202356C0100</v>
      </c>
      <c r="B3443" t="str">
        <f>"202356C01003"</f>
        <v>202356C01003</v>
      </c>
      <c r="C3443" t="str">
        <f t="shared" si="246"/>
        <v>20</v>
      </c>
      <c r="D3443" t="s">
        <v>81</v>
      </c>
      <c r="E3443" t="str">
        <f t="shared" si="247"/>
        <v>550</v>
      </c>
      <c r="F3443" t="s">
        <v>3658</v>
      </c>
      <c r="G3443" t="str">
        <f>"2356"</f>
        <v>2356</v>
      </c>
      <c r="H3443" t="str">
        <f>"0001"</f>
        <v>0001</v>
      </c>
      <c r="I3443" t="s">
        <v>89</v>
      </c>
      <c r="J3443">
        <v>0</v>
      </c>
      <c r="K3443">
        <v>1</v>
      </c>
      <c r="L3443">
        <v>3</v>
      </c>
      <c r="M3443">
        <v>223</v>
      </c>
      <c r="N3443">
        <v>284</v>
      </c>
      <c r="O3443">
        <v>9</v>
      </c>
      <c r="P3443">
        <v>284</v>
      </c>
      <c r="Q3443">
        <v>8</v>
      </c>
      <c r="R3443">
        <v>42</v>
      </c>
      <c r="S3443">
        <v>3</v>
      </c>
      <c r="U3443">
        <v>81</v>
      </c>
      <c r="V3443">
        <v>77</v>
      </c>
      <c r="W3443">
        <v>14</v>
      </c>
      <c r="X3443">
        <v>35</v>
      </c>
      <c r="Y3443">
        <v>0</v>
      </c>
      <c r="Z3443">
        <v>3</v>
      </c>
      <c r="AB3443">
        <v>7</v>
      </c>
      <c r="AL3443">
        <v>4</v>
      </c>
      <c r="AO3443" t="s">
        <v>95</v>
      </c>
      <c r="AQ3443" t="s">
        <v>95</v>
      </c>
      <c r="AS3443" t="s">
        <v>95</v>
      </c>
      <c r="AW3443" t="s">
        <v>95</v>
      </c>
      <c r="AX3443">
        <v>10</v>
      </c>
      <c r="AY3443">
        <v>284</v>
      </c>
      <c r="AZ3443">
        <v>284</v>
      </c>
      <c r="BA3443">
        <v>463</v>
      </c>
      <c r="BB3443">
        <v>44</v>
      </c>
      <c r="BC3443" t="s">
        <v>96</v>
      </c>
      <c r="BD3443">
        <v>1</v>
      </c>
      <c r="BF3443" t="s">
        <v>3684</v>
      </c>
      <c r="BG3443" s="1">
        <v>44354.117361111108</v>
      </c>
      <c r="BH3443" s="1">
        <v>44354.120162037034</v>
      </c>
      <c r="BI3443" s="1">
        <v>44354.120578703703</v>
      </c>
      <c r="BJ3443" t="s">
        <v>85</v>
      </c>
      <c r="BK3443" t="s">
        <v>86</v>
      </c>
      <c r="BL3443" t="s">
        <v>87</v>
      </c>
    </row>
    <row r="3444" spans="1:64" x14ac:dyDescent="0.3">
      <c r="A3444" t="str">
        <f>"202356E0100"</f>
        <v>202356E0100</v>
      </c>
      <c r="B3444" t="str">
        <f>"202356E01003"</f>
        <v>202356E01003</v>
      </c>
      <c r="C3444" t="str">
        <f t="shared" si="246"/>
        <v>20</v>
      </c>
      <c r="D3444" t="s">
        <v>81</v>
      </c>
      <c r="E3444" t="str">
        <f t="shared" si="247"/>
        <v>550</v>
      </c>
      <c r="F3444" t="s">
        <v>3658</v>
      </c>
      <c r="G3444" t="str">
        <f>"2356"</f>
        <v>2356</v>
      </c>
      <c r="H3444" t="str">
        <f>"0001"</f>
        <v>0001</v>
      </c>
      <c r="I3444" t="s">
        <v>122</v>
      </c>
      <c r="J3444">
        <v>0</v>
      </c>
      <c r="K3444">
        <v>1</v>
      </c>
      <c r="L3444">
        <v>3</v>
      </c>
      <c r="M3444">
        <v>96</v>
      </c>
      <c r="N3444">
        <v>168</v>
      </c>
      <c r="O3444">
        <v>2</v>
      </c>
      <c r="P3444">
        <v>168</v>
      </c>
      <c r="Q3444">
        <v>5</v>
      </c>
      <c r="R3444">
        <v>86</v>
      </c>
      <c r="S3444">
        <v>1</v>
      </c>
      <c r="U3444">
        <v>51</v>
      </c>
      <c r="V3444">
        <v>1</v>
      </c>
      <c r="W3444">
        <v>18</v>
      </c>
      <c r="X3444">
        <v>3</v>
      </c>
      <c r="Y3444">
        <v>0</v>
      </c>
      <c r="Z3444">
        <v>0</v>
      </c>
      <c r="AB3444">
        <v>0</v>
      </c>
      <c r="AL3444">
        <v>0</v>
      </c>
      <c r="AO3444">
        <v>0</v>
      </c>
      <c r="AQ3444">
        <v>0</v>
      </c>
      <c r="AS3444">
        <v>0</v>
      </c>
      <c r="AW3444">
        <v>0</v>
      </c>
      <c r="AX3444">
        <v>3</v>
      </c>
      <c r="AY3444">
        <v>168</v>
      </c>
      <c r="AZ3444">
        <v>168</v>
      </c>
      <c r="BA3444">
        <v>220</v>
      </c>
      <c r="BB3444">
        <v>44</v>
      </c>
      <c r="BD3444">
        <v>1</v>
      </c>
      <c r="BF3444" t="s">
        <v>3685</v>
      </c>
      <c r="BG3444" s="1">
        <v>44354.117361111108</v>
      </c>
      <c r="BH3444" s="1">
        <v>44354.121180555558</v>
      </c>
      <c r="BI3444" s="1">
        <v>44354.122060185182</v>
      </c>
      <c r="BJ3444" t="s">
        <v>85</v>
      </c>
      <c r="BK3444" t="s">
        <v>86</v>
      </c>
      <c r="BL3444" t="s">
        <v>87</v>
      </c>
    </row>
    <row r="3445" spans="1:64" x14ac:dyDescent="0.3">
      <c r="A3445" t="str">
        <f>"202357B0000"</f>
        <v>202357B0000</v>
      </c>
      <c r="B3445" t="str">
        <f>"202357B00003"</f>
        <v>202357B00003</v>
      </c>
      <c r="C3445" t="str">
        <f t="shared" si="246"/>
        <v>20</v>
      </c>
      <c r="D3445" t="s">
        <v>81</v>
      </c>
      <c r="E3445" t="str">
        <f t="shared" si="247"/>
        <v>550</v>
      </c>
      <c r="F3445" t="s">
        <v>3658</v>
      </c>
      <c r="G3445" t="str">
        <f>"2357"</f>
        <v>2357</v>
      </c>
      <c r="H3445" t="str">
        <f>"0000"</f>
        <v>0000</v>
      </c>
      <c r="I3445" t="s">
        <v>83</v>
      </c>
      <c r="J3445">
        <v>0</v>
      </c>
      <c r="K3445">
        <v>1</v>
      </c>
      <c r="L3445">
        <v>3</v>
      </c>
      <c r="M3445">
        <v>320</v>
      </c>
      <c r="N3445">
        <v>426</v>
      </c>
      <c r="O3445">
        <v>3</v>
      </c>
      <c r="P3445">
        <v>424</v>
      </c>
      <c r="Q3445">
        <v>27</v>
      </c>
      <c r="R3445">
        <v>36</v>
      </c>
      <c r="S3445">
        <v>9</v>
      </c>
      <c r="U3445">
        <v>124</v>
      </c>
      <c r="V3445">
        <v>126</v>
      </c>
      <c r="W3445">
        <v>35</v>
      </c>
      <c r="X3445">
        <v>32</v>
      </c>
      <c r="Y3445">
        <v>4</v>
      </c>
      <c r="Z3445">
        <v>3</v>
      </c>
      <c r="AB3445">
        <v>19</v>
      </c>
      <c r="AL3445">
        <v>2</v>
      </c>
      <c r="AO3445">
        <v>1</v>
      </c>
      <c r="AQ3445">
        <v>2</v>
      </c>
      <c r="AS3445">
        <v>0</v>
      </c>
      <c r="AW3445">
        <v>0</v>
      </c>
      <c r="AX3445">
        <v>6</v>
      </c>
      <c r="AY3445">
        <v>424</v>
      </c>
      <c r="AZ3445">
        <v>426</v>
      </c>
      <c r="BA3445">
        <v>700</v>
      </c>
      <c r="BB3445">
        <v>44</v>
      </c>
      <c r="BD3445">
        <v>1</v>
      </c>
      <c r="BF3445" t="s">
        <v>3686</v>
      </c>
      <c r="BG3445" s="1">
        <v>44354.118055555555</v>
      </c>
      <c r="BH3445" s="1">
        <v>44354.122673611113</v>
      </c>
      <c r="BI3445" s="1">
        <v>44354.12327546296</v>
      </c>
      <c r="BJ3445" t="s">
        <v>85</v>
      </c>
      <c r="BK3445" t="s">
        <v>86</v>
      </c>
      <c r="BL3445" t="s">
        <v>87</v>
      </c>
    </row>
    <row r="3446" spans="1:64" x14ac:dyDescent="0.3">
      <c r="A3446" t="str">
        <f>"202357C0100"</f>
        <v>202357C0100</v>
      </c>
      <c r="B3446" t="str">
        <f>"202357C01003"</f>
        <v>202357C01003</v>
      </c>
      <c r="C3446" t="str">
        <f t="shared" si="246"/>
        <v>20</v>
      </c>
      <c r="D3446" t="s">
        <v>81</v>
      </c>
      <c r="E3446" t="str">
        <f t="shared" si="247"/>
        <v>550</v>
      </c>
      <c r="F3446" t="s">
        <v>3658</v>
      </c>
      <c r="G3446" t="str">
        <f>"2357"</f>
        <v>2357</v>
      </c>
      <c r="H3446" t="str">
        <f>"0001"</f>
        <v>0001</v>
      </c>
      <c r="I3446" t="s">
        <v>89</v>
      </c>
      <c r="J3446">
        <v>0</v>
      </c>
      <c r="K3446">
        <v>1</v>
      </c>
      <c r="L3446">
        <v>3</v>
      </c>
      <c r="M3446">
        <v>304</v>
      </c>
      <c r="N3446" t="s">
        <v>92</v>
      </c>
      <c r="O3446" t="s">
        <v>92</v>
      </c>
      <c r="P3446">
        <v>437</v>
      </c>
      <c r="Q3446">
        <v>19</v>
      </c>
      <c r="R3446">
        <v>52</v>
      </c>
      <c r="S3446">
        <v>12</v>
      </c>
      <c r="U3446">
        <v>127</v>
      </c>
      <c r="V3446">
        <v>105</v>
      </c>
      <c r="W3446">
        <v>48</v>
      </c>
      <c r="X3446">
        <v>41</v>
      </c>
      <c r="Y3446">
        <v>1</v>
      </c>
      <c r="Z3446">
        <v>2</v>
      </c>
      <c r="AB3446">
        <v>16</v>
      </c>
      <c r="AL3446">
        <v>2</v>
      </c>
      <c r="AO3446">
        <v>1</v>
      </c>
      <c r="AQ3446" t="s">
        <v>95</v>
      </c>
      <c r="AS3446" t="s">
        <v>95</v>
      </c>
      <c r="AW3446" t="s">
        <v>95</v>
      </c>
      <c r="AX3446" t="s">
        <v>95</v>
      </c>
      <c r="AY3446">
        <v>437</v>
      </c>
      <c r="AZ3446">
        <v>426</v>
      </c>
      <c r="BA3446">
        <v>699</v>
      </c>
      <c r="BB3446">
        <v>44</v>
      </c>
      <c r="BC3446" t="s">
        <v>96</v>
      </c>
      <c r="BD3446">
        <v>1</v>
      </c>
      <c r="BF3446" t="s">
        <v>3687</v>
      </c>
      <c r="BG3446" s="1">
        <v>44354.118055555555</v>
      </c>
      <c r="BH3446" s="1">
        <v>44354.122835648152</v>
      </c>
      <c r="BI3446" s="1">
        <v>44354.123761574076</v>
      </c>
      <c r="BJ3446" t="s">
        <v>85</v>
      </c>
      <c r="BK3446" t="s">
        <v>86</v>
      </c>
      <c r="BL3446" t="s">
        <v>87</v>
      </c>
    </row>
    <row r="3447" spans="1:64" x14ac:dyDescent="0.3">
      <c r="A3447" t="str">
        <f>"202358B0000"</f>
        <v>202358B0000</v>
      </c>
      <c r="B3447" t="str">
        <f>"202358B00003"</f>
        <v>202358B00003</v>
      </c>
      <c r="C3447" t="str">
        <f t="shared" si="246"/>
        <v>20</v>
      </c>
      <c r="D3447" t="s">
        <v>81</v>
      </c>
      <c r="E3447" t="str">
        <f t="shared" si="247"/>
        <v>550</v>
      </c>
      <c r="F3447" t="s">
        <v>3658</v>
      </c>
      <c r="G3447" t="str">
        <f>"2358"</f>
        <v>2358</v>
      </c>
      <c r="H3447" t="str">
        <f>"0000"</f>
        <v>0000</v>
      </c>
      <c r="I3447" t="s">
        <v>83</v>
      </c>
      <c r="J3447">
        <v>0</v>
      </c>
      <c r="K3447">
        <v>1</v>
      </c>
      <c r="L3447">
        <v>3</v>
      </c>
      <c r="M3447">
        <v>329</v>
      </c>
      <c r="N3447">
        <v>348</v>
      </c>
      <c r="O3447">
        <v>3</v>
      </c>
      <c r="P3447">
        <v>348</v>
      </c>
      <c r="Q3447">
        <v>23</v>
      </c>
      <c r="R3447">
        <v>66</v>
      </c>
      <c r="S3447">
        <v>2</v>
      </c>
      <c r="U3447">
        <v>109</v>
      </c>
      <c r="V3447">
        <v>55</v>
      </c>
      <c r="W3447">
        <v>30</v>
      </c>
      <c r="X3447">
        <v>43</v>
      </c>
      <c r="Y3447">
        <v>2</v>
      </c>
      <c r="Z3447">
        <v>0</v>
      </c>
      <c r="AB3447">
        <v>9</v>
      </c>
      <c r="AL3447">
        <v>0</v>
      </c>
      <c r="AO3447">
        <v>3</v>
      </c>
      <c r="AQ3447">
        <v>0</v>
      </c>
      <c r="AS3447">
        <v>0</v>
      </c>
      <c r="AW3447">
        <v>0</v>
      </c>
      <c r="AX3447">
        <v>6</v>
      </c>
      <c r="AY3447">
        <v>348</v>
      </c>
      <c r="AZ3447">
        <v>348</v>
      </c>
      <c r="BA3447">
        <v>633</v>
      </c>
      <c r="BB3447">
        <v>44</v>
      </c>
      <c r="BD3447">
        <v>1</v>
      </c>
      <c r="BF3447" t="s">
        <v>3688</v>
      </c>
      <c r="BG3447" s="1">
        <v>44354.118055555555</v>
      </c>
      <c r="BH3447" s="1">
        <v>44354.124340277776</v>
      </c>
      <c r="BI3447" s="1">
        <v>44354.124930555554</v>
      </c>
      <c r="BJ3447" t="s">
        <v>85</v>
      </c>
      <c r="BK3447" t="s">
        <v>86</v>
      </c>
      <c r="BL3447" t="s">
        <v>87</v>
      </c>
    </row>
    <row r="3448" spans="1:64" x14ac:dyDescent="0.3">
      <c r="A3448" t="str">
        <f>"202358C0100"</f>
        <v>202358C0100</v>
      </c>
      <c r="B3448" t="str">
        <f>"202358C01003"</f>
        <v>202358C01003</v>
      </c>
      <c r="C3448" t="str">
        <f t="shared" si="246"/>
        <v>20</v>
      </c>
      <c r="D3448" t="s">
        <v>81</v>
      </c>
      <c r="E3448" t="str">
        <f t="shared" si="247"/>
        <v>550</v>
      </c>
      <c r="F3448" t="s">
        <v>3658</v>
      </c>
      <c r="G3448" t="str">
        <f>"2358"</f>
        <v>2358</v>
      </c>
      <c r="H3448" t="str">
        <f>"0001"</f>
        <v>0001</v>
      </c>
      <c r="I3448" t="s">
        <v>89</v>
      </c>
      <c r="J3448">
        <v>0</v>
      </c>
      <c r="K3448">
        <v>1</v>
      </c>
      <c r="L3448">
        <v>3</v>
      </c>
      <c r="M3448">
        <v>305</v>
      </c>
      <c r="N3448">
        <v>372</v>
      </c>
      <c r="O3448">
        <v>5</v>
      </c>
      <c r="P3448">
        <v>372</v>
      </c>
      <c r="Q3448">
        <v>22</v>
      </c>
      <c r="R3448">
        <v>50</v>
      </c>
      <c r="S3448">
        <v>4</v>
      </c>
      <c r="U3448">
        <v>115</v>
      </c>
      <c r="V3448">
        <v>61</v>
      </c>
      <c r="W3448">
        <v>32</v>
      </c>
      <c r="X3448">
        <v>43</v>
      </c>
      <c r="Y3448">
        <v>7</v>
      </c>
      <c r="Z3448">
        <v>0</v>
      </c>
      <c r="AB3448">
        <v>16</v>
      </c>
      <c r="AL3448">
        <v>5</v>
      </c>
      <c r="AO3448">
        <v>0</v>
      </c>
      <c r="AQ3448">
        <v>0</v>
      </c>
      <c r="AS3448">
        <v>0</v>
      </c>
      <c r="AW3448">
        <v>1</v>
      </c>
      <c r="AX3448">
        <v>16</v>
      </c>
      <c r="AY3448">
        <v>372</v>
      </c>
      <c r="AZ3448">
        <v>372</v>
      </c>
      <c r="BA3448">
        <v>633</v>
      </c>
      <c r="BB3448">
        <v>44</v>
      </c>
      <c r="BD3448">
        <v>1</v>
      </c>
      <c r="BF3448" t="s">
        <v>3689</v>
      </c>
      <c r="BG3448" s="1">
        <v>44354.118055555555</v>
      </c>
      <c r="BH3448" s="1">
        <v>44354.124328703707</v>
      </c>
      <c r="BI3448" s="1">
        <v>44354.124930555554</v>
      </c>
      <c r="BJ3448" t="s">
        <v>85</v>
      </c>
      <c r="BK3448" t="s">
        <v>86</v>
      </c>
      <c r="BL3448" t="s">
        <v>87</v>
      </c>
    </row>
    <row r="3449" spans="1:64" x14ac:dyDescent="0.3">
      <c r="A3449" t="str">
        <f>"202358C0200"</f>
        <v>202358C0200</v>
      </c>
      <c r="B3449" t="str">
        <f>"202358C02003"</f>
        <v>202358C02003</v>
      </c>
      <c r="C3449" t="str">
        <f t="shared" si="246"/>
        <v>20</v>
      </c>
      <c r="D3449" t="s">
        <v>81</v>
      </c>
      <c r="E3449" t="str">
        <f t="shared" si="247"/>
        <v>550</v>
      </c>
      <c r="F3449" t="s">
        <v>3658</v>
      </c>
      <c r="G3449" t="str">
        <f>"2358"</f>
        <v>2358</v>
      </c>
      <c r="H3449" t="str">
        <f>"0002"</f>
        <v>0002</v>
      </c>
      <c r="I3449" t="s">
        <v>89</v>
      </c>
      <c r="J3449">
        <v>0</v>
      </c>
      <c r="K3449">
        <v>1</v>
      </c>
      <c r="L3449">
        <v>3</v>
      </c>
      <c r="M3449">
        <v>294</v>
      </c>
      <c r="N3449">
        <v>383</v>
      </c>
      <c r="O3449">
        <v>4</v>
      </c>
      <c r="P3449">
        <v>383</v>
      </c>
      <c r="Q3449">
        <v>16</v>
      </c>
      <c r="R3449">
        <v>59</v>
      </c>
      <c r="S3449">
        <v>2</v>
      </c>
      <c r="U3449">
        <v>129</v>
      </c>
      <c r="V3449">
        <v>61</v>
      </c>
      <c r="W3449">
        <v>23</v>
      </c>
      <c r="X3449">
        <v>67</v>
      </c>
      <c r="Y3449">
        <v>3</v>
      </c>
      <c r="Z3449">
        <v>0</v>
      </c>
      <c r="AB3449">
        <v>13</v>
      </c>
      <c r="AL3449">
        <v>3</v>
      </c>
      <c r="AO3449">
        <v>0</v>
      </c>
      <c r="AQ3449">
        <v>0</v>
      </c>
      <c r="AS3449">
        <v>0</v>
      </c>
      <c r="AW3449">
        <v>0</v>
      </c>
      <c r="AX3449">
        <v>7</v>
      </c>
      <c r="AY3449">
        <v>383</v>
      </c>
      <c r="AZ3449">
        <v>383</v>
      </c>
      <c r="BA3449">
        <v>633</v>
      </c>
      <c r="BB3449">
        <v>44</v>
      </c>
      <c r="BD3449">
        <v>1</v>
      </c>
      <c r="BF3449" t="s">
        <v>3690</v>
      </c>
      <c r="BG3449" s="1">
        <v>44354.118055555555</v>
      </c>
      <c r="BH3449" s="1">
        <v>44354.122974537036</v>
      </c>
      <c r="BI3449" s="1">
        <v>44354.123703703706</v>
      </c>
      <c r="BJ3449" t="s">
        <v>85</v>
      </c>
      <c r="BK3449" t="s">
        <v>86</v>
      </c>
      <c r="BL3449" t="s">
        <v>87</v>
      </c>
    </row>
    <row r="3450" spans="1:64" x14ac:dyDescent="0.3">
      <c r="A3450" t="str">
        <f>"202359B0000"</f>
        <v>202359B0000</v>
      </c>
      <c r="B3450" t="str">
        <f>"202359B00003"</f>
        <v>202359B00003</v>
      </c>
      <c r="C3450" t="str">
        <f t="shared" si="246"/>
        <v>20</v>
      </c>
      <c r="D3450" t="s">
        <v>81</v>
      </c>
      <c r="E3450" t="str">
        <f t="shared" si="247"/>
        <v>550</v>
      </c>
      <c r="F3450" t="s">
        <v>3658</v>
      </c>
      <c r="G3450" t="str">
        <f>"2359"</f>
        <v>2359</v>
      </c>
      <c r="H3450" t="str">
        <f>"0000"</f>
        <v>0000</v>
      </c>
      <c r="I3450" t="s">
        <v>83</v>
      </c>
      <c r="J3450">
        <v>0</v>
      </c>
      <c r="K3450">
        <v>1</v>
      </c>
      <c r="L3450">
        <v>3</v>
      </c>
      <c r="M3450">
        <v>260</v>
      </c>
      <c r="N3450">
        <v>361</v>
      </c>
      <c r="O3450">
        <v>2</v>
      </c>
      <c r="P3450">
        <v>361</v>
      </c>
      <c r="Q3450">
        <v>13</v>
      </c>
      <c r="R3450">
        <v>39</v>
      </c>
      <c r="S3450">
        <v>1</v>
      </c>
      <c r="U3450">
        <v>87</v>
      </c>
      <c r="V3450">
        <v>123</v>
      </c>
      <c r="W3450">
        <v>27</v>
      </c>
      <c r="X3450">
        <v>46</v>
      </c>
      <c r="Y3450">
        <v>3</v>
      </c>
      <c r="Z3450">
        <v>2</v>
      </c>
      <c r="AB3450">
        <v>11</v>
      </c>
      <c r="AL3450">
        <v>1</v>
      </c>
      <c r="AO3450">
        <v>0</v>
      </c>
      <c r="AQ3450">
        <v>0</v>
      </c>
      <c r="AS3450">
        <v>0</v>
      </c>
      <c r="AW3450">
        <v>0</v>
      </c>
      <c r="AX3450">
        <v>8</v>
      </c>
      <c r="AY3450">
        <v>361</v>
      </c>
      <c r="AZ3450">
        <v>361</v>
      </c>
      <c r="BA3450">
        <v>577</v>
      </c>
      <c r="BB3450">
        <v>44</v>
      </c>
      <c r="BD3450">
        <v>1</v>
      </c>
      <c r="BF3450" t="s">
        <v>3691</v>
      </c>
      <c r="BG3450" s="1">
        <v>44354.147222222222</v>
      </c>
      <c r="BH3450" s="1">
        <v>44354.152743055558</v>
      </c>
      <c r="BI3450" s="1">
        <v>44354.153113425928</v>
      </c>
      <c r="BJ3450" t="s">
        <v>85</v>
      </c>
      <c r="BK3450" t="s">
        <v>86</v>
      </c>
      <c r="BL3450" t="s">
        <v>87</v>
      </c>
    </row>
    <row r="3451" spans="1:64" x14ac:dyDescent="0.3">
      <c r="A3451" t="str">
        <f>"202360B0000"</f>
        <v>202360B0000</v>
      </c>
      <c r="B3451" t="str">
        <f>"202360B00003"</f>
        <v>202360B00003</v>
      </c>
      <c r="C3451" t="str">
        <f t="shared" si="246"/>
        <v>20</v>
      </c>
      <c r="D3451" t="s">
        <v>81</v>
      </c>
      <c r="E3451" t="str">
        <f t="shared" si="247"/>
        <v>550</v>
      </c>
      <c r="F3451" t="s">
        <v>3658</v>
      </c>
      <c r="G3451" t="str">
        <f>"2360"</f>
        <v>2360</v>
      </c>
      <c r="H3451" t="str">
        <f>"0000"</f>
        <v>0000</v>
      </c>
      <c r="I3451" t="s">
        <v>83</v>
      </c>
      <c r="J3451">
        <v>0</v>
      </c>
      <c r="K3451">
        <v>1</v>
      </c>
      <c r="L3451">
        <v>3</v>
      </c>
      <c r="M3451">
        <v>250</v>
      </c>
      <c r="N3451">
        <v>231</v>
      </c>
      <c r="O3451">
        <v>4</v>
      </c>
      <c r="P3451">
        <v>231</v>
      </c>
      <c r="Q3451">
        <v>5</v>
      </c>
      <c r="R3451">
        <v>64</v>
      </c>
      <c r="S3451">
        <v>21</v>
      </c>
      <c r="U3451">
        <v>54</v>
      </c>
      <c r="V3451">
        <v>3</v>
      </c>
      <c r="W3451">
        <v>17</v>
      </c>
      <c r="X3451">
        <v>40</v>
      </c>
      <c r="Y3451">
        <v>3</v>
      </c>
      <c r="Z3451">
        <v>2</v>
      </c>
      <c r="AB3451">
        <v>9</v>
      </c>
      <c r="AL3451" t="s">
        <v>95</v>
      </c>
      <c r="AO3451" t="s">
        <v>95</v>
      </c>
      <c r="AQ3451" t="s">
        <v>95</v>
      </c>
      <c r="AS3451" t="s">
        <v>95</v>
      </c>
      <c r="AW3451" t="s">
        <v>95</v>
      </c>
      <c r="AX3451">
        <v>13</v>
      </c>
      <c r="AY3451">
        <v>231</v>
      </c>
      <c r="AZ3451">
        <v>231</v>
      </c>
      <c r="BA3451">
        <v>438</v>
      </c>
      <c r="BB3451">
        <v>44</v>
      </c>
      <c r="BC3451" t="s">
        <v>96</v>
      </c>
      <c r="BD3451">
        <v>1</v>
      </c>
      <c r="BF3451" t="s">
        <v>3692</v>
      </c>
      <c r="BG3451" s="1">
        <v>44354.147222222222</v>
      </c>
      <c r="BH3451" s="1">
        <v>44354.155277777776</v>
      </c>
      <c r="BI3451" s="1">
        <v>44354.155659722222</v>
      </c>
      <c r="BJ3451" t="s">
        <v>85</v>
      </c>
      <c r="BK3451" t="s">
        <v>86</v>
      </c>
      <c r="BL3451" t="s">
        <v>87</v>
      </c>
    </row>
    <row r="3452" spans="1:64" x14ac:dyDescent="0.3">
      <c r="A3452" t="str">
        <f>"202360C0100"</f>
        <v>202360C0100</v>
      </c>
      <c r="B3452" t="str">
        <f>"202360C01003"</f>
        <v>202360C01003</v>
      </c>
      <c r="C3452" t="str">
        <f t="shared" si="246"/>
        <v>20</v>
      </c>
      <c r="D3452" t="s">
        <v>81</v>
      </c>
      <c r="E3452" t="str">
        <f t="shared" si="247"/>
        <v>550</v>
      </c>
      <c r="F3452" t="s">
        <v>3658</v>
      </c>
      <c r="G3452" t="str">
        <f>"2360"</f>
        <v>2360</v>
      </c>
      <c r="H3452" t="str">
        <f>"0001"</f>
        <v>0001</v>
      </c>
      <c r="I3452" t="s">
        <v>89</v>
      </c>
      <c r="J3452">
        <v>0</v>
      </c>
      <c r="K3452">
        <v>1</v>
      </c>
      <c r="L3452">
        <v>3</v>
      </c>
      <c r="M3452">
        <v>264</v>
      </c>
      <c r="N3452">
        <v>217</v>
      </c>
      <c r="O3452">
        <v>3</v>
      </c>
      <c r="P3452">
        <v>217</v>
      </c>
      <c r="Q3452">
        <v>8</v>
      </c>
      <c r="R3452">
        <v>70</v>
      </c>
      <c r="S3452">
        <v>26</v>
      </c>
      <c r="U3452">
        <v>40</v>
      </c>
      <c r="V3452">
        <v>10</v>
      </c>
      <c r="W3452">
        <v>14</v>
      </c>
      <c r="X3452">
        <v>27</v>
      </c>
      <c r="Y3452">
        <v>3</v>
      </c>
      <c r="Z3452">
        <v>2</v>
      </c>
      <c r="AB3452">
        <v>2</v>
      </c>
      <c r="AL3452">
        <v>0</v>
      </c>
      <c r="AO3452">
        <v>0</v>
      </c>
      <c r="AQ3452">
        <v>0</v>
      </c>
      <c r="AS3452">
        <v>1</v>
      </c>
      <c r="AW3452">
        <v>0</v>
      </c>
      <c r="AX3452">
        <v>14</v>
      </c>
      <c r="AY3452">
        <v>217</v>
      </c>
      <c r="AZ3452">
        <v>217</v>
      </c>
      <c r="BA3452">
        <v>437</v>
      </c>
      <c r="BB3452">
        <v>44</v>
      </c>
      <c r="BD3452">
        <v>1</v>
      </c>
      <c r="BF3452" t="s">
        <v>3693</v>
      </c>
      <c r="BG3452" s="1">
        <v>44354.147222222222</v>
      </c>
      <c r="BH3452" s="1">
        <v>44354.152349537035</v>
      </c>
      <c r="BI3452" s="1">
        <v>44354.152812499997</v>
      </c>
      <c r="BJ3452" t="s">
        <v>85</v>
      </c>
      <c r="BK3452" t="s">
        <v>86</v>
      </c>
      <c r="BL3452" t="s">
        <v>87</v>
      </c>
    </row>
    <row r="3453" spans="1:64" x14ac:dyDescent="0.3">
      <c r="A3453" t="str">
        <f>"202361B0000"</f>
        <v>202361B0000</v>
      </c>
      <c r="B3453" t="str">
        <f>"202361B00003"</f>
        <v>202361B00003</v>
      </c>
      <c r="C3453" t="str">
        <f t="shared" si="246"/>
        <v>20</v>
      </c>
      <c r="D3453" t="s">
        <v>81</v>
      </c>
      <c r="E3453" t="str">
        <f t="shared" si="247"/>
        <v>550</v>
      </c>
      <c r="F3453" t="s">
        <v>3658</v>
      </c>
      <c r="G3453" t="str">
        <f>"2361"</f>
        <v>2361</v>
      </c>
      <c r="H3453" t="str">
        <f>"0000"</f>
        <v>0000</v>
      </c>
      <c r="I3453" t="s">
        <v>83</v>
      </c>
      <c r="J3453">
        <v>0</v>
      </c>
      <c r="K3453">
        <v>1</v>
      </c>
      <c r="L3453">
        <v>3</v>
      </c>
      <c r="M3453">
        <v>211</v>
      </c>
      <c r="N3453">
        <v>222</v>
      </c>
      <c r="O3453">
        <v>5</v>
      </c>
      <c r="P3453">
        <v>222</v>
      </c>
      <c r="Q3453">
        <v>4</v>
      </c>
      <c r="R3453">
        <v>52</v>
      </c>
      <c r="S3453">
        <v>6</v>
      </c>
      <c r="U3453">
        <v>0</v>
      </c>
      <c r="V3453">
        <v>78</v>
      </c>
      <c r="W3453">
        <v>8</v>
      </c>
      <c r="X3453">
        <v>50</v>
      </c>
      <c r="Y3453">
        <v>2</v>
      </c>
      <c r="Z3453">
        <v>1</v>
      </c>
      <c r="AB3453">
        <v>5</v>
      </c>
      <c r="AL3453">
        <v>0</v>
      </c>
      <c r="AO3453">
        <v>1</v>
      </c>
      <c r="AQ3453">
        <v>0</v>
      </c>
      <c r="AS3453">
        <v>0</v>
      </c>
      <c r="AW3453">
        <v>0</v>
      </c>
      <c r="AX3453">
        <v>7</v>
      </c>
      <c r="AY3453">
        <v>222</v>
      </c>
      <c r="AZ3453">
        <v>214</v>
      </c>
      <c r="BA3453">
        <v>389</v>
      </c>
      <c r="BB3453">
        <v>44</v>
      </c>
      <c r="BD3453">
        <v>1</v>
      </c>
      <c r="BF3453" t="s">
        <v>3694</v>
      </c>
      <c r="BG3453" s="1">
        <v>44353.753472222219</v>
      </c>
      <c r="BH3453" s="1">
        <v>44354.146956018521</v>
      </c>
      <c r="BI3453" s="1">
        <v>44354.148009259261</v>
      </c>
      <c r="BJ3453" t="s">
        <v>85</v>
      </c>
      <c r="BK3453" t="s">
        <v>86</v>
      </c>
      <c r="BL3453" t="s">
        <v>87</v>
      </c>
    </row>
    <row r="3454" spans="1:64" x14ac:dyDescent="0.3">
      <c r="A3454" t="str">
        <f>"202367B0000"</f>
        <v>202367B0000</v>
      </c>
      <c r="B3454" t="str">
        <f>"202367B00003"</f>
        <v>202367B00003</v>
      </c>
      <c r="C3454" t="str">
        <f t="shared" si="246"/>
        <v>20</v>
      </c>
      <c r="D3454" t="s">
        <v>81</v>
      </c>
      <c r="E3454" t="str">
        <f t="shared" ref="E3454:E3485" si="250">"553"</f>
        <v>553</v>
      </c>
      <c r="F3454" t="s">
        <v>3695</v>
      </c>
      <c r="G3454" t="str">
        <f t="shared" ref="G3454:G3459" si="251">"2367"</f>
        <v>2367</v>
      </c>
      <c r="H3454" t="str">
        <f>"0000"</f>
        <v>0000</v>
      </c>
      <c r="I3454" t="s">
        <v>83</v>
      </c>
      <c r="J3454">
        <v>0</v>
      </c>
      <c r="K3454">
        <v>1</v>
      </c>
      <c r="L3454">
        <v>3</v>
      </c>
      <c r="M3454">
        <v>276</v>
      </c>
      <c r="N3454">
        <v>434</v>
      </c>
      <c r="O3454">
        <v>13</v>
      </c>
      <c r="P3454">
        <v>434</v>
      </c>
      <c r="Q3454">
        <v>3</v>
      </c>
      <c r="R3454">
        <v>66</v>
      </c>
      <c r="S3454">
        <v>3</v>
      </c>
      <c r="T3454">
        <v>57</v>
      </c>
      <c r="U3454">
        <v>3</v>
      </c>
      <c r="V3454">
        <v>4</v>
      </c>
      <c r="W3454">
        <v>21</v>
      </c>
      <c r="X3454">
        <v>69</v>
      </c>
      <c r="Y3454">
        <v>5</v>
      </c>
      <c r="Z3454">
        <v>109</v>
      </c>
      <c r="AB3454">
        <v>19</v>
      </c>
      <c r="AC3454">
        <v>51</v>
      </c>
      <c r="AJ3454">
        <v>2</v>
      </c>
      <c r="AK3454">
        <v>3</v>
      </c>
      <c r="AL3454">
        <v>0</v>
      </c>
      <c r="AM3454">
        <v>0</v>
      </c>
      <c r="AN3454">
        <v>0</v>
      </c>
      <c r="AO3454">
        <v>0</v>
      </c>
      <c r="AP3454">
        <v>0</v>
      </c>
      <c r="AQ3454">
        <v>0</v>
      </c>
      <c r="AR3454">
        <v>0</v>
      </c>
      <c r="AS3454">
        <v>2</v>
      </c>
      <c r="AT3454">
        <v>0</v>
      </c>
      <c r="AW3454">
        <v>0</v>
      </c>
      <c r="AX3454">
        <v>7</v>
      </c>
      <c r="AY3454">
        <v>434</v>
      </c>
      <c r="AZ3454">
        <v>424</v>
      </c>
      <c r="BA3454">
        <v>664</v>
      </c>
      <c r="BB3454">
        <v>46</v>
      </c>
      <c r="BD3454">
        <v>1</v>
      </c>
      <c r="BF3454" t="s">
        <v>3696</v>
      </c>
      <c r="BG3454" s="1">
        <v>44353.99359953704</v>
      </c>
      <c r="BH3454" s="1">
        <v>44353.998449074075</v>
      </c>
      <c r="BI3454" s="1">
        <v>44353.999398148146</v>
      </c>
      <c r="BJ3454" t="s">
        <v>197</v>
      </c>
      <c r="BK3454" t="s">
        <v>198</v>
      </c>
      <c r="BL3454" t="s">
        <v>87</v>
      </c>
    </row>
    <row r="3455" spans="1:64" x14ac:dyDescent="0.3">
      <c r="A3455" t="str">
        <f>"202367C0100"</f>
        <v>202367C0100</v>
      </c>
      <c r="B3455" t="str">
        <f>"202367C01003"</f>
        <v>202367C01003</v>
      </c>
      <c r="C3455" t="str">
        <f t="shared" si="246"/>
        <v>20</v>
      </c>
      <c r="D3455" t="s">
        <v>81</v>
      </c>
      <c r="E3455" t="str">
        <f t="shared" si="250"/>
        <v>553</v>
      </c>
      <c r="F3455" t="s">
        <v>3695</v>
      </c>
      <c r="G3455" t="str">
        <f t="shared" si="251"/>
        <v>2367</v>
      </c>
      <c r="H3455" t="str">
        <f>"0001"</f>
        <v>0001</v>
      </c>
      <c r="I3455" t="s">
        <v>89</v>
      </c>
      <c r="J3455">
        <v>0</v>
      </c>
      <c r="K3455">
        <v>1</v>
      </c>
      <c r="L3455">
        <v>3</v>
      </c>
      <c r="M3455">
        <v>283</v>
      </c>
      <c r="N3455">
        <v>426</v>
      </c>
      <c r="O3455">
        <v>15</v>
      </c>
      <c r="P3455">
        <v>426</v>
      </c>
      <c r="Q3455">
        <v>2</v>
      </c>
      <c r="R3455">
        <v>57</v>
      </c>
      <c r="S3455">
        <v>5</v>
      </c>
      <c r="T3455">
        <v>83</v>
      </c>
      <c r="U3455">
        <v>5</v>
      </c>
      <c r="V3455">
        <v>3</v>
      </c>
      <c r="W3455">
        <v>23</v>
      </c>
      <c r="X3455">
        <v>52</v>
      </c>
      <c r="Y3455">
        <v>2</v>
      </c>
      <c r="Z3455">
        <v>89</v>
      </c>
      <c r="AB3455">
        <v>26</v>
      </c>
      <c r="AC3455">
        <v>68</v>
      </c>
      <c r="AJ3455">
        <v>0</v>
      </c>
      <c r="AK3455">
        <v>2</v>
      </c>
      <c r="AL3455">
        <v>0</v>
      </c>
      <c r="AM3455">
        <v>0</v>
      </c>
      <c r="AN3455">
        <v>0</v>
      </c>
      <c r="AO3455">
        <v>1</v>
      </c>
      <c r="AP3455">
        <v>0</v>
      </c>
      <c r="AQ3455">
        <v>0</v>
      </c>
      <c r="AR3455">
        <v>0</v>
      </c>
      <c r="AS3455">
        <v>0</v>
      </c>
      <c r="AT3455">
        <v>0</v>
      </c>
      <c r="AW3455">
        <v>0</v>
      </c>
      <c r="AX3455">
        <v>8</v>
      </c>
      <c r="AY3455">
        <v>426</v>
      </c>
      <c r="AZ3455">
        <v>426</v>
      </c>
      <c r="BA3455">
        <v>663</v>
      </c>
      <c r="BB3455">
        <v>46</v>
      </c>
      <c r="BD3455">
        <v>1</v>
      </c>
      <c r="BF3455" t="s">
        <v>3697</v>
      </c>
      <c r="BG3455" s="1">
        <v>44353.990104166667</v>
      </c>
      <c r="BH3455" s="1">
        <v>44353.994259259256</v>
      </c>
      <c r="BI3455" s="1">
        <v>44353.996377314812</v>
      </c>
      <c r="BJ3455" t="s">
        <v>197</v>
      </c>
      <c r="BK3455" t="s">
        <v>198</v>
      </c>
      <c r="BL3455" t="s">
        <v>87</v>
      </c>
    </row>
    <row r="3456" spans="1:64" x14ac:dyDescent="0.3">
      <c r="A3456" t="str">
        <f>"202367C0200"</f>
        <v>202367C0200</v>
      </c>
      <c r="B3456" t="str">
        <f>"202367C02003"</f>
        <v>202367C02003</v>
      </c>
      <c r="C3456" t="str">
        <f t="shared" si="246"/>
        <v>20</v>
      </c>
      <c r="D3456" t="s">
        <v>81</v>
      </c>
      <c r="E3456" t="str">
        <f t="shared" si="250"/>
        <v>553</v>
      </c>
      <c r="F3456" t="s">
        <v>3695</v>
      </c>
      <c r="G3456" t="str">
        <f t="shared" si="251"/>
        <v>2367</v>
      </c>
      <c r="H3456" t="str">
        <f>"0002"</f>
        <v>0002</v>
      </c>
      <c r="I3456" t="s">
        <v>89</v>
      </c>
      <c r="J3456">
        <v>0</v>
      </c>
      <c r="K3456">
        <v>1</v>
      </c>
      <c r="L3456">
        <v>3</v>
      </c>
      <c r="M3456">
        <v>287</v>
      </c>
      <c r="N3456">
        <v>423</v>
      </c>
      <c r="O3456">
        <v>11</v>
      </c>
      <c r="P3456">
        <v>422</v>
      </c>
      <c r="Q3456">
        <v>4</v>
      </c>
      <c r="R3456">
        <v>45</v>
      </c>
      <c r="S3456">
        <v>4</v>
      </c>
      <c r="T3456">
        <v>64</v>
      </c>
      <c r="U3456">
        <v>11</v>
      </c>
      <c r="V3456">
        <v>2</v>
      </c>
      <c r="W3456">
        <v>26</v>
      </c>
      <c r="X3456">
        <v>60</v>
      </c>
      <c r="Y3456">
        <v>7</v>
      </c>
      <c r="Z3456">
        <v>101</v>
      </c>
      <c r="AB3456">
        <v>27</v>
      </c>
      <c r="AC3456">
        <v>65</v>
      </c>
      <c r="AJ3456">
        <v>0</v>
      </c>
      <c r="AK3456">
        <v>1</v>
      </c>
      <c r="AL3456">
        <v>0</v>
      </c>
      <c r="AM3456">
        <v>0</v>
      </c>
      <c r="AN3456">
        <v>0</v>
      </c>
      <c r="AO3456">
        <v>0</v>
      </c>
      <c r="AP3456">
        <v>0</v>
      </c>
      <c r="AQ3456">
        <v>0</v>
      </c>
      <c r="AR3456">
        <v>0</v>
      </c>
      <c r="AS3456">
        <v>0</v>
      </c>
      <c r="AT3456">
        <v>0</v>
      </c>
      <c r="AW3456">
        <v>0</v>
      </c>
      <c r="AX3456">
        <v>5</v>
      </c>
      <c r="AY3456">
        <v>422</v>
      </c>
      <c r="AZ3456">
        <v>422</v>
      </c>
      <c r="BA3456">
        <v>663</v>
      </c>
      <c r="BB3456">
        <v>46</v>
      </c>
      <c r="BD3456">
        <v>1</v>
      </c>
      <c r="BF3456" t="s">
        <v>3698</v>
      </c>
      <c r="BG3456" s="1">
        <v>44354.018865740742</v>
      </c>
      <c r="BH3456" s="1">
        <v>44354.026990740742</v>
      </c>
      <c r="BI3456" s="1">
        <v>44354.027592592596</v>
      </c>
      <c r="BJ3456" t="s">
        <v>197</v>
      </c>
      <c r="BK3456" t="s">
        <v>198</v>
      </c>
      <c r="BL3456" t="s">
        <v>87</v>
      </c>
    </row>
    <row r="3457" spans="1:64" x14ac:dyDescent="0.3">
      <c r="A3457" t="str">
        <f>"202367C0300"</f>
        <v>202367C0300</v>
      </c>
      <c r="B3457" t="str">
        <f>"202367C03003"</f>
        <v>202367C03003</v>
      </c>
      <c r="C3457" t="str">
        <f t="shared" si="246"/>
        <v>20</v>
      </c>
      <c r="D3457" t="s">
        <v>81</v>
      </c>
      <c r="E3457" t="str">
        <f t="shared" si="250"/>
        <v>553</v>
      </c>
      <c r="F3457" t="s">
        <v>3695</v>
      </c>
      <c r="G3457" t="str">
        <f t="shared" si="251"/>
        <v>2367</v>
      </c>
      <c r="H3457" t="str">
        <f>"0003"</f>
        <v>0003</v>
      </c>
      <c r="I3457" t="s">
        <v>89</v>
      </c>
      <c r="J3457">
        <v>0</v>
      </c>
      <c r="K3457">
        <v>1</v>
      </c>
      <c r="L3457">
        <v>3</v>
      </c>
      <c r="M3457">
        <v>285</v>
      </c>
      <c r="N3457">
        <v>424</v>
      </c>
      <c r="O3457">
        <v>8</v>
      </c>
      <c r="P3457">
        <v>424</v>
      </c>
      <c r="Q3457">
        <v>2</v>
      </c>
      <c r="R3457">
        <v>74</v>
      </c>
      <c r="S3457">
        <v>2</v>
      </c>
      <c r="T3457">
        <v>50</v>
      </c>
      <c r="U3457">
        <v>16</v>
      </c>
      <c r="V3457">
        <v>3</v>
      </c>
      <c r="W3457">
        <v>38</v>
      </c>
      <c r="X3457">
        <v>56</v>
      </c>
      <c r="Y3457">
        <v>2</v>
      </c>
      <c r="Z3457">
        <v>89</v>
      </c>
      <c r="AB3457">
        <v>25</v>
      </c>
      <c r="AC3457">
        <v>55</v>
      </c>
      <c r="AJ3457">
        <v>1</v>
      </c>
      <c r="AK3457">
        <v>1</v>
      </c>
      <c r="AL3457" t="s">
        <v>95</v>
      </c>
      <c r="AM3457" t="s">
        <v>95</v>
      </c>
      <c r="AN3457" t="s">
        <v>95</v>
      </c>
      <c r="AO3457" t="s">
        <v>95</v>
      </c>
      <c r="AP3457" t="s">
        <v>95</v>
      </c>
      <c r="AQ3457" t="s">
        <v>95</v>
      </c>
      <c r="AR3457" t="s">
        <v>95</v>
      </c>
      <c r="AS3457" t="s">
        <v>95</v>
      </c>
      <c r="AT3457" t="s">
        <v>95</v>
      </c>
      <c r="AW3457" t="s">
        <v>95</v>
      </c>
      <c r="AX3457">
        <v>10</v>
      </c>
      <c r="AY3457">
        <v>424</v>
      </c>
      <c r="AZ3457">
        <v>424</v>
      </c>
      <c r="BA3457">
        <v>663</v>
      </c>
      <c r="BB3457">
        <v>46</v>
      </c>
      <c r="BC3457" t="s">
        <v>96</v>
      </c>
      <c r="BD3457">
        <v>1</v>
      </c>
      <c r="BF3457" t="s">
        <v>3699</v>
      </c>
      <c r="BG3457" s="1">
        <v>44353.946296296293</v>
      </c>
      <c r="BH3457" s="1">
        <v>44353.949826388889</v>
      </c>
      <c r="BI3457" s="1">
        <v>44353.95040509259</v>
      </c>
      <c r="BJ3457" t="s">
        <v>197</v>
      </c>
      <c r="BK3457" t="s">
        <v>198</v>
      </c>
      <c r="BL3457" t="s">
        <v>87</v>
      </c>
    </row>
    <row r="3458" spans="1:64" x14ac:dyDescent="0.3">
      <c r="A3458" t="str">
        <f>"202367C0400"</f>
        <v>202367C0400</v>
      </c>
      <c r="B3458" t="str">
        <f>"202367C04003"</f>
        <v>202367C04003</v>
      </c>
      <c r="C3458" t="str">
        <f t="shared" si="246"/>
        <v>20</v>
      </c>
      <c r="D3458" t="s">
        <v>81</v>
      </c>
      <c r="E3458" t="str">
        <f t="shared" si="250"/>
        <v>553</v>
      </c>
      <c r="F3458" t="s">
        <v>3695</v>
      </c>
      <c r="G3458" t="str">
        <f t="shared" si="251"/>
        <v>2367</v>
      </c>
      <c r="H3458" t="str">
        <f>"0004"</f>
        <v>0004</v>
      </c>
      <c r="I3458" t="s">
        <v>89</v>
      </c>
      <c r="J3458">
        <v>0</v>
      </c>
      <c r="K3458">
        <v>1</v>
      </c>
      <c r="L3458">
        <v>3</v>
      </c>
      <c r="M3458">
        <v>297</v>
      </c>
      <c r="N3458">
        <v>412</v>
      </c>
      <c r="O3458">
        <v>13</v>
      </c>
      <c r="P3458">
        <v>412</v>
      </c>
      <c r="Q3458">
        <v>7</v>
      </c>
      <c r="R3458">
        <v>47</v>
      </c>
      <c r="S3458">
        <v>4</v>
      </c>
      <c r="T3458">
        <v>46</v>
      </c>
      <c r="U3458">
        <v>13</v>
      </c>
      <c r="V3458">
        <v>3</v>
      </c>
      <c r="W3458">
        <v>18</v>
      </c>
      <c r="X3458">
        <v>54</v>
      </c>
      <c r="Y3458">
        <v>5</v>
      </c>
      <c r="Z3458">
        <v>96</v>
      </c>
      <c r="AB3458">
        <v>29</v>
      </c>
      <c r="AC3458">
        <v>79</v>
      </c>
      <c r="AJ3458" t="s">
        <v>95</v>
      </c>
      <c r="AK3458" t="s">
        <v>95</v>
      </c>
      <c r="AL3458" t="s">
        <v>95</v>
      </c>
      <c r="AM3458" t="s">
        <v>95</v>
      </c>
      <c r="AN3458" t="s">
        <v>95</v>
      </c>
      <c r="AO3458" t="s">
        <v>95</v>
      </c>
      <c r="AP3458" t="s">
        <v>95</v>
      </c>
      <c r="AQ3458" t="s">
        <v>95</v>
      </c>
      <c r="AR3458" t="s">
        <v>95</v>
      </c>
      <c r="AS3458" t="s">
        <v>95</v>
      </c>
      <c r="AT3458" t="s">
        <v>95</v>
      </c>
      <c r="AW3458">
        <v>11</v>
      </c>
      <c r="AX3458">
        <v>11</v>
      </c>
      <c r="AY3458">
        <v>412</v>
      </c>
      <c r="AZ3458">
        <v>423</v>
      </c>
      <c r="BA3458">
        <v>663</v>
      </c>
      <c r="BB3458">
        <v>46</v>
      </c>
      <c r="BC3458" t="s">
        <v>96</v>
      </c>
      <c r="BD3458">
        <v>1</v>
      </c>
      <c r="BF3458" t="s">
        <v>3700</v>
      </c>
      <c r="BG3458" s="1">
        <v>44354.004155092596</v>
      </c>
      <c r="BH3458" s="1">
        <v>44354.009965277779</v>
      </c>
      <c r="BI3458" s="1">
        <v>44354.011620370373</v>
      </c>
      <c r="BJ3458" t="s">
        <v>197</v>
      </c>
      <c r="BK3458" t="s">
        <v>198</v>
      </c>
      <c r="BL3458" t="s">
        <v>87</v>
      </c>
    </row>
    <row r="3459" spans="1:64" x14ac:dyDescent="0.3">
      <c r="A3459" t="str">
        <f>"202367E0100"</f>
        <v>202367E0100</v>
      </c>
      <c r="B3459" t="str">
        <f>"202367E01003"</f>
        <v>202367E01003</v>
      </c>
      <c r="C3459" t="str">
        <f t="shared" si="246"/>
        <v>20</v>
      </c>
      <c r="D3459" t="s">
        <v>81</v>
      </c>
      <c r="E3459" t="str">
        <f t="shared" si="250"/>
        <v>553</v>
      </c>
      <c r="F3459" t="s">
        <v>3695</v>
      </c>
      <c r="G3459" t="str">
        <f t="shared" si="251"/>
        <v>2367</v>
      </c>
      <c r="H3459" t="str">
        <f>"0001"</f>
        <v>0001</v>
      </c>
      <c r="I3459" t="s">
        <v>122</v>
      </c>
      <c r="J3459">
        <v>0</v>
      </c>
      <c r="K3459">
        <v>1</v>
      </c>
      <c r="L3459">
        <v>3</v>
      </c>
      <c r="M3459">
        <v>291</v>
      </c>
      <c r="N3459">
        <v>410</v>
      </c>
      <c r="O3459">
        <v>11</v>
      </c>
      <c r="P3459">
        <v>410</v>
      </c>
      <c r="Q3459">
        <v>4</v>
      </c>
      <c r="R3459">
        <v>75</v>
      </c>
      <c r="S3459">
        <v>4</v>
      </c>
      <c r="T3459">
        <v>42</v>
      </c>
      <c r="U3459">
        <v>5</v>
      </c>
      <c r="V3459">
        <v>2</v>
      </c>
      <c r="W3459">
        <v>14</v>
      </c>
      <c r="X3459">
        <v>51</v>
      </c>
      <c r="Y3459">
        <v>19</v>
      </c>
      <c r="Z3459">
        <v>105</v>
      </c>
      <c r="AB3459">
        <v>9</v>
      </c>
      <c r="AC3459">
        <v>65</v>
      </c>
      <c r="AJ3459">
        <v>1</v>
      </c>
      <c r="AK3459">
        <v>1</v>
      </c>
      <c r="AL3459">
        <v>0</v>
      </c>
      <c r="AM3459">
        <v>0</v>
      </c>
      <c r="AN3459">
        <v>0</v>
      </c>
      <c r="AO3459">
        <v>0</v>
      </c>
      <c r="AP3459">
        <v>0</v>
      </c>
      <c r="AQ3459">
        <v>0</v>
      </c>
      <c r="AR3459">
        <v>0</v>
      </c>
      <c r="AS3459">
        <v>1</v>
      </c>
      <c r="AT3459">
        <v>0</v>
      </c>
      <c r="AW3459">
        <v>0</v>
      </c>
      <c r="AX3459">
        <v>12</v>
      </c>
      <c r="AY3459">
        <v>410</v>
      </c>
      <c r="AZ3459">
        <v>410</v>
      </c>
      <c r="BA3459">
        <v>655</v>
      </c>
      <c r="BB3459">
        <v>46</v>
      </c>
      <c r="BD3459">
        <v>1</v>
      </c>
      <c r="BF3459" t="s">
        <v>3701</v>
      </c>
      <c r="BG3459" s="1">
        <v>44354.474305555559</v>
      </c>
      <c r="BH3459" s="1">
        <v>44354.476238425923</v>
      </c>
      <c r="BI3459" s="1">
        <v>44354.477280092593</v>
      </c>
      <c r="BJ3459" t="s">
        <v>85</v>
      </c>
      <c r="BK3459" t="s">
        <v>86</v>
      </c>
      <c r="BL3459" t="s">
        <v>87</v>
      </c>
    </row>
    <row r="3460" spans="1:64" x14ac:dyDescent="0.3">
      <c r="A3460" t="str">
        <f>"202368B0000"</f>
        <v>202368B0000</v>
      </c>
      <c r="B3460" t="str">
        <f>"202368B00003"</f>
        <v>202368B00003</v>
      </c>
      <c r="C3460" t="str">
        <f t="shared" si="246"/>
        <v>20</v>
      </c>
      <c r="D3460" t="s">
        <v>81</v>
      </c>
      <c r="E3460" t="str">
        <f t="shared" si="250"/>
        <v>553</v>
      </c>
      <c r="F3460" t="s">
        <v>3695</v>
      </c>
      <c r="G3460" t="str">
        <f>"2368"</f>
        <v>2368</v>
      </c>
      <c r="H3460" t="str">
        <f>"0000"</f>
        <v>0000</v>
      </c>
      <c r="I3460" t="s">
        <v>83</v>
      </c>
      <c r="J3460">
        <v>0</v>
      </c>
      <c r="K3460">
        <v>1</v>
      </c>
      <c r="L3460">
        <v>3</v>
      </c>
      <c r="M3460">
        <v>277</v>
      </c>
      <c r="N3460">
        <v>411</v>
      </c>
      <c r="O3460">
        <v>6</v>
      </c>
      <c r="P3460">
        <v>411</v>
      </c>
      <c r="Q3460">
        <v>7</v>
      </c>
      <c r="R3460">
        <v>81</v>
      </c>
      <c r="S3460">
        <v>3</v>
      </c>
      <c r="T3460">
        <v>53</v>
      </c>
      <c r="U3460">
        <v>6</v>
      </c>
      <c r="V3460">
        <v>5</v>
      </c>
      <c r="W3460">
        <v>8</v>
      </c>
      <c r="X3460">
        <v>68</v>
      </c>
      <c r="Y3460">
        <v>1</v>
      </c>
      <c r="Z3460">
        <v>76</v>
      </c>
      <c r="AB3460">
        <v>24</v>
      </c>
      <c r="AC3460">
        <v>54</v>
      </c>
      <c r="AJ3460">
        <v>0</v>
      </c>
      <c r="AK3460">
        <v>5</v>
      </c>
      <c r="AL3460">
        <v>0</v>
      </c>
      <c r="AM3460">
        <v>0</v>
      </c>
      <c r="AN3460">
        <v>0</v>
      </c>
      <c r="AO3460">
        <v>0</v>
      </c>
      <c r="AP3460">
        <v>0</v>
      </c>
      <c r="AQ3460">
        <v>0</v>
      </c>
      <c r="AR3460">
        <v>0</v>
      </c>
      <c r="AS3460">
        <v>1</v>
      </c>
      <c r="AT3460">
        <v>0</v>
      </c>
      <c r="AW3460">
        <v>0</v>
      </c>
      <c r="AX3460">
        <v>19</v>
      </c>
      <c r="AY3460">
        <v>411</v>
      </c>
      <c r="AZ3460">
        <v>411</v>
      </c>
      <c r="BA3460">
        <v>642</v>
      </c>
      <c r="BB3460">
        <v>46</v>
      </c>
      <c r="BD3460">
        <v>1</v>
      </c>
      <c r="BF3460" t="s">
        <v>3702</v>
      </c>
      <c r="BG3460" s="1">
        <v>44353.995289351849</v>
      </c>
      <c r="BH3460" s="1">
        <v>44354.000810185185</v>
      </c>
      <c r="BI3460" s="1">
        <v>44354.001875000002</v>
      </c>
      <c r="BJ3460" t="s">
        <v>197</v>
      </c>
      <c r="BK3460" t="s">
        <v>198</v>
      </c>
      <c r="BL3460" t="s">
        <v>87</v>
      </c>
    </row>
    <row r="3461" spans="1:64" x14ac:dyDescent="0.3">
      <c r="A3461" t="str">
        <f>"202368C0100"</f>
        <v>202368C0100</v>
      </c>
      <c r="B3461" t="str">
        <f>"202368C01003"</f>
        <v>202368C01003</v>
      </c>
      <c r="C3461" t="str">
        <f t="shared" si="246"/>
        <v>20</v>
      </c>
      <c r="D3461" t="s">
        <v>81</v>
      </c>
      <c r="E3461" t="str">
        <f t="shared" si="250"/>
        <v>553</v>
      </c>
      <c r="F3461" t="s">
        <v>3695</v>
      </c>
      <c r="G3461" t="str">
        <f>"2368"</f>
        <v>2368</v>
      </c>
      <c r="H3461" t="str">
        <f>"0001"</f>
        <v>0001</v>
      </c>
      <c r="I3461" t="s">
        <v>89</v>
      </c>
      <c r="J3461">
        <v>0</v>
      </c>
      <c r="K3461">
        <v>1</v>
      </c>
      <c r="L3461">
        <v>3</v>
      </c>
      <c r="M3461">
        <v>296</v>
      </c>
      <c r="N3461">
        <v>392</v>
      </c>
      <c r="O3461">
        <v>6</v>
      </c>
      <c r="P3461">
        <v>392</v>
      </c>
      <c r="Q3461">
        <v>7</v>
      </c>
      <c r="R3461">
        <v>67</v>
      </c>
      <c r="S3461">
        <v>7</v>
      </c>
      <c r="T3461">
        <v>51</v>
      </c>
      <c r="U3461">
        <v>5</v>
      </c>
      <c r="V3461">
        <v>7</v>
      </c>
      <c r="W3461">
        <v>17</v>
      </c>
      <c r="X3461">
        <v>59</v>
      </c>
      <c r="Y3461">
        <v>11</v>
      </c>
      <c r="Z3461">
        <v>80</v>
      </c>
      <c r="AB3461">
        <v>19</v>
      </c>
      <c r="AC3461">
        <v>51</v>
      </c>
      <c r="AJ3461">
        <v>1</v>
      </c>
      <c r="AK3461">
        <v>1</v>
      </c>
      <c r="AL3461" t="s">
        <v>95</v>
      </c>
      <c r="AM3461" t="s">
        <v>95</v>
      </c>
      <c r="AN3461" t="s">
        <v>95</v>
      </c>
      <c r="AO3461" t="s">
        <v>95</v>
      </c>
      <c r="AP3461" t="s">
        <v>95</v>
      </c>
      <c r="AQ3461" t="s">
        <v>95</v>
      </c>
      <c r="AR3461" t="s">
        <v>95</v>
      </c>
      <c r="AS3461">
        <v>1</v>
      </c>
      <c r="AT3461" t="s">
        <v>95</v>
      </c>
      <c r="AW3461" t="s">
        <v>95</v>
      </c>
      <c r="AX3461">
        <v>8</v>
      </c>
      <c r="AY3461">
        <v>392</v>
      </c>
      <c r="AZ3461">
        <v>392</v>
      </c>
      <c r="BA3461">
        <v>642</v>
      </c>
      <c r="BB3461">
        <v>46</v>
      </c>
      <c r="BC3461" t="s">
        <v>96</v>
      </c>
      <c r="BD3461">
        <v>1</v>
      </c>
      <c r="BF3461" t="s">
        <v>3703</v>
      </c>
      <c r="BG3461" s="1">
        <v>44353.973252314812</v>
      </c>
      <c r="BH3461" s="1">
        <v>44353.975775462961</v>
      </c>
      <c r="BI3461" s="1">
        <v>44353.976736111108</v>
      </c>
      <c r="BJ3461" t="s">
        <v>197</v>
      </c>
      <c r="BK3461" t="s">
        <v>198</v>
      </c>
      <c r="BL3461" t="s">
        <v>87</v>
      </c>
    </row>
    <row r="3462" spans="1:64" x14ac:dyDescent="0.3">
      <c r="A3462" t="str">
        <f>"202368C0200"</f>
        <v>202368C0200</v>
      </c>
      <c r="B3462" t="str">
        <f>"202368C02003"</f>
        <v>202368C02003</v>
      </c>
      <c r="C3462" t="str">
        <f t="shared" si="246"/>
        <v>20</v>
      </c>
      <c r="D3462" t="s">
        <v>81</v>
      </c>
      <c r="E3462" t="str">
        <f t="shared" si="250"/>
        <v>553</v>
      </c>
      <c r="F3462" t="s">
        <v>3695</v>
      </c>
      <c r="G3462" t="str">
        <f>"2368"</f>
        <v>2368</v>
      </c>
      <c r="H3462" t="str">
        <f>"0002"</f>
        <v>0002</v>
      </c>
      <c r="I3462" t="s">
        <v>89</v>
      </c>
      <c r="J3462">
        <v>0</v>
      </c>
      <c r="K3462">
        <v>1</v>
      </c>
      <c r="L3462">
        <v>3</v>
      </c>
      <c r="M3462">
        <v>284</v>
      </c>
      <c r="N3462">
        <v>404</v>
      </c>
      <c r="O3462">
        <v>6</v>
      </c>
      <c r="P3462" t="s">
        <v>92</v>
      </c>
      <c r="Q3462">
        <v>5</v>
      </c>
      <c r="R3462">
        <v>81</v>
      </c>
      <c r="S3462">
        <v>6</v>
      </c>
      <c r="T3462">
        <v>39</v>
      </c>
      <c r="U3462">
        <v>2</v>
      </c>
      <c r="V3462">
        <v>3</v>
      </c>
      <c r="W3462">
        <v>14</v>
      </c>
      <c r="X3462">
        <v>62</v>
      </c>
      <c r="Y3462" t="s">
        <v>95</v>
      </c>
      <c r="Z3462">
        <v>95</v>
      </c>
      <c r="AB3462">
        <v>34</v>
      </c>
      <c r="AC3462">
        <v>50</v>
      </c>
      <c r="AJ3462" t="s">
        <v>95</v>
      </c>
      <c r="AK3462" t="s">
        <v>95</v>
      </c>
      <c r="AL3462" t="s">
        <v>95</v>
      </c>
      <c r="AM3462" t="s">
        <v>95</v>
      </c>
      <c r="AN3462" t="s">
        <v>95</v>
      </c>
      <c r="AO3462" t="s">
        <v>95</v>
      </c>
      <c r="AP3462" t="s">
        <v>95</v>
      </c>
      <c r="AQ3462" t="s">
        <v>95</v>
      </c>
      <c r="AR3462" t="s">
        <v>95</v>
      </c>
      <c r="AS3462" t="s">
        <v>95</v>
      </c>
      <c r="AT3462" t="s">
        <v>95</v>
      </c>
      <c r="AW3462" t="s">
        <v>95</v>
      </c>
      <c r="AX3462">
        <v>13</v>
      </c>
      <c r="AY3462">
        <v>404</v>
      </c>
      <c r="AZ3462">
        <v>404</v>
      </c>
      <c r="BA3462">
        <v>642</v>
      </c>
      <c r="BB3462">
        <v>46</v>
      </c>
      <c r="BC3462" t="s">
        <v>96</v>
      </c>
      <c r="BD3462">
        <v>1</v>
      </c>
      <c r="BF3462" t="s">
        <v>3704</v>
      </c>
      <c r="BG3462" s="1">
        <v>44353.954270833332</v>
      </c>
      <c r="BH3462" s="1">
        <v>44353.958437499998</v>
      </c>
      <c r="BI3462" s="1">
        <v>44353.959166666667</v>
      </c>
      <c r="BJ3462" t="s">
        <v>197</v>
      </c>
      <c r="BK3462" t="s">
        <v>198</v>
      </c>
      <c r="BL3462" t="s">
        <v>87</v>
      </c>
    </row>
    <row r="3463" spans="1:64" x14ac:dyDescent="0.3">
      <c r="A3463" t="str">
        <f>"202368S0100"</f>
        <v>202368S0100</v>
      </c>
      <c r="B3463" t="str">
        <f>"202368S01003E"</f>
        <v>202368S01003E</v>
      </c>
      <c r="C3463" t="str">
        <f t="shared" ref="C3463:C3526" si="252">"20"</f>
        <v>20</v>
      </c>
      <c r="D3463" t="s">
        <v>81</v>
      </c>
      <c r="E3463" t="str">
        <f t="shared" si="250"/>
        <v>553</v>
      </c>
      <c r="F3463" t="s">
        <v>3695</v>
      </c>
      <c r="G3463" t="str">
        <f>"2368"</f>
        <v>2368</v>
      </c>
      <c r="H3463" t="str">
        <f>"0001"</f>
        <v>0001</v>
      </c>
      <c r="I3463" t="s">
        <v>99</v>
      </c>
      <c r="J3463">
        <v>0</v>
      </c>
      <c r="K3463">
        <v>1</v>
      </c>
      <c r="L3463" t="s">
        <v>100</v>
      </c>
      <c r="M3463">
        <v>935</v>
      </c>
      <c r="N3463">
        <v>65</v>
      </c>
      <c r="O3463">
        <v>0</v>
      </c>
      <c r="P3463">
        <v>65</v>
      </c>
      <c r="Q3463">
        <v>1</v>
      </c>
      <c r="R3463">
        <v>15</v>
      </c>
      <c r="S3463">
        <v>0</v>
      </c>
      <c r="T3463">
        <v>7</v>
      </c>
      <c r="U3463">
        <v>3</v>
      </c>
      <c r="V3463">
        <v>0</v>
      </c>
      <c r="W3463">
        <v>3</v>
      </c>
      <c r="X3463">
        <v>10</v>
      </c>
      <c r="Y3463">
        <v>1</v>
      </c>
      <c r="Z3463">
        <v>8</v>
      </c>
      <c r="AB3463">
        <v>2</v>
      </c>
      <c r="AC3463">
        <v>15</v>
      </c>
      <c r="AJ3463">
        <v>0</v>
      </c>
      <c r="AK3463">
        <v>0</v>
      </c>
      <c r="AL3463">
        <v>0</v>
      </c>
      <c r="AM3463">
        <v>0</v>
      </c>
      <c r="AN3463">
        <v>0</v>
      </c>
      <c r="AO3463">
        <v>0</v>
      </c>
      <c r="AP3463">
        <v>0</v>
      </c>
      <c r="AQ3463">
        <v>0</v>
      </c>
      <c r="AR3463">
        <v>0</v>
      </c>
      <c r="AS3463">
        <v>0</v>
      </c>
      <c r="AT3463">
        <v>0</v>
      </c>
      <c r="AW3463">
        <v>0</v>
      </c>
      <c r="AX3463">
        <v>0</v>
      </c>
      <c r="AY3463">
        <v>65</v>
      </c>
      <c r="AZ3463">
        <v>65</v>
      </c>
      <c r="BA3463">
        <v>0</v>
      </c>
      <c r="BB3463">
        <v>46</v>
      </c>
      <c r="BD3463">
        <v>1</v>
      </c>
      <c r="BF3463" t="s">
        <v>3705</v>
      </c>
      <c r="BG3463" s="1">
        <v>44354.473611111112</v>
      </c>
      <c r="BH3463" s="1">
        <v>44354.474988425929</v>
      </c>
      <c r="BI3463" s="1">
        <v>44354.476435185185</v>
      </c>
      <c r="BJ3463" t="s">
        <v>85</v>
      </c>
      <c r="BK3463" t="s">
        <v>86</v>
      </c>
      <c r="BL3463" t="s">
        <v>87</v>
      </c>
    </row>
    <row r="3464" spans="1:64" x14ac:dyDescent="0.3">
      <c r="A3464" t="str">
        <f>"202368S0200"</f>
        <v>202368S0200</v>
      </c>
      <c r="B3464" t="str">
        <f>"202368S02003E"</f>
        <v>202368S02003E</v>
      </c>
      <c r="C3464" t="str">
        <f t="shared" si="252"/>
        <v>20</v>
      </c>
      <c r="D3464" t="s">
        <v>81</v>
      </c>
      <c r="E3464" t="str">
        <f t="shared" si="250"/>
        <v>553</v>
      </c>
      <c r="F3464" t="s">
        <v>3695</v>
      </c>
      <c r="G3464" t="str">
        <f>"2368"</f>
        <v>2368</v>
      </c>
      <c r="H3464" t="str">
        <f>"0002"</f>
        <v>0002</v>
      </c>
      <c r="I3464" t="s">
        <v>99</v>
      </c>
      <c r="J3464">
        <v>0</v>
      </c>
      <c r="K3464">
        <v>1</v>
      </c>
      <c r="L3464" t="s">
        <v>100</v>
      </c>
      <c r="M3464">
        <v>939</v>
      </c>
      <c r="N3464">
        <v>61</v>
      </c>
      <c r="O3464">
        <v>0</v>
      </c>
      <c r="P3464">
        <v>61</v>
      </c>
      <c r="Q3464">
        <v>0</v>
      </c>
      <c r="R3464">
        <v>11</v>
      </c>
      <c r="S3464">
        <v>1</v>
      </c>
      <c r="T3464">
        <v>6</v>
      </c>
      <c r="U3464">
        <v>3</v>
      </c>
      <c r="V3464">
        <v>0</v>
      </c>
      <c r="W3464">
        <v>1</v>
      </c>
      <c r="X3464">
        <v>10</v>
      </c>
      <c r="Y3464">
        <v>0</v>
      </c>
      <c r="Z3464">
        <v>9</v>
      </c>
      <c r="AB3464">
        <v>2</v>
      </c>
      <c r="AC3464">
        <v>17</v>
      </c>
      <c r="AJ3464">
        <v>1</v>
      </c>
      <c r="AK3464">
        <v>0</v>
      </c>
      <c r="AL3464">
        <v>0</v>
      </c>
      <c r="AM3464">
        <v>0</v>
      </c>
      <c r="AN3464">
        <v>0</v>
      </c>
      <c r="AO3464">
        <v>0</v>
      </c>
      <c r="AP3464">
        <v>0</v>
      </c>
      <c r="AQ3464">
        <v>0</v>
      </c>
      <c r="AR3464">
        <v>0</v>
      </c>
      <c r="AS3464">
        <v>0</v>
      </c>
      <c r="AT3464">
        <v>0</v>
      </c>
      <c r="AW3464">
        <v>0</v>
      </c>
      <c r="AX3464">
        <v>0</v>
      </c>
      <c r="AY3464">
        <v>61</v>
      </c>
      <c r="AZ3464">
        <v>61</v>
      </c>
      <c r="BA3464">
        <v>0</v>
      </c>
      <c r="BB3464">
        <v>46</v>
      </c>
      <c r="BD3464">
        <v>1</v>
      </c>
      <c r="BF3464" t="s">
        <v>3706</v>
      </c>
      <c r="BG3464" s="1">
        <v>44354.470138888886</v>
      </c>
      <c r="BH3464" s="1">
        <v>44354.472129629627</v>
      </c>
      <c r="BI3464" s="1">
        <v>44354.473136574074</v>
      </c>
      <c r="BJ3464" t="s">
        <v>85</v>
      </c>
      <c r="BK3464" t="s">
        <v>86</v>
      </c>
      <c r="BL3464" t="s">
        <v>87</v>
      </c>
    </row>
    <row r="3465" spans="1:64" x14ac:dyDescent="0.3">
      <c r="A3465" t="str">
        <f>"202369B0000"</f>
        <v>202369B0000</v>
      </c>
      <c r="B3465" t="str">
        <f>"202369B00003"</f>
        <v>202369B00003</v>
      </c>
      <c r="C3465" t="str">
        <f t="shared" si="252"/>
        <v>20</v>
      </c>
      <c r="D3465" t="s">
        <v>81</v>
      </c>
      <c r="E3465" t="str">
        <f t="shared" si="250"/>
        <v>553</v>
      </c>
      <c r="F3465" t="s">
        <v>3695</v>
      </c>
      <c r="G3465" t="str">
        <f>"2369"</f>
        <v>2369</v>
      </c>
      <c r="H3465" t="str">
        <f>"0000"</f>
        <v>0000</v>
      </c>
      <c r="I3465" t="s">
        <v>83</v>
      </c>
      <c r="J3465">
        <v>0</v>
      </c>
      <c r="K3465">
        <v>1</v>
      </c>
      <c r="L3465">
        <v>3</v>
      </c>
      <c r="M3465">
        <v>217</v>
      </c>
      <c r="N3465">
        <v>341</v>
      </c>
      <c r="O3465">
        <v>9</v>
      </c>
      <c r="P3465">
        <v>341</v>
      </c>
      <c r="Q3465">
        <v>1</v>
      </c>
      <c r="R3465">
        <v>67</v>
      </c>
      <c r="S3465">
        <v>2</v>
      </c>
      <c r="T3465">
        <v>36</v>
      </c>
      <c r="U3465">
        <v>8</v>
      </c>
      <c r="V3465">
        <v>4</v>
      </c>
      <c r="W3465">
        <v>13</v>
      </c>
      <c r="X3465">
        <v>51</v>
      </c>
      <c r="Y3465">
        <v>3</v>
      </c>
      <c r="Z3465">
        <v>80</v>
      </c>
      <c r="AB3465">
        <v>21</v>
      </c>
      <c r="AC3465">
        <v>42</v>
      </c>
      <c r="AJ3465">
        <v>1</v>
      </c>
      <c r="AK3465">
        <v>2</v>
      </c>
      <c r="AL3465">
        <v>0</v>
      </c>
      <c r="AM3465">
        <v>0</v>
      </c>
      <c r="AN3465">
        <v>0</v>
      </c>
      <c r="AO3465">
        <v>0</v>
      </c>
      <c r="AP3465">
        <v>0</v>
      </c>
      <c r="AQ3465">
        <v>1</v>
      </c>
      <c r="AR3465">
        <v>0</v>
      </c>
      <c r="AS3465">
        <v>0</v>
      </c>
      <c r="AT3465">
        <v>0</v>
      </c>
      <c r="AW3465">
        <v>0</v>
      </c>
      <c r="AX3465">
        <v>9</v>
      </c>
      <c r="AY3465">
        <v>341</v>
      </c>
      <c r="AZ3465">
        <v>341</v>
      </c>
      <c r="BA3465">
        <v>512</v>
      </c>
      <c r="BB3465">
        <v>46</v>
      </c>
      <c r="BD3465">
        <v>1</v>
      </c>
      <c r="BF3465" t="s">
        <v>3707</v>
      </c>
      <c r="BG3465" s="1">
        <v>44354.463194444441</v>
      </c>
      <c r="BH3465" s="1">
        <v>44354.465717592589</v>
      </c>
      <c r="BI3465" s="1">
        <v>44354.469942129632</v>
      </c>
      <c r="BJ3465" t="s">
        <v>85</v>
      </c>
      <c r="BK3465" t="s">
        <v>86</v>
      </c>
      <c r="BL3465" t="s">
        <v>87</v>
      </c>
    </row>
    <row r="3466" spans="1:64" x14ac:dyDescent="0.3">
      <c r="A3466" t="str">
        <f>"202369C0100"</f>
        <v>202369C0100</v>
      </c>
      <c r="B3466" t="str">
        <f>"202369C01003"</f>
        <v>202369C01003</v>
      </c>
      <c r="C3466" t="str">
        <f t="shared" si="252"/>
        <v>20</v>
      </c>
      <c r="D3466" t="s">
        <v>81</v>
      </c>
      <c r="E3466" t="str">
        <f t="shared" si="250"/>
        <v>553</v>
      </c>
      <c r="F3466" t="s">
        <v>3695</v>
      </c>
      <c r="G3466" t="str">
        <f>"2369"</f>
        <v>2369</v>
      </c>
      <c r="H3466" t="str">
        <f>"0001"</f>
        <v>0001</v>
      </c>
      <c r="I3466" t="s">
        <v>89</v>
      </c>
      <c r="J3466">
        <v>0</v>
      </c>
      <c r="K3466">
        <v>1</v>
      </c>
      <c r="L3466">
        <v>3</v>
      </c>
      <c r="M3466">
        <v>223</v>
      </c>
      <c r="N3466">
        <v>335</v>
      </c>
      <c r="O3466">
        <v>15</v>
      </c>
      <c r="P3466">
        <v>335</v>
      </c>
      <c r="Q3466">
        <v>4</v>
      </c>
      <c r="R3466">
        <v>59</v>
      </c>
      <c r="S3466">
        <v>3</v>
      </c>
      <c r="T3466">
        <v>32</v>
      </c>
      <c r="U3466">
        <v>10</v>
      </c>
      <c r="V3466">
        <v>2</v>
      </c>
      <c r="W3466">
        <v>19</v>
      </c>
      <c r="X3466">
        <v>56</v>
      </c>
      <c r="Y3466">
        <v>5</v>
      </c>
      <c r="Z3466">
        <v>72</v>
      </c>
      <c r="AB3466">
        <v>23</v>
      </c>
      <c r="AC3466">
        <v>42</v>
      </c>
      <c r="AJ3466">
        <v>1</v>
      </c>
      <c r="AK3466">
        <v>1</v>
      </c>
      <c r="AL3466">
        <v>0</v>
      </c>
      <c r="AM3466">
        <v>0</v>
      </c>
      <c r="AN3466">
        <v>1</v>
      </c>
      <c r="AO3466">
        <v>0</v>
      </c>
      <c r="AP3466">
        <v>0</v>
      </c>
      <c r="AQ3466">
        <v>0</v>
      </c>
      <c r="AR3466">
        <v>0</v>
      </c>
      <c r="AS3466">
        <v>0</v>
      </c>
      <c r="AT3466">
        <v>0</v>
      </c>
      <c r="AW3466">
        <v>0</v>
      </c>
      <c r="AX3466">
        <v>5</v>
      </c>
      <c r="AY3466">
        <v>335</v>
      </c>
      <c r="AZ3466">
        <v>335</v>
      </c>
      <c r="BA3466">
        <v>512</v>
      </c>
      <c r="BB3466">
        <v>46</v>
      </c>
      <c r="BD3466">
        <v>1</v>
      </c>
      <c r="BF3466" t="s">
        <v>3708</v>
      </c>
      <c r="BG3466" s="1">
        <v>44354.464583333334</v>
      </c>
      <c r="BH3466" s="1">
        <v>44354.468391203707</v>
      </c>
      <c r="BI3466" s="1">
        <v>44354.469143518516</v>
      </c>
      <c r="BJ3466" t="s">
        <v>85</v>
      </c>
      <c r="BK3466" t="s">
        <v>86</v>
      </c>
      <c r="BL3466" t="s">
        <v>87</v>
      </c>
    </row>
    <row r="3467" spans="1:64" x14ac:dyDescent="0.3">
      <c r="A3467" t="str">
        <f>"202369C0200"</f>
        <v>202369C0200</v>
      </c>
      <c r="B3467" t="str">
        <f>"202369C02003"</f>
        <v>202369C02003</v>
      </c>
      <c r="C3467" t="str">
        <f t="shared" si="252"/>
        <v>20</v>
      </c>
      <c r="D3467" t="s">
        <v>81</v>
      </c>
      <c r="E3467" t="str">
        <f t="shared" si="250"/>
        <v>553</v>
      </c>
      <c r="F3467" t="s">
        <v>3695</v>
      </c>
      <c r="G3467" t="str">
        <f>"2369"</f>
        <v>2369</v>
      </c>
      <c r="H3467" t="str">
        <f>"0002"</f>
        <v>0002</v>
      </c>
      <c r="I3467" t="s">
        <v>89</v>
      </c>
      <c r="J3467">
        <v>0</v>
      </c>
      <c r="K3467">
        <v>1</v>
      </c>
      <c r="L3467">
        <v>3</v>
      </c>
      <c r="M3467">
        <v>236</v>
      </c>
      <c r="N3467">
        <v>321</v>
      </c>
      <c r="O3467">
        <v>11</v>
      </c>
      <c r="P3467">
        <v>321</v>
      </c>
      <c r="Q3467">
        <v>6</v>
      </c>
      <c r="R3467">
        <v>62</v>
      </c>
      <c r="S3467">
        <v>1</v>
      </c>
      <c r="T3467">
        <v>35</v>
      </c>
      <c r="U3467">
        <v>6</v>
      </c>
      <c r="V3467">
        <v>1</v>
      </c>
      <c r="W3467">
        <v>24</v>
      </c>
      <c r="X3467">
        <v>36</v>
      </c>
      <c r="Y3467">
        <v>5</v>
      </c>
      <c r="Z3467">
        <v>76</v>
      </c>
      <c r="AB3467">
        <v>11</v>
      </c>
      <c r="AC3467">
        <v>48</v>
      </c>
      <c r="AJ3467">
        <v>0</v>
      </c>
      <c r="AK3467">
        <v>3</v>
      </c>
      <c r="AL3467">
        <v>0</v>
      </c>
      <c r="AM3467">
        <v>0</v>
      </c>
      <c r="AN3467">
        <v>0</v>
      </c>
      <c r="AO3467">
        <v>0</v>
      </c>
      <c r="AP3467">
        <v>0</v>
      </c>
      <c r="AQ3467">
        <v>0</v>
      </c>
      <c r="AR3467">
        <v>1</v>
      </c>
      <c r="AS3467">
        <v>0</v>
      </c>
      <c r="AT3467">
        <v>0</v>
      </c>
      <c r="AW3467">
        <v>0</v>
      </c>
      <c r="AX3467">
        <v>6</v>
      </c>
      <c r="AY3467">
        <v>321</v>
      </c>
      <c r="AZ3467">
        <v>321</v>
      </c>
      <c r="BA3467">
        <v>511</v>
      </c>
      <c r="BB3467">
        <v>46</v>
      </c>
      <c r="BD3467">
        <v>1</v>
      </c>
      <c r="BF3467" t="s">
        <v>3709</v>
      </c>
      <c r="BG3467" s="1">
        <v>44354.463888888888</v>
      </c>
      <c r="BH3467" s="1">
        <v>44354.466006944444</v>
      </c>
      <c r="BI3467" s="1">
        <v>44354.467407407406</v>
      </c>
      <c r="BJ3467" t="s">
        <v>85</v>
      </c>
      <c r="BK3467" t="s">
        <v>86</v>
      </c>
      <c r="BL3467" t="s">
        <v>87</v>
      </c>
    </row>
    <row r="3468" spans="1:64" x14ac:dyDescent="0.3">
      <c r="A3468" t="str">
        <f>"202370B0000"</f>
        <v>202370B0000</v>
      </c>
      <c r="B3468" t="str">
        <f>"202370B00003"</f>
        <v>202370B00003</v>
      </c>
      <c r="C3468" t="str">
        <f t="shared" si="252"/>
        <v>20</v>
      </c>
      <c r="D3468" t="s">
        <v>81</v>
      </c>
      <c r="E3468" t="str">
        <f t="shared" si="250"/>
        <v>553</v>
      </c>
      <c r="F3468" t="s">
        <v>3695</v>
      </c>
      <c r="G3468" t="str">
        <f>"2370"</f>
        <v>2370</v>
      </c>
      <c r="H3468" t="str">
        <f>"0000"</f>
        <v>0000</v>
      </c>
      <c r="I3468" t="s">
        <v>83</v>
      </c>
      <c r="J3468">
        <v>0</v>
      </c>
      <c r="K3468">
        <v>1</v>
      </c>
      <c r="L3468">
        <v>3</v>
      </c>
      <c r="M3468">
        <v>207</v>
      </c>
      <c r="N3468">
        <v>373</v>
      </c>
      <c r="O3468">
        <v>11</v>
      </c>
      <c r="P3468">
        <v>373</v>
      </c>
      <c r="Q3468">
        <v>6</v>
      </c>
      <c r="R3468">
        <v>103</v>
      </c>
      <c r="S3468">
        <v>6</v>
      </c>
      <c r="T3468">
        <v>46</v>
      </c>
      <c r="U3468">
        <v>3</v>
      </c>
      <c r="V3468">
        <v>8</v>
      </c>
      <c r="W3468">
        <v>22</v>
      </c>
      <c r="X3468">
        <v>42</v>
      </c>
      <c r="Y3468">
        <v>3</v>
      </c>
      <c r="Z3468">
        <v>49</v>
      </c>
      <c r="AB3468">
        <v>33</v>
      </c>
      <c r="AC3468">
        <v>46</v>
      </c>
      <c r="AJ3468">
        <v>0</v>
      </c>
      <c r="AK3468">
        <v>1</v>
      </c>
      <c r="AL3468">
        <v>0</v>
      </c>
      <c r="AM3468">
        <v>0</v>
      </c>
      <c r="AN3468">
        <v>0</v>
      </c>
      <c r="AO3468">
        <v>0</v>
      </c>
      <c r="AP3468">
        <v>0</v>
      </c>
      <c r="AQ3468">
        <v>0</v>
      </c>
      <c r="AR3468">
        <v>0</v>
      </c>
      <c r="AS3468">
        <v>0</v>
      </c>
      <c r="AT3468">
        <v>0</v>
      </c>
      <c r="AW3468">
        <v>0</v>
      </c>
      <c r="AX3468">
        <v>5</v>
      </c>
      <c r="AY3468">
        <v>373</v>
      </c>
      <c r="AZ3468">
        <v>373</v>
      </c>
      <c r="BA3468">
        <v>534</v>
      </c>
      <c r="BB3468">
        <v>46</v>
      </c>
      <c r="BD3468">
        <v>1</v>
      </c>
      <c r="BF3468" t="s">
        <v>3710</v>
      </c>
      <c r="BG3468" s="1">
        <v>44354.473611111112</v>
      </c>
      <c r="BH3468" s="1">
        <v>44354.475486111114</v>
      </c>
      <c r="BI3468" s="1">
        <v>44354.476076388892</v>
      </c>
      <c r="BJ3468" t="s">
        <v>85</v>
      </c>
      <c r="BK3468" t="s">
        <v>86</v>
      </c>
      <c r="BL3468" t="s">
        <v>87</v>
      </c>
    </row>
    <row r="3469" spans="1:64" x14ac:dyDescent="0.3">
      <c r="A3469" t="str">
        <f>"202370C0100"</f>
        <v>202370C0100</v>
      </c>
      <c r="B3469" t="str">
        <f>"202370C01003"</f>
        <v>202370C01003</v>
      </c>
      <c r="C3469" t="str">
        <f t="shared" si="252"/>
        <v>20</v>
      </c>
      <c r="D3469" t="s">
        <v>81</v>
      </c>
      <c r="E3469" t="str">
        <f t="shared" si="250"/>
        <v>553</v>
      </c>
      <c r="F3469" t="s">
        <v>3695</v>
      </c>
      <c r="G3469" t="str">
        <f>"2370"</f>
        <v>2370</v>
      </c>
      <c r="H3469" t="str">
        <f>"0001"</f>
        <v>0001</v>
      </c>
      <c r="I3469" t="s">
        <v>89</v>
      </c>
      <c r="J3469">
        <v>0</v>
      </c>
      <c r="K3469">
        <v>1</v>
      </c>
      <c r="L3469">
        <v>3</v>
      </c>
      <c r="M3469">
        <v>237</v>
      </c>
      <c r="N3469">
        <v>343</v>
      </c>
      <c r="O3469">
        <v>11</v>
      </c>
      <c r="P3469">
        <v>343</v>
      </c>
      <c r="Q3469">
        <v>5</v>
      </c>
      <c r="R3469">
        <v>67</v>
      </c>
      <c r="S3469">
        <v>3</v>
      </c>
      <c r="T3469">
        <v>47</v>
      </c>
      <c r="U3469">
        <v>6</v>
      </c>
      <c r="V3469">
        <v>6</v>
      </c>
      <c r="W3469">
        <v>26</v>
      </c>
      <c r="X3469">
        <v>28</v>
      </c>
      <c r="Y3469">
        <v>4</v>
      </c>
      <c r="Z3469">
        <v>62</v>
      </c>
      <c r="AB3469">
        <v>37</v>
      </c>
      <c r="AC3469">
        <v>45</v>
      </c>
      <c r="AJ3469">
        <v>2</v>
      </c>
      <c r="AK3469">
        <v>1</v>
      </c>
      <c r="AL3469">
        <v>0</v>
      </c>
      <c r="AM3469">
        <v>0</v>
      </c>
      <c r="AN3469">
        <v>1</v>
      </c>
      <c r="AO3469">
        <v>1</v>
      </c>
      <c r="AP3469">
        <v>0</v>
      </c>
      <c r="AQ3469">
        <v>0</v>
      </c>
      <c r="AR3469">
        <v>0</v>
      </c>
      <c r="AS3469">
        <v>0</v>
      </c>
      <c r="AT3469">
        <v>0</v>
      </c>
      <c r="AW3469">
        <v>0</v>
      </c>
      <c r="AX3469">
        <v>2</v>
      </c>
      <c r="AY3469">
        <v>343</v>
      </c>
      <c r="AZ3469">
        <v>343</v>
      </c>
      <c r="BA3469">
        <v>534</v>
      </c>
      <c r="BB3469">
        <v>46</v>
      </c>
      <c r="BD3469">
        <v>1</v>
      </c>
      <c r="BF3469" t="s">
        <v>3711</v>
      </c>
      <c r="BG3469" s="1">
        <v>44354.472916666666</v>
      </c>
      <c r="BH3469" s="1">
        <v>44354.475381944445</v>
      </c>
      <c r="BI3469" s="1">
        <v>44354.476168981484</v>
      </c>
      <c r="BJ3469" t="s">
        <v>85</v>
      </c>
      <c r="BK3469" t="s">
        <v>86</v>
      </c>
      <c r="BL3469" t="s">
        <v>87</v>
      </c>
    </row>
    <row r="3470" spans="1:64" x14ac:dyDescent="0.3">
      <c r="A3470" t="str">
        <f>"202371B0000"</f>
        <v>202371B0000</v>
      </c>
      <c r="B3470" t="str">
        <f>"202371B00003"</f>
        <v>202371B00003</v>
      </c>
      <c r="C3470" t="str">
        <f t="shared" si="252"/>
        <v>20</v>
      </c>
      <c r="D3470" t="s">
        <v>81</v>
      </c>
      <c r="E3470" t="str">
        <f t="shared" si="250"/>
        <v>553</v>
      </c>
      <c r="F3470" t="s">
        <v>3695</v>
      </c>
      <c r="G3470" t="str">
        <f>"2371"</f>
        <v>2371</v>
      </c>
      <c r="H3470" t="str">
        <f>"0000"</f>
        <v>0000</v>
      </c>
      <c r="I3470" t="s">
        <v>83</v>
      </c>
      <c r="J3470">
        <v>0</v>
      </c>
      <c r="K3470">
        <v>1</v>
      </c>
      <c r="L3470">
        <v>3</v>
      </c>
      <c r="M3470">
        <v>236</v>
      </c>
      <c r="N3470">
        <v>384</v>
      </c>
      <c r="O3470">
        <v>12</v>
      </c>
      <c r="P3470">
        <v>384</v>
      </c>
      <c r="Q3470">
        <v>4</v>
      </c>
      <c r="R3470">
        <v>76</v>
      </c>
      <c r="S3470">
        <v>0</v>
      </c>
      <c r="T3470">
        <v>57</v>
      </c>
      <c r="U3470">
        <v>17</v>
      </c>
      <c r="V3470">
        <v>5</v>
      </c>
      <c r="W3470">
        <v>8</v>
      </c>
      <c r="X3470">
        <v>45</v>
      </c>
      <c r="Y3470">
        <v>2</v>
      </c>
      <c r="Z3470">
        <v>69</v>
      </c>
      <c r="AB3470">
        <v>26</v>
      </c>
      <c r="AC3470">
        <v>63</v>
      </c>
      <c r="AJ3470">
        <v>1</v>
      </c>
      <c r="AK3470">
        <v>2</v>
      </c>
      <c r="AL3470">
        <v>0</v>
      </c>
      <c r="AM3470">
        <v>0</v>
      </c>
      <c r="AN3470">
        <v>0</v>
      </c>
      <c r="AO3470">
        <v>1</v>
      </c>
      <c r="AP3470">
        <v>0</v>
      </c>
      <c r="AQ3470">
        <v>0</v>
      </c>
      <c r="AR3470">
        <v>0</v>
      </c>
      <c r="AS3470">
        <v>0</v>
      </c>
      <c r="AT3470">
        <v>0</v>
      </c>
      <c r="AW3470">
        <v>0</v>
      </c>
      <c r="AX3470">
        <v>8</v>
      </c>
      <c r="AY3470">
        <v>384</v>
      </c>
      <c r="AZ3470">
        <v>384</v>
      </c>
      <c r="BA3470">
        <v>574</v>
      </c>
      <c r="BB3470">
        <v>46</v>
      </c>
      <c r="BD3470">
        <v>1</v>
      </c>
      <c r="BF3470" t="s">
        <v>3712</v>
      </c>
      <c r="BG3470" s="1">
        <v>44354.47152777778</v>
      </c>
      <c r="BH3470" s="1">
        <v>44354.474131944444</v>
      </c>
      <c r="BI3470" s="1">
        <v>44354.475624999999</v>
      </c>
      <c r="BJ3470" t="s">
        <v>85</v>
      </c>
      <c r="BK3470" t="s">
        <v>86</v>
      </c>
      <c r="BL3470" t="s">
        <v>87</v>
      </c>
    </row>
    <row r="3471" spans="1:64" x14ac:dyDescent="0.3">
      <c r="A3471" t="str">
        <f>"202371C0100"</f>
        <v>202371C0100</v>
      </c>
      <c r="B3471" t="str">
        <f>"202371C01003"</f>
        <v>202371C01003</v>
      </c>
      <c r="C3471" t="str">
        <f t="shared" si="252"/>
        <v>20</v>
      </c>
      <c r="D3471" t="s">
        <v>81</v>
      </c>
      <c r="E3471" t="str">
        <f t="shared" si="250"/>
        <v>553</v>
      </c>
      <c r="F3471" t="s">
        <v>3695</v>
      </c>
      <c r="G3471" t="str">
        <f>"2371"</f>
        <v>2371</v>
      </c>
      <c r="H3471" t="str">
        <f>"0001"</f>
        <v>0001</v>
      </c>
      <c r="I3471" t="s">
        <v>89</v>
      </c>
      <c r="J3471">
        <v>0</v>
      </c>
      <c r="K3471">
        <v>1</v>
      </c>
      <c r="L3471">
        <v>3</v>
      </c>
      <c r="M3471">
        <v>222</v>
      </c>
      <c r="N3471">
        <v>398</v>
      </c>
      <c r="O3471">
        <v>12</v>
      </c>
      <c r="P3471">
        <v>398</v>
      </c>
      <c r="Q3471">
        <v>1</v>
      </c>
      <c r="R3471">
        <v>63</v>
      </c>
      <c r="S3471">
        <v>6</v>
      </c>
      <c r="T3471">
        <v>45</v>
      </c>
      <c r="U3471">
        <v>22</v>
      </c>
      <c r="V3471">
        <v>8</v>
      </c>
      <c r="W3471">
        <v>22</v>
      </c>
      <c r="X3471">
        <v>43</v>
      </c>
      <c r="Y3471">
        <v>1</v>
      </c>
      <c r="Z3471">
        <v>88</v>
      </c>
      <c r="AB3471">
        <v>18</v>
      </c>
      <c r="AC3471">
        <v>71</v>
      </c>
      <c r="AJ3471">
        <v>2</v>
      </c>
      <c r="AK3471">
        <v>0</v>
      </c>
      <c r="AL3471">
        <v>0</v>
      </c>
      <c r="AM3471">
        <v>0</v>
      </c>
      <c r="AN3471">
        <v>0</v>
      </c>
      <c r="AO3471">
        <v>0</v>
      </c>
      <c r="AP3471">
        <v>0</v>
      </c>
      <c r="AQ3471">
        <v>0</v>
      </c>
      <c r="AR3471">
        <v>0</v>
      </c>
      <c r="AS3471">
        <v>0</v>
      </c>
      <c r="AT3471">
        <v>0</v>
      </c>
      <c r="AW3471">
        <v>0</v>
      </c>
      <c r="AX3471">
        <v>8</v>
      </c>
      <c r="AY3471">
        <v>398</v>
      </c>
      <c r="AZ3471">
        <v>398</v>
      </c>
      <c r="BA3471">
        <v>574</v>
      </c>
      <c r="BB3471">
        <v>46</v>
      </c>
      <c r="BD3471">
        <v>1</v>
      </c>
      <c r="BF3471" t="s">
        <v>3713</v>
      </c>
      <c r="BG3471" s="1">
        <v>44354.458333333336</v>
      </c>
      <c r="BH3471" s="1">
        <v>44354.460011574076</v>
      </c>
      <c r="BI3471" s="1">
        <v>44354.460613425923</v>
      </c>
      <c r="BJ3471" t="s">
        <v>85</v>
      </c>
      <c r="BK3471" t="s">
        <v>86</v>
      </c>
      <c r="BL3471" t="s">
        <v>87</v>
      </c>
    </row>
    <row r="3472" spans="1:64" x14ac:dyDescent="0.3">
      <c r="A3472" t="str">
        <f>"202371C0200"</f>
        <v>202371C0200</v>
      </c>
      <c r="B3472" t="str">
        <f>"202371C02003"</f>
        <v>202371C02003</v>
      </c>
      <c r="C3472" t="str">
        <f t="shared" si="252"/>
        <v>20</v>
      </c>
      <c r="D3472" t="s">
        <v>81</v>
      </c>
      <c r="E3472" t="str">
        <f t="shared" si="250"/>
        <v>553</v>
      </c>
      <c r="F3472" t="s">
        <v>3695</v>
      </c>
      <c r="G3472" t="str">
        <f>"2371"</f>
        <v>2371</v>
      </c>
      <c r="H3472" t="str">
        <f>"0002"</f>
        <v>0002</v>
      </c>
      <c r="I3472" t="s">
        <v>89</v>
      </c>
      <c r="J3472">
        <v>0</v>
      </c>
      <c r="K3472">
        <v>1</v>
      </c>
      <c r="L3472">
        <v>3</v>
      </c>
      <c r="M3472">
        <v>231</v>
      </c>
      <c r="N3472">
        <v>388</v>
      </c>
      <c r="O3472">
        <v>12</v>
      </c>
      <c r="P3472">
        <v>388</v>
      </c>
      <c r="Q3472">
        <v>12</v>
      </c>
      <c r="R3472">
        <v>57</v>
      </c>
      <c r="S3472">
        <v>6</v>
      </c>
      <c r="T3472">
        <v>35</v>
      </c>
      <c r="U3472">
        <v>18</v>
      </c>
      <c r="V3472">
        <v>6</v>
      </c>
      <c r="W3472">
        <v>20</v>
      </c>
      <c r="X3472">
        <v>48</v>
      </c>
      <c r="Y3472">
        <v>3</v>
      </c>
      <c r="Z3472">
        <v>74</v>
      </c>
      <c r="AB3472">
        <v>26</v>
      </c>
      <c r="AC3472">
        <v>77</v>
      </c>
      <c r="AJ3472">
        <v>0</v>
      </c>
      <c r="AK3472">
        <v>2</v>
      </c>
      <c r="AL3472">
        <v>0</v>
      </c>
      <c r="AM3472">
        <v>0</v>
      </c>
      <c r="AN3472">
        <v>0</v>
      </c>
      <c r="AO3472">
        <v>0</v>
      </c>
      <c r="AP3472">
        <v>0</v>
      </c>
      <c r="AQ3472">
        <v>0</v>
      </c>
      <c r="AR3472">
        <v>0</v>
      </c>
      <c r="AS3472">
        <v>0</v>
      </c>
      <c r="AT3472">
        <v>0</v>
      </c>
      <c r="AW3472">
        <v>0</v>
      </c>
      <c r="AX3472">
        <v>4</v>
      </c>
      <c r="AY3472">
        <v>388</v>
      </c>
      <c r="AZ3472">
        <v>388</v>
      </c>
      <c r="BA3472">
        <v>573</v>
      </c>
      <c r="BB3472">
        <v>46</v>
      </c>
      <c r="BD3472">
        <v>1</v>
      </c>
      <c r="BF3472" t="s">
        <v>3714</v>
      </c>
      <c r="BG3472" s="1">
        <v>44354.472222222219</v>
      </c>
      <c r="BH3472" s="1">
        <v>44354.474606481483</v>
      </c>
      <c r="BI3472" s="1">
        <v>44354.476030092592</v>
      </c>
      <c r="BJ3472" t="s">
        <v>85</v>
      </c>
      <c r="BK3472" t="s">
        <v>86</v>
      </c>
      <c r="BL3472" t="s">
        <v>87</v>
      </c>
    </row>
    <row r="3473" spans="1:64" x14ac:dyDescent="0.3">
      <c r="A3473" t="str">
        <f>"202372B0000"</f>
        <v>202372B0000</v>
      </c>
      <c r="B3473" t="str">
        <f>"202372B00003"</f>
        <v>202372B00003</v>
      </c>
      <c r="C3473" t="str">
        <f t="shared" si="252"/>
        <v>20</v>
      </c>
      <c r="D3473" t="s">
        <v>81</v>
      </c>
      <c r="E3473" t="str">
        <f t="shared" si="250"/>
        <v>553</v>
      </c>
      <c r="F3473" t="s">
        <v>3695</v>
      </c>
      <c r="G3473" t="str">
        <f>"2372"</f>
        <v>2372</v>
      </c>
      <c r="H3473" t="str">
        <f>"0000"</f>
        <v>0000</v>
      </c>
      <c r="I3473" t="s">
        <v>83</v>
      </c>
      <c r="J3473">
        <v>0</v>
      </c>
      <c r="K3473">
        <v>1</v>
      </c>
      <c r="L3473">
        <v>3</v>
      </c>
      <c r="M3473">
        <v>290</v>
      </c>
      <c r="N3473">
        <v>449</v>
      </c>
      <c r="O3473">
        <v>13</v>
      </c>
      <c r="P3473">
        <v>449</v>
      </c>
      <c r="Q3473">
        <v>12</v>
      </c>
      <c r="R3473">
        <v>76</v>
      </c>
      <c r="S3473">
        <v>5</v>
      </c>
      <c r="T3473">
        <v>43</v>
      </c>
      <c r="U3473">
        <v>16</v>
      </c>
      <c r="V3473">
        <v>7</v>
      </c>
      <c r="W3473">
        <v>22</v>
      </c>
      <c r="X3473">
        <v>65</v>
      </c>
      <c r="Y3473">
        <v>5</v>
      </c>
      <c r="Z3473">
        <v>85</v>
      </c>
      <c r="AB3473">
        <v>31</v>
      </c>
      <c r="AC3473">
        <v>65</v>
      </c>
      <c r="AJ3473">
        <v>0</v>
      </c>
      <c r="AK3473">
        <v>1</v>
      </c>
      <c r="AL3473">
        <v>0</v>
      </c>
      <c r="AM3473">
        <v>0</v>
      </c>
      <c r="AN3473">
        <v>0</v>
      </c>
      <c r="AO3473">
        <v>0</v>
      </c>
      <c r="AP3473">
        <v>0</v>
      </c>
      <c r="AQ3473">
        <v>0</v>
      </c>
      <c r="AR3473">
        <v>0</v>
      </c>
      <c r="AS3473">
        <v>0</v>
      </c>
      <c r="AT3473">
        <v>0</v>
      </c>
      <c r="AW3473">
        <v>0</v>
      </c>
      <c r="AX3473">
        <v>16</v>
      </c>
      <c r="AY3473">
        <v>449</v>
      </c>
      <c r="AZ3473">
        <v>449</v>
      </c>
      <c r="BA3473">
        <v>693</v>
      </c>
      <c r="BB3473">
        <v>46</v>
      </c>
      <c r="BD3473">
        <v>1</v>
      </c>
      <c r="BF3473" t="s">
        <v>3715</v>
      </c>
      <c r="BG3473" s="1">
        <v>44353.964837962965</v>
      </c>
      <c r="BH3473" s="1">
        <v>44353.966354166667</v>
      </c>
      <c r="BI3473" s="1">
        <v>44353.967499999999</v>
      </c>
      <c r="BJ3473" t="s">
        <v>197</v>
      </c>
      <c r="BK3473" t="s">
        <v>198</v>
      </c>
      <c r="BL3473" t="s">
        <v>87</v>
      </c>
    </row>
    <row r="3474" spans="1:64" x14ac:dyDescent="0.3">
      <c r="A3474" t="str">
        <f>"202372C0100"</f>
        <v>202372C0100</v>
      </c>
      <c r="B3474" t="str">
        <f>"202372C01003"</f>
        <v>202372C01003</v>
      </c>
      <c r="C3474" t="str">
        <f t="shared" si="252"/>
        <v>20</v>
      </c>
      <c r="D3474" t="s">
        <v>81</v>
      </c>
      <c r="E3474" t="str">
        <f t="shared" si="250"/>
        <v>553</v>
      </c>
      <c r="F3474" t="s">
        <v>3695</v>
      </c>
      <c r="G3474" t="str">
        <f>"2372"</f>
        <v>2372</v>
      </c>
      <c r="H3474" t="str">
        <f>"0001"</f>
        <v>0001</v>
      </c>
      <c r="I3474" t="s">
        <v>89</v>
      </c>
      <c r="J3474">
        <v>0</v>
      </c>
      <c r="K3474">
        <v>1</v>
      </c>
      <c r="L3474">
        <v>3</v>
      </c>
      <c r="M3474">
        <v>269</v>
      </c>
      <c r="N3474">
        <v>470</v>
      </c>
      <c r="O3474">
        <v>14</v>
      </c>
      <c r="P3474">
        <v>470</v>
      </c>
      <c r="Q3474">
        <v>4</v>
      </c>
      <c r="R3474">
        <v>82</v>
      </c>
      <c r="S3474">
        <v>3</v>
      </c>
      <c r="T3474">
        <v>38</v>
      </c>
      <c r="U3474">
        <v>16</v>
      </c>
      <c r="V3474">
        <v>7</v>
      </c>
      <c r="W3474">
        <v>14</v>
      </c>
      <c r="X3474">
        <v>80</v>
      </c>
      <c r="Y3474">
        <v>3</v>
      </c>
      <c r="Z3474">
        <v>90</v>
      </c>
      <c r="AB3474">
        <v>39</v>
      </c>
      <c r="AC3474">
        <v>84</v>
      </c>
      <c r="AJ3474">
        <v>0</v>
      </c>
      <c r="AK3474">
        <v>2</v>
      </c>
      <c r="AL3474">
        <v>0</v>
      </c>
      <c r="AM3474">
        <v>0</v>
      </c>
      <c r="AN3474">
        <v>0</v>
      </c>
      <c r="AO3474">
        <v>0</v>
      </c>
      <c r="AP3474">
        <v>0</v>
      </c>
      <c r="AQ3474">
        <v>0</v>
      </c>
      <c r="AR3474">
        <v>0</v>
      </c>
      <c r="AS3474">
        <v>0</v>
      </c>
      <c r="AT3474">
        <v>0</v>
      </c>
      <c r="AW3474">
        <v>0</v>
      </c>
      <c r="AX3474">
        <v>8</v>
      </c>
      <c r="AY3474">
        <v>470</v>
      </c>
      <c r="AZ3474">
        <v>470</v>
      </c>
      <c r="BA3474">
        <v>693</v>
      </c>
      <c r="BB3474">
        <v>46</v>
      </c>
      <c r="BD3474">
        <v>1</v>
      </c>
      <c r="BF3474" t="s">
        <v>3716</v>
      </c>
      <c r="BG3474" s="1">
        <v>44353.968206018515</v>
      </c>
      <c r="BH3474" s="1">
        <v>44353.97084490741</v>
      </c>
      <c r="BI3474" s="1">
        <v>44353.97142361111</v>
      </c>
      <c r="BJ3474" t="s">
        <v>197</v>
      </c>
      <c r="BK3474" t="s">
        <v>198</v>
      </c>
      <c r="BL3474" t="s">
        <v>87</v>
      </c>
    </row>
    <row r="3475" spans="1:64" x14ac:dyDescent="0.3">
      <c r="A3475" t="str">
        <f>"202373B0000"</f>
        <v>202373B0000</v>
      </c>
      <c r="B3475" t="str">
        <f>"202373B00003"</f>
        <v>202373B00003</v>
      </c>
      <c r="C3475" t="str">
        <f t="shared" si="252"/>
        <v>20</v>
      </c>
      <c r="D3475" t="s">
        <v>81</v>
      </c>
      <c r="E3475" t="str">
        <f t="shared" si="250"/>
        <v>553</v>
      </c>
      <c r="F3475" t="s">
        <v>3695</v>
      </c>
      <c r="G3475" t="str">
        <f t="shared" ref="G3475:G3481" si="253">"2373"</f>
        <v>2373</v>
      </c>
      <c r="H3475" t="str">
        <f>"0000"</f>
        <v>0000</v>
      </c>
      <c r="I3475" t="s">
        <v>83</v>
      </c>
      <c r="J3475">
        <v>0</v>
      </c>
      <c r="K3475">
        <v>1</v>
      </c>
      <c r="L3475">
        <v>3</v>
      </c>
      <c r="M3475">
        <v>290</v>
      </c>
      <c r="N3475">
        <v>409</v>
      </c>
      <c r="O3475">
        <v>9</v>
      </c>
      <c r="P3475">
        <v>410</v>
      </c>
      <c r="Q3475">
        <v>2</v>
      </c>
      <c r="R3475">
        <v>57</v>
      </c>
      <c r="S3475">
        <v>2</v>
      </c>
      <c r="T3475">
        <v>30</v>
      </c>
      <c r="U3475">
        <v>24</v>
      </c>
      <c r="V3475">
        <v>1</v>
      </c>
      <c r="W3475">
        <v>10</v>
      </c>
      <c r="X3475">
        <v>83</v>
      </c>
      <c r="Y3475">
        <v>2</v>
      </c>
      <c r="Z3475">
        <v>85</v>
      </c>
      <c r="AB3475">
        <v>40</v>
      </c>
      <c r="AC3475">
        <v>67</v>
      </c>
      <c r="AJ3475">
        <v>1</v>
      </c>
      <c r="AK3475">
        <v>0</v>
      </c>
      <c r="AL3475">
        <v>0</v>
      </c>
      <c r="AM3475">
        <v>0</v>
      </c>
      <c r="AN3475">
        <v>0</v>
      </c>
      <c r="AO3475">
        <v>0</v>
      </c>
      <c r="AP3475">
        <v>0</v>
      </c>
      <c r="AQ3475">
        <v>0</v>
      </c>
      <c r="AR3475">
        <v>0</v>
      </c>
      <c r="AS3475">
        <v>0</v>
      </c>
      <c r="AT3475">
        <v>0</v>
      </c>
      <c r="AW3475">
        <v>0</v>
      </c>
      <c r="AX3475">
        <v>6</v>
      </c>
      <c r="AY3475">
        <v>410</v>
      </c>
      <c r="AZ3475">
        <v>410</v>
      </c>
      <c r="BA3475">
        <v>655</v>
      </c>
      <c r="BB3475">
        <v>46</v>
      </c>
      <c r="BD3475">
        <v>1</v>
      </c>
      <c r="BF3475" t="s">
        <v>3717</v>
      </c>
      <c r="BG3475" s="1">
        <v>44353.96974537037</v>
      </c>
      <c r="BH3475" s="1">
        <v>44353.971701388888</v>
      </c>
      <c r="BI3475" s="1">
        <v>44353.973217592589</v>
      </c>
      <c r="BJ3475" t="s">
        <v>197</v>
      </c>
      <c r="BK3475" t="s">
        <v>198</v>
      </c>
      <c r="BL3475" t="s">
        <v>87</v>
      </c>
    </row>
    <row r="3476" spans="1:64" x14ac:dyDescent="0.3">
      <c r="A3476" t="str">
        <f>"202373C0100"</f>
        <v>202373C0100</v>
      </c>
      <c r="B3476" t="str">
        <f>"202373C01003"</f>
        <v>202373C01003</v>
      </c>
      <c r="C3476" t="str">
        <f t="shared" si="252"/>
        <v>20</v>
      </c>
      <c r="D3476" t="s">
        <v>81</v>
      </c>
      <c r="E3476" t="str">
        <f t="shared" si="250"/>
        <v>553</v>
      </c>
      <c r="F3476" t="s">
        <v>3695</v>
      </c>
      <c r="G3476" t="str">
        <f t="shared" si="253"/>
        <v>2373</v>
      </c>
      <c r="H3476" t="str">
        <f>"0001"</f>
        <v>0001</v>
      </c>
      <c r="I3476" t="s">
        <v>89</v>
      </c>
      <c r="J3476">
        <v>0</v>
      </c>
      <c r="K3476">
        <v>1</v>
      </c>
      <c r="L3476">
        <v>3</v>
      </c>
      <c r="M3476">
        <v>312</v>
      </c>
      <c r="N3476">
        <v>390</v>
      </c>
      <c r="O3476">
        <v>10</v>
      </c>
      <c r="P3476">
        <v>390</v>
      </c>
      <c r="Q3476">
        <v>9</v>
      </c>
      <c r="R3476">
        <v>45</v>
      </c>
      <c r="S3476">
        <v>3</v>
      </c>
      <c r="T3476">
        <v>26</v>
      </c>
      <c r="U3476">
        <v>18</v>
      </c>
      <c r="V3476">
        <v>8</v>
      </c>
      <c r="W3476">
        <v>9</v>
      </c>
      <c r="X3476">
        <v>69</v>
      </c>
      <c r="Y3476">
        <v>1</v>
      </c>
      <c r="Z3476">
        <v>95</v>
      </c>
      <c r="AB3476">
        <v>25</v>
      </c>
      <c r="AC3476">
        <v>75</v>
      </c>
      <c r="AJ3476">
        <v>0</v>
      </c>
      <c r="AK3476">
        <v>1</v>
      </c>
      <c r="AL3476">
        <v>0</v>
      </c>
      <c r="AM3476">
        <v>0</v>
      </c>
      <c r="AN3476">
        <v>0</v>
      </c>
      <c r="AO3476">
        <v>1</v>
      </c>
      <c r="AP3476">
        <v>0</v>
      </c>
      <c r="AQ3476">
        <v>0</v>
      </c>
      <c r="AR3476">
        <v>0</v>
      </c>
      <c r="AS3476">
        <v>0</v>
      </c>
      <c r="AT3476">
        <v>0</v>
      </c>
      <c r="AW3476">
        <v>0</v>
      </c>
      <c r="AX3476">
        <v>5</v>
      </c>
      <c r="AY3476">
        <v>390</v>
      </c>
      <c r="AZ3476">
        <v>390</v>
      </c>
      <c r="BA3476">
        <v>656</v>
      </c>
      <c r="BB3476">
        <v>46</v>
      </c>
      <c r="BD3476">
        <v>1</v>
      </c>
      <c r="BF3476" t="s">
        <v>3718</v>
      </c>
      <c r="BG3476" s="1">
        <v>44353.914837962962</v>
      </c>
      <c r="BH3476" s="1">
        <v>44353.918668981481</v>
      </c>
      <c r="BI3476" s="1">
        <v>44353.920543981483</v>
      </c>
      <c r="BJ3476" t="s">
        <v>197</v>
      </c>
      <c r="BK3476" t="s">
        <v>198</v>
      </c>
      <c r="BL3476" t="s">
        <v>87</v>
      </c>
    </row>
    <row r="3477" spans="1:64" x14ac:dyDescent="0.3">
      <c r="A3477" t="str">
        <f>"202373C0200"</f>
        <v>202373C0200</v>
      </c>
      <c r="B3477" t="str">
        <f>"202373C02003"</f>
        <v>202373C02003</v>
      </c>
      <c r="C3477" t="str">
        <f t="shared" si="252"/>
        <v>20</v>
      </c>
      <c r="D3477" t="s">
        <v>81</v>
      </c>
      <c r="E3477" t="str">
        <f t="shared" si="250"/>
        <v>553</v>
      </c>
      <c r="F3477" t="s">
        <v>3695</v>
      </c>
      <c r="G3477" t="str">
        <f t="shared" si="253"/>
        <v>2373</v>
      </c>
      <c r="H3477" t="str">
        <f>"0002"</f>
        <v>0002</v>
      </c>
      <c r="I3477" t="s">
        <v>89</v>
      </c>
      <c r="J3477">
        <v>0</v>
      </c>
      <c r="K3477">
        <v>1</v>
      </c>
      <c r="L3477">
        <v>3</v>
      </c>
      <c r="M3477">
        <v>317</v>
      </c>
      <c r="N3477">
        <v>385</v>
      </c>
      <c r="O3477">
        <v>15</v>
      </c>
      <c r="P3477">
        <v>385</v>
      </c>
      <c r="Q3477">
        <v>2</v>
      </c>
      <c r="R3477">
        <v>32</v>
      </c>
      <c r="S3477">
        <v>2</v>
      </c>
      <c r="T3477">
        <v>37</v>
      </c>
      <c r="U3477">
        <v>19</v>
      </c>
      <c r="V3477">
        <v>3</v>
      </c>
      <c r="W3477">
        <v>17</v>
      </c>
      <c r="X3477">
        <v>85</v>
      </c>
      <c r="Y3477">
        <v>1</v>
      </c>
      <c r="Z3477">
        <v>75</v>
      </c>
      <c r="AB3477">
        <v>42</v>
      </c>
      <c r="AC3477">
        <v>67</v>
      </c>
      <c r="AJ3477">
        <v>0</v>
      </c>
      <c r="AK3477">
        <v>0</v>
      </c>
      <c r="AL3477">
        <v>0</v>
      </c>
      <c r="AM3477">
        <v>0</v>
      </c>
      <c r="AN3477">
        <v>0</v>
      </c>
      <c r="AO3477">
        <v>0</v>
      </c>
      <c r="AP3477">
        <v>0</v>
      </c>
      <c r="AQ3477">
        <v>0</v>
      </c>
      <c r="AR3477">
        <v>0</v>
      </c>
      <c r="AS3477">
        <v>0</v>
      </c>
      <c r="AT3477">
        <v>0</v>
      </c>
      <c r="AW3477">
        <v>0</v>
      </c>
      <c r="AX3477">
        <v>3</v>
      </c>
      <c r="AY3477">
        <v>385</v>
      </c>
      <c r="AZ3477">
        <v>385</v>
      </c>
      <c r="BA3477">
        <v>656</v>
      </c>
      <c r="BB3477">
        <v>46</v>
      </c>
      <c r="BD3477">
        <v>1</v>
      </c>
      <c r="BF3477" t="s">
        <v>3719</v>
      </c>
      <c r="BG3477" s="1">
        <v>44353.923275462963</v>
      </c>
      <c r="BH3477" s="1">
        <v>44353.926087962966</v>
      </c>
      <c r="BI3477" s="1">
        <v>44353.92695601852</v>
      </c>
      <c r="BJ3477" t="s">
        <v>197</v>
      </c>
      <c r="BK3477" t="s">
        <v>198</v>
      </c>
      <c r="BL3477" t="s">
        <v>87</v>
      </c>
    </row>
    <row r="3478" spans="1:64" x14ac:dyDescent="0.3">
      <c r="A3478" t="str">
        <f>"202373C0300"</f>
        <v>202373C0300</v>
      </c>
      <c r="B3478" t="str">
        <f>"202373C03003"</f>
        <v>202373C03003</v>
      </c>
      <c r="C3478" t="str">
        <f t="shared" si="252"/>
        <v>20</v>
      </c>
      <c r="D3478" t="s">
        <v>81</v>
      </c>
      <c r="E3478" t="str">
        <f t="shared" si="250"/>
        <v>553</v>
      </c>
      <c r="F3478" t="s">
        <v>3695</v>
      </c>
      <c r="G3478" t="str">
        <f t="shared" si="253"/>
        <v>2373</v>
      </c>
      <c r="H3478" t="str">
        <f>"0003"</f>
        <v>0003</v>
      </c>
      <c r="I3478" t="s">
        <v>89</v>
      </c>
      <c r="J3478">
        <v>0</v>
      </c>
      <c r="K3478">
        <v>1</v>
      </c>
      <c r="L3478">
        <v>3</v>
      </c>
      <c r="M3478">
        <v>280</v>
      </c>
      <c r="N3478">
        <v>421</v>
      </c>
      <c r="O3478">
        <v>17</v>
      </c>
      <c r="P3478" t="s">
        <v>92</v>
      </c>
      <c r="Q3478">
        <v>4</v>
      </c>
      <c r="R3478">
        <v>52</v>
      </c>
      <c r="S3478">
        <v>4</v>
      </c>
      <c r="T3478">
        <v>34</v>
      </c>
      <c r="U3478">
        <v>20</v>
      </c>
      <c r="V3478">
        <v>4</v>
      </c>
      <c r="W3478">
        <v>10</v>
      </c>
      <c r="X3478">
        <v>81</v>
      </c>
      <c r="Y3478">
        <v>4</v>
      </c>
      <c r="Z3478">
        <v>85</v>
      </c>
      <c r="AB3478">
        <v>30</v>
      </c>
      <c r="AC3478">
        <v>80</v>
      </c>
      <c r="AJ3478">
        <v>0</v>
      </c>
      <c r="AK3478">
        <v>1</v>
      </c>
      <c r="AL3478">
        <v>0</v>
      </c>
      <c r="AM3478">
        <v>0</v>
      </c>
      <c r="AN3478">
        <v>0</v>
      </c>
      <c r="AO3478">
        <v>0</v>
      </c>
      <c r="AP3478">
        <v>0</v>
      </c>
      <c r="AQ3478">
        <v>0</v>
      </c>
      <c r="AR3478">
        <v>1</v>
      </c>
      <c r="AS3478">
        <v>0</v>
      </c>
      <c r="AT3478">
        <v>0</v>
      </c>
      <c r="AW3478">
        <v>1</v>
      </c>
      <c r="AX3478">
        <v>8</v>
      </c>
      <c r="AY3478">
        <v>0</v>
      </c>
      <c r="AZ3478">
        <v>419</v>
      </c>
      <c r="BA3478">
        <v>656</v>
      </c>
      <c r="BB3478">
        <v>46</v>
      </c>
      <c r="BD3478">
        <v>1</v>
      </c>
      <c r="BF3478" t="s">
        <v>3720</v>
      </c>
      <c r="BG3478" s="1">
        <v>44353.964490740742</v>
      </c>
      <c r="BH3478" s="1">
        <v>44353.968229166669</v>
      </c>
      <c r="BI3478" s="1">
        <v>44353.968819444446</v>
      </c>
      <c r="BJ3478" t="s">
        <v>197</v>
      </c>
      <c r="BK3478" t="s">
        <v>198</v>
      </c>
      <c r="BL3478" t="s">
        <v>87</v>
      </c>
    </row>
    <row r="3479" spans="1:64" x14ac:dyDescent="0.3">
      <c r="A3479" t="str">
        <f>"202373C0400"</f>
        <v>202373C0400</v>
      </c>
      <c r="B3479" t="str">
        <f>"202373C04003"</f>
        <v>202373C04003</v>
      </c>
      <c r="C3479" t="str">
        <f t="shared" si="252"/>
        <v>20</v>
      </c>
      <c r="D3479" t="s">
        <v>81</v>
      </c>
      <c r="E3479" t="str">
        <f t="shared" si="250"/>
        <v>553</v>
      </c>
      <c r="F3479" t="s">
        <v>3695</v>
      </c>
      <c r="G3479" t="str">
        <f t="shared" si="253"/>
        <v>2373</v>
      </c>
      <c r="H3479" t="str">
        <f>"0004"</f>
        <v>0004</v>
      </c>
      <c r="I3479" t="s">
        <v>89</v>
      </c>
      <c r="J3479">
        <v>0</v>
      </c>
      <c r="K3479">
        <v>1</v>
      </c>
      <c r="L3479">
        <v>3</v>
      </c>
      <c r="M3479">
        <v>322</v>
      </c>
      <c r="N3479">
        <v>380</v>
      </c>
      <c r="O3479">
        <v>13</v>
      </c>
      <c r="P3479">
        <v>380</v>
      </c>
      <c r="Q3479">
        <v>3</v>
      </c>
      <c r="R3479">
        <v>55</v>
      </c>
      <c r="S3479">
        <v>3</v>
      </c>
      <c r="T3479">
        <v>20</v>
      </c>
      <c r="U3479">
        <v>16</v>
      </c>
      <c r="V3479">
        <v>4</v>
      </c>
      <c r="W3479">
        <v>4</v>
      </c>
      <c r="X3479">
        <v>57</v>
      </c>
      <c r="Y3479">
        <v>2</v>
      </c>
      <c r="Z3479">
        <v>96</v>
      </c>
      <c r="AB3479">
        <v>32</v>
      </c>
      <c r="AC3479">
        <v>78</v>
      </c>
      <c r="AJ3479">
        <v>0</v>
      </c>
      <c r="AK3479">
        <v>0</v>
      </c>
      <c r="AL3479">
        <v>0</v>
      </c>
      <c r="AM3479">
        <v>0</v>
      </c>
      <c r="AN3479">
        <v>0</v>
      </c>
      <c r="AO3479">
        <v>0</v>
      </c>
      <c r="AP3479">
        <v>0</v>
      </c>
      <c r="AQ3479">
        <v>0</v>
      </c>
      <c r="AR3479">
        <v>1</v>
      </c>
      <c r="AS3479">
        <v>1</v>
      </c>
      <c r="AT3479">
        <v>0</v>
      </c>
      <c r="AW3479">
        <v>0</v>
      </c>
      <c r="AX3479">
        <v>8</v>
      </c>
      <c r="AY3479">
        <v>380</v>
      </c>
      <c r="AZ3479">
        <v>380</v>
      </c>
      <c r="BA3479">
        <v>656</v>
      </c>
      <c r="BB3479">
        <v>46</v>
      </c>
      <c r="BD3479">
        <v>1</v>
      </c>
      <c r="BF3479" t="s">
        <v>3721</v>
      </c>
      <c r="BG3479" s="1">
        <v>44354.474999999999</v>
      </c>
      <c r="BH3479" s="1">
        <v>44354.477696759262</v>
      </c>
      <c r="BI3479" s="1">
        <v>44354.478402777779</v>
      </c>
      <c r="BJ3479" t="s">
        <v>85</v>
      </c>
      <c r="BK3479" t="s">
        <v>86</v>
      </c>
      <c r="BL3479" t="s">
        <v>87</v>
      </c>
    </row>
    <row r="3480" spans="1:64" x14ac:dyDescent="0.3">
      <c r="A3480" t="str">
        <f>"202373C0500"</f>
        <v>202373C0500</v>
      </c>
      <c r="B3480" t="str">
        <f>"202373C05003"</f>
        <v>202373C05003</v>
      </c>
      <c r="C3480" t="str">
        <f t="shared" si="252"/>
        <v>20</v>
      </c>
      <c r="D3480" t="s">
        <v>81</v>
      </c>
      <c r="E3480" t="str">
        <f t="shared" si="250"/>
        <v>553</v>
      </c>
      <c r="F3480" t="s">
        <v>3695</v>
      </c>
      <c r="G3480" t="str">
        <f t="shared" si="253"/>
        <v>2373</v>
      </c>
      <c r="H3480" t="str">
        <f>"0005"</f>
        <v>0005</v>
      </c>
      <c r="I3480" t="s">
        <v>89</v>
      </c>
      <c r="J3480">
        <v>0</v>
      </c>
      <c r="K3480">
        <v>1</v>
      </c>
      <c r="L3480">
        <v>3</v>
      </c>
      <c r="M3480">
        <v>315</v>
      </c>
      <c r="N3480">
        <v>387</v>
      </c>
      <c r="O3480">
        <v>2</v>
      </c>
      <c r="P3480">
        <v>387</v>
      </c>
      <c r="Q3480">
        <v>3</v>
      </c>
      <c r="R3480">
        <v>45</v>
      </c>
      <c r="S3480">
        <v>3</v>
      </c>
      <c r="T3480">
        <v>33</v>
      </c>
      <c r="U3480">
        <v>20</v>
      </c>
      <c r="V3480">
        <v>2</v>
      </c>
      <c r="W3480">
        <v>5</v>
      </c>
      <c r="X3480">
        <v>80</v>
      </c>
      <c r="Y3480">
        <v>4</v>
      </c>
      <c r="Z3480">
        <v>96</v>
      </c>
      <c r="AB3480">
        <v>32</v>
      </c>
      <c r="AC3480">
        <v>56</v>
      </c>
      <c r="AJ3480">
        <v>0</v>
      </c>
      <c r="AK3480">
        <v>0</v>
      </c>
      <c r="AL3480">
        <v>2</v>
      </c>
      <c r="AM3480">
        <v>0</v>
      </c>
      <c r="AN3480">
        <v>0</v>
      </c>
      <c r="AO3480">
        <v>0</v>
      </c>
      <c r="AP3480">
        <v>0</v>
      </c>
      <c r="AQ3480">
        <v>0</v>
      </c>
      <c r="AR3480">
        <v>0</v>
      </c>
      <c r="AS3480">
        <v>0</v>
      </c>
      <c r="AT3480">
        <v>0</v>
      </c>
      <c r="AW3480">
        <v>0</v>
      </c>
      <c r="AX3480">
        <v>6</v>
      </c>
      <c r="AY3480">
        <v>387</v>
      </c>
      <c r="AZ3480">
        <v>387</v>
      </c>
      <c r="BA3480">
        <v>656</v>
      </c>
      <c r="BB3480">
        <v>46</v>
      </c>
      <c r="BD3480">
        <v>1</v>
      </c>
      <c r="BF3480" t="s">
        <v>3722</v>
      </c>
      <c r="BG3480" s="1">
        <v>44353.98741898148</v>
      </c>
      <c r="BH3480" s="1">
        <v>44353.989444444444</v>
      </c>
      <c r="BI3480" s="1">
        <v>44353.99019675926</v>
      </c>
      <c r="BJ3480" t="s">
        <v>197</v>
      </c>
      <c r="BK3480" t="s">
        <v>198</v>
      </c>
      <c r="BL3480" t="s">
        <v>87</v>
      </c>
    </row>
    <row r="3481" spans="1:64" x14ac:dyDescent="0.3">
      <c r="A3481" t="str">
        <f>"202373E0100"</f>
        <v>202373E0100</v>
      </c>
      <c r="B3481" t="str">
        <f>"202373E01003"</f>
        <v>202373E01003</v>
      </c>
      <c r="C3481" t="str">
        <f t="shared" si="252"/>
        <v>20</v>
      </c>
      <c r="D3481" t="s">
        <v>81</v>
      </c>
      <c r="E3481" t="str">
        <f t="shared" si="250"/>
        <v>553</v>
      </c>
      <c r="F3481" t="s">
        <v>3695</v>
      </c>
      <c r="G3481" t="str">
        <f t="shared" si="253"/>
        <v>2373</v>
      </c>
      <c r="H3481" t="str">
        <f>"0001"</f>
        <v>0001</v>
      </c>
      <c r="I3481" t="s">
        <v>122</v>
      </c>
      <c r="J3481">
        <v>0</v>
      </c>
      <c r="K3481">
        <v>1</v>
      </c>
      <c r="L3481">
        <v>3</v>
      </c>
      <c r="M3481">
        <v>329</v>
      </c>
      <c r="N3481">
        <v>417</v>
      </c>
      <c r="O3481">
        <v>13</v>
      </c>
      <c r="P3481">
        <v>417</v>
      </c>
      <c r="Q3481">
        <v>0</v>
      </c>
      <c r="R3481">
        <v>51</v>
      </c>
      <c r="S3481">
        <v>3</v>
      </c>
      <c r="T3481">
        <v>8</v>
      </c>
      <c r="U3481">
        <v>30</v>
      </c>
      <c r="V3481">
        <v>4</v>
      </c>
      <c r="W3481">
        <v>3</v>
      </c>
      <c r="X3481">
        <v>61</v>
      </c>
      <c r="Y3481">
        <v>10</v>
      </c>
      <c r="Z3481">
        <v>92</v>
      </c>
      <c r="AB3481">
        <v>55</v>
      </c>
      <c r="AC3481">
        <v>79</v>
      </c>
      <c r="AJ3481">
        <v>0</v>
      </c>
      <c r="AK3481">
        <v>2</v>
      </c>
      <c r="AL3481">
        <v>0</v>
      </c>
      <c r="AM3481">
        <v>0</v>
      </c>
      <c r="AN3481">
        <v>0</v>
      </c>
      <c r="AO3481">
        <v>0</v>
      </c>
      <c r="AP3481">
        <v>0</v>
      </c>
      <c r="AQ3481">
        <v>0</v>
      </c>
      <c r="AR3481">
        <v>1</v>
      </c>
      <c r="AS3481">
        <v>0</v>
      </c>
      <c r="AT3481">
        <v>0</v>
      </c>
      <c r="AW3481">
        <v>1</v>
      </c>
      <c r="AX3481">
        <v>17</v>
      </c>
      <c r="AY3481">
        <v>417</v>
      </c>
      <c r="AZ3481">
        <v>417</v>
      </c>
      <c r="BA3481">
        <v>700</v>
      </c>
      <c r="BB3481">
        <v>46</v>
      </c>
      <c r="BD3481">
        <v>1</v>
      </c>
      <c r="BF3481" t="s">
        <v>3723</v>
      </c>
      <c r="BG3481" s="1">
        <v>44354.456944444442</v>
      </c>
      <c r="BH3481" s="1">
        <v>44354.459189814814</v>
      </c>
      <c r="BI3481" s="1">
        <v>44354.459907407407</v>
      </c>
      <c r="BJ3481" t="s">
        <v>85</v>
      </c>
      <c r="BK3481" t="s">
        <v>86</v>
      </c>
      <c r="BL3481" t="s">
        <v>87</v>
      </c>
    </row>
    <row r="3482" spans="1:64" x14ac:dyDescent="0.3">
      <c r="A3482" t="str">
        <f>"202374B0000"</f>
        <v>202374B0000</v>
      </c>
      <c r="B3482" t="str">
        <f>"202374B00003"</f>
        <v>202374B00003</v>
      </c>
      <c r="C3482" t="str">
        <f t="shared" si="252"/>
        <v>20</v>
      </c>
      <c r="D3482" t="s">
        <v>81</v>
      </c>
      <c r="E3482" t="str">
        <f t="shared" si="250"/>
        <v>553</v>
      </c>
      <c r="F3482" t="s">
        <v>3695</v>
      </c>
      <c r="G3482" t="str">
        <f>"2374"</f>
        <v>2374</v>
      </c>
      <c r="H3482" t="str">
        <f>"0000"</f>
        <v>0000</v>
      </c>
      <c r="I3482" t="s">
        <v>83</v>
      </c>
      <c r="J3482">
        <v>0</v>
      </c>
      <c r="K3482">
        <v>1</v>
      </c>
      <c r="L3482">
        <v>3</v>
      </c>
      <c r="M3482">
        <v>271</v>
      </c>
      <c r="N3482">
        <v>407</v>
      </c>
      <c r="O3482">
        <v>10</v>
      </c>
      <c r="P3482">
        <v>408</v>
      </c>
      <c r="Q3482">
        <v>5</v>
      </c>
      <c r="R3482">
        <v>62</v>
      </c>
      <c r="S3482">
        <v>2</v>
      </c>
      <c r="T3482">
        <v>33</v>
      </c>
      <c r="U3482">
        <v>12</v>
      </c>
      <c r="V3482">
        <v>5</v>
      </c>
      <c r="W3482">
        <v>23</v>
      </c>
      <c r="X3482">
        <v>43</v>
      </c>
      <c r="Y3482">
        <v>1</v>
      </c>
      <c r="Z3482">
        <v>94</v>
      </c>
      <c r="AB3482">
        <v>27</v>
      </c>
      <c r="AC3482">
        <v>88</v>
      </c>
      <c r="AJ3482">
        <v>0</v>
      </c>
      <c r="AK3482">
        <v>3</v>
      </c>
      <c r="AL3482">
        <v>0</v>
      </c>
      <c r="AM3482">
        <v>0</v>
      </c>
      <c r="AN3482">
        <v>0</v>
      </c>
      <c r="AO3482">
        <v>0</v>
      </c>
      <c r="AP3482">
        <v>0</v>
      </c>
      <c r="AQ3482">
        <v>0</v>
      </c>
      <c r="AR3482">
        <v>0</v>
      </c>
      <c r="AS3482">
        <v>0</v>
      </c>
      <c r="AT3482">
        <v>0</v>
      </c>
      <c r="AW3482">
        <v>0</v>
      </c>
      <c r="AX3482">
        <v>10</v>
      </c>
      <c r="AY3482">
        <v>408</v>
      </c>
      <c r="AZ3482">
        <v>408</v>
      </c>
      <c r="BA3482">
        <v>632</v>
      </c>
      <c r="BB3482">
        <v>46</v>
      </c>
      <c r="BD3482">
        <v>1</v>
      </c>
      <c r="BF3482" t="s">
        <v>3724</v>
      </c>
      <c r="BG3482" s="1">
        <v>44354.475694444445</v>
      </c>
      <c r="BH3482" s="1">
        <v>44354.476817129631</v>
      </c>
      <c r="BI3482" s="1">
        <v>44354.477418981478</v>
      </c>
      <c r="BJ3482" t="s">
        <v>85</v>
      </c>
      <c r="BK3482" t="s">
        <v>86</v>
      </c>
      <c r="BL3482" t="s">
        <v>87</v>
      </c>
    </row>
    <row r="3483" spans="1:64" x14ac:dyDescent="0.3">
      <c r="A3483" t="str">
        <f>"202374C0100"</f>
        <v>202374C0100</v>
      </c>
      <c r="B3483" t="str">
        <f>"202374C01003"</f>
        <v>202374C01003</v>
      </c>
      <c r="C3483" t="str">
        <f t="shared" si="252"/>
        <v>20</v>
      </c>
      <c r="D3483" t="s">
        <v>81</v>
      </c>
      <c r="E3483" t="str">
        <f t="shared" si="250"/>
        <v>553</v>
      </c>
      <c r="F3483" t="s">
        <v>3695</v>
      </c>
      <c r="G3483" t="str">
        <f>"2374"</f>
        <v>2374</v>
      </c>
      <c r="H3483" t="str">
        <f>"0001"</f>
        <v>0001</v>
      </c>
      <c r="I3483" t="s">
        <v>89</v>
      </c>
      <c r="J3483">
        <v>0</v>
      </c>
      <c r="K3483">
        <v>1</v>
      </c>
      <c r="L3483">
        <v>3</v>
      </c>
      <c r="M3483">
        <v>264</v>
      </c>
      <c r="N3483">
        <v>415</v>
      </c>
      <c r="O3483">
        <v>10</v>
      </c>
      <c r="P3483">
        <v>415</v>
      </c>
      <c r="Q3483">
        <v>3</v>
      </c>
      <c r="R3483">
        <v>57</v>
      </c>
      <c r="S3483">
        <v>2</v>
      </c>
      <c r="T3483">
        <v>32</v>
      </c>
      <c r="U3483">
        <v>14</v>
      </c>
      <c r="V3483">
        <v>3</v>
      </c>
      <c r="W3483">
        <v>9</v>
      </c>
      <c r="X3483">
        <v>57</v>
      </c>
      <c r="Y3483">
        <v>6</v>
      </c>
      <c r="Z3483">
        <v>111</v>
      </c>
      <c r="AB3483">
        <v>33</v>
      </c>
      <c r="AC3483">
        <v>82</v>
      </c>
      <c r="AJ3483">
        <v>0</v>
      </c>
      <c r="AK3483">
        <v>0</v>
      </c>
      <c r="AL3483">
        <v>0</v>
      </c>
      <c r="AM3483">
        <v>0</v>
      </c>
      <c r="AN3483">
        <v>0</v>
      </c>
      <c r="AO3483">
        <v>0</v>
      </c>
      <c r="AP3483">
        <v>0</v>
      </c>
      <c r="AQ3483">
        <v>0</v>
      </c>
      <c r="AR3483">
        <v>0</v>
      </c>
      <c r="AS3483">
        <v>0</v>
      </c>
      <c r="AT3483">
        <v>0</v>
      </c>
      <c r="AW3483">
        <v>0</v>
      </c>
      <c r="AX3483">
        <v>6</v>
      </c>
      <c r="AY3483">
        <v>415</v>
      </c>
      <c r="AZ3483">
        <v>415</v>
      </c>
      <c r="BA3483">
        <v>633</v>
      </c>
      <c r="BB3483">
        <v>46</v>
      </c>
      <c r="BD3483">
        <v>1</v>
      </c>
      <c r="BF3483" t="s">
        <v>3725</v>
      </c>
      <c r="BG3483" s="1">
        <v>44354.015162037038</v>
      </c>
      <c r="BH3483" s="1">
        <v>44354.022615740738</v>
      </c>
      <c r="BI3483" s="1">
        <v>44354.023888888885</v>
      </c>
      <c r="BJ3483" t="s">
        <v>197</v>
      </c>
      <c r="BK3483" t="s">
        <v>198</v>
      </c>
      <c r="BL3483" t="s">
        <v>87</v>
      </c>
    </row>
    <row r="3484" spans="1:64" x14ac:dyDescent="0.3">
      <c r="A3484" t="str">
        <f>"202374C0200"</f>
        <v>202374C0200</v>
      </c>
      <c r="B3484" t="str">
        <f>"202374C02003"</f>
        <v>202374C02003</v>
      </c>
      <c r="C3484" t="str">
        <f t="shared" si="252"/>
        <v>20</v>
      </c>
      <c r="D3484" t="s">
        <v>81</v>
      </c>
      <c r="E3484" t="str">
        <f t="shared" si="250"/>
        <v>553</v>
      </c>
      <c r="F3484" t="s">
        <v>3695</v>
      </c>
      <c r="G3484" t="str">
        <f>"2374"</f>
        <v>2374</v>
      </c>
      <c r="H3484" t="str">
        <f>"0002"</f>
        <v>0002</v>
      </c>
      <c r="I3484" t="s">
        <v>89</v>
      </c>
      <c r="J3484">
        <v>0</v>
      </c>
      <c r="K3484">
        <v>1</v>
      </c>
      <c r="L3484">
        <v>3</v>
      </c>
      <c r="M3484">
        <v>292</v>
      </c>
      <c r="N3484">
        <v>387</v>
      </c>
      <c r="O3484">
        <v>8</v>
      </c>
      <c r="P3484">
        <v>386</v>
      </c>
      <c r="Q3484">
        <v>4</v>
      </c>
      <c r="R3484">
        <v>52</v>
      </c>
      <c r="S3484">
        <v>3</v>
      </c>
      <c r="T3484">
        <v>35</v>
      </c>
      <c r="U3484">
        <v>15</v>
      </c>
      <c r="V3484">
        <v>2</v>
      </c>
      <c r="W3484">
        <v>3</v>
      </c>
      <c r="X3484">
        <v>64</v>
      </c>
      <c r="Y3484">
        <v>4</v>
      </c>
      <c r="Z3484">
        <v>106</v>
      </c>
      <c r="AB3484">
        <v>27</v>
      </c>
      <c r="AC3484">
        <v>56</v>
      </c>
      <c r="AJ3484">
        <v>3</v>
      </c>
      <c r="AK3484">
        <v>2</v>
      </c>
      <c r="AL3484">
        <v>0</v>
      </c>
      <c r="AM3484">
        <v>0</v>
      </c>
      <c r="AN3484">
        <v>0</v>
      </c>
      <c r="AO3484">
        <v>1</v>
      </c>
      <c r="AP3484">
        <v>0</v>
      </c>
      <c r="AQ3484">
        <v>0</v>
      </c>
      <c r="AR3484">
        <v>0</v>
      </c>
      <c r="AS3484">
        <v>0</v>
      </c>
      <c r="AT3484">
        <v>0</v>
      </c>
      <c r="AW3484">
        <v>0</v>
      </c>
      <c r="AX3484">
        <v>9</v>
      </c>
      <c r="AY3484">
        <v>386</v>
      </c>
      <c r="AZ3484">
        <v>386</v>
      </c>
      <c r="BA3484">
        <v>633</v>
      </c>
      <c r="BB3484">
        <v>46</v>
      </c>
      <c r="BD3484">
        <v>1</v>
      </c>
      <c r="BF3484" t="s">
        <v>3726</v>
      </c>
      <c r="BG3484" s="1">
        <v>44354.464583333334</v>
      </c>
      <c r="BH3484" s="1">
        <v>44354.466770833336</v>
      </c>
      <c r="BI3484" s="1">
        <v>44354.468321759261</v>
      </c>
      <c r="BJ3484" t="s">
        <v>85</v>
      </c>
      <c r="BK3484" t="s">
        <v>86</v>
      </c>
      <c r="BL3484" t="s">
        <v>87</v>
      </c>
    </row>
    <row r="3485" spans="1:64" x14ac:dyDescent="0.3">
      <c r="A3485" t="str">
        <f>"202374C0300"</f>
        <v>202374C0300</v>
      </c>
      <c r="B3485" t="str">
        <f>"202374C03003"</f>
        <v>202374C03003</v>
      </c>
      <c r="C3485" t="str">
        <f t="shared" si="252"/>
        <v>20</v>
      </c>
      <c r="D3485" t="s">
        <v>81</v>
      </c>
      <c r="E3485" t="str">
        <f t="shared" si="250"/>
        <v>553</v>
      </c>
      <c r="F3485" t="s">
        <v>3695</v>
      </c>
      <c r="G3485" t="str">
        <f>"2374"</f>
        <v>2374</v>
      </c>
      <c r="H3485" t="str">
        <f>"0003"</f>
        <v>0003</v>
      </c>
      <c r="I3485" t="s">
        <v>89</v>
      </c>
      <c r="J3485">
        <v>0</v>
      </c>
      <c r="K3485">
        <v>1</v>
      </c>
      <c r="L3485">
        <v>3</v>
      </c>
      <c r="M3485">
        <v>311</v>
      </c>
      <c r="N3485">
        <v>368</v>
      </c>
      <c r="O3485">
        <v>9</v>
      </c>
      <c r="P3485">
        <v>368</v>
      </c>
      <c r="Q3485">
        <v>7</v>
      </c>
      <c r="R3485">
        <v>53</v>
      </c>
      <c r="S3485">
        <v>2</v>
      </c>
      <c r="T3485">
        <v>27</v>
      </c>
      <c r="U3485">
        <v>11</v>
      </c>
      <c r="V3485">
        <v>2</v>
      </c>
      <c r="W3485">
        <v>11</v>
      </c>
      <c r="X3485">
        <v>53</v>
      </c>
      <c r="Y3485">
        <v>3</v>
      </c>
      <c r="Z3485">
        <v>94</v>
      </c>
      <c r="AB3485">
        <v>32</v>
      </c>
      <c r="AC3485">
        <v>62</v>
      </c>
      <c r="AJ3485">
        <v>0</v>
      </c>
      <c r="AK3485">
        <v>0</v>
      </c>
      <c r="AL3485">
        <v>0</v>
      </c>
      <c r="AM3485">
        <v>0</v>
      </c>
      <c r="AN3485">
        <v>0</v>
      </c>
      <c r="AO3485">
        <v>0</v>
      </c>
      <c r="AP3485">
        <v>0</v>
      </c>
      <c r="AQ3485">
        <v>0</v>
      </c>
      <c r="AR3485">
        <v>1</v>
      </c>
      <c r="AS3485">
        <v>0</v>
      </c>
      <c r="AT3485">
        <v>0</v>
      </c>
      <c r="AW3485">
        <v>1</v>
      </c>
      <c r="AX3485">
        <v>9</v>
      </c>
      <c r="AY3485">
        <v>368</v>
      </c>
      <c r="AZ3485">
        <v>368</v>
      </c>
      <c r="BA3485">
        <v>633</v>
      </c>
      <c r="BB3485">
        <v>46</v>
      </c>
      <c r="BD3485">
        <v>1</v>
      </c>
      <c r="BF3485" t="s">
        <v>3727</v>
      </c>
      <c r="BG3485" s="1">
        <v>44354.026273148149</v>
      </c>
      <c r="BH3485" s="1">
        <v>44354.036145833335</v>
      </c>
      <c r="BI3485" s="1">
        <v>44354.036851851852</v>
      </c>
      <c r="BJ3485" t="s">
        <v>197</v>
      </c>
      <c r="BK3485" t="s">
        <v>198</v>
      </c>
      <c r="BL3485" t="s">
        <v>87</v>
      </c>
    </row>
    <row r="3486" spans="1:64" x14ac:dyDescent="0.3">
      <c r="A3486" t="str">
        <f>"202374C0400"</f>
        <v>202374C0400</v>
      </c>
      <c r="B3486" t="str">
        <f>"202374C04003"</f>
        <v>202374C04003</v>
      </c>
      <c r="C3486" t="str">
        <f t="shared" si="252"/>
        <v>20</v>
      </c>
      <c r="D3486" t="s">
        <v>81</v>
      </c>
      <c r="E3486" t="str">
        <f t="shared" ref="E3486:E3513" si="254">"553"</f>
        <v>553</v>
      </c>
      <c r="F3486" t="s">
        <v>3695</v>
      </c>
      <c r="G3486" t="str">
        <f>"2374"</f>
        <v>2374</v>
      </c>
      <c r="H3486" t="str">
        <f>"0004"</f>
        <v>0004</v>
      </c>
      <c r="I3486" t="s">
        <v>89</v>
      </c>
      <c r="J3486">
        <v>0</v>
      </c>
      <c r="K3486">
        <v>1</v>
      </c>
      <c r="L3486">
        <v>3</v>
      </c>
      <c r="M3486">
        <v>312</v>
      </c>
      <c r="N3486">
        <v>366</v>
      </c>
      <c r="O3486">
        <v>12</v>
      </c>
      <c r="P3486">
        <v>367</v>
      </c>
      <c r="Q3486">
        <v>5</v>
      </c>
      <c r="R3486">
        <v>46</v>
      </c>
      <c r="S3486">
        <v>2</v>
      </c>
      <c r="T3486">
        <v>31</v>
      </c>
      <c r="U3486">
        <v>10</v>
      </c>
      <c r="V3486">
        <v>5</v>
      </c>
      <c r="W3486">
        <v>10</v>
      </c>
      <c r="X3486">
        <v>50</v>
      </c>
      <c r="Y3486">
        <v>5</v>
      </c>
      <c r="Z3486">
        <v>108</v>
      </c>
      <c r="AB3486">
        <v>19</v>
      </c>
      <c r="AC3486">
        <v>70</v>
      </c>
      <c r="AJ3486">
        <v>0</v>
      </c>
      <c r="AK3486">
        <v>1</v>
      </c>
      <c r="AL3486">
        <v>0</v>
      </c>
      <c r="AM3486">
        <v>0</v>
      </c>
      <c r="AN3486">
        <v>0</v>
      </c>
      <c r="AO3486">
        <v>0</v>
      </c>
      <c r="AP3486">
        <v>0</v>
      </c>
      <c r="AQ3486">
        <v>0</v>
      </c>
      <c r="AR3486">
        <v>0</v>
      </c>
      <c r="AS3486">
        <v>0</v>
      </c>
      <c r="AT3486">
        <v>0</v>
      </c>
      <c r="AW3486">
        <v>1</v>
      </c>
      <c r="AX3486">
        <v>4</v>
      </c>
      <c r="AY3486">
        <v>367</v>
      </c>
      <c r="AZ3486">
        <v>367</v>
      </c>
      <c r="BA3486">
        <v>633</v>
      </c>
      <c r="BB3486">
        <v>46</v>
      </c>
      <c r="BD3486">
        <v>1</v>
      </c>
      <c r="BF3486" t="s">
        <v>3728</v>
      </c>
      <c r="BG3486" s="1">
        <v>44354.465277777781</v>
      </c>
      <c r="BH3486" s="1">
        <v>44354.466805555552</v>
      </c>
      <c r="BI3486" s="1">
        <v>44354.468148148146</v>
      </c>
      <c r="BJ3486" t="s">
        <v>85</v>
      </c>
      <c r="BK3486" t="s">
        <v>86</v>
      </c>
      <c r="BL3486" t="s">
        <v>87</v>
      </c>
    </row>
    <row r="3487" spans="1:64" x14ac:dyDescent="0.3">
      <c r="A3487" t="str">
        <f>"202375B0000"</f>
        <v>202375B0000</v>
      </c>
      <c r="B3487" t="str">
        <f>"202375B00003"</f>
        <v>202375B00003</v>
      </c>
      <c r="C3487" t="str">
        <f t="shared" si="252"/>
        <v>20</v>
      </c>
      <c r="D3487" t="s">
        <v>81</v>
      </c>
      <c r="E3487" t="str">
        <f t="shared" si="254"/>
        <v>553</v>
      </c>
      <c r="F3487" t="s">
        <v>3695</v>
      </c>
      <c r="G3487" t="str">
        <f>"2375"</f>
        <v>2375</v>
      </c>
      <c r="H3487" t="str">
        <f>"0000"</f>
        <v>0000</v>
      </c>
      <c r="I3487" t="s">
        <v>83</v>
      </c>
      <c r="J3487">
        <v>0</v>
      </c>
      <c r="K3487">
        <v>1</v>
      </c>
      <c r="L3487">
        <v>3</v>
      </c>
      <c r="M3487" t="s">
        <v>92</v>
      </c>
      <c r="N3487" t="s">
        <v>92</v>
      </c>
      <c r="O3487" t="s">
        <v>92</v>
      </c>
      <c r="P3487" t="s">
        <v>92</v>
      </c>
      <c r="Q3487">
        <v>3</v>
      </c>
      <c r="R3487">
        <v>57</v>
      </c>
      <c r="S3487">
        <v>5</v>
      </c>
      <c r="T3487">
        <v>34</v>
      </c>
      <c r="U3487">
        <v>26</v>
      </c>
      <c r="V3487">
        <v>1</v>
      </c>
      <c r="W3487">
        <v>12</v>
      </c>
      <c r="X3487">
        <v>53</v>
      </c>
      <c r="Y3487">
        <v>3</v>
      </c>
      <c r="Z3487">
        <v>66</v>
      </c>
      <c r="AB3487">
        <v>32</v>
      </c>
      <c r="AC3487">
        <v>65</v>
      </c>
      <c r="AJ3487">
        <v>0</v>
      </c>
      <c r="AK3487">
        <v>1</v>
      </c>
      <c r="AL3487">
        <v>0</v>
      </c>
      <c r="AM3487">
        <v>0</v>
      </c>
      <c r="AN3487">
        <v>2</v>
      </c>
      <c r="AO3487">
        <v>2</v>
      </c>
      <c r="AP3487">
        <v>0</v>
      </c>
      <c r="AQ3487">
        <v>0</v>
      </c>
      <c r="AR3487">
        <v>0</v>
      </c>
      <c r="AS3487">
        <v>0</v>
      </c>
      <c r="AT3487">
        <v>0</v>
      </c>
      <c r="AW3487">
        <v>1</v>
      </c>
      <c r="AX3487">
        <v>7</v>
      </c>
      <c r="AY3487">
        <v>368</v>
      </c>
      <c r="AZ3487">
        <v>370</v>
      </c>
      <c r="BA3487">
        <v>610</v>
      </c>
      <c r="BB3487">
        <v>46</v>
      </c>
      <c r="BD3487">
        <v>1</v>
      </c>
      <c r="BF3487" t="s">
        <v>3729</v>
      </c>
      <c r="BG3487" s="1">
        <v>44354.466666666667</v>
      </c>
      <c r="BH3487" s="1">
        <v>44354.469317129631</v>
      </c>
      <c r="BI3487" s="1">
        <v>44354.469814814816</v>
      </c>
      <c r="BJ3487" t="s">
        <v>85</v>
      </c>
      <c r="BK3487" t="s">
        <v>86</v>
      </c>
      <c r="BL3487" t="s">
        <v>87</v>
      </c>
    </row>
    <row r="3488" spans="1:64" x14ac:dyDescent="0.3">
      <c r="A3488" t="str">
        <f>"202375C0100"</f>
        <v>202375C0100</v>
      </c>
      <c r="B3488" t="str">
        <f>"202375C01003"</f>
        <v>202375C01003</v>
      </c>
      <c r="C3488" t="str">
        <f t="shared" si="252"/>
        <v>20</v>
      </c>
      <c r="D3488" t="s">
        <v>81</v>
      </c>
      <c r="E3488" t="str">
        <f t="shared" si="254"/>
        <v>553</v>
      </c>
      <c r="F3488" t="s">
        <v>3695</v>
      </c>
      <c r="G3488" t="str">
        <f>"2375"</f>
        <v>2375</v>
      </c>
      <c r="H3488" t="str">
        <f>"0001"</f>
        <v>0001</v>
      </c>
      <c r="I3488" t="s">
        <v>89</v>
      </c>
      <c r="J3488">
        <v>0</v>
      </c>
      <c r="K3488">
        <v>1</v>
      </c>
      <c r="L3488">
        <v>3</v>
      </c>
      <c r="M3488">
        <v>272</v>
      </c>
      <c r="N3488">
        <v>384</v>
      </c>
      <c r="O3488">
        <v>12</v>
      </c>
      <c r="P3488">
        <v>384</v>
      </c>
      <c r="Q3488">
        <v>4</v>
      </c>
      <c r="R3488">
        <v>72</v>
      </c>
      <c r="S3488">
        <v>3</v>
      </c>
      <c r="T3488">
        <v>31</v>
      </c>
      <c r="U3488">
        <v>34</v>
      </c>
      <c r="V3488">
        <v>5</v>
      </c>
      <c r="W3488">
        <v>5</v>
      </c>
      <c r="X3488">
        <v>70</v>
      </c>
      <c r="Y3488">
        <v>4</v>
      </c>
      <c r="Z3488">
        <v>65</v>
      </c>
      <c r="AB3488">
        <v>18</v>
      </c>
      <c r="AC3488">
        <v>66</v>
      </c>
      <c r="AJ3488">
        <v>1</v>
      </c>
      <c r="AK3488">
        <v>0</v>
      </c>
      <c r="AL3488">
        <v>0</v>
      </c>
      <c r="AM3488">
        <v>0</v>
      </c>
      <c r="AN3488">
        <v>0</v>
      </c>
      <c r="AO3488">
        <v>0</v>
      </c>
      <c r="AP3488">
        <v>0</v>
      </c>
      <c r="AQ3488">
        <v>0</v>
      </c>
      <c r="AR3488">
        <v>0</v>
      </c>
      <c r="AS3488">
        <v>0</v>
      </c>
      <c r="AT3488">
        <v>0</v>
      </c>
      <c r="AW3488">
        <v>0</v>
      </c>
      <c r="AX3488">
        <v>6</v>
      </c>
      <c r="AY3488">
        <v>384</v>
      </c>
      <c r="AZ3488">
        <v>384</v>
      </c>
      <c r="BA3488">
        <v>610</v>
      </c>
      <c r="BB3488">
        <v>46</v>
      </c>
      <c r="BD3488">
        <v>1</v>
      </c>
      <c r="BF3488" t="s">
        <v>3730</v>
      </c>
      <c r="BG3488" s="1">
        <v>44354.470833333333</v>
      </c>
      <c r="BH3488" s="1">
        <v>44354.473541666666</v>
      </c>
      <c r="BI3488" s="1">
        <v>44354.474432870367</v>
      </c>
      <c r="BJ3488" t="s">
        <v>85</v>
      </c>
      <c r="BK3488" t="s">
        <v>86</v>
      </c>
      <c r="BL3488" t="s">
        <v>87</v>
      </c>
    </row>
    <row r="3489" spans="1:64" x14ac:dyDescent="0.3">
      <c r="A3489" t="str">
        <f>"202375C0200"</f>
        <v>202375C0200</v>
      </c>
      <c r="B3489" t="str">
        <f>"202375C02003"</f>
        <v>202375C02003</v>
      </c>
      <c r="C3489" t="str">
        <f t="shared" si="252"/>
        <v>20</v>
      </c>
      <c r="D3489" t="s">
        <v>81</v>
      </c>
      <c r="E3489" t="str">
        <f t="shared" si="254"/>
        <v>553</v>
      </c>
      <c r="F3489" t="s">
        <v>3695</v>
      </c>
      <c r="G3489" t="str">
        <f>"2375"</f>
        <v>2375</v>
      </c>
      <c r="H3489" t="str">
        <f>"0002"</f>
        <v>0002</v>
      </c>
      <c r="I3489" t="s">
        <v>89</v>
      </c>
      <c r="J3489">
        <v>0</v>
      </c>
      <c r="K3489">
        <v>1</v>
      </c>
      <c r="L3489">
        <v>3</v>
      </c>
      <c r="M3489">
        <v>277</v>
      </c>
      <c r="N3489">
        <v>379</v>
      </c>
      <c r="O3489">
        <v>12</v>
      </c>
      <c r="P3489">
        <v>379</v>
      </c>
      <c r="Q3489">
        <v>4</v>
      </c>
      <c r="R3489">
        <v>53</v>
      </c>
      <c r="S3489">
        <v>1</v>
      </c>
      <c r="T3489">
        <v>23</v>
      </c>
      <c r="U3489">
        <v>23</v>
      </c>
      <c r="V3489">
        <v>5</v>
      </c>
      <c r="W3489">
        <v>11</v>
      </c>
      <c r="X3489">
        <v>56</v>
      </c>
      <c r="Y3489">
        <v>1</v>
      </c>
      <c r="Z3489">
        <v>89</v>
      </c>
      <c r="AB3489">
        <v>31</v>
      </c>
      <c r="AC3489">
        <v>72</v>
      </c>
      <c r="AJ3489">
        <v>0</v>
      </c>
      <c r="AK3489">
        <v>1</v>
      </c>
      <c r="AL3489">
        <v>0</v>
      </c>
      <c r="AM3489">
        <v>0</v>
      </c>
      <c r="AN3489">
        <v>0</v>
      </c>
      <c r="AO3489">
        <v>0</v>
      </c>
      <c r="AP3489">
        <v>0</v>
      </c>
      <c r="AQ3489">
        <v>0</v>
      </c>
      <c r="AR3489">
        <v>0</v>
      </c>
      <c r="AS3489">
        <v>0</v>
      </c>
      <c r="AT3489">
        <v>0</v>
      </c>
      <c r="AW3489">
        <v>0</v>
      </c>
      <c r="AX3489">
        <v>9</v>
      </c>
      <c r="AY3489">
        <v>379</v>
      </c>
      <c r="AZ3489">
        <v>379</v>
      </c>
      <c r="BA3489">
        <v>610</v>
      </c>
      <c r="BB3489">
        <v>46</v>
      </c>
      <c r="BD3489">
        <v>1</v>
      </c>
      <c r="BF3489" t="s">
        <v>3731</v>
      </c>
      <c r="BG3489" s="1">
        <v>44354.474999999999</v>
      </c>
      <c r="BH3489" s="1">
        <v>44354.477685185186</v>
      </c>
      <c r="BI3489" s="1">
        <v>44354.478773148148</v>
      </c>
      <c r="BJ3489" t="s">
        <v>85</v>
      </c>
      <c r="BK3489" t="s">
        <v>86</v>
      </c>
      <c r="BL3489" t="s">
        <v>87</v>
      </c>
    </row>
    <row r="3490" spans="1:64" x14ac:dyDescent="0.3">
      <c r="A3490" t="str">
        <f>"202375C0300"</f>
        <v>202375C0300</v>
      </c>
      <c r="B3490" t="str">
        <f>"202375C03003"</f>
        <v>202375C03003</v>
      </c>
      <c r="C3490" t="str">
        <f t="shared" si="252"/>
        <v>20</v>
      </c>
      <c r="D3490" t="s">
        <v>81</v>
      </c>
      <c r="E3490" t="str">
        <f t="shared" si="254"/>
        <v>553</v>
      </c>
      <c r="F3490" t="s">
        <v>3695</v>
      </c>
      <c r="G3490" t="str">
        <f>"2375"</f>
        <v>2375</v>
      </c>
      <c r="H3490" t="str">
        <f>"0003"</f>
        <v>0003</v>
      </c>
      <c r="I3490" t="s">
        <v>89</v>
      </c>
      <c r="J3490">
        <v>0</v>
      </c>
      <c r="K3490">
        <v>1</v>
      </c>
      <c r="L3490">
        <v>3</v>
      </c>
      <c r="M3490">
        <v>287</v>
      </c>
      <c r="N3490">
        <v>369</v>
      </c>
      <c r="O3490">
        <v>11</v>
      </c>
      <c r="P3490">
        <v>369</v>
      </c>
      <c r="Q3490">
        <v>11</v>
      </c>
      <c r="R3490">
        <v>52</v>
      </c>
      <c r="S3490">
        <v>1</v>
      </c>
      <c r="T3490">
        <v>30</v>
      </c>
      <c r="U3490">
        <v>19</v>
      </c>
      <c r="V3490">
        <v>3</v>
      </c>
      <c r="W3490">
        <v>8</v>
      </c>
      <c r="X3490">
        <v>39</v>
      </c>
      <c r="Y3490">
        <v>4</v>
      </c>
      <c r="Z3490">
        <v>95</v>
      </c>
      <c r="AB3490">
        <v>22</v>
      </c>
      <c r="AC3490">
        <v>74</v>
      </c>
      <c r="AJ3490">
        <v>0</v>
      </c>
      <c r="AK3490">
        <v>1</v>
      </c>
      <c r="AL3490">
        <v>0</v>
      </c>
      <c r="AM3490">
        <v>0</v>
      </c>
      <c r="AN3490">
        <v>0</v>
      </c>
      <c r="AO3490">
        <v>1</v>
      </c>
      <c r="AP3490">
        <v>0</v>
      </c>
      <c r="AQ3490">
        <v>0</v>
      </c>
      <c r="AR3490">
        <v>0</v>
      </c>
      <c r="AS3490">
        <v>0</v>
      </c>
      <c r="AT3490">
        <v>0</v>
      </c>
      <c r="AW3490">
        <v>0</v>
      </c>
      <c r="AX3490">
        <v>9</v>
      </c>
      <c r="AY3490">
        <v>369</v>
      </c>
      <c r="AZ3490">
        <v>369</v>
      </c>
      <c r="BA3490">
        <v>610</v>
      </c>
      <c r="BB3490">
        <v>46</v>
      </c>
      <c r="BD3490">
        <v>1</v>
      </c>
      <c r="BF3490" t="s">
        <v>3732</v>
      </c>
      <c r="BG3490" s="1">
        <v>44354.470138888886</v>
      </c>
      <c r="BH3490" s="1">
        <v>44354.473437499997</v>
      </c>
      <c r="BI3490" s="1">
        <v>44354.474664351852</v>
      </c>
      <c r="BJ3490" t="s">
        <v>85</v>
      </c>
      <c r="BK3490" t="s">
        <v>86</v>
      </c>
      <c r="BL3490" t="s">
        <v>87</v>
      </c>
    </row>
    <row r="3491" spans="1:64" x14ac:dyDescent="0.3">
      <c r="A3491" t="str">
        <f>"202375C0400"</f>
        <v>202375C0400</v>
      </c>
      <c r="B3491" t="str">
        <f>"202375C04003"</f>
        <v>202375C04003</v>
      </c>
      <c r="C3491" t="str">
        <f t="shared" si="252"/>
        <v>20</v>
      </c>
      <c r="D3491" t="s">
        <v>81</v>
      </c>
      <c r="E3491" t="str">
        <f t="shared" si="254"/>
        <v>553</v>
      </c>
      <c r="F3491" t="s">
        <v>3695</v>
      </c>
      <c r="G3491" t="str">
        <f>"2375"</f>
        <v>2375</v>
      </c>
      <c r="H3491" t="str">
        <f>"0004"</f>
        <v>0004</v>
      </c>
      <c r="I3491" t="s">
        <v>89</v>
      </c>
      <c r="J3491">
        <v>0</v>
      </c>
      <c r="K3491">
        <v>1</v>
      </c>
      <c r="L3491">
        <v>3</v>
      </c>
      <c r="M3491">
        <v>289</v>
      </c>
      <c r="N3491">
        <v>366</v>
      </c>
      <c r="O3491">
        <v>15</v>
      </c>
      <c r="P3491">
        <v>366</v>
      </c>
      <c r="Q3491">
        <v>13</v>
      </c>
      <c r="R3491">
        <v>61</v>
      </c>
      <c r="S3491">
        <v>5</v>
      </c>
      <c r="T3491">
        <v>28</v>
      </c>
      <c r="U3491">
        <v>18</v>
      </c>
      <c r="V3491">
        <v>4</v>
      </c>
      <c r="W3491">
        <v>10</v>
      </c>
      <c r="X3491">
        <v>42</v>
      </c>
      <c r="Y3491">
        <v>1</v>
      </c>
      <c r="Z3491">
        <v>99</v>
      </c>
      <c r="AB3491">
        <v>28</v>
      </c>
      <c r="AC3491">
        <v>48</v>
      </c>
      <c r="AJ3491">
        <v>0</v>
      </c>
      <c r="AK3491">
        <v>0</v>
      </c>
      <c r="AL3491">
        <v>0</v>
      </c>
      <c r="AM3491">
        <v>0</v>
      </c>
      <c r="AN3491">
        <v>0</v>
      </c>
      <c r="AO3491">
        <v>0</v>
      </c>
      <c r="AP3491">
        <v>0</v>
      </c>
      <c r="AQ3491">
        <v>0</v>
      </c>
      <c r="AR3491">
        <v>0</v>
      </c>
      <c r="AS3491">
        <v>0</v>
      </c>
      <c r="AT3491">
        <v>0</v>
      </c>
      <c r="AW3491">
        <v>0</v>
      </c>
      <c r="AX3491">
        <v>9</v>
      </c>
      <c r="AY3491">
        <v>366</v>
      </c>
      <c r="AZ3491">
        <v>366</v>
      </c>
      <c r="BA3491">
        <v>609</v>
      </c>
      <c r="BB3491">
        <v>46</v>
      </c>
      <c r="BD3491">
        <v>1</v>
      </c>
      <c r="BF3491" t="s">
        <v>3733</v>
      </c>
      <c r="BG3491" s="1">
        <v>44354.472222222219</v>
      </c>
      <c r="BH3491" s="1">
        <v>44354.473553240743</v>
      </c>
      <c r="BI3491" s="1">
        <v>44354.47451388889</v>
      </c>
      <c r="BJ3491" t="s">
        <v>85</v>
      </c>
      <c r="BK3491" t="s">
        <v>86</v>
      </c>
      <c r="BL3491" t="s">
        <v>87</v>
      </c>
    </row>
    <row r="3492" spans="1:64" x14ac:dyDescent="0.3">
      <c r="A3492" t="str">
        <f>"202376B0000"</f>
        <v>202376B0000</v>
      </c>
      <c r="B3492" t="str">
        <f>"202376B00003"</f>
        <v>202376B00003</v>
      </c>
      <c r="C3492" t="str">
        <f t="shared" si="252"/>
        <v>20</v>
      </c>
      <c r="D3492" t="s">
        <v>81</v>
      </c>
      <c r="E3492" t="str">
        <f t="shared" si="254"/>
        <v>553</v>
      </c>
      <c r="F3492" t="s">
        <v>3695</v>
      </c>
      <c r="G3492" t="str">
        <f>"2376"</f>
        <v>2376</v>
      </c>
      <c r="H3492" t="str">
        <f>"0000"</f>
        <v>0000</v>
      </c>
      <c r="I3492" t="s">
        <v>83</v>
      </c>
      <c r="J3492">
        <v>0</v>
      </c>
      <c r="K3492">
        <v>1</v>
      </c>
      <c r="L3492">
        <v>3</v>
      </c>
      <c r="M3492">
        <v>226</v>
      </c>
      <c r="N3492">
        <v>305</v>
      </c>
      <c r="O3492">
        <v>7</v>
      </c>
      <c r="P3492">
        <v>305</v>
      </c>
      <c r="Q3492">
        <v>2</v>
      </c>
      <c r="R3492">
        <v>61</v>
      </c>
      <c r="S3492">
        <v>1</v>
      </c>
      <c r="T3492">
        <v>23</v>
      </c>
      <c r="U3492">
        <v>9</v>
      </c>
      <c r="V3492">
        <v>3</v>
      </c>
      <c r="W3492">
        <v>20</v>
      </c>
      <c r="X3492">
        <v>23</v>
      </c>
      <c r="Y3492">
        <v>2</v>
      </c>
      <c r="Z3492">
        <v>94</v>
      </c>
      <c r="AB3492">
        <v>17</v>
      </c>
      <c r="AC3492">
        <v>40</v>
      </c>
      <c r="AJ3492">
        <v>0</v>
      </c>
      <c r="AK3492">
        <v>0</v>
      </c>
      <c r="AL3492">
        <v>0</v>
      </c>
      <c r="AM3492">
        <v>0</v>
      </c>
      <c r="AN3492">
        <v>0</v>
      </c>
      <c r="AO3492">
        <v>0</v>
      </c>
      <c r="AP3492">
        <v>0</v>
      </c>
      <c r="AQ3492">
        <v>0</v>
      </c>
      <c r="AR3492">
        <v>0</v>
      </c>
      <c r="AS3492">
        <v>0</v>
      </c>
      <c r="AT3492">
        <v>0</v>
      </c>
      <c r="AW3492">
        <v>0</v>
      </c>
      <c r="AX3492">
        <v>10</v>
      </c>
      <c r="AY3492">
        <v>305</v>
      </c>
      <c r="AZ3492">
        <v>305</v>
      </c>
      <c r="BA3492">
        <v>485</v>
      </c>
      <c r="BB3492">
        <v>46</v>
      </c>
      <c r="BD3492">
        <v>1</v>
      </c>
      <c r="BF3492" t="s">
        <v>3734</v>
      </c>
      <c r="BG3492" s="1">
        <v>44354.470138888886</v>
      </c>
      <c r="BH3492" s="1">
        <v>44354.472372685188</v>
      </c>
      <c r="BI3492" s="1">
        <v>44354.473217592589</v>
      </c>
      <c r="BJ3492" t="s">
        <v>85</v>
      </c>
      <c r="BK3492" t="s">
        <v>86</v>
      </c>
      <c r="BL3492" t="s">
        <v>87</v>
      </c>
    </row>
    <row r="3493" spans="1:64" x14ac:dyDescent="0.3">
      <c r="A3493" t="str">
        <f>"202376C0100"</f>
        <v>202376C0100</v>
      </c>
      <c r="B3493" t="str">
        <f>"202376C01003"</f>
        <v>202376C01003</v>
      </c>
      <c r="C3493" t="str">
        <f t="shared" si="252"/>
        <v>20</v>
      </c>
      <c r="D3493" t="s">
        <v>81</v>
      </c>
      <c r="E3493" t="str">
        <f t="shared" si="254"/>
        <v>553</v>
      </c>
      <c r="F3493" t="s">
        <v>3695</v>
      </c>
      <c r="G3493" t="str">
        <f>"2376"</f>
        <v>2376</v>
      </c>
      <c r="H3493" t="str">
        <f>"0001"</f>
        <v>0001</v>
      </c>
      <c r="I3493" t="s">
        <v>89</v>
      </c>
      <c r="J3493">
        <v>0</v>
      </c>
      <c r="K3493">
        <v>1</v>
      </c>
      <c r="L3493">
        <v>3</v>
      </c>
      <c r="M3493">
        <v>243</v>
      </c>
      <c r="N3493">
        <v>285</v>
      </c>
      <c r="O3493">
        <v>9</v>
      </c>
      <c r="P3493">
        <v>287</v>
      </c>
      <c r="Q3493">
        <v>2</v>
      </c>
      <c r="R3493">
        <v>28</v>
      </c>
      <c r="S3493">
        <v>5</v>
      </c>
      <c r="T3493">
        <v>23</v>
      </c>
      <c r="U3493">
        <v>9</v>
      </c>
      <c r="V3493">
        <v>1</v>
      </c>
      <c r="W3493">
        <v>8</v>
      </c>
      <c r="X3493">
        <v>23</v>
      </c>
      <c r="Y3493">
        <v>2</v>
      </c>
      <c r="Z3493">
        <v>113</v>
      </c>
      <c r="AB3493">
        <v>28</v>
      </c>
      <c r="AC3493">
        <v>30</v>
      </c>
      <c r="AJ3493">
        <v>0</v>
      </c>
      <c r="AK3493">
        <v>0</v>
      </c>
      <c r="AL3493">
        <v>0</v>
      </c>
      <c r="AM3493">
        <v>0</v>
      </c>
      <c r="AN3493">
        <v>0</v>
      </c>
      <c r="AO3493">
        <v>0</v>
      </c>
      <c r="AP3493">
        <v>0</v>
      </c>
      <c r="AQ3493">
        <v>0</v>
      </c>
      <c r="AR3493">
        <v>1</v>
      </c>
      <c r="AS3493">
        <v>0</v>
      </c>
      <c r="AT3493">
        <v>0</v>
      </c>
      <c r="AW3493">
        <v>0</v>
      </c>
      <c r="AX3493">
        <v>14</v>
      </c>
      <c r="AY3493">
        <v>287</v>
      </c>
      <c r="AZ3493">
        <v>287</v>
      </c>
      <c r="BA3493">
        <v>484</v>
      </c>
      <c r="BB3493">
        <v>46</v>
      </c>
      <c r="BD3493">
        <v>1</v>
      </c>
      <c r="BF3493" t="s">
        <v>3735</v>
      </c>
      <c r="BG3493" s="1">
        <v>44354.043391203704</v>
      </c>
      <c r="BH3493" s="1">
        <v>44354.051226851851</v>
      </c>
      <c r="BI3493" s="1">
        <v>44354.051828703705</v>
      </c>
      <c r="BJ3493" t="s">
        <v>197</v>
      </c>
      <c r="BK3493" t="s">
        <v>198</v>
      </c>
      <c r="BL3493" t="s">
        <v>87</v>
      </c>
    </row>
    <row r="3494" spans="1:64" x14ac:dyDescent="0.3">
      <c r="A3494" t="str">
        <f>"202376E0100"</f>
        <v>202376E0100</v>
      </c>
      <c r="B3494" t="str">
        <f>"202376E01003"</f>
        <v>202376E01003</v>
      </c>
      <c r="C3494" t="str">
        <f t="shared" si="252"/>
        <v>20</v>
      </c>
      <c r="D3494" t="s">
        <v>81</v>
      </c>
      <c r="E3494" t="str">
        <f t="shared" si="254"/>
        <v>553</v>
      </c>
      <c r="F3494" t="s">
        <v>3695</v>
      </c>
      <c r="G3494" t="str">
        <f>"2376"</f>
        <v>2376</v>
      </c>
      <c r="H3494" t="str">
        <f>"0001"</f>
        <v>0001</v>
      </c>
      <c r="I3494" t="s">
        <v>122</v>
      </c>
      <c r="J3494">
        <v>0</v>
      </c>
      <c r="K3494">
        <v>1</v>
      </c>
      <c r="L3494">
        <v>3</v>
      </c>
      <c r="M3494">
        <v>192</v>
      </c>
      <c r="N3494">
        <v>290</v>
      </c>
      <c r="O3494">
        <v>8</v>
      </c>
      <c r="P3494" t="s">
        <v>92</v>
      </c>
      <c r="Q3494">
        <v>6</v>
      </c>
      <c r="R3494">
        <v>47</v>
      </c>
      <c r="S3494">
        <v>2</v>
      </c>
      <c r="T3494">
        <v>39</v>
      </c>
      <c r="U3494">
        <v>9</v>
      </c>
      <c r="V3494">
        <v>1</v>
      </c>
      <c r="W3494">
        <v>2</v>
      </c>
      <c r="X3494">
        <v>22</v>
      </c>
      <c r="Y3494">
        <v>3</v>
      </c>
      <c r="Z3494">
        <v>89</v>
      </c>
      <c r="AB3494">
        <v>24</v>
      </c>
      <c r="AC3494">
        <v>33</v>
      </c>
      <c r="AJ3494">
        <v>0</v>
      </c>
      <c r="AK3494">
        <v>0</v>
      </c>
      <c r="AL3494">
        <v>0</v>
      </c>
      <c r="AM3494">
        <v>0</v>
      </c>
      <c r="AN3494">
        <v>0</v>
      </c>
      <c r="AO3494">
        <v>1</v>
      </c>
      <c r="AP3494">
        <v>0</v>
      </c>
      <c r="AQ3494">
        <v>0</v>
      </c>
      <c r="AR3494">
        <v>1</v>
      </c>
      <c r="AS3494">
        <v>0</v>
      </c>
      <c r="AT3494">
        <v>0</v>
      </c>
      <c r="AW3494">
        <v>0</v>
      </c>
      <c r="AX3494">
        <v>11</v>
      </c>
      <c r="AY3494">
        <v>290</v>
      </c>
      <c r="AZ3494">
        <v>290</v>
      </c>
      <c r="BA3494">
        <v>436</v>
      </c>
      <c r="BB3494">
        <v>46</v>
      </c>
      <c r="BD3494">
        <v>1</v>
      </c>
      <c r="BF3494" t="s">
        <v>3736</v>
      </c>
      <c r="BG3494" s="1">
        <v>44354.475694444445</v>
      </c>
      <c r="BH3494" s="1">
        <v>44354.478275462963</v>
      </c>
      <c r="BI3494" s="1">
        <v>44354.479027777779</v>
      </c>
      <c r="BJ3494" t="s">
        <v>85</v>
      </c>
      <c r="BK3494" t="s">
        <v>86</v>
      </c>
      <c r="BL3494" t="s">
        <v>87</v>
      </c>
    </row>
    <row r="3495" spans="1:64" x14ac:dyDescent="0.3">
      <c r="A3495" t="str">
        <f>"202376E0101"</f>
        <v>202376E0101</v>
      </c>
      <c r="B3495" t="str">
        <f>"202376E01013"</f>
        <v>202376E01013</v>
      </c>
      <c r="C3495" t="str">
        <f t="shared" si="252"/>
        <v>20</v>
      </c>
      <c r="D3495" t="s">
        <v>81</v>
      </c>
      <c r="E3495" t="str">
        <f t="shared" si="254"/>
        <v>553</v>
      </c>
      <c r="F3495" t="s">
        <v>3695</v>
      </c>
      <c r="G3495" t="str">
        <f>"2376"</f>
        <v>2376</v>
      </c>
      <c r="H3495" t="str">
        <f>"0001"</f>
        <v>0001</v>
      </c>
      <c r="I3495" t="s">
        <v>122</v>
      </c>
      <c r="J3495">
        <v>1</v>
      </c>
      <c r="K3495">
        <v>1</v>
      </c>
      <c r="L3495">
        <v>3</v>
      </c>
      <c r="M3495">
        <v>229</v>
      </c>
      <c r="N3495">
        <v>253</v>
      </c>
      <c r="O3495">
        <v>14</v>
      </c>
      <c r="P3495" t="s">
        <v>92</v>
      </c>
      <c r="Q3495" t="s">
        <v>131</v>
      </c>
      <c r="R3495">
        <v>49</v>
      </c>
      <c r="S3495">
        <v>2</v>
      </c>
      <c r="T3495">
        <v>24</v>
      </c>
      <c r="U3495">
        <v>3</v>
      </c>
      <c r="V3495">
        <v>3</v>
      </c>
      <c r="W3495">
        <v>3</v>
      </c>
      <c r="X3495">
        <v>21</v>
      </c>
      <c r="Y3495">
        <v>1</v>
      </c>
      <c r="Z3495">
        <v>84</v>
      </c>
      <c r="AB3495">
        <v>16</v>
      </c>
      <c r="AC3495">
        <v>32</v>
      </c>
      <c r="AJ3495" t="s">
        <v>95</v>
      </c>
      <c r="AK3495">
        <v>1</v>
      </c>
      <c r="AL3495" t="s">
        <v>95</v>
      </c>
      <c r="AM3495" t="s">
        <v>95</v>
      </c>
      <c r="AN3495" t="s">
        <v>95</v>
      </c>
      <c r="AO3495" t="s">
        <v>95</v>
      </c>
      <c r="AP3495" t="s">
        <v>95</v>
      </c>
      <c r="AQ3495" t="s">
        <v>95</v>
      </c>
      <c r="AR3495" t="s">
        <v>95</v>
      </c>
      <c r="AS3495" t="s">
        <v>95</v>
      </c>
      <c r="AT3495" t="s">
        <v>95</v>
      </c>
      <c r="AW3495" t="s">
        <v>95</v>
      </c>
      <c r="AX3495">
        <v>9</v>
      </c>
      <c r="AY3495">
        <v>253</v>
      </c>
      <c r="AZ3495">
        <v>248</v>
      </c>
      <c r="BA3495">
        <v>436</v>
      </c>
      <c r="BB3495">
        <v>46</v>
      </c>
      <c r="BC3495" t="s">
        <v>96</v>
      </c>
      <c r="BD3495">
        <v>1</v>
      </c>
      <c r="BF3495" t="s">
        <v>3737</v>
      </c>
      <c r="BG3495" s="1">
        <v>44354.472222222219</v>
      </c>
      <c r="BH3495" s="1">
        <v>44354.475752314815</v>
      </c>
      <c r="BI3495" s="1">
        <v>44354.476631944446</v>
      </c>
      <c r="BJ3495" t="s">
        <v>85</v>
      </c>
      <c r="BK3495" t="s">
        <v>86</v>
      </c>
      <c r="BL3495" t="s">
        <v>87</v>
      </c>
    </row>
    <row r="3496" spans="1:64" x14ac:dyDescent="0.3">
      <c r="A3496" t="str">
        <f>"202377B0000"</f>
        <v>202377B0000</v>
      </c>
      <c r="B3496" t="str">
        <f>"202377B00003"</f>
        <v>202377B00003</v>
      </c>
      <c r="C3496" t="str">
        <f t="shared" si="252"/>
        <v>20</v>
      </c>
      <c r="D3496" t="s">
        <v>81</v>
      </c>
      <c r="E3496" t="str">
        <f t="shared" si="254"/>
        <v>553</v>
      </c>
      <c r="F3496" t="s">
        <v>3695</v>
      </c>
      <c r="G3496" t="str">
        <f>"2377"</f>
        <v>2377</v>
      </c>
      <c r="H3496" t="str">
        <f>"0000"</f>
        <v>0000</v>
      </c>
      <c r="I3496" t="s">
        <v>83</v>
      </c>
      <c r="J3496">
        <v>0</v>
      </c>
      <c r="K3496">
        <v>1</v>
      </c>
      <c r="L3496">
        <v>3</v>
      </c>
      <c r="M3496">
        <v>227</v>
      </c>
      <c r="N3496">
        <v>339</v>
      </c>
      <c r="O3496">
        <v>5</v>
      </c>
      <c r="P3496" t="s">
        <v>92</v>
      </c>
      <c r="Q3496">
        <v>3</v>
      </c>
      <c r="R3496">
        <v>42</v>
      </c>
      <c r="S3496">
        <v>5</v>
      </c>
      <c r="T3496">
        <v>11</v>
      </c>
      <c r="U3496">
        <v>23</v>
      </c>
      <c r="V3496">
        <v>3</v>
      </c>
      <c r="W3496">
        <v>17</v>
      </c>
      <c r="X3496">
        <v>32</v>
      </c>
      <c r="Y3496">
        <v>1</v>
      </c>
      <c r="Z3496">
        <v>60</v>
      </c>
      <c r="AB3496">
        <v>20</v>
      </c>
      <c r="AC3496">
        <v>105</v>
      </c>
      <c r="AJ3496">
        <v>0</v>
      </c>
      <c r="AK3496">
        <v>0</v>
      </c>
      <c r="AL3496">
        <v>0</v>
      </c>
      <c r="AM3496">
        <v>0</v>
      </c>
      <c r="AN3496">
        <v>0</v>
      </c>
      <c r="AO3496">
        <v>0</v>
      </c>
      <c r="AP3496">
        <v>0</v>
      </c>
      <c r="AQ3496">
        <v>0</v>
      </c>
      <c r="AR3496">
        <v>0</v>
      </c>
      <c r="AS3496">
        <v>3</v>
      </c>
      <c r="AT3496">
        <v>0</v>
      </c>
      <c r="AW3496">
        <v>0</v>
      </c>
      <c r="AX3496">
        <v>14</v>
      </c>
      <c r="AY3496">
        <v>339</v>
      </c>
      <c r="AZ3496">
        <v>339</v>
      </c>
      <c r="BA3496">
        <v>520</v>
      </c>
      <c r="BB3496">
        <v>46</v>
      </c>
      <c r="BD3496">
        <v>1</v>
      </c>
      <c r="BF3496" t="s">
        <v>3738</v>
      </c>
      <c r="BG3496" s="1">
        <v>44353.907430555555</v>
      </c>
      <c r="BH3496" s="1">
        <v>44353.964224537034</v>
      </c>
      <c r="BI3496" s="1">
        <v>44353.965104166666</v>
      </c>
      <c r="BJ3496" t="s">
        <v>197</v>
      </c>
      <c r="BK3496" t="s">
        <v>198</v>
      </c>
      <c r="BL3496" t="s">
        <v>87</v>
      </c>
    </row>
    <row r="3497" spans="1:64" x14ac:dyDescent="0.3">
      <c r="A3497" t="str">
        <f>"202378B0000"</f>
        <v>202378B0000</v>
      </c>
      <c r="B3497" t="str">
        <f>"202378B00003"</f>
        <v>202378B00003</v>
      </c>
      <c r="C3497" t="str">
        <f t="shared" si="252"/>
        <v>20</v>
      </c>
      <c r="D3497" t="s">
        <v>81</v>
      </c>
      <c r="E3497" t="str">
        <f t="shared" si="254"/>
        <v>553</v>
      </c>
      <c r="F3497" t="s">
        <v>3695</v>
      </c>
      <c r="G3497" t="str">
        <f>"2378"</f>
        <v>2378</v>
      </c>
      <c r="H3497" t="str">
        <f>"0000"</f>
        <v>0000</v>
      </c>
      <c r="I3497" t="s">
        <v>83</v>
      </c>
      <c r="J3497">
        <v>0</v>
      </c>
      <c r="K3497">
        <v>1</v>
      </c>
      <c r="L3497">
        <v>3</v>
      </c>
      <c r="M3497">
        <v>88</v>
      </c>
      <c r="N3497">
        <v>104</v>
      </c>
      <c r="O3497">
        <v>5</v>
      </c>
      <c r="P3497">
        <v>104</v>
      </c>
      <c r="Q3497">
        <v>1</v>
      </c>
      <c r="R3497">
        <v>5</v>
      </c>
      <c r="S3497">
        <v>3</v>
      </c>
      <c r="T3497">
        <v>3</v>
      </c>
      <c r="U3497">
        <v>12</v>
      </c>
      <c r="V3497">
        <v>1</v>
      </c>
      <c r="W3497">
        <v>7</v>
      </c>
      <c r="X3497">
        <v>8</v>
      </c>
      <c r="Y3497">
        <v>0</v>
      </c>
      <c r="Z3497">
        <v>22</v>
      </c>
      <c r="AB3497">
        <v>36</v>
      </c>
      <c r="AC3497">
        <v>6</v>
      </c>
      <c r="AJ3497">
        <v>0</v>
      </c>
      <c r="AK3497">
        <v>0</v>
      </c>
      <c r="AL3497">
        <v>0</v>
      </c>
      <c r="AM3497">
        <v>0</v>
      </c>
      <c r="AN3497">
        <v>0</v>
      </c>
      <c r="AO3497">
        <v>0</v>
      </c>
      <c r="AP3497">
        <v>0</v>
      </c>
      <c r="AQ3497">
        <v>0</v>
      </c>
      <c r="AR3497">
        <v>0</v>
      </c>
      <c r="AS3497">
        <v>0</v>
      </c>
      <c r="AT3497">
        <v>0</v>
      </c>
      <c r="AW3497">
        <v>0</v>
      </c>
      <c r="AX3497">
        <v>2</v>
      </c>
      <c r="AY3497">
        <v>104</v>
      </c>
      <c r="AZ3497">
        <v>106</v>
      </c>
      <c r="BA3497">
        <v>146</v>
      </c>
      <c r="BB3497">
        <v>46</v>
      </c>
      <c r="BD3497">
        <v>1</v>
      </c>
      <c r="BF3497" t="s">
        <v>3739</v>
      </c>
      <c r="BG3497" s="1">
        <v>44353.868194444447</v>
      </c>
      <c r="BH3497" s="1">
        <v>44354.047812500001</v>
      </c>
      <c r="BI3497" s="1">
        <v>44354.048541666663</v>
      </c>
      <c r="BJ3497" t="s">
        <v>197</v>
      </c>
      <c r="BK3497" t="s">
        <v>198</v>
      </c>
      <c r="BL3497" t="s">
        <v>87</v>
      </c>
    </row>
    <row r="3498" spans="1:64" x14ac:dyDescent="0.3">
      <c r="A3498" t="str">
        <f>"202379B0000"</f>
        <v>202379B0000</v>
      </c>
      <c r="B3498" t="str">
        <f>"202379B00003"</f>
        <v>202379B00003</v>
      </c>
      <c r="C3498" t="str">
        <f t="shared" si="252"/>
        <v>20</v>
      </c>
      <c r="D3498" t="s">
        <v>81</v>
      </c>
      <c r="E3498" t="str">
        <f t="shared" si="254"/>
        <v>553</v>
      </c>
      <c r="F3498" t="s">
        <v>3695</v>
      </c>
      <c r="G3498" t="str">
        <f>"2379"</f>
        <v>2379</v>
      </c>
      <c r="H3498" t="str">
        <f>"0000"</f>
        <v>0000</v>
      </c>
      <c r="I3498" t="s">
        <v>83</v>
      </c>
      <c r="J3498">
        <v>0</v>
      </c>
      <c r="K3498">
        <v>1</v>
      </c>
      <c r="L3498">
        <v>3</v>
      </c>
      <c r="M3498">
        <v>141</v>
      </c>
      <c r="N3498">
        <v>299</v>
      </c>
      <c r="O3498">
        <v>15</v>
      </c>
      <c r="P3498">
        <v>299</v>
      </c>
      <c r="Q3498">
        <v>4</v>
      </c>
      <c r="R3498">
        <v>44</v>
      </c>
      <c r="S3498">
        <v>2</v>
      </c>
      <c r="T3498">
        <v>25</v>
      </c>
      <c r="U3498">
        <v>3</v>
      </c>
      <c r="V3498">
        <v>1</v>
      </c>
      <c r="W3498">
        <v>1</v>
      </c>
      <c r="X3498">
        <v>10</v>
      </c>
      <c r="Y3498">
        <v>3</v>
      </c>
      <c r="Z3498">
        <v>20</v>
      </c>
      <c r="AB3498">
        <v>25</v>
      </c>
      <c r="AC3498">
        <v>154</v>
      </c>
      <c r="AJ3498">
        <v>0</v>
      </c>
      <c r="AK3498">
        <v>3</v>
      </c>
      <c r="AL3498">
        <v>0</v>
      </c>
      <c r="AM3498">
        <v>0</v>
      </c>
      <c r="AN3498">
        <v>0</v>
      </c>
      <c r="AO3498">
        <v>0</v>
      </c>
      <c r="AP3498">
        <v>0</v>
      </c>
      <c r="AQ3498">
        <v>0</v>
      </c>
      <c r="AR3498">
        <v>0</v>
      </c>
      <c r="AS3498">
        <v>0</v>
      </c>
      <c r="AT3498">
        <v>0</v>
      </c>
      <c r="AW3498">
        <v>0</v>
      </c>
      <c r="AX3498">
        <v>4</v>
      </c>
      <c r="AY3498">
        <v>299</v>
      </c>
      <c r="AZ3498">
        <v>299</v>
      </c>
      <c r="BA3498">
        <v>394</v>
      </c>
      <c r="BB3498">
        <v>46</v>
      </c>
      <c r="BD3498">
        <v>1</v>
      </c>
      <c r="BF3498" t="s">
        <v>3740</v>
      </c>
      <c r="BG3498" s="1">
        <v>44354.467361111114</v>
      </c>
      <c r="BH3498" s="1">
        <v>44354.468946759262</v>
      </c>
      <c r="BI3498" s="1">
        <v>44354.469756944447</v>
      </c>
      <c r="BJ3498" t="s">
        <v>85</v>
      </c>
      <c r="BK3498" t="s">
        <v>86</v>
      </c>
      <c r="BL3498" t="s">
        <v>87</v>
      </c>
    </row>
    <row r="3499" spans="1:64" x14ac:dyDescent="0.3">
      <c r="A3499" t="str">
        <f>"202379E0100"</f>
        <v>202379E0100</v>
      </c>
      <c r="B3499" t="str">
        <f>"202379E01003"</f>
        <v>202379E01003</v>
      </c>
      <c r="C3499" t="str">
        <f t="shared" si="252"/>
        <v>20</v>
      </c>
      <c r="D3499" t="s">
        <v>81</v>
      </c>
      <c r="E3499" t="str">
        <f t="shared" si="254"/>
        <v>553</v>
      </c>
      <c r="F3499" t="s">
        <v>3695</v>
      </c>
      <c r="G3499" t="str">
        <f>"2379"</f>
        <v>2379</v>
      </c>
      <c r="H3499" t="str">
        <f>"0001"</f>
        <v>0001</v>
      </c>
      <c r="I3499" t="s">
        <v>122</v>
      </c>
      <c r="J3499">
        <v>0</v>
      </c>
      <c r="K3499">
        <v>1</v>
      </c>
      <c r="L3499">
        <v>3</v>
      </c>
      <c r="M3499">
        <v>141</v>
      </c>
      <c r="N3499">
        <v>168</v>
      </c>
      <c r="O3499">
        <v>16</v>
      </c>
      <c r="P3499">
        <v>168</v>
      </c>
      <c r="Q3499">
        <v>3</v>
      </c>
      <c r="R3499">
        <v>6</v>
      </c>
      <c r="S3499">
        <v>1</v>
      </c>
      <c r="T3499">
        <v>23</v>
      </c>
      <c r="U3499">
        <v>4</v>
      </c>
      <c r="V3499">
        <v>1</v>
      </c>
      <c r="W3499">
        <v>2</v>
      </c>
      <c r="X3499">
        <v>21</v>
      </c>
      <c r="Y3499">
        <v>1</v>
      </c>
      <c r="Z3499">
        <v>21</v>
      </c>
      <c r="AB3499">
        <v>15</v>
      </c>
      <c r="AC3499">
        <v>65</v>
      </c>
      <c r="AJ3499">
        <v>0</v>
      </c>
      <c r="AK3499">
        <v>0</v>
      </c>
      <c r="AL3499">
        <v>0</v>
      </c>
      <c r="AM3499">
        <v>0</v>
      </c>
      <c r="AN3499">
        <v>0</v>
      </c>
      <c r="AO3499">
        <v>0</v>
      </c>
      <c r="AP3499">
        <v>0</v>
      </c>
      <c r="AQ3499">
        <v>0</v>
      </c>
      <c r="AR3499">
        <v>0</v>
      </c>
      <c r="AS3499">
        <v>0</v>
      </c>
      <c r="AT3499">
        <v>0</v>
      </c>
      <c r="AW3499">
        <v>0</v>
      </c>
      <c r="AX3499">
        <v>5</v>
      </c>
      <c r="AY3499">
        <v>168</v>
      </c>
      <c r="AZ3499">
        <v>168</v>
      </c>
      <c r="BA3499">
        <v>263</v>
      </c>
      <c r="BB3499">
        <v>46</v>
      </c>
      <c r="BD3499">
        <v>1</v>
      </c>
      <c r="BF3499" t="s">
        <v>3741</v>
      </c>
      <c r="BG3499" s="1">
        <v>44354.459027777775</v>
      </c>
      <c r="BH3499" s="1">
        <v>44354.460277777776</v>
      </c>
      <c r="BI3499" s="1">
        <v>44354.460729166669</v>
      </c>
      <c r="BJ3499" t="s">
        <v>85</v>
      </c>
      <c r="BK3499" t="s">
        <v>86</v>
      </c>
      <c r="BL3499" t="s">
        <v>87</v>
      </c>
    </row>
    <row r="3500" spans="1:64" x14ac:dyDescent="0.3">
      <c r="A3500" t="str">
        <f>"202380B0000"</f>
        <v>202380B0000</v>
      </c>
      <c r="B3500" t="str">
        <f>"202380B00003"</f>
        <v>202380B00003</v>
      </c>
      <c r="C3500" t="str">
        <f t="shared" si="252"/>
        <v>20</v>
      </c>
      <c r="D3500" t="s">
        <v>81</v>
      </c>
      <c r="E3500" t="str">
        <f t="shared" si="254"/>
        <v>553</v>
      </c>
      <c r="F3500" t="s">
        <v>3695</v>
      </c>
      <c r="G3500" t="str">
        <f>"2380"</f>
        <v>2380</v>
      </c>
      <c r="H3500" t="str">
        <f>"0000"</f>
        <v>0000</v>
      </c>
      <c r="I3500" t="s">
        <v>83</v>
      </c>
      <c r="J3500">
        <v>0</v>
      </c>
      <c r="K3500">
        <v>1</v>
      </c>
      <c r="L3500">
        <v>3</v>
      </c>
      <c r="M3500">
        <v>176</v>
      </c>
      <c r="N3500">
        <v>254</v>
      </c>
      <c r="O3500">
        <v>8</v>
      </c>
      <c r="P3500">
        <v>254</v>
      </c>
      <c r="Q3500">
        <v>2</v>
      </c>
      <c r="R3500">
        <v>37</v>
      </c>
      <c r="S3500">
        <v>5</v>
      </c>
      <c r="T3500">
        <v>25</v>
      </c>
      <c r="U3500">
        <v>27</v>
      </c>
      <c r="V3500">
        <v>4</v>
      </c>
      <c r="W3500">
        <v>1</v>
      </c>
      <c r="X3500">
        <v>13</v>
      </c>
      <c r="Y3500">
        <v>4</v>
      </c>
      <c r="Z3500">
        <v>70</v>
      </c>
      <c r="AB3500">
        <v>14</v>
      </c>
      <c r="AC3500">
        <v>46</v>
      </c>
      <c r="AJ3500">
        <v>0</v>
      </c>
      <c r="AK3500">
        <v>0</v>
      </c>
      <c r="AL3500">
        <v>0</v>
      </c>
      <c r="AM3500">
        <v>0</v>
      </c>
      <c r="AN3500">
        <v>0</v>
      </c>
      <c r="AO3500">
        <v>0</v>
      </c>
      <c r="AP3500">
        <v>0</v>
      </c>
      <c r="AQ3500">
        <v>0</v>
      </c>
      <c r="AR3500">
        <v>0</v>
      </c>
      <c r="AS3500">
        <v>0</v>
      </c>
      <c r="AT3500">
        <v>0</v>
      </c>
      <c r="AW3500">
        <v>0</v>
      </c>
      <c r="AX3500">
        <v>6</v>
      </c>
      <c r="AY3500">
        <v>254</v>
      </c>
      <c r="AZ3500">
        <v>254</v>
      </c>
      <c r="BA3500">
        <v>384</v>
      </c>
      <c r="BB3500">
        <v>46</v>
      </c>
      <c r="BD3500">
        <v>1</v>
      </c>
      <c r="BF3500" t="s">
        <v>3742</v>
      </c>
      <c r="BG3500" s="1">
        <v>44353.882106481484</v>
      </c>
      <c r="BH3500" s="1">
        <v>44354.001817129632</v>
      </c>
      <c r="BI3500" s="1">
        <v>44354.003136574072</v>
      </c>
      <c r="BJ3500" t="s">
        <v>197</v>
      </c>
      <c r="BK3500" t="s">
        <v>198</v>
      </c>
      <c r="BL3500" t="s">
        <v>87</v>
      </c>
    </row>
    <row r="3501" spans="1:64" x14ac:dyDescent="0.3">
      <c r="A3501" t="str">
        <f>"202380C0100"</f>
        <v>202380C0100</v>
      </c>
      <c r="B3501" t="str">
        <f>"202380C01003"</f>
        <v>202380C01003</v>
      </c>
      <c r="C3501" t="str">
        <f t="shared" si="252"/>
        <v>20</v>
      </c>
      <c r="D3501" t="s">
        <v>81</v>
      </c>
      <c r="E3501" t="str">
        <f t="shared" si="254"/>
        <v>553</v>
      </c>
      <c r="F3501" t="s">
        <v>3695</v>
      </c>
      <c r="G3501" t="str">
        <f>"2380"</f>
        <v>2380</v>
      </c>
      <c r="H3501" t="str">
        <f>"0001"</f>
        <v>0001</v>
      </c>
      <c r="I3501" t="s">
        <v>89</v>
      </c>
      <c r="J3501">
        <v>0</v>
      </c>
      <c r="K3501">
        <v>1</v>
      </c>
      <c r="L3501">
        <v>3</v>
      </c>
      <c r="M3501">
        <v>191</v>
      </c>
      <c r="N3501">
        <v>239</v>
      </c>
      <c r="O3501">
        <v>6</v>
      </c>
      <c r="P3501">
        <v>239</v>
      </c>
      <c r="Q3501">
        <v>5</v>
      </c>
      <c r="R3501">
        <v>48</v>
      </c>
      <c r="S3501">
        <v>3</v>
      </c>
      <c r="T3501">
        <v>14</v>
      </c>
      <c r="U3501">
        <v>14</v>
      </c>
      <c r="V3501">
        <v>5</v>
      </c>
      <c r="W3501">
        <v>4</v>
      </c>
      <c r="X3501">
        <v>8</v>
      </c>
      <c r="Y3501">
        <v>4</v>
      </c>
      <c r="Z3501">
        <v>82</v>
      </c>
      <c r="AB3501">
        <v>11</v>
      </c>
      <c r="AC3501">
        <v>36</v>
      </c>
      <c r="AJ3501">
        <v>0</v>
      </c>
      <c r="AK3501">
        <v>1</v>
      </c>
      <c r="AL3501">
        <v>0</v>
      </c>
      <c r="AM3501">
        <v>0</v>
      </c>
      <c r="AN3501">
        <v>0</v>
      </c>
      <c r="AO3501">
        <v>0</v>
      </c>
      <c r="AP3501">
        <v>0</v>
      </c>
      <c r="AQ3501">
        <v>0</v>
      </c>
      <c r="AR3501">
        <v>0</v>
      </c>
      <c r="AS3501">
        <v>0</v>
      </c>
      <c r="AT3501">
        <v>0</v>
      </c>
      <c r="AW3501">
        <v>1</v>
      </c>
      <c r="AX3501">
        <v>4</v>
      </c>
      <c r="AY3501">
        <v>239</v>
      </c>
      <c r="AZ3501">
        <v>240</v>
      </c>
      <c r="BA3501">
        <v>384</v>
      </c>
      <c r="BB3501">
        <v>46</v>
      </c>
      <c r="BD3501">
        <v>1</v>
      </c>
      <c r="BF3501" t="s">
        <v>3743</v>
      </c>
      <c r="BG3501" s="1">
        <v>44353.891157407408</v>
      </c>
      <c r="BH3501" s="1">
        <v>44354.00204861111</v>
      </c>
      <c r="BI3501" s="1">
        <v>44354.002627314818</v>
      </c>
      <c r="BJ3501" t="s">
        <v>197</v>
      </c>
      <c r="BK3501" t="s">
        <v>198</v>
      </c>
      <c r="BL3501" t="s">
        <v>87</v>
      </c>
    </row>
    <row r="3502" spans="1:64" x14ac:dyDescent="0.3">
      <c r="A3502" t="str">
        <f>"202380E0100"</f>
        <v>202380E0100</v>
      </c>
      <c r="B3502" t="str">
        <f>"202380E01003"</f>
        <v>202380E01003</v>
      </c>
      <c r="C3502" t="str">
        <f t="shared" si="252"/>
        <v>20</v>
      </c>
      <c r="D3502" t="s">
        <v>81</v>
      </c>
      <c r="E3502" t="str">
        <f t="shared" si="254"/>
        <v>553</v>
      </c>
      <c r="F3502" t="s">
        <v>3695</v>
      </c>
      <c r="G3502" t="str">
        <f>"2380"</f>
        <v>2380</v>
      </c>
      <c r="H3502" t="str">
        <f>"0001"</f>
        <v>0001</v>
      </c>
      <c r="I3502" t="s">
        <v>122</v>
      </c>
      <c r="J3502">
        <v>0</v>
      </c>
      <c r="K3502">
        <v>1</v>
      </c>
      <c r="L3502">
        <v>3</v>
      </c>
      <c r="M3502">
        <v>242</v>
      </c>
      <c r="N3502">
        <v>369</v>
      </c>
      <c r="O3502">
        <v>14</v>
      </c>
      <c r="P3502" t="s">
        <v>92</v>
      </c>
      <c r="Q3502">
        <v>15</v>
      </c>
      <c r="R3502">
        <v>106</v>
      </c>
      <c r="S3502">
        <v>3</v>
      </c>
      <c r="T3502">
        <v>10</v>
      </c>
      <c r="U3502">
        <v>8</v>
      </c>
      <c r="V3502">
        <v>1</v>
      </c>
      <c r="W3502">
        <v>5</v>
      </c>
      <c r="X3502">
        <v>15</v>
      </c>
      <c r="Y3502">
        <v>1</v>
      </c>
      <c r="Z3502">
        <v>57</v>
      </c>
      <c r="AB3502">
        <v>55</v>
      </c>
      <c r="AC3502">
        <v>86</v>
      </c>
      <c r="AJ3502">
        <v>1</v>
      </c>
      <c r="AK3502">
        <v>3</v>
      </c>
      <c r="AL3502">
        <v>0</v>
      </c>
      <c r="AM3502">
        <v>0</v>
      </c>
      <c r="AN3502">
        <v>0</v>
      </c>
      <c r="AO3502">
        <v>0</v>
      </c>
      <c r="AP3502">
        <v>0</v>
      </c>
      <c r="AQ3502">
        <v>0</v>
      </c>
      <c r="AR3502">
        <v>0</v>
      </c>
      <c r="AS3502">
        <v>0</v>
      </c>
      <c r="AT3502">
        <v>0</v>
      </c>
      <c r="AW3502">
        <v>0</v>
      </c>
      <c r="AX3502">
        <v>3</v>
      </c>
      <c r="AY3502">
        <v>369</v>
      </c>
      <c r="AZ3502">
        <v>369</v>
      </c>
      <c r="BA3502">
        <v>565</v>
      </c>
      <c r="BB3502">
        <v>46</v>
      </c>
      <c r="BD3502">
        <v>1</v>
      </c>
      <c r="BF3502" t="s">
        <v>3744</v>
      </c>
      <c r="BG3502" s="1">
        <v>44354.47152777778</v>
      </c>
      <c r="BH3502" s="1">
        <v>44354.473171296297</v>
      </c>
      <c r="BI3502" s="1">
        <v>44354.474409722221</v>
      </c>
      <c r="BJ3502" t="s">
        <v>85</v>
      </c>
      <c r="BK3502" t="s">
        <v>86</v>
      </c>
      <c r="BL3502" t="s">
        <v>87</v>
      </c>
    </row>
    <row r="3503" spans="1:64" x14ac:dyDescent="0.3">
      <c r="A3503" t="str">
        <f>"202381B0000"</f>
        <v>202381B0000</v>
      </c>
      <c r="B3503" t="str">
        <f>"202381B00003"</f>
        <v>202381B00003</v>
      </c>
      <c r="C3503" t="str">
        <f t="shared" si="252"/>
        <v>20</v>
      </c>
      <c r="D3503" t="s">
        <v>81</v>
      </c>
      <c r="E3503" t="str">
        <f t="shared" si="254"/>
        <v>553</v>
      </c>
      <c r="F3503" t="s">
        <v>3695</v>
      </c>
      <c r="G3503" t="str">
        <f>"2381"</f>
        <v>2381</v>
      </c>
      <c r="H3503" t="str">
        <f>"0000"</f>
        <v>0000</v>
      </c>
      <c r="I3503" t="s">
        <v>83</v>
      </c>
      <c r="J3503">
        <v>0</v>
      </c>
      <c r="K3503">
        <v>1</v>
      </c>
      <c r="L3503">
        <v>3</v>
      </c>
      <c r="M3503">
        <v>284</v>
      </c>
      <c r="N3503">
        <v>372</v>
      </c>
      <c r="O3503">
        <v>1</v>
      </c>
      <c r="P3503">
        <v>372</v>
      </c>
      <c r="Q3503">
        <v>2</v>
      </c>
      <c r="R3503">
        <v>34</v>
      </c>
      <c r="S3503">
        <v>3</v>
      </c>
      <c r="T3503">
        <v>28</v>
      </c>
      <c r="U3503">
        <v>38</v>
      </c>
      <c r="V3503">
        <v>3</v>
      </c>
      <c r="W3503">
        <v>3</v>
      </c>
      <c r="X3503">
        <v>69</v>
      </c>
      <c r="Y3503">
        <v>11</v>
      </c>
      <c r="Z3503">
        <v>110</v>
      </c>
      <c r="AB3503">
        <v>19</v>
      </c>
      <c r="AC3503">
        <v>40</v>
      </c>
      <c r="AJ3503">
        <v>1</v>
      </c>
      <c r="AK3503">
        <v>0</v>
      </c>
      <c r="AL3503">
        <v>0</v>
      </c>
      <c r="AM3503">
        <v>0</v>
      </c>
      <c r="AN3503">
        <v>0</v>
      </c>
      <c r="AO3503">
        <v>0</v>
      </c>
      <c r="AP3503">
        <v>0</v>
      </c>
      <c r="AQ3503">
        <v>0</v>
      </c>
      <c r="AR3503">
        <v>0</v>
      </c>
      <c r="AS3503">
        <v>0</v>
      </c>
      <c r="AT3503">
        <v>0</v>
      </c>
      <c r="AW3503">
        <v>0</v>
      </c>
      <c r="AX3503">
        <v>11</v>
      </c>
      <c r="AY3503" t="s">
        <v>95</v>
      </c>
      <c r="AZ3503">
        <v>372</v>
      </c>
      <c r="BA3503">
        <v>610</v>
      </c>
      <c r="BB3503">
        <v>46</v>
      </c>
      <c r="BD3503">
        <v>1</v>
      </c>
      <c r="BF3503" t="s">
        <v>3745</v>
      </c>
      <c r="BG3503" s="1">
        <v>44354.463194444441</v>
      </c>
      <c r="BH3503" s="1">
        <v>44354.464953703704</v>
      </c>
      <c r="BI3503" s="1">
        <v>44354.465543981481</v>
      </c>
      <c r="BJ3503" t="s">
        <v>85</v>
      </c>
      <c r="BK3503" t="s">
        <v>86</v>
      </c>
      <c r="BL3503" t="s">
        <v>87</v>
      </c>
    </row>
    <row r="3504" spans="1:64" x14ac:dyDescent="0.3">
      <c r="A3504" t="str">
        <f>"202381C0100"</f>
        <v>202381C0100</v>
      </c>
      <c r="B3504" t="str">
        <f>"202381C01003"</f>
        <v>202381C01003</v>
      </c>
      <c r="C3504" t="str">
        <f t="shared" si="252"/>
        <v>20</v>
      </c>
      <c r="D3504" t="s">
        <v>81</v>
      </c>
      <c r="E3504" t="str">
        <f t="shared" si="254"/>
        <v>553</v>
      </c>
      <c r="F3504" t="s">
        <v>3695</v>
      </c>
      <c r="G3504" t="str">
        <f>"2381"</f>
        <v>2381</v>
      </c>
      <c r="H3504" t="str">
        <f>"0001"</f>
        <v>0001</v>
      </c>
      <c r="I3504" t="s">
        <v>89</v>
      </c>
      <c r="J3504">
        <v>0</v>
      </c>
      <c r="K3504">
        <v>1</v>
      </c>
      <c r="L3504">
        <v>3</v>
      </c>
      <c r="M3504">
        <v>278</v>
      </c>
      <c r="N3504">
        <v>377</v>
      </c>
      <c r="O3504">
        <v>7</v>
      </c>
      <c r="P3504">
        <v>377</v>
      </c>
      <c r="Q3504">
        <v>3</v>
      </c>
      <c r="R3504">
        <v>48</v>
      </c>
      <c r="S3504">
        <v>6</v>
      </c>
      <c r="T3504">
        <v>25</v>
      </c>
      <c r="U3504">
        <v>43</v>
      </c>
      <c r="V3504">
        <v>2</v>
      </c>
      <c r="W3504">
        <v>6</v>
      </c>
      <c r="X3504">
        <v>60</v>
      </c>
      <c r="Y3504">
        <v>13</v>
      </c>
      <c r="Z3504">
        <v>98</v>
      </c>
      <c r="AB3504">
        <v>29</v>
      </c>
      <c r="AC3504">
        <v>32</v>
      </c>
      <c r="AJ3504">
        <v>0</v>
      </c>
      <c r="AK3504">
        <v>0</v>
      </c>
      <c r="AL3504">
        <v>0</v>
      </c>
      <c r="AM3504">
        <v>0</v>
      </c>
      <c r="AN3504">
        <v>0</v>
      </c>
      <c r="AO3504">
        <v>0</v>
      </c>
      <c r="AP3504">
        <v>0</v>
      </c>
      <c r="AQ3504">
        <v>0</v>
      </c>
      <c r="AR3504">
        <v>0</v>
      </c>
      <c r="AS3504">
        <v>0</v>
      </c>
      <c r="AT3504">
        <v>0</v>
      </c>
      <c r="AW3504">
        <v>0</v>
      </c>
      <c r="AX3504">
        <v>12</v>
      </c>
      <c r="AY3504">
        <v>377</v>
      </c>
      <c r="AZ3504">
        <v>377</v>
      </c>
      <c r="BA3504">
        <v>609</v>
      </c>
      <c r="BB3504">
        <v>46</v>
      </c>
      <c r="BD3504">
        <v>1</v>
      </c>
      <c r="BF3504" t="s">
        <v>3746</v>
      </c>
      <c r="BG3504" s="1">
        <v>44354.463888888888</v>
      </c>
      <c r="BH3504" s="1">
        <v>44354.467488425929</v>
      </c>
      <c r="BI3504" s="1">
        <v>44354.468449074076</v>
      </c>
      <c r="BJ3504" t="s">
        <v>85</v>
      </c>
      <c r="BK3504" t="s">
        <v>86</v>
      </c>
      <c r="BL3504" t="s">
        <v>87</v>
      </c>
    </row>
    <row r="3505" spans="1:64" x14ac:dyDescent="0.3">
      <c r="A3505" t="str">
        <f>"202382B0000"</f>
        <v>202382B0000</v>
      </c>
      <c r="B3505" t="str">
        <f>"202382B00003"</f>
        <v>202382B00003</v>
      </c>
      <c r="C3505" t="str">
        <f t="shared" si="252"/>
        <v>20</v>
      </c>
      <c r="D3505" t="s">
        <v>81</v>
      </c>
      <c r="E3505" t="str">
        <f t="shared" si="254"/>
        <v>553</v>
      </c>
      <c r="F3505" t="s">
        <v>3695</v>
      </c>
      <c r="G3505" t="str">
        <f>"2382"</f>
        <v>2382</v>
      </c>
      <c r="H3505" t="str">
        <f>"0000"</f>
        <v>0000</v>
      </c>
      <c r="I3505" t="s">
        <v>83</v>
      </c>
      <c r="J3505">
        <v>0</v>
      </c>
      <c r="K3505">
        <v>1</v>
      </c>
      <c r="L3505">
        <v>3</v>
      </c>
      <c r="M3505">
        <v>223</v>
      </c>
      <c r="N3505">
        <v>275</v>
      </c>
      <c r="O3505">
        <v>2</v>
      </c>
      <c r="P3505">
        <v>275</v>
      </c>
      <c r="Q3505">
        <v>3</v>
      </c>
      <c r="R3505">
        <v>34</v>
      </c>
      <c r="S3505">
        <v>1</v>
      </c>
      <c r="T3505">
        <v>17</v>
      </c>
      <c r="U3505">
        <v>21</v>
      </c>
      <c r="V3505">
        <v>3</v>
      </c>
      <c r="W3505">
        <v>3</v>
      </c>
      <c r="X3505">
        <v>40</v>
      </c>
      <c r="Y3505">
        <v>2</v>
      </c>
      <c r="Z3505">
        <v>69</v>
      </c>
      <c r="AB3505">
        <v>32</v>
      </c>
      <c r="AC3505">
        <v>43</v>
      </c>
      <c r="AJ3505">
        <v>0</v>
      </c>
      <c r="AK3505">
        <v>0</v>
      </c>
      <c r="AL3505">
        <v>0</v>
      </c>
      <c r="AM3505">
        <v>0</v>
      </c>
      <c r="AN3505">
        <v>0</v>
      </c>
      <c r="AO3505">
        <v>0</v>
      </c>
      <c r="AP3505">
        <v>0</v>
      </c>
      <c r="AQ3505">
        <v>0</v>
      </c>
      <c r="AR3505">
        <v>0</v>
      </c>
      <c r="AS3505">
        <v>0</v>
      </c>
      <c r="AT3505">
        <v>0</v>
      </c>
      <c r="AW3505">
        <v>0</v>
      </c>
      <c r="AX3505">
        <v>7</v>
      </c>
      <c r="AY3505">
        <v>0</v>
      </c>
      <c r="AZ3505">
        <v>275</v>
      </c>
      <c r="BA3505">
        <v>452</v>
      </c>
      <c r="BB3505">
        <v>46</v>
      </c>
      <c r="BD3505">
        <v>1</v>
      </c>
      <c r="BF3505" t="s">
        <v>3747</v>
      </c>
      <c r="BG3505" s="1">
        <v>44354.465277777781</v>
      </c>
      <c r="BH3505" s="1">
        <v>44354.467430555553</v>
      </c>
      <c r="BI3505" s="1">
        <v>44354.467962962961</v>
      </c>
      <c r="BJ3505" t="s">
        <v>85</v>
      </c>
      <c r="BK3505" t="s">
        <v>86</v>
      </c>
      <c r="BL3505" t="s">
        <v>87</v>
      </c>
    </row>
    <row r="3506" spans="1:64" x14ac:dyDescent="0.3">
      <c r="A3506" t="str">
        <f>"202382C0100"</f>
        <v>202382C0100</v>
      </c>
      <c r="B3506" t="str">
        <f>"202382C01003"</f>
        <v>202382C01003</v>
      </c>
      <c r="C3506" t="str">
        <f t="shared" si="252"/>
        <v>20</v>
      </c>
      <c r="D3506" t="s">
        <v>81</v>
      </c>
      <c r="E3506" t="str">
        <f t="shared" si="254"/>
        <v>553</v>
      </c>
      <c r="F3506" t="s">
        <v>3695</v>
      </c>
      <c r="G3506" t="str">
        <f>"2382"</f>
        <v>2382</v>
      </c>
      <c r="H3506" t="str">
        <f>"0001"</f>
        <v>0001</v>
      </c>
      <c r="I3506" t="s">
        <v>89</v>
      </c>
      <c r="J3506">
        <v>0</v>
      </c>
      <c r="K3506">
        <v>1</v>
      </c>
      <c r="L3506">
        <v>3</v>
      </c>
      <c r="M3506">
        <v>221</v>
      </c>
      <c r="N3506">
        <v>276</v>
      </c>
      <c r="O3506">
        <v>6</v>
      </c>
      <c r="P3506">
        <v>276</v>
      </c>
      <c r="Q3506">
        <v>2</v>
      </c>
      <c r="R3506">
        <v>31</v>
      </c>
      <c r="S3506">
        <v>2</v>
      </c>
      <c r="T3506">
        <v>8</v>
      </c>
      <c r="U3506">
        <v>20</v>
      </c>
      <c r="V3506">
        <v>3</v>
      </c>
      <c r="W3506">
        <v>13</v>
      </c>
      <c r="X3506">
        <v>24</v>
      </c>
      <c r="Y3506">
        <v>1</v>
      </c>
      <c r="Z3506">
        <v>66</v>
      </c>
      <c r="AB3506">
        <v>34</v>
      </c>
      <c r="AC3506">
        <v>52</v>
      </c>
      <c r="AJ3506">
        <v>1</v>
      </c>
      <c r="AK3506" t="s">
        <v>95</v>
      </c>
      <c r="AL3506" t="s">
        <v>95</v>
      </c>
      <c r="AM3506" t="s">
        <v>95</v>
      </c>
      <c r="AN3506" t="s">
        <v>95</v>
      </c>
      <c r="AO3506" t="s">
        <v>95</v>
      </c>
      <c r="AP3506" t="s">
        <v>95</v>
      </c>
      <c r="AQ3506" t="s">
        <v>95</v>
      </c>
      <c r="AR3506" t="s">
        <v>95</v>
      </c>
      <c r="AS3506" t="s">
        <v>95</v>
      </c>
      <c r="AT3506" t="s">
        <v>95</v>
      </c>
      <c r="AW3506" t="s">
        <v>95</v>
      </c>
      <c r="AX3506">
        <v>19</v>
      </c>
      <c r="AY3506">
        <v>276</v>
      </c>
      <c r="AZ3506">
        <v>276</v>
      </c>
      <c r="BA3506">
        <v>451</v>
      </c>
      <c r="BB3506">
        <v>46</v>
      </c>
      <c r="BC3506" t="s">
        <v>96</v>
      </c>
      <c r="BD3506">
        <v>1</v>
      </c>
      <c r="BF3506" t="s">
        <v>3748</v>
      </c>
      <c r="BG3506" s="1">
        <v>44354.115277777775</v>
      </c>
      <c r="BH3506" s="1">
        <v>44354.11791666667</v>
      </c>
      <c r="BI3506" s="1">
        <v>44354.118773148148</v>
      </c>
      <c r="BJ3506" t="s">
        <v>85</v>
      </c>
      <c r="BK3506" t="s">
        <v>86</v>
      </c>
      <c r="BL3506" t="s">
        <v>87</v>
      </c>
    </row>
    <row r="3507" spans="1:64" x14ac:dyDescent="0.3">
      <c r="A3507" t="str">
        <f>"202382E0100"</f>
        <v>202382E0100</v>
      </c>
      <c r="B3507" t="str">
        <f>"202382E01003"</f>
        <v>202382E01003</v>
      </c>
      <c r="C3507" t="str">
        <f t="shared" si="252"/>
        <v>20</v>
      </c>
      <c r="D3507" t="s">
        <v>81</v>
      </c>
      <c r="E3507" t="str">
        <f t="shared" si="254"/>
        <v>553</v>
      </c>
      <c r="F3507" t="s">
        <v>3695</v>
      </c>
      <c r="G3507" t="str">
        <f>"2382"</f>
        <v>2382</v>
      </c>
      <c r="H3507" t="str">
        <f>"0001"</f>
        <v>0001</v>
      </c>
      <c r="I3507" t="s">
        <v>122</v>
      </c>
      <c r="J3507">
        <v>0</v>
      </c>
      <c r="K3507">
        <v>1</v>
      </c>
      <c r="L3507">
        <v>3</v>
      </c>
      <c r="M3507">
        <v>206</v>
      </c>
      <c r="N3507">
        <v>238</v>
      </c>
      <c r="O3507">
        <v>8</v>
      </c>
      <c r="P3507">
        <v>238</v>
      </c>
      <c r="Q3507">
        <v>2</v>
      </c>
      <c r="R3507">
        <v>24</v>
      </c>
      <c r="S3507">
        <v>3</v>
      </c>
      <c r="T3507">
        <v>4</v>
      </c>
      <c r="U3507">
        <v>7</v>
      </c>
      <c r="V3507">
        <v>5</v>
      </c>
      <c r="W3507">
        <v>0</v>
      </c>
      <c r="X3507">
        <v>31</v>
      </c>
      <c r="Y3507">
        <v>1</v>
      </c>
      <c r="Z3507">
        <v>68</v>
      </c>
      <c r="AB3507">
        <v>43</v>
      </c>
      <c r="AC3507">
        <v>36</v>
      </c>
      <c r="AJ3507">
        <v>0</v>
      </c>
      <c r="AK3507">
        <v>0</v>
      </c>
      <c r="AL3507">
        <v>0</v>
      </c>
      <c r="AM3507">
        <v>0</v>
      </c>
      <c r="AN3507">
        <v>0</v>
      </c>
      <c r="AO3507">
        <v>0</v>
      </c>
      <c r="AP3507">
        <v>0</v>
      </c>
      <c r="AQ3507">
        <v>0</v>
      </c>
      <c r="AR3507">
        <v>0</v>
      </c>
      <c r="AS3507">
        <v>0</v>
      </c>
      <c r="AT3507">
        <v>0</v>
      </c>
      <c r="AW3507">
        <v>0</v>
      </c>
      <c r="AX3507">
        <v>14</v>
      </c>
      <c r="AY3507">
        <v>238</v>
      </c>
      <c r="AZ3507">
        <v>238</v>
      </c>
      <c r="BA3507">
        <v>398</v>
      </c>
      <c r="BB3507">
        <v>46</v>
      </c>
      <c r="BD3507">
        <v>1</v>
      </c>
      <c r="BF3507" t="s">
        <v>3749</v>
      </c>
      <c r="BG3507" s="1">
        <v>44353.942384259259</v>
      </c>
      <c r="BH3507" s="1">
        <v>44353.943958333337</v>
      </c>
      <c r="BI3507" s="1">
        <v>44353.945416666669</v>
      </c>
      <c r="BJ3507" t="s">
        <v>197</v>
      </c>
      <c r="BK3507" t="s">
        <v>198</v>
      </c>
      <c r="BL3507" t="s">
        <v>87</v>
      </c>
    </row>
    <row r="3508" spans="1:64" x14ac:dyDescent="0.3">
      <c r="A3508" t="str">
        <f>"202382E0200"</f>
        <v>202382E0200</v>
      </c>
      <c r="B3508" t="str">
        <f>"202382E02003"</f>
        <v>202382E02003</v>
      </c>
      <c r="C3508" t="str">
        <f t="shared" si="252"/>
        <v>20</v>
      </c>
      <c r="D3508" t="s">
        <v>81</v>
      </c>
      <c r="E3508" t="str">
        <f t="shared" si="254"/>
        <v>553</v>
      </c>
      <c r="F3508" t="s">
        <v>3695</v>
      </c>
      <c r="G3508" t="str">
        <f>"2382"</f>
        <v>2382</v>
      </c>
      <c r="H3508" t="str">
        <f>"0002"</f>
        <v>0002</v>
      </c>
      <c r="I3508" t="s">
        <v>122</v>
      </c>
      <c r="J3508">
        <v>0</v>
      </c>
      <c r="K3508">
        <v>1</v>
      </c>
      <c r="L3508">
        <v>3</v>
      </c>
      <c r="M3508">
        <v>224</v>
      </c>
      <c r="N3508">
        <v>182</v>
      </c>
      <c r="O3508">
        <v>11</v>
      </c>
      <c r="P3508">
        <v>182</v>
      </c>
      <c r="Q3508">
        <v>3</v>
      </c>
      <c r="R3508">
        <v>13</v>
      </c>
      <c r="S3508">
        <v>0</v>
      </c>
      <c r="T3508">
        <v>13</v>
      </c>
      <c r="U3508">
        <v>10</v>
      </c>
      <c r="V3508">
        <v>1</v>
      </c>
      <c r="W3508">
        <v>1</v>
      </c>
      <c r="X3508">
        <v>18</v>
      </c>
      <c r="Y3508">
        <v>0</v>
      </c>
      <c r="Z3508">
        <v>27</v>
      </c>
      <c r="AB3508">
        <v>60</v>
      </c>
      <c r="AC3508">
        <v>24</v>
      </c>
      <c r="AJ3508">
        <v>0</v>
      </c>
      <c r="AK3508">
        <v>0</v>
      </c>
      <c r="AL3508">
        <v>0</v>
      </c>
      <c r="AM3508">
        <v>0</v>
      </c>
      <c r="AN3508">
        <v>0</v>
      </c>
      <c r="AO3508">
        <v>0</v>
      </c>
      <c r="AP3508">
        <v>0</v>
      </c>
      <c r="AQ3508">
        <v>0</v>
      </c>
      <c r="AR3508">
        <v>0</v>
      </c>
      <c r="AS3508">
        <v>0</v>
      </c>
      <c r="AT3508">
        <v>0</v>
      </c>
      <c r="AW3508">
        <v>0</v>
      </c>
      <c r="AX3508">
        <v>12</v>
      </c>
      <c r="AY3508">
        <v>182</v>
      </c>
      <c r="AZ3508">
        <v>182</v>
      </c>
      <c r="BA3508">
        <v>360</v>
      </c>
      <c r="BB3508">
        <v>46</v>
      </c>
      <c r="BD3508">
        <v>1</v>
      </c>
      <c r="BF3508" t="s">
        <v>3750</v>
      </c>
      <c r="BG3508" s="1">
        <v>44353.884571759256</v>
      </c>
      <c r="BH3508" s="1">
        <v>44353.886377314811</v>
      </c>
      <c r="BI3508" s="1">
        <v>44353.88753472222</v>
      </c>
      <c r="BJ3508" t="s">
        <v>197</v>
      </c>
      <c r="BK3508" t="s">
        <v>198</v>
      </c>
      <c r="BL3508" t="s">
        <v>87</v>
      </c>
    </row>
    <row r="3509" spans="1:64" x14ac:dyDescent="0.3">
      <c r="A3509" t="str">
        <f>"202383B0000"</f>
        <v>202383B0000</v>
      </c>
      <c r="B3509" t="str">
        <f>"202383B00003"</f>
        <v>202383B00003</v>
      </c>
      <c r="C3509" t="str">
        <f t="shared" si="252"/>
        <v>20</v>
      </c>
      <c r="D3509" t="s">
        <v>81</v>
      </c>
      <c r="E3509" t="str">
        <f t="shared" si="254"/>
        <v>553</v>
      </c>
      <c r="F3509" t="s">
        <v>3695</v>
      </c>
      <c r="G3509" t="str">
        <f>"2383"</f>
        <v>2383</v>
      </c>
      <c r="H3509" t="str">
        <f>"0000"</f>
        <v>0000</v>
      </c>
      <c r="I3509" t="s">
        <v>83</v>
      </c>
      <c r="J3509">
        <v>0</v>
      </c>
      <c r="K3509">
        <v>1</v>
      </c>
      <c r="L3509">
        <v>3</v>
      </c>
      <c r="M3509">
        <v>344</v>
      </c>
      <c r="N3509">
        <v>263</v>
      </c>
      <c r="O3509">
        <v>8</v>
      </c>
      <c r="P3509">
        <v>263</v>
      </c>
      <c r="Q3509">
        <v>1</v>
      </c>
      <c r="R3509">
        <v>8</v>
      </c>
      <c r="S3509">
        <v>2</v>
      </c>
      <c r="T3509">
        <v>4</v>
      </c>
      <c r="U3509">
        <v>10</v>
      </c>
      <c r="V3509">
        <v>2</v>
      </c>
      <c r="W3509">
        <v>1</v>
      </c>
      <c r="X3509">
        <v>25</v>
      </c>
      <c r="Y3509">
        <v>0</v>
      </c>
      <c r="Z3509">
        <v>78</v>
      </c>
      <c r="AB3509">
        <v>38</v>
      </c>
      <c r="AC3509">
        <v>87</v>
      </c>
      <c r="AJ3509">
        <v>0</v>
      </c>
      <c r="AK3509">
        <v>0</v>
      </c>
      <c r="AL3509">
        <v>0</v>
      </c>
      <c r="AM3509">
        <v>0</v>
      </c>
      <c r="AN3509">
        <v>0</v>
      </c>
      <c r="AO3509">
        <v>0</v>
      </c>
      <c r="AP3509">
        <v>0</v>
      </c>
      <c r="AQ3509">
        <v>0</v>
      </c>
      <c r="AR3509">
        <v>0</v>
      </c>
      <c r="AS3509">
        <v>0</v>
      </c>
      <c r="AT3509">
        <v>0</v>
      </c>
      <c r="AW3509">
        <v>0</v>
      </c>
      <c r="AX3509">
        <v>7</v>
      </c>
      <c r="AY3509">
        <v>263</v>
      </c>
      <c r="AZ3509">
        <v>263</v>
      </c>
      <c r="BA3509">
        <v>561</v>
      </c>
      <c r="BB3509">
        <v>46</v>
      </c>
      <c r="BD3509">
        <v>1</v>
      </c>
      <c r="BF3509" t="s">
        <v>3751</v>
      </c>
      <c r="BG3509" s="1">
        <v>44353.970590277779</v>
      </c>
      <c r="BH3509" s="1">
        <v>44353.972800925927</v>
      </c>
      <c r="BI3509" s="1">
        <v>44353.973703703705</v>
      </c>
      <c r="BJ3509" t="s">
        <v>197</v>
      </c>
      <c r="BK3509" t="s">
        <v>198</v>
      </c>
      <c r="BL3509" t="s">
        <v>87</v>
      </c>
    </row>
    <row r="3510" spans="1:64" x14ac:dyDescent="0.3">
      <c r="A3510" t="str">
        <f>"202383C0100"</f>
        <v>202383C0100</v>
      </c>
      <c r="B3510" t="str">
        <f>"202383C01003"</f>
        <v>202383C01003</v>
      </c>
      <c r="C3510" t="str">
        <f t="shared" si="252"/>
        <v>20</v>
      </c>
      <c r="D3510" t="s">
        <v>81</v>
      </c>
      <c r="E3510" t="str">
        <f t="shared" si="254"/>
        <v>553</v>
      </c>
      <c r="F3510" t="s">
        <v>3695</v>
      </c>
      <c r="G3510" t="str">
        <f>"2383"</f>
        <v>2383</v>
      </c>
      <c r="H3510" t="str">
        <f>"0001"</f>
        <v>0001</v>
      </c>
      <c r="I3510" t="s">
        <v>89</v>
      </c>
      <c r="J3510">
        <v>0</v>
      </c>
      <c r="K3510">
        <v>1</v>
      </c>
      <c r="L3510">
        <v>3</v>
      </c>
      <c r="M3510">
        <v>305</v>
      </c>
      <c r="N3510">
        <v>301</v>
      </c>
      <c r="O3510">
        <v>6</v>
      </c>
      <c r="P3510">
        <v>301</v>
      </c>
      <c r="Q3510">
        <v>2</v>
      </c>
      <c r="R3510">
        <v>2</v>
      </c>
      <c r="S3510">
        <v>1</v>
      </c>
      <c r="T3510">
        <v>2</v>
      </c>
      <c r="U3510">
        <v>4</v>
      </c>
      <c r="V3510">
        <v>1</v>
      </c>
      <c r="W3510">
        <v>1</v>
      </c>
      <c r="X3510">
        <v>37</v>
      </c>
      <c r="Y3510">
        <v>0</v>
      </c>
      <c r="Z3510">
        <v>82</v>
      </c>
      <c r="AB3510">
        <v>43</v>
      </c>
      <c r="AC3510">
        <v>113</v>
      </c>
      <c r="AJ3510">
        <v>0</v>
      </c>
      <c r="AK3510">
        <v>0</v>
      </c>
      <c r="AL3510">
        <v>0</v>
      </c>
      <c r="AM3510">
        <v>0</v>
      </c>
      <c r="AN3510">
        <v>0</v>
      </c>
      <c r="AO3510">
        <v>0</v>
      </c>
      <c r="AP3510">
        <v>0</v>
      </c>
      <c r="AQ3510">
        <v>0</v>
      </c>
      <c r="AR3510">
        <v>0</v>
      </c>
      <c r="AS3510">
        <v>0</v>
      </c>
      <c r="AT3510">
        <v>0</v>
      </c>
      <c r="AW3510">
        <v>0</v>
      </c>
      <c r="AX3510">
        <v>13</v>
      </c>
      <c r="AY3510">
        <v>301</v>
      </c>
      <c r="AZ3510">
        <v>301</v>
      </c>
      <c r="BA3510">
        <v>560</v>
      </c>
      <c r="BB3510">
        <v>46</v>
      </c>
      <c r="BD3510">
        <v>1</v>
      </c>
      <c r="BF3510" t="s">
        <v>3752</v>
      </c>
      <c r="BG3510" s="1">
        <v>44353.959467592591</v>
      </c>
      <c r="BH3510" s="1">
        <v>44353.961736111109</v>
      </c>
      <c r="BI3510" s="1">
        <v>44353.963229166664</v>
      </c>
      <c r="BJ3510" t="s">
        <v>197</v>
      </c>
      <c r="BK3510" t="s">
        <v>198</v>
      </c>
      <c r="BL3510" t="s">
        <v>87</v>
      </c>
    </row>
    <row r="3511" spans="1:64" x14ac:dyDescent="0.3">
      <c r="A3511" t="str">
        <f>"202384B0000"</f>
        <v>202384B0000</v>
      </c>
      <c r="B3511" t="str">
        <f>"202384B00003"</f>
        <v>202384B00003</v>
      </c>
      <c r="C3511" t="str">
        <f t="shared" si="252"/>
        <v>20</v>
      </c>
      <c r="D3511" t="s">
        <v>81</v>
      </c>
      <c r="E3511" t="str">
        <f t="shared" si="254"/>
        <v>553</v>
      </c>
      <c r="F3511" t="s">
        <v>3695</v>
      </c>
      <c r="G3511" t="str">
        <f>"2384"</f>
        <v>2384</v>
      </c>
      <c r="H3511" t="str">
        <f>"0000"</f>
        <v>0000</v>
      </c>
      <c r="I3511" t="s">
        <v>83</v>
      </c>
      <c r="J3511">
        <v>0</v>
      </c>
      <c r="K3511">
        <v>1</v>
      </c>
      <c r="L3511">
        <v>3</v>
      </c>
      <c r="M3511">
        <v>79</v>
      </c>
      <c r="N3511">
        <v>103</v>
      </c>
      <c r="O3511">
        <v>11</v>
      </c>
      <c r="P3511">
        <v>103</v>
      </c>
      <c r="Q3511">
        <v>1</v>
      </c>
      <c r="R3511">
        <v>11</v>
      </c>
      <c r="S3511">
        <v>1</v>
      </c>
      <c r="T3511">
        <v>1</v>
      </c>
      <c r="U3511">
        <v>2</v>
      </c>
      <c r="V3511">
        <v>0</v>
      </c>
      <c r="W3511">
        <v>2</v>
      </c>
      <c r="X3511">
        <v>16</v>
      </c>
      <c r="Y3511">
        <v>0</v>
      </c>
      <c r="Z3511">
        <v>51</v>
      </c>
      <c r="AB3511">
        <v>0</v>
      </c>
      <c r="AC3511">
        <v>17</v>
      </c>
      <c r="AJ3511">
        <v>0</v>
      </c>
      <c r="AK3511">
        <v>0</v>
      </c>
      <c r="AL3511">
        <v>0</v>
      </c>
      <c r="AM3511">
        <v>0</v>
      </c>
      <c r="AN3511">
        <v>0</v>
      </c>
      <c r="AO3511">
        <v>0</v>
      </c>
      <c r="AP3511">
        <v>0</v>
      </c>
      <c r="AQ3511">
        <v>0</v>
      </c>
      <c r="AR3511">
        <v>0</v>
      </c>
      <c r="AS3511">
        <v>0</v>
      </c>
      <c r="AT3511">
        <v>0</v>
      </c>
      <c r="AW3511">
        <v>0</v>
      </c>
      <c r="AX3511">
        <v>1</v>
      </c>
      <c r="AY3511">
        <v>103</v>
      </c>
      <c r="AZ3511">
        <v>103</v>
      </c>
      <c r="BA3511">
        <v>136</v>
      </c>
      <c r="BB3511">
        <v>46</v>
      </c>
      <c r="BD3511">
        <v>1</v>
      </c>
      <c r="BF3511" t="s">
        <v>3753</v>
      </c>
      <c r="BG3511" s="1">
        <v>44353.837627314817</v>
      </c>
      <c r="BH3511" s="1">
        <v>44354.050115740742</v>
      </c>
      <c r="BI3511" s="1">
        <v>44354.051342592589</v>
      </c>
      <c r="BJ3511" t="s">
        <v>197</v>
      </c>
      <c r="BK3511" t="s">
        <v>198</v>
      </c>
      <c r="BL3511" t="s">
        <v>87</v>
      </c>
    </row>
    <row r="3512" spans="1:64" x14ac:dyDescent="0.3">
      <c r="A3512" t="str">
        <f>"202385B0000"</f>
        <v>202385B0000</v>
      </c>
      <c r="B3512" t="str">
        <f>"202385B00003"</f>
        <v>202385B00003</v>
      </c>
      <c r="C3512" t="str">
        <f t="shared" si="252"/>
        <v>20</v>
      </c>
      <c r="D3512" t="s">
        <v>81</v>
      </c>
      <c r="E3512" t="str">
        <f t="shared" si="254"/>
        <v>553</v>
      </c>
      <c r="F3512" t="s">
        <v>3695</v>
      </c>
      <c r="G3512" t="str">
        <f>"2385"</f>
        <v>2385</v>
      </c>
      <c r="H3512" t="str">
        <f>"0000"</f>
        <v>0000</v>
      </c>
      <c r="I3512" t="s">
        <v>83</v>
      </c>
      <c r="J3512">
        <v>0</v>
      </c>
      <c r="K3512">
        <v>1</v>
      </c>
      <c r="L3512">
        <v>3</v>
      </c>
      <c r="M3512">
        <v>151</v>
      </c>
      <c r="N3512">
        <v>165</v>
      </c>
      <c r="O3512">
        <v>2</v>
      </c>
      <c r="P3512">
        <v>165</v>
      </c>
      <c r="Q3512">
        <v>2</v>
      </c>
      <c r="R3512">
        <v>0</v>
      </c>
      <c r="S3512">
        <v>1</v>
      </c>
      <c r="T3512">
        <v>1</v>
      </c>
      <c r="U3512">
        <v>11</v>
      </c>
      <c r="V3512">
        <v>0</v>
      </c>
      <c r="W3512">
        <v>1</v>
      </c>
      <c r="X3512">
        <v>1</v>
      </c>
      <c r="Y3512">
        <v>0</v>
      </c>
      <c r="Z3512">
        <v>13</v>
      </c>
      <c r="AB3512">
        <v>28</v>
      </c>
      <c r="AC3512">
        <v>87</v>
      </c>
      <c r="AJ3512">
        <v>0</v>
      </c>
      <c r="AK3512">
        <v>0</v>
      </c>
      <c r="AL3512">
        <v>0</v>
      </c>
      <c r="AM3512">
        <v>0</v>
      </c>
      <c r="AN3512">
        <v>0</v>
      </c>
      <c r="AO3512">
        <v>0</v>
      </c>
      <c r="AP3512">
        <v>0</v>
      </c>
      <c r="AQ3512">
        <v>0</v>
      </c>
      <c r="AR3512">
        <v>0</v>
      </c>
      <c r="AS3512">
        <v>0</v>
      </c>
      <c r="AT3512">
        <v>0</v>
      </c>
      <c r="AW3512">
        <v>0</v>
      </c>
      <c r="AX3512">
        <v>20</v>
      </c>
      <c r="AY3512">
        <v>165</v>
      </c>
      <c r="AZ3512">
        <v>165</v>
      </c>
      <c r="BA3512">
        <v>270</v>
      </c>
      <c r="BB3512">
        <v>46</v>
      </c>
      <c r="BD3512">
        <v>1</v>
      </c>
      <c r="BF3512" t="s">
        <v>3754</v>
      </c>
      <c r="BG3512" s="1">
        <v>44353.853877314818</v>
      </c>
      <c r="BH3512" s="1">
        <v>44354.043576388889</v>
      </c>
      <c r="BI3512" s="1">
        <v>44354.044421296298</v>
      </c>
      <c r="BJ3512" t="s">
        <v>197</v>
      </c>
      <c r="BK3512" t="s">
        <v>198</v>
      </c>
      <c r="BL3512" t="s">
        <v>87</v>
      </c>
    </row>
    <row r="3513" spans="1:64" x14ac:dyDescent="0.3">
      <c r="A3513" t="str">
        <f>"202452B0000"</f>
        <v>202452B0000</v>
      </c>
      <c r="B3513" t="str">
        <f>"202452B00003"</f>
        <v>202452B00003</v>
      </c>
      <c r="C3513" t="str">
        <f t="shared" si="252"/>
        <v>20</v>
      </c>
      <c r="D3513" t="s">
        <v>81</v>
      </c>
      <c r="E3513" t="str">
        <f t="shared" si="254"/>
        <v>553</v>
      </c>
      <c r="F3513" t="s">
        <v>3695</v>
      </c>
      <c r="G3513" t="str">
        <f>"2452"</f>
        <v>2452</v>
      </c>
      <c r="H3513" t="str">
        <f>"0000"</f>
        <v>0000</v>
      </c>
      <c r="I3513" t="s">
        <v>83</v>
      </c>
      <c r="J3513">
        <v>0</v>
      </c>
      <c r="K3513">
        <v>1</v>
      </c>
      <c r="L3513">
        <v>3</v>
      </c>
      <c r="M3513">
        <v>174</v>
      </c>
      <c r="N3513">
        <v>177</v>
      </c>
      <c r="O3513">
        <v>18</v>
      </c>
      <c r="P3513">
        <v>177</v>
      </c>
      <c r="Q3513">
        <v>3</v>
      </c>
      <c r="R3513">
        <v>27</v>
      </c>
      <c r="S3513">
        <v>5</v>
      </c>
      <c r="T3513">
        <v>8</v>
      </c>
      <c r="U3513">
        <v>26</v>
      </c>
      <c r="V3513">
        <v>2</v>
      </c>
      <c r="W3513">
        <v>1</v>
      </c>
      <c r="X3513">
        <v>26</v>
      </c>
      <c r="Y3513">
        <v>0</v>
      </c>
      <c r="Z3513">
        <v>40</v>
      </c>
      <c r="AB3513">
        <v>26</v>
      </c>
      <c r="AC3513">
        <v>9</v>
      </c>
      <c r="AJ3513">
        <v>0</v>
      </c>
      <c r="AK3513">
        <v>0</v>
      </c>
      <c r="AL3513">
        <v>0</v>
      </c>
      <c r="AM3513">
        <v>0</v>
      </c>
      <c r="AN3513">
        <v>0</v>
      </c>
      <c r="AO3513">
        <v>0</v>
      </c>
      <c r="AP3513">
        <v>0</v>
      </c>
      <c r="AQ3513">
        <v>0</v>
      </c>
      <c r="AR3513">
        <v>0</v>
      </c>
      <c r="AS3513">
        <v>0</v>
      </c>
      <c r="AT3513">
        <v>0</v>
      </c>
      <c r="AW3513">
        <v>0</v>
      </c>
      <c r="AX3513">
        <v>4</v>
      </c>
      <c r="AY3513">
        <v>177</v>
      </c>
      <c r="AZ3513">
        <v>177</v>
      </c>
      <c r="BA3513">
        <v>305</v>
      </c>
      <c r="BB3513">
        <v>46</v>
      </c>
      <c r="BD3513">
        <v>1</v>
      </c>
      <c r="BF3513" t="s">
        <v>3755</v>
      </c>
      <c r="BG3513" s="1">
        <v>44353.932939814818</v>
      </c>
      <c r="BH3513" s="1">
        <v>44353.960532407407</v>
      </c>
      <c r="BI3513" s="1">
        <v>44353.963136574072</v>
      </c>
      <c r="BJ3513" t="s">
        <v>197</v>
      </c>
      <c r="BK3513" t="s">
        <v>198</v>
      </c>
      <c r="BL3513" t="s">
        <v>87</v>
      </c>
    </row>
    <row r="3514" spans="1:64" x14ac:dyDescent="0.3">
      <c r="A3514" t="str">
        <f>"202391B0000"</f>
        <v>202391B0000</v>
      </c>
      <c r="B3514" t="str">
        <f>"202391B00003"</f>
        <v>202391B00003</v>
      </c>
      <c r="C3514" t="str">
        <f t="shared" si="252"/>
        <v>20</v>
      </c>
      <c r="D3514" t="s">
        <v>81</v>
      </c>
      <c r="E3514" t="str">
        <f>"555"</f>
        <v>555</v>
      </c>
      <c r="F3514" t="s">
        <v>3756</v>
      </c>
      <c r="G3514" t="str">
        <f>"2391"</f>
        <v>2391</v>
      </c>
      <c r="H3514" t="str">
        <f>"0000"</f>
        <v>0000</v>
      </c>
      <c r="I3514" t="s">
        <v>83</v>
      </c>
      <c r="J3514">
        <v>0</v>
      </c>
      <c r="K3514">
        <v>1</v>
      </c>
      <c r="L3514">
        <v>3</v>
      </c>
      <c r="M3514">
        <v>185</v>
      </c>
      <c r="N3514">
        <v>307</v>
      </c>
      <c r="O3514">
        <v>10</v>
      </c>
      <c r="P3514">
        <v>307</v>
      </c>
      <c r="Q3514">
        <v>0</v>
      </c>
      <c r="R3514">
        <v>1</v>
      </c>
      <c r="S3514">
        <v>68</v>
      </c>
      <c r="T3514">
        <v>118</v>
      </c>
      <c r="U3514">
        <v>39</v>
      </c>
      <c r="W3514">
        <v>0</v>
      </c>
      <c r="X3514">
        <v>57</v>
      </c>
      <c r="Z3514">
        <v>1</v>
      </c>
      <c r="AA3514">
        <v>3</v>
      </c>
      <c r="AB3514">
        <v>1</v>
      </c>
      <c r="AW3514" t="s">
        <v>95</v>
      </c>
      <c r="AX3514">
        <v>19</v>
      </c>
      <c r="AY3514">
        <v>307</v>
      </c>
      <c r="AZ3514">
        <v>307</v>
      </c>
      <c r="BA3514">
        <v>448</v>
      </c>
      <c r="BB3514">
        <v>44</v>
      </c>
      <c r="BC3514" t="s">
        <v>96</v>
      </c>
      <c r="BD3514">
        <v>1</v>
      </c>
      <c r="BF3514" t="s">
        <v>3757</v>
      </c>
      <c r="BG3514" s="1">
        <v>44354.085659722223</v>
      </c>
      <c r="BH3514" s="1">
        <v>44354.092372685183</v>
      </c>
      <c r="BI3514" s="1">
        <v>44354.092685185184</v>
      </c>
      <c r="BJ3514" t="s">
        <v>197</v>
      </c>
      <c r="BK3514" t="s">
        <v>198</v>
      </c>
      <c r="BL3514" t="s">
        <v>87</v>
      </c>
    </row>
    <row r="3515" spans="1:64" x14ac:dyDescent="0.3">
      <c r="A3515" t="str">
        <f>"202391C0100"</f>
        <v>202391C0100</v>
      </c>
      <c r="B3515" t="str">
        <f>"202391C01003"</f>
        <v>202391C01003</v>
      </c>
      <c r="C3515" t="str">
        <f t="shared" si="252"/>
        <v>20</v>
      </c>
      <c r="D3515" t="s">
        <v>81</v>
      </c>
      <c r="E3515" t="str">
        <f>"555"</f>
        <v>555</v>
      </c>
      <c r="F3515" t="s">
        <v>3756</v>
      </c>
      <c r="G3515" t="str">
        <f>"2391"</f>
        <v>2391</v>
      </c>
      <c r="H3515" t="str">
        <f>"0001"</f>
        <v>0001</v>
      </c>
      <c r="I3515" t="s">
        <v>89</v>
      </c>
      <c r="J3515">
        <v>0</v>
      </c>
      <c r="K3515">
        <v>1</v>
      </c>
      <c r="L3515">
        <v>3</v>
      </c>
      <c r="M3515">
        <v>164</v>
      </c>
      <c r="N3515">
        <v>327</v>
      </c>
      <c r="O3515">
        <v>4</v>
      </c>
      <c r="P3515">
        <v>327</v>
      </c>
      <c r="Q3515">
        <v>1</v>
      </c>
      <c r="R3515">
        <v>3</v>
      </c>
      <c r="S3515">
        <v>59</v>
      </c>
      <c r="T3515">
        <v>111</v>
      </c>
      <c r="U3515">
        <v>65</v>
      </c>
      <c r="W3515">
        <v>3</v>
      </c>
      <c r="X3515">
        <v>57</v>
      </c>
      <c r="Z3515">
        <v>4</v>
      </c>
      <c r="AA3515">
        <v>3</v>
      </c>
      <c r="AB3515">
        <v>0</v>
      </c>
      <c r="AW3515" t="s">
        <v>95</v>
      </c>
      <c r="AX3515">
        <v>21</v>
      </c>
      <c r="AY3515">
        <v>327</v>
      </c>
      <c r="AZ3515">
        <v>327</v>
      </c>
      <c r="BA3515">
        <v>447</v>
      </c>
      <c r="BB3515">
        <v>44</v>
      </c>
      <c r="BC3515" t="s">
        <v>96</v>
      </c>
      <c r="BD3515">
        <v>1</v>
      </c>
      <c r="BF3515" t="s">
        <v>3758</v>
      </c>
      <c r="BG3515" s="1">
        <v>44354.063923611109</v>
      </c>
      <c r="BH3515" s="1">
        <v>44354.069155092591</v>
      </c>
      <c r="BI3515" s="1">
        <v>44354.069722222222</v>
      </c>
      <c r="BJ3515" t="s">
        <v>197</v>
      </c>
      <c r="BK3515" t="s">
        <v>198</v>
      </c>
      <c r="BL3515" t="s">
        <v>87</v>
      </c>
    </row>
    <row r="3516" spans="1:64" x14ac:dyDescent="0.3">
      <c r="A3516" t="str">
        <f>"202391E0100"</f>
        <v>202391E0100</v>
      </c>
      <c r="B3516" t="str">
        <f>"202391E01003"</f>
        <v>202391E01003</v>
      </c>
      <c r="C3516" t="str">
        <f t="shared" si="252"/>
        <v>20</v>
      </c>
      <c r="D3516" t="s">
        <v>81</v>
      </c>
      <c r="E3516" t="str">
        <f>"555"</f>
        <v>555</v>
      </c>
      <c r="F3516" t="s">
        <v>3756</v>
      </c>
      <c r="G3516" t="str">
        <f>"2391"</f>
        <v>2391</v>
      </c>
      <c r="H3516" t="str">
        <f>"0001"</f>
        <v>0001</v>
      </c>
      <c r="I3516" t="s">
        <v>122</v>
      </c>
      <c r="J3516">
        <v>0</v>
      </c>
      <c r="K3516">
        <v>1</v>
      </c>
      <c r="L3516">
        <v>3</v>
      </c>
      <c r="M3516">
        <v>186</v>
      </c>
      <c r="N3516">
        <v>427</v>
      </c>
      <c r="O3516">
        <v>0</v>
      </c>
      <c r="P3516">
        <v>0</v>
      </c>
      <c r="Q3516">
        <v>2</v>
      </c>
      <c r="R3516">
        <v>2</v>
      </c>
      <c r="S3516">
        <v>282</v>
      </c>
      <c r="T3516">
        <v>27</v>
      </c>
      <c r="U3516">
        <v>25</v>
      </c>
      <c r="W3516">
        <v>1</v>
      </c>
      <c r="X3516">
        <v>63</v>
      </c>
      <c r="Z3516">
        <v>0</v>
      </c>
      <c r="AA3516">
        <v>4</v>
      </c>
      <c r="AB3516">
        <v>1</v>
      </c>
      <c r="AW3516">
        <v>0</v>
      </c>
      <c r="AX3516">
        <v>20</v>
      </c>
      <c r="AY3516">
        <v>427</v>
      </c>
      <c r="AZ3516">
        <v>427</v>
      </c>
      <c r="BA3516">
        <v>569</v>
      </c>
      <c r="BB3516">
        <v>44</v>
      </c>
      <c r="BD3516">
        <v>1</v>
      </c>
      <c r="BF3516" t="s">
        <v>3759</v>
      </c>
      <c r="BG3516" s="1">
        <v>44354.048321759263</v>
      </c>
      <c r="BH3516" s="1">
        <v>44354.054143518515</v>
      </c>
      <c r="BI3516" s="1">
        <v>44354.054548611108</v>
      </c>
      <c r="BJ3516" t="s">
        <v>197</v>
      </c>
      <c r="BK3516" t="s">
        <v>198</v>
      </c>
      <c r="BL3516" t="s">
        <v>87</v>
      </c>
    </row>
    <row r="3517" spans="1:64" x14ac:dyDescent="0.3">
      <c r="A3517" t="str">
        <f>"202392B0000"</f>
        <v>202392B0000</v>
      </c>
      <c r="B3517" t="str">
        <f>"202392B00003"</f>
        <v>202392B00003</v>
      </c>
      <c r="C3517" t="str">
        <f t="shared" si="252"/>
        <v>20</v>
      </c>
      <c r="D3517" t="s">
        <v>81</v>
      </c>
      <c r="E3517" t="str">
        <f>"555"</f>
        <v>555</v>
      </c>
      <c r="F3517" t="s">
        <v>3756</v>
      </c>
      <c r="G3517" t="str">
        <f>"2392"</f>
        <v>2392</v>
      </c>
      <c r="H3517" t="str">
        <f>"0000"</f>
        <v>0000</v>
      </c>
      <c r="I3517" t="s">
        <v>83</v>
      </c>
      <c r="J3517">
        <v>0</v>
      </c>
      <c r="K3517">
        <v>1</v>
      </c>
      <c r="L3517">
        <v>3</v>
      </c>
      <c r="M3517">
        <v>238</v>
      </c>
      <c r="N3517">
        <v>285</v>
      </c>
      <c r="O3517">
        <v>3</v>
      </c>
      <c r="P3517">
        <v>285</v>
      </c>
      <c r="Q3517">
        <v>0</v>
      </c>
      <c r="R3517">
        <v>8</v>
      </c>
      <c r="S3517">
        <v>193</v>
      </c>
      <c r="T3517">
        <v>15</v>
      </c>
      <c r="U3517">
        <v>20</v>
      </c>
      <c r="W3517">
        <v>1</v>
      </c>
      <c r="X3517">
        <v>34</v>
      </c>
      <c r="Z3517">
        <v>1</v>
      </c>
      <c r="AA3517">
        <v>0</v>
      </c>
      <c r="AB3517">
        <v>2</v>
      </c>
      <c r="AW3517">
        <v>0</v>
      </c>
      <c r="AX3517">
        <v>11</v>
      </c>
      <c r="AY3517">
        <v>285</v>
      </c>
      <c r="AZ3517">
        <v>285</v>
      </c>
      <c r="BA3517">
        <v>479</v>
      </c>
      <c r="BB3517">
        <v>44</v>
      </c>
      <c r="BD3517">
        <v>1</v>
      </c>
      <c r="BF3517" t="s">
        <v>3760</v>
      </c>
      <c r="BG3517" s="1">
        <v>44354.202777777777</v>
      </c>
      <c r="BH3517" s="1">
        <v>44354.205682870372</v>
      </c>
      <c r="BI3517" s="1">
        <v>44354.206087962964</v>
      </c>
      <c r="BJ3517" t="s">
        <v>85</v>
      </c>
      <c r="BK3517" t="s">
        <v>86</v>
      </c>
      <c r="BL3517" t="s">
        <v>87</v>
      </c>
    </row>
    <row r="3518" spans="1:64" x14ac:dyDescent="0.3">
      <c r="A3518" t="str">
        <f>"202392E0100"</f>
        <v>202392E0100</v>
      </c>
      <c r="B3518" t="str">
        <f>"202392E01003"</f>
        <v>202392E01003</v>
      </c>
      <c r="C3518" t="str">
        <f t="shared" si="252"/>
        <v>20</v>
      </c>
      <c r="D3518" t="s">
        <v>81</v>
      </c>
      <c r="E3518" t="str">
        <f>"555"</f>
        <v>555</v>
      </c>
      <c r="F3518" t="s">
        <v>3756</v>
      </c>
      <c r="G3518" t="str">
        <f>"2392"</f>
        <v>2392</v>
      </c>
      <c r="H3518" t="str">
        <f>"0001"</f>
        <v>0001</v>
      </c>
      <c r="I3518" t="s">
        <v>122</v>
      </c>
      <c r="J3518">
        <v>0</v>
      </c>
      <c r="K3518">
        <v>1</v>
      </c>
      <c r="L3518">
        <v>3</v>
      </c>
      <c r="M3518">
        <v>243</v>
      </c>
      <c r="N3518">
        <v>365</v>
      </c>
      <c r="O3518">
        <v>1</v>
      </c>
      <c r="P3518" t="s">
        <v>92</v>
      </c>
      <c r="Q3518">
        <v>2</v>
      </c>
      <c r="R3518">
        <v>6</v>
      </c>
      <c r="S3518">
        <v>283</v>
      </c>
      <c r="T3518">
        <v>18</v>
      </c>
      <c r="U3518">
        <v>24</v>
      </c>
      <c r="W3518">
        <v>1</v>
      </c>
      <c r="X3518">
        <v>18</v>
      </c>
      <c r="Z3518">
        <v>0</v>
      </c>
      <c r="AA3518">
        <v>2</v>
      </c>
      <c r="AB3518">
        <v>1</v>
      </c>
      <c r="AW3518">
        <v>0</v>
      </c>
      <c r="AX3518">
        <v>10</v>
      </c>
      <c r="AY3518">
        <v>365</v>
      </c>
      <c r="AZ3518">
        <v>365</v>
      </c>
      <c r="BA3518">
        <v>564</v>
      </c>
      <c r="BB3518">
        <v>44</v>
      </c>
      <c r="BD3518">
        <v>1</v>
      </c>
      <c r="BF3518" t="s">
        <v>3761</v>
      </c>
      <c r="BG3518" s="1">
        <v>44353.982800925929</v>
      </c>
      <c r="BH3518" s="1">
        <v>44353.984224537038</v>
      </c>
      <c r="BI3518" s="1">
        <v>44353.984907407408</v>
      </c>
      <c r="BJ3518" t="s">
        <v>197</v>
      </c>
      <c r="BK3518" t="s">
        <v>198</v>
      </c>
      <c r="BL3518" t="s">
        <v>87</v>
      </c>
    </row>
    <row r="3519" spans="1:64" x14ac:dyDescent="0.3">
      <c r="A3519" t="str">
        <f>"202394B0000"</f>
        <v>202394B0000</v>
      </c>
      <c r="B3519" t="str">
        <f>"202394B00003"</f>
        <v>202394B00003</v>
      </c>
      <c r="C3519" t="str">
        <f t="shared" si="252"/>
        <v>20</v>
      </c>
      <c r="D3519" t="s">
        <v>81</v>
      </c>
      <c r="E3519" t="str">
        <f t="shared" ref="E3519:E3540" si="255">"557"</f>
        <v>557</v>
      </c>
      <c r="F3519" t="s">
        <v>3762</v>
      </c>
      <c r="G3519" t="str">
        <f>"2394"</f>
        <v>2394</v>
      </c>
      <c r="H3519" t="str">
        <f>"0000"</f>
        <v>0000</v>
      </c>
      <c r="I3519" t="s">
        <v>83</v>
      </c>
      <c r="J3519">
        <v>0</v>
      </c>
      <c r="K3519">
        <v>1</v>
      </c>
      <c r="L3519">
        <v>3</v>
      </c>
      <c r="M3519">
        <v>215</v>
      </c>
      <c r="N3519">
        <v>532</v>
      </c>
      <c r="O3519">
        <v>2</v>
      </c>
      <c r="P3519">
        <v>532</v>
      </c>
      <c r="Q3519">
        <v>16</v>
      </c>
      <c r="R3519">
        <v>146</v>
      </c>
      <c r="S3519">
        <v>1</v>
      </c>
      <c r="T3519">
        <v>3</v>
      </c>
      <c r="U3519">
        <v>1</v>
      </c>
      <c r="V3519">
        <v>139</v>
      </c>
      <c r="W3519">
        <v>0</v>
      </c>
      <c r="X3519">
        <v>202</v>
      </c>
      <c r="Y3519">
        <v>12</v>
      </c>
      <c r="Z3519">
        <v>10</v>
      </c>
      <c r="AB3519">
        <v>2</v>
      </c>
      <c r="AR3519">
        <v>0</v>
      </c>
      <c r="AW3519">
        <v>0</v>
      </c>
      <c r="AX3519">
        <v>0</v>
      </c>
      <c r="AY3519">
        <v>532</v>
      </c>
      <c r="AZ3519">
        <v>532</v>
      </c>
      <c r="BA3519">
        <v>703</v>
      </c>
      <c r="BB3519">
        <v>44</v>
      </c>
      <c r="BD3519">
        <v>1</v>
      </c>
      <c r="BF3519" t="s">
        <v>3763</v>
      </c>
      <c r="BG3519" s="1">
        <v>44354.019444444442</v>
      </c>
      <c r="BH3519" s="1">
        <v>44354.0312037037</v>
      </c>
      <c r="BI3519" s="1">
        <v>44354.03261574074</v>
      </c>
      <c r="BJ3519" t="s">
        <v>85</v>
      </c>
      <c r="BK3519" t="s">
        <v>86</v>
      </c>
      <c r="BL3519" t="s">
        <v>87</v>
      </c>
    </row>
    <row r="3520" spans="1:64" x14ac:dyDescent="0.3">
      <c r="A3520" t="str">
        <f>"202394C0100"</f>
        <v>202394C0100</v>
      </c>
      <c r="B3520" t="str">
        <f>"202394C01003"</f>
        <v>202394C01003</v>
      </c>
      <c r="C3520" t="str">
        <f t="shared" si="252"/>
        <v>20</v>
      </c>
      <c r="D3520" t="s">
        <v>81</v>
      </c>
      <c r="E3520" t="str">
        <f t="shared" si="255"/>
        <v>557</v>
      </c>
      <c r="F3520" t="s">
        <v>3762</v>
      </c>
      <c r="G3520" t="str">
        <f>"2394"</f>
        <v>2394</v>
      </c>
      <c r="H3520" t="str">
        <f>"0001"</f>
        <v>0001</v>
      </c>
      <c r="I3520" t="s">
        <v>89</v>
      </c>
      <c r="J3520">
        <v>0</v>
      </c>
      <c r="K3520">
        <v>1</v>
      </c>
      <c r="L3520">
        <v>3</v>
      </c>
      <c r="M3520">
        <v>209</v>
      </c>
      <c r="N3520">
        <v>535</v>
      </c>
      <c r="O3520">
        <v>3</v>
      </c>
      <c r="P3520">
        <v>535</v>
      </c>
      <c r="Q3520">
        <v>10</v>
      </c>
      <c r="R3520">
        <v>153</v>
      </c>
      <c r="S3520">
        <v>0</v>
      </c>
      <c r="T3520">
        <v>5</v>
      </c>
      <c r="U3520">
        <v>10</v>
      </c>
      <c r="V3520">
        <v>152</v>
      </c>
      <c r="W3520">
        <v>0</v>
      </c>
      <c r="X3520">
        <v>175</v>
      </c>
      <c r="Y3520">
        <v>11</v>
      </c>
      <c r="Z3520">
        <v>12</v>
      </c>
      <c r="AB3520">
        <v>0</v>
      </c>
      <c r="AR3520" t="s">
        <v>95</v>
      </c>
      <c r="AW3520" t="s">
        <v>95</v>
      </c>
      <c r="AX3520">
        <v>10</v>
      </c>
      <c r="AY3520">
        <v>535</v>
      </c>
      <c r="AZ3520">
        <v>538</v>
      </c>
      <c r="BA3520">
        <v>703</v>
      </c>
      <c r="BB3520">
        <v>44</v>
      </c>
      <c r="BC3520" t="s">
        <v>96</v>
      </c>
      <c r="BD3520">
        <v>1</v>
      </c>
      <c r="BF3520" t="s">
        <v>3764</v>
      </c>
      <c r="BG3520" s="1">
        <v>44354.017361111109</v>
      </c>
      <c r="BH3520" s="1">
        <v>44354.029664351852</v>
      </c>
      <c r="BI3520" s="1">
        <v>44354.029918981483</v>
      </c>
      <c r="BJ3520" t="s">
        <v>85</v>
      </c>
      <c r="BK3520" t="s">
        <v>86</v>
      </c>
      <c r="BL3520" t="s">
        <v>87</v>
      </c>
    </row>
    <row r="3521" spans="1:64" x14ac:dyDescent="0.3">
      <c r="A3521" t="str">
        <f>"202395B0000"</f>
        <v>202395B0000</v>
      </c>
      <c r="B3521" t="str">
        <f>"202395B00003"</f>
        <v>202395B00003</v>
      </c>
      <c r="C3521" t="str">
        <f t="shared" si="252"/>
        <v>20</v>
      </c>
      <c r="D3521" t="s">
        <v>81</v>
      </c>
      <c r="E3521" t="str">
        <f t="shared" si="255"/>
        <v>557</v>
      </c>
      <c r="F3521" t="s">
        <v>3762</v>
      </c>
      <c r="G3521" t="str">
        <f>"2395"</f>
        <v>2395</v>
      </c>
      <c r="H3521" t="str">
        <f>"0000"</f>
        <v>0000</v>
      </c>
      <c r="I3521" t="s">
        <v>83</v>
      </c>
      <c r="J3521">
        <v>0</v>
      </c>
      <c r="K3521">
        <v>1</v>
      </c>
      <c r="L3521">
        <v>3</v>
      </c>
      <c r="M3521">
        <v>151</v>
      </c>
      <c r="N3521">
        <v>347</v>
      </c>
      <c r="O3521">
        <v>1</v>
      </c>
      <c r="P3521">
        <v>347</v>
      </c>
      <c r="Q3521">
        <v>10</v>
      </c>
      <c r="R3521">
        <v>101</v>
      </c>
      <c r="S3521">
        <v>0</v>
      </c>
      <c r="T3521">
        <v>3</v>
      </c>
      <c r="U3521">
        <v>3</v>
      </c>
      <c r="V3521">
        <v>50</v>
      </c>
      <c r="W3521">
        <v>1</v>
      </c>
      <c r="X3521">
        <v>142</v>
      </c>
      <c r="Y3521">
        <v>14</v>
      </c>
      <c r="Z3521">
        <v>11</v>
      </c>
      <c r="AB3521">
        <v>3</v>
      </c>
      <c r="AR3521">
        <v>0</v>
      </c>
      <c r="AW3521">
        <v>0</v>
      </c>
      <c r="AX3521">
        <v>9</v>
      </c>
      <c r="AY3521">
        <v>347</v>
      </c>
      <c r="AZ3521">
        <v>347</v>
      </c>
      <c r="BA3521">
        <v>454</v>
      </c>
      <c r="BB3521">
        <v>44</v>
      </c>
      <c r="BD3521">
        <v>1</v>
      </c>
      <c r="BF3521" t="s">
        <v>3765</v>
      </c>
      <c r="BG3521" s="1">
        <v>44354.032638888886</v>
      </c>
      <c r="BH3521" s="1">
        <v>44354.044976851852</v>
      </c>
      <c r="BI3521" s="1">
        <v>44354.045335648145</v>
      </c>
      <c r="BJ3521" t="s">
        <v>85</v>
      </c>
      <c r="BK3521" t="s">
        <v>86</v>
      </c>
      <c r="BL3521" t="s">
        <v>87</v>
      </c>
    </row>
    <row r="3522" spans="1:64" x14ac:dyDescent="0.3">
      <c r="A3522" t="str">
        <f>"202395C0100"</f>
        <v>202395C0100</v>
      </c>
      <c r="B3522" t="str">
        <f>"202395C01003"</f>
        <v>202395C01003</v>
      </c>
      <c r="C3522" t="str">
        <f t="shared" si="252"/>
        <v>20</v>
      </c>
      <c r="D3522" t="s">
        <v>81</v>
      </c>
      <c r="E3522" t="str">
        <f t="shared" si="255"/>
        <v>557</v>
      </c>
      <c r="F3522" t="s">
        <v>3762</v>
      </c>
      <c r="G3522" t="str">
        <f>"2395"</f>
        <v>2395</v>
      </c>
      <c r="H3522" t="str">
        <f>"0001"</f>
        <v>0001</v>
      </c>
      <c r="I3522" t="s">
        <v>89</v>
      </c>
      <c r="J3522">
        <v>0</v>
      </c>
      <c r="K3522">
        <v>1</v>
      </c>
      <c r="L3522">
        <v>3</v>
      </c>
      <c r="M3522">
        <v>144</v>
      </c>
      <c r="N3522">
        <v>353</v>
      </c>
      <c r="O3522">
        <v>5</v>
      </c>
      <c r="P3522">
        <v>353</v>
      </c>
      <c r="Q3522">
        <v>6</v>
      </c>
      <c r="R3522">
        <v>86</v>
      </c>
      <c r="S3522">
        <v>2</v>
      </c>
      <c r="T3522">
        <v>4</v>
      </c>
      <c r="U3522">
        <v>5</v>
      </c>
      <c r="V3522">
        <v>65</v>
      </c>
      <c r="W3522">
        <v>0</v>
      </c>
      <c r="X3522">
        <v>146</v>
      </c>
      <c r="Y3522">
        <v>15</v>
      </c>
      <c r="Z3522">
        <v>13</v>
      </c>
      <c r="AB3522">
        <v>3</v>
      </c>
      <c r="AR3522" t="s">
        <v>95</v>
      </c>
      <c r="AW3522" t="s">
        <v>95</v>
      </c>
      <c r="AX3522">
        <v>8</v>
      </c>
      <c r="AY3522">
        <v>353</v>
      </c>
      <c r="AZ3522">
        <v>353</v>
      </c>
      <c r="BA3522">
        <v>453</v>
      </c>
      <c r="BB3522">
        <v>44</v>
      </c>
      <c r="BC3522" t="s">
        <v>96</v>
      </c>
      <c r="BD3522">
        <v>1</v>
      </c>
      <c r="BF3522" t="s">
        <v>3766</v>
      </c>
      <c r="BG3522" s="1">
        <v>44354.034722222219</v>
      </c>
      <c r="BH3522" s="1">
        <v>44354.04546296296</v>
      </c>
      <c r="BI3522" s="1">
        <v>44354.045729166668</v>
      </c>
      <c r="BJ3522" t="s">
        <v>85</v>
      </c>
      <c r="BK3522" t="s">
        <v>86</v>
      </c>
      <c r="BL3522" t="s">
        <v>87</v>
      </c>
    </row>
    <row r="3523" spans="1:64" x14ac:dyDescent="0.3">
      <c r="A3523" t="str">
        <f>"202396B0000"</f>
        <v>202396B0000</v>
      </c>
      <c r="B3523" t="str">
        <f>"202396B00003"</f>
        <v>202396B00003</v>
      </c>
      <c r="C3523" t="str">
        <f t="shared" si="252"/>
        <v>20</v>
      </c>
      <c r="D3523" t="s">
        <v>81</v>
      </c>
      <c r="E3523" t="str">
        <f t="shared" si="255"/>
        <v>557</v>
      </c>
      <c r="F3523" t="s">
        <v>3762</v>
      </c>
      <c r="G3523" t="str">
        <f>"2396"</f>
        <v>2396</v>
      </c>
      <c r="H3523" t="str">
        <f>"0000"</f>
        <v>0000</v>
      </c>
      <c r="I3523" t="s">
        <v>83</v>
      </c>
      <c r="J3523">
        <v>0</v>
      </c>
      <c r="K3523">
        <v>1</v>
      </c>
      <c r="L3523">
        <v>3</v>
      </c>
      <c r="M3523">
        <v>123</v>
      </c>
      <c r="N3523">
        <v>306</v>
      </c>
      <c r="O3523">
        <v>3</v>
      </c>
      <c r="P3523">
        <v>306</v>
      </c>
      <c r="Q3523">
        <v>8</v>
      </c>
      <c r="R3523">
        <v>81</v>
      </c>
      <c r="S3523">
        <v>1</v>
      </c>
      <c r="T3523">
        <v>1</v>
      </c>
      <c r="U3523">
        <v>2</v>
      </c>
      <c r="V3523">
        <v>51</v>
      </c>
      <c r="W3523">
        <v>2</v>
      </c>
      <c r="X3523">
        <v>131</v>
      </c>
      <c r="Y3523">
        <v>14</v>
      </c>
      <c r="Z3523">
        <v>3</v>
      </c>
      <c r="AB3523">
        <v>2</v>
      </c>
      <c r="AR3523">
        <v>0</v>
      </c>
      <c r="AW3523">
        <v>0</v>
      </c>
      <c r="AX3523">
        <v>10</v>
      </c>
      <c r="AY3523">
        <v>306</v>
      </c>
      <c r="AZ3523">
        <v>306</v>
      </c>
      <c r="BA3523">
        <v>385</v>
      </c>
      <c r="BB3523">
        <v>44</v>
      </c>
      <c r="BD3523">
        <v>1</v>
      </c>
      <c r="BF3523" t="s">
        <v>3767</v>
      </c>
      <c r="BG3523" s="1">
        <v>44354.07916666667</v>
      </c>
      <c r="BH3523" s="1">
        <v>44354.100717592592</v>
      </c>
      <c r="BI3523" s="1">
        <v>44354.101331018515</v>
      </c>
      <c r="BJ3523" t="s">
        <v>85</v>
      </c>
      <c r="BK3523" t="s">
        <v>86</v>
      </c>
      <c r="BL3523" t="s">
        <v>87</v>
      </c>
    </row>
    <row r="3524" spans="1:64" x14ac:dyDescent="0.3">
      <c r="A3524" t="str">
        <f>"202396C0100"</f>
        <v>202396C0100</v>
      </c>
      <c r="B3524" t="str">
        <f>"202396C01003"</f>
        <v>202396C01003</v>
      </c>
      <c r="C3524" t="str">
        <f t="shared" si="252"/>
        <v>20</v>
      </c>
      <c r="D3524" t="s">
        <v>81</v>
      </c>
      <c r="E3524" t="str">
        <f t="shared" si="255"/>
        <v>557</v>
      </c>
      <c r="F3524" t="s">
        <v>3762</v>
      </c>
      <c r="G3524" t="str">
        <f>"2396"</f>
        <v>2396</v>
      </c>
      <c r="H3524" t="str">
        <f>"0001"</f>
        <v>0001</v>
      </c>
      <c r="I3524" t="s">
        <v>89</v>
      </c>
      <c r="J3524">
        <v>0</v>
      </c>
      <c r="K3524">
        <v>1</v>
      </c>
      <c r="L3524">
        <v>3</v>
      </c>
      <c r="M3524">
        <v>108</v>
      </c>
      <c r="N3524">
        <v>321</v>
      </c>
      <c r="O3524">
        <v>2</v>
      </c>
      <c r="P3524">
        <v>321</v>
      </c>
      <c r="Q3524">
        <v>4</v>
      </c>
      <c r="R3524">
        <v>85</v>
      </c>
      <c r="S3524">
        <v>0</v>
      </c>
      <c r="T3524">
        <v>8</v>
      </c>
      <c r="U3524">
        <v>6</v>
      </c>
      <c r="V3524">
        <v>75</v>
      </c>
      <c r="W3524">
        <v>0</v>
      </c>
      <c r="X3524">
        <v>106</v>
      </c>
      <c r="Y3524">
        <v>27</v>
      </c>
      <c r="Z3524">
        <v>2</v>
      </c>
      <c r="AB3524">
        <v>5</v>
      </c>
      <c r="AR3524">
        <v>0</v>
      </c>
      <c r="AW3524">
        <v>0</v>
      </c>
      <c r="AX3524">
        <v>3</v>
      </c>
      <c r="AY3524">
        <v>321</v>
      </c>
      <c r="AZ3524">
        <v>321</v>
      </c>
      <c r="BA3524">
        <v>385</v>
      </c>
      <c r="BB3524">
        <v>44</v>
      </c>
      <c r="BD3524">
        <v>1</v>
      </c>
      <c r="BF3524" t="s">
        <v>3768</v>
      </c>
      <c r="BG3524" s="1">
        <v>44354.080555555556</v>
      </c>
      <c r="BH3524" s="1">
        <v>44354.100995370369</v>
      </c>
      <c r="BI3524" s="1">
        <v>44354.101504629631</v>
      </c>
      <c r="BJ3524" t="s">
        <v>85</v>
      </c>
      <c r="BK3524" t="s">
        <v>86</v>
      </c>
      <c r="BL3524" t="s">
        <v>87</v>
      </c>
    </row>
    <row r="3525" spans="1:64" x14ac:dyDescent="0.3">
      <c r="A3525" t="str">
        <f>"202397B0000"</f>
        <v>202397B0000</v>
      </c>
      <c r="B3525" t="str">
        <f>"202397B00003"</f>
        <v>202397B00003</v>
      </c>
      <c r="C3525" t="str">
        <f t="shared" si="252"/>
        <v>20</v>
      </c>
      <c r="D3525" t="s">
        <v>81</v>
      </c>
      <c r="E3525" t="str">
        <f t="shared" si="255"/>
        <v>557</v>
      </c>
      <c r="F3525" t="s">
        <v>3762</v>
      </c>
      <c r="G3525" t="str">
        <f>"2397"</f>
        <v>2397</v>
      </c>
      <c r="H3525" t="str">
        <f>"0000"</f>
        <v>0000</v>
      </c>
      <c r="I3525" t="s">
        <v>83</v>
      </c>
      <c r="J3525">
        <v>0</v>
      </c>
      <c r="K3525">
        <v>1</v>
      </c>
      <c r="L3525">
        <v>3</v>
      </c>
      <c r="M3525">
        <v>146</v>
      </c>
      <c r="N3525">
        <v>360</v>
      </c>
      <c r="O3525">
        <v>2</v>
      </c>
      <c r="P3525">
        <v>358</v>
      </c>
      <c r="Q3525">
        <v>3</v>
      </c>
      <c r="R3525">
        <v>69</v>
      </c>
      <c r="S3525">
        <v>1</v>
      </c>
      <c r="T3525">
        <v>20</v>
      </c>
      <c r="U3525">
        <v>2</v>
      </c>
      <c r="V3525">
        <v>108</v>
      </c>
      <c r="W3525">
        <v>1</v>
      </c>
      <c r="X3525">
        <v>122</v>
      </c>
      <c r="Y3525">
        <v>10</v>
      </c>
      <c r="Z3525">
        <v>5</v>
      </c>
      <c r="AB3525">
        <v>4</v>
      </c>
      <c r="AR3525">
        <v>0</v>
      </c>
      <c r="AW3525">
        <v>0</v>
      </c>
      <c r="AX3525">
        <v>13</v>
      </c>
      <c r="AY3525">
        <v>358</v>
      </c>
      <c r="AZ3525">
        <v>358</v>
      </c>
      <c r="BA3525">
        <v>460</v>
      </c>
      <c r="BB3525">
        <v>44</v>
      </c>
      <c r="BD3525">
        <v>1</v>
      </c>
      <c r="BF3525" t="s">
        <v>3769</v>
      </c>
      <c r="BG3525" s="1">
        <v>44354.089583333334</v>
      </c>
      <c r="BH3525" s="1">
        <v>44354.117152777777</v>
      </c>
      <c r="BI3525" s="1">
        <v>44354.117627314816</v>
      </c>
      <c r="BJ3525" t="s">
        <v>85</v>
      </c>
      <c r="BK3525" t="s">
        <v>86</v>
      </c>
      <c r="BL3525" t="s">
        <v>87</v>
      </c>
    </row>
    <row r="3526" spans="1:64" x14ac:dyDescent="0.3">
      <c r="A3526" t="str">
        <f>"202397C0100"</f>
        <v>202397C0100</v>
      </c>
      <c r="B3526" t="str">
        <f>"202397C01003"</f>
        <v>202397C01003</v>
      </c>
      <c r="C3526" t="str">
        <f t="shared" si="252"/>
        <v>20</v>
      </c>
      <c r="D3526" t="s">
        <v>81</v>
      </c>
      <c r="E3526" t="str">
        <f t="shared" si="255"/>
        <v>557</v>
      </c>
      <c r="F3526" t="s">
        <v>3762</v>
      </c>
      <c r="G3526" t="str">
        <f>"2397"</f>
        <v>2397</v>
      </c>
      <c r="H3526" t="str">
        <f>"0001"</f>
        <v>0001</v>
      </c>
      <c r="I3526" t="s">
        <v>89</v>
      </c>
      <c r="J3526">
        <v>0</v>
      </c>
      <c r="K3526">
        <v>1</v>
      </c>
      <c r="L3526">
        <v>3</v>
      </c>
      <c r="M3526">
        <v>134</v>
      </c>
      <c r="N3526">
        <v>369</v>
      </c>
      <c r="O3526">
        <v>7</v>
      </c>
      <c r="P3526">
        <v>369</v>
      </c>
      <c r="Q3526">
        <v>4</v>
      </c>
      <c r="R3526">
        <v>74</v>
      </c>
      <c r="S3526">
        <v>0</v>
      </c>
      <c r="T3526">
        <v>13</v>
      </c>
      <c r="U3526">
        <v>3</v>
      </c>
      <c r="V3526">
        <v>121</v>
      </c>
      <c r="W3526">
        <v>2</v>
      </c>
      <c r="X3526">
        <v>128</v>
      </c>
      <c r="Y3526">
        <v>12</v>
      </c>
      <c r="Z3526">
        <v>7</v>
      </c>
      <c r="AB3526">
        <v>5</v>
      </c>
      <c r="AR3526">
        <v>0</v>
      </c>
      <c r="AW3526">
        <v>0</v>
      </c>
      <c r="AX3526">
        <v>0</v>
      </c>
      <c r="AY3526">
        <v>369</v>
      </c>
      <c r="AZ3526">
        <v>369</v>
      </c>
      <c r="BA3526">
        <v>459</v>
      </c>
      <c r="BB3526">
        <v>44</v>
      </c>
      <c r="BD3526">
        <v>1</v>
      </c>
      <c r="BF3526" t="s">
        <v>3770</v>
      </c>
      <c r="BG3526" s="1">
        <v>44353.992361111108</v>
      </c>
      <c r="BH3526" s="1">
        <v>44354.000752314816</v>
      </c>
      <c r="BI3526" s="1">
        <v>44354.002395833333</v>
      </c>
      <c r="BJ3526" t="s">
        <v>85</v>
      </c>
      <c r="BK3526" t="s">
        <v>86</v>
      </c>
      <c r="BL3526" t="s">
        <v>87</v>
      </c>
    </row>
    <row r="3527" spans="1:64" x14ac:dyDescent="0.3">
      <c r="A3527" t="str">
        <f>"202398B0000"</f>
        <v>202398B0000</v>
      </c>
      <c r="B3527" t="str">
        <f>"202398B00003"</f>
        <v>202398B00003</v>
      </c>
      <c r="C3527" t="str">
        <f t="shared" ref="C3527:C3590" si="256">"20"</f>
        <v>20</v>
      </c>
      <c r="D3527" t="s">
        <v>81</v>
      </c>
      <c r="E3527" t="str">
        <f t="shared" si="255"/>
        <v>557</v>
      </c>
      <c r="F3527" t="s">
        <v>3762</v>
      </c>
      <c r="G3527" t="str">
        <f>"2398"</f>
        <v>2398</v>
      </c>
      <c r="H3527" t="str">
        <f>"0000"</f>
        <v>0000</v>
      </c>
      <c r="I3527" t="s">
        <v>83</v>
      </c>
      <c r="J3527">
        <v>0</v>
      </c>
      <c r="K3527">
        <v>1</v>
      </c>
      <c r="L3527">
        <v>3</v>
      </c>
      <c r="M3527">
        <v>140</v>
      </c>
      <c r="N3527">
        <v>337</v>
      </c>
      <c r="O3527">
        <v>4</v>
      </c>
      <c r="P3527">
        <v>337</v>
      </c>
      <c r="Q3527">
        <v>3</v>
      </c>
      <c r="R3527">
        <v>76</v>
      </c>
      <c r="S3527">
        <v>0</v>
      </c>
      <c r="T3527">
        <v>12</v>
      </c>
      <c r="U3527">
        <v>3</v>
      </c>
      <c r="V3527">
        <v>72</v>
      </c>
      <c r="W3527">
        <v>0</v>
      </c>
      <c r="X3527">
        <v>139</v>
      </c>
      <c r="Y3527">
        <v>14</v>
      </c>
      <c r="Z3527">
        <v>1</v>
      </c>
      <c r="AB3527">
        <v>12</v>
      </c>
      <c r="AR3527">
        <v>0</v>
      </c>
      <c r="AW3527">
        <v>0</v>
      </c>
      <c r="AX3527">
        <v>5</v>
      </c>
      <c r="AY3527">
        <v>337</v>
      </c>
      <c r="AZ3527">
        <v>337</v>
      </c>
      <c r="BA3527">
        <v>433</v>
      </c>
      <c r="BB3527">
        <v>44</v>
      </c>
      <c r="BD3527">
        <v>1</v>
      </c>
      <c r="BF3527" t="s">
        <v>3771</v>
      </c>
      <c r="BG3527" s="1">
        <v>44354.038194444445</v>
      </c>
      <c r="BH3527" s="1">
        <v>44354.051111111112</v>
      </c>
      <c r="BI3527" s="1">
        <v>44354.052222222221</v>
      </c>
      <c r="BJ3527" t="s">
        <v>85</v>
      </c>
      <c r="BK3527" t="s">
        <v>86</v>
      </c>
      <c r="BL3527" t="s">
        <v>87</v>
      </c>
    </row>
    <row r="3528" spans="1:64" x14ac:dyDescent="0.3">
      <c r="A3528" t="str">
        <f>"202398C0100"</f>
        <v>202398C0100</v>
      </c>
      <c r="B3528" t="str">
        <f>"202398C01003"</f>
        <v>202398C01003</v>
      </c>
      <c r="C3528" t="str">
        <f t="shared" si="256"/>
        <v>20</v>
      </c>
      <c r="D3528" t="s">
        <v>81</v>
      </c>
      <c r="E3528" t="str">
        <f t="shared" si="255"/>
        <v>557</v>
      </c>
      <c r="F3528" t="s">
        <v>3762</v>
      </c>
      <c r="G3528" t="str">
        <f>"2398"</f>
        <v>2398</v>
      </c>
      <c r="H3528" t="str">
        <f>"0001"</f>
        <v>0001</v>
      </c>
      <c r="I3528" t="s">
        <v>89</v>
      </c>
      <c r="J3528">
        <v>0</v>
      </c>
      <c r="K3528">
        <v>1</v>
      </c>
      <c r="L3528">
        <v>3</v>
      </c>
      <c r="M3528">
        <v>131</v>
      </c>
      <c r="N3528">
        <v>346</v>
      </c>
      <c r="O3528">
        <v>3</v>
      </c>
      <c r="P3528">
        <v>346</v>
      </c>
      <c r="Q3528">
        <v>4</v>
      </c>
      <c r="R3528">
        <v>70</v>
      </c>
      <c r="S3528">
        <v>1</v>
      </c>
      <c r="T3528">
        <v>4</v>
      </c>
      <c r="U3528">
        <v>7</v>
      </c>
      <c r="V3528">
        <v>87</v>
      </c>
      <c r="W3528">
        <v>1</v>
      </c>
      <c r="X3528">
        <v>128</v>
      </c>
      <c r="Y3528">
        <v>23</v>
      </c>
      <c r="Z3528">
        <v>5</v>
      </c>
      <c r="AB3528">
        <v>7</v>
      </c>
      <c r="AR3528">
        <v>0</v>
      </c>
      <c r="AW3528">
        <v>0</v>
      </c>
      <c r="AX3528">
        <v>9</v>
      </c>
      <c r="AY3528">
        <v>346</v>
      </c>
      <c r="AZ3528">
        <v>346</v>
      </c>
      <c r="BA3528">
        <v>433</v>
      </c>
      <c r="BB3528">
        <v>44</v>
      </c>
      <c r="BD3528">
        <v>1</v>
      </c>
      <c r="BF3528" t="s">
        <v>3772</v>
      </c>
      <c r="BG3528" s="1">
        <v>44354.039583333331</v>
      </c>
      <c r="BH3528" s="1">
        <v>44354.05027777778</v>
      </c>
      <c r="BI3528" s="1">
        <v>44354.050671296296</v>
      </c>
      <c r="BJ3528" t="s">
        <v>85</v>
      </c>
      <c r="BK3528" t="s">
        <v>86</v>
      </c>
      <c r="BL3528" t="s">
        <v>87</v>
      </c>
    </row>
    <row r="3529" spans="1:64" x14ac:dyDescent="0.3">
      <c r="A3529" t="str">
        <f>"202399B0000"</f>
        <v>202399B0000</v>
      </c>
      <c r="B3529" t="str">
        <f>"202399B00003"</f>
        <v>202399B00003</v>
      </c>
      <c r="C3529" t="str">
        <f t="shared" si="256"/>
        <v>20</v>
      </c>
      <c r="D3529" t="s">
        <v>81</v>
      </c>
      <c r="E3529" t="str">
        <f t="shared" si="255"/>
        <v>557</v>
      </c>
      <c r="F3529" t="s">
        <v>3762</v>
      </c>
      <c r="G3529" t="str">
        <f>"2399"</f>
        <v>2399</v>
      </c>
      <c r="H3529" t="str">
        <f>"0000"</f>
        <v>0000</v>
      </c>
      <c r="I3529" t="s">
        <v>83</v>
      </c>
      <c r="J3529">
        <v>0</v>
      </c>
      <c r="K3529">
        <v>1</v>
      </c>
      <c r="L3529">
        <v>3</v>
      </c>
      <c r="M3529">
        <v>202</v>
      </c>
      <c r="N3529">
        <v>534</v>
      </c>
      <c r="O3529">
        <v>2</v>
      </c>
      <c r="P3529">
        <v>534</v>
      </c>
      <c r="Q3529">
        <v>12</v>
      </c>
      <c r="R3529">
        <v>84</v>
      </c>
      <c r="S3529">
        <v>1</v>
      </c>
      <c r="T3529">
        <v>10</v>
      </c>
      <c r="U3529">
        <v>23</v>
      </c>
      <c r="V3529">
        <v>99</v>
      </c>
      <c r="W3529">
        <v>0</v>
      </c>
      <c r="X3529">
        <v>220</v>
      </c>
      <c r="Y3529">
        <v>57</v>
      </c>
      <c r="Z3529">
        <v>8</v>
      </c>
      <c r="AB3529">
        <v>12</v>
      </c>
      <c r="AR3529">
        <v>0</v>
      </c>
      <c r="AW3529">
        <v>0</v>
      </c>
      <c r="AX3529">
        <v>8</v>
      </c>
      <c r="AY3529">
        <v>534</v>
      </c>
      <c r="AZ3529">
        <v>534</v>
      </c>
      <c r="BA3529">
        <v>692</v>
      </c>
      <c r="BB3529">
        <v>44</v>
      </c>
      <c r="BD3529">
        <v>1</v>
      </c>
      <c r="BF3529" t="s">
        <v>3773</v>
      </c>
      <c r="BG3529" s="1">
        <v>44354.057638888888</v>
      </c>
      <c r="BH3529" s="1">
        <v>44354.066134259258</v>
      </c>
      <c r="BI3529" s="1">
        <v>44354.06658564815</v>
      </c>
      <c r="BJ3529" t="s">
        <v>85</v>
      </c>
      <c r="BK3529" t="s">
        <v>86</v>
      </c>
      <c r="BL3529" t="s">
        <v>87</v>
      </c>
    </row>
    <row r="3530" spans="1:64" x14ac:dyDescent="0.3">
      <c r="A3530" t="str">
        <f>"202400B0000"</f>
        <v>202400B0000</v>
      </c>
      <c r="B3530" t="str">
        <f>"202400B00003"</f>
        <v>202400B00003</v>
      </c>
      <c r="C3530" t="str">
        <f t="shared" si="256"/>
        <v>20</v>
      </c>
      <c r="D3530" t="s">
        <v>81</v>
      </c>
      <c r="E3530" t="str">
        <f t="shared" si="255"/>
        <v>557</v>
      </c>
      <c r="F3530" t="s">
        <v>3762</v>
      </c>
      <c r="G3530" t="str">
        <f>"2400"</f>
        <v>2400</v>
      </c>
      <c r="H3530" t="str">
        <f>"0000"</f>
        <v>0000</v>
      </c>
      <c r="I3530" t="s">
        <v>83</v>
      </c>
      <c r="J3530">
        <v>0</v>
      </c>
      <c r="K3530">
        <v>1</v>
      </c>
      <c r="L3530">
        <v>3</v>
      </c>
      <c r="M3530">
        <v>131</v>
      </c>
      <c r="N3530">
        <v>302</v>
      </c>
      <c r="O3530">
        <v>2</v>
      </c>
      <c r="P3530">
        <v>302</v>
      </c>
      <c r="Q3530">
        <v>18</v>
      </c>
      <c r="R3530">
        <v>79</v>
      </c>
      <c r="S3530">
        <v>1</v>
      </c>
      <c r="T3530">
        <v>3</v>
      </c>
      <c r="U3530">
        <v>7</v>
      </c>
      <c r="V3530">
        <v>48</v>
      </c>
      <c r="W3530">
        <v>1</v>
      </c>
      <c r="X3530">
        <v>117</v>
      </c>
      <c r="Y3530">
        <v>17</v>
      </c>
      <c r="Z3530">
        <v>2</v>
      </c>
      <c r="AB3530">
        <v>3</v>
      </c>
      <c r="AR3530">
        <v>0</v>
      </c>
      <c r="AW3530">
        <v>0</v>
      </c>
      <c r="AX3530">
        <v>6</v>
      </c>
      <c r="AY3530">
        <v>302</v>
      </c>
      <c r="AZ3530">
        <v>302</v>
      </c>
      <c r="BA3530">
        <v>389</v>
      </c>
      <c r="BB3530">
        <v>44</v>
      </c>
      <c r="BD3530">
        <v>1</v>
      </c>
      <c r="BF3530" t="s">
        <v>3774</v>
      </c>
      <c r="BG3530" s="1">
        <v>44353.915972222225</v>
      </c>
      <c r="BH3530" s="1">
        <v>44353.98715277778</v>
      </c>
      <c r="BI3530" s="1">
        <v>44353.987719907411</v>
      </c>
      <c r="BJ3530" t="s">
        <v>85</v>
      </c>
      <c r="BK3530" t="s">
        <v>86</v>
      </c>
      <c r="BL3530" t="s">
        <v>87</v>
      </c>
    </row>
    <row r="3531" spans="1:64" x14ac:dyDescent="0.3">
      <c r="A3531" t="str">
        <f>"202400C0100"</f>
        <v>202400C0100</v>
      </c>
      <c r="B3531" t="str">
        <f>"202400C01003"</f>
        <v>202400C01003</v>
      </c>
      <c r="C3531" t="str">
        <f t="shared" si="256"/>
        <v>20</v>
      </c>
      <c r="D3531" t="s">
        <v>81</v>
      </c>
      <c r="E3531" t="str">
        <f t="shared" si="255"/>
        <v>557</v>
      </c>
      <c r="F3531" t="s">
        <v>3762</v>
      </c>
      <c r="G3531" t="str">
        <f>"2400"</f>
        <v>2400</v>
      </c>
      <c r="H3531" t="str">
        <f>"0001"</f>
        <v>0001</v>
      </c>
      <c r="I3531" t="s">
        <v>89</v>
      </c>
      <c r="J3531">
        <v>0</v>
      </c>
      <c r="K3531">
        <v>1</v>
      </c>
      <c r="L3531">
        <v>3</v>
      </c>
      <c r="M3531">
        <v>134</v>
      </c>
      <c r="N3531">
        <v>299</v>
      </c>
      <c r="O3531">
        <v>4</v>
      </c>
      <c r="P3531">
        <v>299</v>
      </c>
      <c r="Q3531">
        <v>11</v>
      </c>
      <c r="R3531">
        <v>63</v>
      </c>
      <c r="S3531">
        <v>1</v>
      </c>
      <c r="T3531">
        <v>2</v>
      </c>
      <c r="U3531">
        <v>5</v>
      </c>
      <c r="V3531">
        <v>68</v>
      </c>
      <c r="W3531">
        <v>0</v>
      </c>
      <c r="X3531">
        <v>118</v>
      </c>
      <c r="Y3531">
        <v>16</v>
      </c>
      <c r="Z3531">
        <v>4</v>
      </c>
      <c r="AB3531">
        <v>2</v>
      </c>
      <c r="AR3531">
        <v>0</v>
      </c>
      <c r="AW3531">
        <v>0</v>
      </c>
      <c r="AX3531">
        <v>9</v>
      </c>
      <c r="AY3531">
        <v>299</v>
      </c>
      <c r="AZ3531">
        <v>299</v>
      </c>
      <c r="BA3531">
        <v>389</v>
      </c>
      <c r="BB3531">
        <v>44</v>
      </c>
      <c r="BD3531">
        <v>1</v>
      </c>
      <c r="BF3531" t="s">
        <v>3775</v>
      </c>
      <c r="BG3531" s="1">
        <v>44353.96875</v>
      </c>
      <c r="BH3531" s="1">
        <v>44353.991168981483</v>
      </c>
      <c r="BI3531" s="1">
        <v>44353.991655092592</v>
      </c>
      <c r="BJ3531" t="s">
        <v>85</v>
      </c>
      <c r="BK3531" t="s">
        <v>86</v>
      </c>
      <c r="BL3531" t="s">
        <v>87</v>
      </c>
    </row>
    <row r="3532" spans="1:64" x14ac:dyDescent="0.3">
      <c r="A3532" t="str">
        <f>"202401B0000"</f>
        <v>202401B0000</v>
      </c>
      <c r="B3532" t="str">
        <f>"202401B00003"</f>
        <v>202401B00003</v>
      </c>
      <c r="C3532" t="str">
        <f t="shared" si="256"/>
        <v>20</v>
      </c>
      <c r="D3532" t="s">
        <v>81</v>
      </c>
      <c r="E3532" t="str">
        <f t="shared" si="255"/>
        <v>557</v>
      </c>
      <c r="F3532" t="s">
        <v>3762</v>
      </c>
      <c r="G3532" t="str">
        <f>"2401"</f>
        <v>2401</v>
      </c>
      <c r="H3532" t="str">
        <f>"0000"</f>
        <v>0000</v>
      </c>
      <c r="I3532" t="s">
        <v>83</v>
      </c>
      <c r="J3532">
        <v>0</v>
      </c>
      <c r="K3532">
        <v>1</v>
      </c>
      <c r="L3532">
        <v>3</v>
      </c>
      <c r="M3532">
        <v>232</v>
      </c>
      <c r="N3532">
        <v>542</v>
      </c>
      <c r="O3532">
        <v>1</v>
      </c>
      <c r="P3532">
        <v>542</v>
      </c>
      <c r="Q3532">
        <v>8</v>
      </c>
      <c r="R3532">
        <v>135</v>
      </c>
      <c r="S3532">
        <v>2</v>
      </c>
      <c r="T3532">
        <v>4</v>
      </c>
      <c r="U3532">
        <v>6</v>
      </c>
      <c r="V3532">
        <v>153</v>
      </c>
      <c r="W3532">
        <v>4</v>
      </c>
      <c r="X3532">
        <v>149</v>
      </c>
      <c r="Y3532">
        <v>44</v>
      </c>
      <c r="Z3532">
        <v>13</v>
      </c>
      <c r="AB3532">
        <v>5</v>
      </c>
      <c r="AR3532">
        <v>1</v>
      </c>
      <c r="AW3532">
        <v>0</v>
      </c>
      <c r="AX3532">
        <v>15</v>
      </c>
      <c r="AY3532">
        <v>542</v>
      </c>
      <c r="AZ3532">
        <v>539</v>
      </c>
      <c r="BA3532">
        <v>730</v>
      </c>
      <c r="BB3532">
        <v>44</v>
      </c>
      <c r="BD3532">
        <v>1</v>
      </c>
      <c r="BF3532" t="s">
        <v>3776</v>
      </c>
      <c r="BG3532" s="1">
        <v>44354.07708333333</v>
      </c>
      <c r="BH3532" s="1">
        <v>44354.10255787037</v>
      </c>
      <c r="BI3532" s="1">
        <v>44354.10460648148</v>
      </c>
      <c r="BJ3532" t="s">
        <v>85</v>
      </c>
      <c r="BK3532" t="s">
        <v>86</v>
      </c>
      <c r="BL3532" t="s">
        <v>87</v>
      </c>
    </row>
    <row r="3533" spans="1:64" x14ac:dyDescent="0.3">
      <c r="A3533" t="str">
        <f>"202401C0100"</f>
        <v>202401C0100</v>
      </c>
      <c r="B3533" t="str">
        <f>"202401C01003"</f>
        <v>202401C01003</v>
      </c>
      <c r="C3533" t="str">
        <f t="shared" si="256"/>
        <v>20</v>
      </c>
      <c r="D3533" t="s">
        <v>81</v>
      </c>
      <c r="E3533" t="str">
        <f t="shared" si="255"/>
        <v>557</v>
      </c>
      <c r="F3533" t="s">
        <v>3762</v>
      </c>
      <c r="G3533" t="str">
        <f>"2401"</f>
        <v>2401</v>
      </c>
      <c r="H3533" t="str">
        <f>"0001"</f>
        <v>0001</v>
      </c>
      <c r="I3533" t="s">
        <v>89</v>
      </c>
      <c r="J3533">
        <v>0</v>
      </c>
      <c r="K3533">
        <v>1</v>
      </c>
      <c r="L3533">
        <v>3</v>
      </c>
      <c r="M3533">
        <v>227</v>
      </c>
      <c r="N3533">
        <v>546</v>
      </c>
      <c r="O3533">
        <v>1</v>
      </c>
      <c r="P3533">
        <v>546</v>
      </c>
      <c r="Q3533">
        <v>8</v>
      </c>
      <c r="R3533">
        <v>129</v>
      </c>
      <c r="S3533">
        <v>1</v>
      </c>
      <c r="T3533">
        <v>3</v>
      </c>
      <c r="U3533">
        <v>6</v>
      </c>
      <c r="V3533">
        <v>140</v>
      </c>
      <c r="W3533">
        <v>1</v>
      </c>
      <c r="X3533">
        <v>177</v>
      </c>
      <c r="Y3533">
        <v>43</v>
      </c>
      <c r="Z3533">
        <v>18</v>
      </c>
      <c r="AB3533">
        <v>4</v>
      </c>
      <c r="AR3533">
        <v>0</v>
      </c>
      <c r="AW3533">
        <v>0</v>
      </c>
      <c r="AX3533">
        <v>16</v>
      </c>
      <c r="AY3533">
        <v>546</v>
      </c>
      <c r="AZ3533">
        <v>546</v>
      </c>
      <c r="BA3533">
        <v>729</v>
      </c>
      <c r="BB3533">
        <v>44</v>
      </c>
      <c r="BD3533">
        <v>1</v>
      </c>
      <c r="BF3533" t="s">
        <v>3777</v>
      </c>
      <c r="BG3533" s="1">
        <v>44354.075694444444</v>
      </c>
      <c r="BH3533" s="1">
        <v>44354.099699074075</v>
      </c>
      <c r="BI3533" s="1">
        <v>44354.100185185183</v>
      </c>
      <c r="BJ3533" t="s">
        <v>85</v>
      </c>
      <c r="BK3533" t="s">
        <v>86</v>
      </c>
      <c r="BL3533" t="s">
        <v>87</v>
      </c>
    </row>
    <row r="3534" spans="1:64" x14ac:dyDescent="0.3">
      <c r="A3534" t="str">
        <f>"202402B0000"</f>
        <v>202402B0000</v>
      </c>
      <c r="B3534" t="str">
        <f>"202402B00003"</f>
        <v>202402B00003</v>
      </c>
      <c r="C3534" t="str">
        <f t="shared" si="256"/>
        <v>20</v>
      </c>
      <c r="D3534" t="s">
        <v>81</v>
      </c>
      <c r="E3534" t="str">
        <f t="shared" si="255"/>
        <v>557</v>
      </c>
      <c r="F3534" t="s">
        <v>3762</v>
      </c>
      <c r="G3534" t="str">
        <f>"2402"</f>
        <v>2402</v>
      </c>
      <c r="H3534" t="str">
        <f>"0000"</f>
        <v>0000</v>
      </c>
      <c r="I3534" t="s">
        <v>83</v>
      </c>
      <c r="J3534">
        <v>0</v>
      </c>
      <c r="K3534">
        <v>1</v>
      </c>
      <c r="L3534">
        <v>3</v>
      </c>
      <c r="M3534">
        <v>8</v>
      </c>
      <c r="N3534">
        <v>427</v>
      </c>
      <c r="O3534">
        <v>1</v>
      </c>
      <c r="P3534">
        <v>427</v>
      </c>
      <c r="Q3534">
        <v>5</v>
      </c>
      <c r="R3534">
        <v>107</v>
      </c>
      <c r="S3534">
        <v>1</v>
      </c>
      <c r="T3534">
        <v>2</v>
      </c>
      <c r="U3534">
        <v>11</v>
      </c>
      <c r="V3534">
        <v>117</v>
      </c>
      <c r="W3534">
        <v>0</v>
      </c>
      <c r="X3534">
        <v>136</v>
      </c>
      <c r="Y3534">
        <v>26</v>
      </c>
      <c r="Z3534">
        <v>9</v>
      </c>
      <c r="AB3534">
        <v>5</v>
      </c>
      <c r="AR3534">
        <v>0</v>
      </c>
      <c r="AW3534">
        <v>0</v>
      </c>
      <c r="AX3534">
        <v>8</v>
      </c>
      <c r="AY3534">
        <v>427</v>
      </c>
      <c r="AZ3534">
        <v>427</v>
      </c>
      <c r="BA3534">
        <v>550</v>
      </c>
      <c r="BB3534">
        <v>44</v>
      </c>
      <c r="BD3534">
        <v>1</v>
      </c>
      <c r="BF3534" s="2" t="s">
        <v>3778</v>
      </c>
      <c r="BG3534" s="1">
        <v>44354.009722222225</v>
      </c>
      <c r="BH3534" s="1">
        <v>44354.024918981479</v>
      </c>
      <c r="BI3534" s="1">
        <v>44354.025393518517</v>
      </c>
      <c r="BJ3534" t="s">
        <v>85</v>
      </c>
      <c r="BK3534" t="s">
        <v>86</v>
      </c>
      <c r="BL3534" t="s">
        <v>87</v>
      </c>
    </row>
    <row r="3535" spans="1:64" x14ac:dyDescent="0.3">
      <c r="A3535" t="str">
        <f>"202402C0100"</f>
        <v>202402C0100</v>
      </c>
      <c r="B3535" t="str">
        <f>"202402C01003"</f>
        <v>202402C01003</v>
      </c>
      <c r="C3535" t="str">
        <f t="shared" si="256"/>
        <v>20</v>
      </c>
      <c r="D3535" t="s">
        <v>81</v>
      </c>
      <c r="E3535" t="str">
        <f t="shared" si="255"/>
        <v>557</v>
      </c>
      <c r="F3535" t="s">
        <v>3762</v>
      </c>
      <c r="G3535" t="str">
        <f>"2402"</f>
        <v>2402</v>
      </c>
      <c r="H3535" t="str">
        <f>"0001"</f>
        <v>0001</v>
      </c>
      <c r="I3535" t="s">
        <v>89</v>
      </c>
      <c r="J3535">
        <v>0</v>
      </c>
      <c r="K3535">
        <v>1</v>
      </c>
      <c r="L3535">
        <v>3</v>
      </c>
      <c r="M3535">
        <v>170</v>
      </c>
      <c r="N3535">
        <v>424</v>
      </c>
      <c r="O3535">
        <v>1</v>
      </c>
      <c r="P3535">
        <v>424</v>
      </c>
      <c r="Q3535">
        <v>7</v>
      </c>
      <c r="R3535">
        <v>130</v>
      </c>
      <c r="S3535">
        <v>1</v>
      </c>
      <c r="T3535">
        <v>4</v>
      </c>
      <c r="U3535">
        <v>8</v>
      </c>
      <c r="V3535">
        <v>97</v>
      </c>
      <c r="W3535">
        <v>0</v>
      </c>
      <c r="X3535">
        <v>129</v>
      </c>
      <c r="Y3535">
        <v>27</v>
      </c>
      <c r="Z3535">
        <v>12</v>
      </c>
      <c r="AB3535">
        <v>3</v>
      </c>
      <c r="AR3535">
        <v>0</v>
      </c>
      <c r="AW3535">
        <v>0</v>
      </c>
      <c r="AX3535">
        <v>6</v>
      </c>
      <c r="AY3535">
        <v>424</v>
      </c>
      <c r="AZ3535">
        <v>424</v>
      </c>
      <c r="BA3535">
        <v>550</v>
      </c>
      <c r="BB3535">
        <v>44</v>
      </c>
      <c r="BD3535">
        <v>1</v>
      </c>
      <c r="BF3535" t="s">
        <v>3779</v>
      </c>
      <c r="BG3535" s="1">
        <v>44354.008333333331</v>
      </c>
      <c r="BH3535" s="1">
        <v>44354.03025462963</v>
      </c>
      <c r="BI3535" s="1">
        <v>44354.030624999999</v>
      </c>
      <c r="BJ3535" t="s">
        <v>85</v>
      </c>
      <c r="BK3535" t="s">
        <v>86</v>
      </c>
      <c r="BL3535" t="s">
        <v>87</v>
      </c>
    </row>
    <row r="3536" spans="1:64" x14ac:dyDescent="0.3">
      <c r="A3536" t="str">
        <f>"202402C0200"</f>
        <v>202402C0200</v>
      </c>
      <c r="B3536" t="str">
        <f>"202402C02003"</f>
        <v>202402C02003</v>
      </c>
      <c r="C3536" t="str">
        <f t="shared" si="256"/>
        <v>20</v>
      </c>
      <c r="D3536" t="s">
        <v>81</v>
      </c>
      <c r="E3536" t="str">
        <f t="shared" si="255"/>
        <v>557</v>
      </c>
      <c r="F3536" t="s">
        <v>3762</v>
      </c>
      <c r="G3536" t="str">
        <f>"2402"</f>
        <v>2402</v>
      </c>
      <c r="H3536" t="str">
        <f>"0002"</f>
        <v>0002</v>
      </c>
      <c r="I3536" t="s">
        <v>89</v>
      </c>
      <c r="J3536">
        <v>0</v>
      </c>
      <c r="K3536">
        <v>1</v>
      </c>
      <c r="L3536">
        <v>3</v>
      </c>
      <c r="M3536">
        <v>156</v>
      </c>
      <c r="N3536">
        <v>438</v>
      </c>
      <c r="O3536">
        <v>1</v>
      </c>
      <c r="P3536">
        <v>438</v>
      </c>
      <c r="Q3536">
        <v>1</v>
      </c>
      <c r="R3536">
        <v>117</v>
      </c>
      <c r="S3536">
        <v>2</v>
      </c>
      <c r="T3536">
        <v>3</v>
      </c>
      <c r="U3536">
        <v>2</v>
      </c>
      <c r="V3536">
        <v>90</v>
      </c>
      <c r="W3536">
        <v>1</v>
      </c>
      <c r="X3536">
        <v>184</v>
      </c>
      <c r="Y3536">
        <v>13</v>
      </c>
      <c r="Z3536">
        <v>7</v>
      </c>
      <c r="AB3536">
        <v>12</v>
      </c>
      <c r="AR3536" t="s">
        <v>95</v>
      </c>
      <c r="AW3536" t="s">
        <v>95</v>
      </c>
      <c r="AX3536">
        <v>6</v>
      </c>
      <c r="AY3536">
        <v>438</v>
      </c>
      <c r="AZ3536">
        <v>438</v>
      </c>
      <c r="BA3536">
        <v>550</v>
      </c>
      <c r="BB3536">
        <v>44</v>
      </c>
      <c r="BC3536" t="s">
        <v>96</v>
      </c>
      <c r="BD3536">
        <v>1</v>
      </c>
      <c r="BF3536" t="s">
        <v>3780</v>
      </c>
      <c r="BG3536" s="1">
        <v>44354.006249999999</v>
      </c>
      <c r="BH3536" s="1">
        <v>44354.031446759262</v>
      </c>
      <c r="BI3536" s="1">
        <v>44354.031944444447</v>
      </c>
      <c r="BJ3536" t="s">
        <v>85</v>
      </c>
      <c r="BK3536" t="s">
        <v>86</v>
      </c>
      <c r="BL3536" t="s">
        <v>87</v>
      </c>
    </row>
    <row r="3537" spans="1:64" x14ac:dyDescent="0.3">
      <c r="A3537" t="str">
        <f>"202403B0000"</f>
        <v>202403B0000</v>
      </c>
      <c r="B3537" t="str">
        <f>"202403B00003"</f>
        <v>202403B00003</v>
      </c>
      <c r="C3537" t="str">
        <f t="shared" si="256"/>
        <v>20</v>
      </c>
      <c r="D3537" t="s">
        <v>81</v>
      </c>
      <c r="E3537" t="str">
        <f t="shared" si="255"/>
        <v>557</v>
      </c>
      <c r="F3537" t="s">
        <v>3762</v>
      </c>
      <c r="G3537" t="str">
        <f>"2403"</f>
        <v>2403</v>
      </c>
      <c r="H3537" t="str">
        <f>"0000"</f>
        <v>0000</v>
      </c>
      <c r="I3537" t="s">
        <v>83</v>
      </c>
      <c r="J3537">
        <v>0</v>
      </c>
      <c r="K3537">
        <v>1</v>
      </c>
      <c r="L3537">
        <v>3</v>
      </c>
      <c r="M3537">
        <v>180</v>
      </c>
      <c r="N3537">
        <v>440</v>
      </c>
      <c r="O3537">
        <v>3</v>
      </c>
      <c r="P3537">
        <v>440</v>
      </c>
      <c r="Q3537">
        <v>9</v>
      </c>
      <c r="R3537">
        <v>105</v>
      </c>
      <c r="S3537">
        <v>2</v>
      </c>
      <c r="T3537">
        <v>13</v>
      </c>
      <c r="U3537">
        <v>14</v>
      </c>
      <c r="V3537">
        <v>69</v>
      </c>
      <c r="W3537">
        <v>0</v>
      </c>
      <c r="X3537">
        <v>162</v>
      </c>
      <c r="Y3537">
        <v>43</v>
      </c>
      <c r="Z3537">
        <v>8</v>
      </c>
      <c r="AB3537">
        <v>8</v>
      </c>
      <c r="AR3537">
        <v>0</v>
      </c>
      <c r="AW3537">
        <v>0</v>
      </c>
      <c r="AX3537">
        <v>7</v>
      </c>
      <c r="AY3537">
        <v>440</v>
      </c>
      <c r="AZ3537">
        <v>440</v>
      </c>
      <c r="BA3537">
        <v>576</v>
      </c>
      <c r="BB3537">
        <v>44</v>
      </c>
      <c r="BD3537">
        <v>1</v>
      </c>
      <c r="BF3537" t="s">
        <v>3781</v>
      </c>
      <c r="BG3537" s="1">
        <v>44354</v>
      </c>
      <c r="BH3537" s="1">
        <v>44354.025949074072</v>
      </c>
      <c r="BI3537" s="1">
        <v>44354.027245370373</v>
      </c>
      <c r="BJ3537" t="s">
        <v>85</v>
      </c>
      <c r="BK3537" t="s">
        <v>86</v>
      </c>
      <c r="BL3537" t="s">
        <v>87</v>
      </c>
    </row>
    <row r="3538" spans="1:64" x14ac:dyDescent="0.3">
      <c r="A3538" t="str">
        <f>"202403C0100"</f>
        <v>202403C0100</v>
      </c>
      <c r="B3538" t="str">
        <f>"202403C01003"</f>
        <v>202403C01003</v>
      </c>
      <c r="C3538" t="str">
        <f t="shared" si="256"/>
        <v>20</v>
      </c>
      <c r="D3538" t="s">
        <v>81</v>
      </c>
      <c r="E3538" t="str">
        <f t="shared" si="255"/>
        <v>557</v>
      </c>
      <c r="F3538" t="s">
        <v>3762</v>
      </c>
      <c r="G3538" t="str">
        <f>"2403"</f>
        <v>2403</v>
      </c>
      <c r="H3538" t="str">
        <f>"0001"</f>
        <v>0001</v>
      </c>
      <c r="I3538" t="s">
        <v>89</v>
      </c>
      <c r="J3538">
        <v>0</v>
      </c>
      <c r="K3538">
        <v>1</v>
      </c>
      <c r="L3538">
        <v>3</v>
      </c>
      <c r="M3538">
        <v>155</v>
      </c>
      <c r="N3538">
        <v>464</v>
      </c>
      <c r="O3538">
        <v>7</v>
      </c>
      <c r="P3538">
        <v>464</v>
      </c>
      <c r="Q3538">
        <v>9</v>
      </c>
      <c r="R3538">
        <v>115</v>
      </c>
      <c r="S3538">
        <v>0</v>
      </c>
      <c r="T3538">
        <v>8</v>
      </c>
      <c r="U3538">
        <v>3</v>
      </c>
      <c r="V3538">
        <v>99</v>
      </c>
      <c r="W3538">
        <v>0</v>
      </c>
      <c r="X3538">
        <v>185</v>
      </c>
      <c r="Y3538">
        <v>36</v>
      </c>
      <c r="Z3538">
        <v>5</v>
      </c>
      <c r="AB3538">
        <v>1</v>
      </c>
      <c r="AR3538">
        <v>0</v>
      </c>
      <c r="AW3538">
        <v>0</v>
      </c>
      <c r="AX3538">
        <v>3</v>
      </c>
      <c r="AY3538">
        <v>464</v>
      </c>
      <c r="AZ3538">
        <v>464</v>
      </c>
      <c r="BA3538">
        <v>575</v>
      </c>
      <c r="BB3538">
        <v>44</v>
      </c>
      <c r="BD3538">
        <v>1</v>
      </c>
      <c r="BF3538" t="s">
        <v>3782</v>
      </c>
      <c r="BG3538" s="1">
        <v>44354.000694444447</v>
      </c>
      <c r="BH3538" s="1">
        <v>44354.022939814815</v>
      </c>
      <c r="BI3538" s="1">
        <v>44354.0233912037</v>
      </c>
      <c r="BJ3538" t="s">
        <v>85</v>
      </c>
      <c r="BK3538" t="s">
        <v>86</v>
      </c>
      <c r="BL3538" t="s">
        <v>87</v>
      </c>
    </row>
    <row r="3539" spans="1:64" x14ac:dyDescent="0.3">
      <c r="A3539" t="str">
        <f>"202404B0000"</f>
        <v>202404B0000</v>
      </c>
      <c r="B3539" t="str">
        <f>"202404B00003"</f>
        <v>202404B00003</v>
      </c>
      <c r="C3539" t="str">
        <f t="shared" si="256"/>
        <v>20</v>
      </c>
      <c r="D3539" t="s">
        <v>81</v>
      </c>
      <c r="E3539" t="str">
        <f t="shared" si="255"/>
        <v>557</v>
      </c>
      <c r="F3539" t="s">
        <v>3762</v>
      </c>
      <c r="G3539" t="str">
        <f>"2404"</f>
        <v>2404</v>
      </c>
      <c r="H3539" t="str">
        <f>"0000"</f>
        <v>0000</v>
      </c>
      <c r="I3539" t="s">
        <v>83</v>
      </c>
      <c r="J3539">
        <v>0</v>
      </c>
      <c r="K3539">
        <v>1</v>
      </c>
      <c r="L3539">
        <v>3</v>
      </c>
      <c r="M3539">
        <v>142</v>
      </c>
      <c r="N3539">
        <v>355</v>
      </c>
      <c r="O3539">
        <v>1</v>
      </c>
      <c r="P3539">
        <v>355</v>
      </c>
      <c r="Q3539">
        <v>8</v>
      </c>
      <c r="R3539">
        <v>94</v>
      </c>
      <c r="S3539">
        <v>0</v>
      </c>
      <c r="T3539">
        <v>1</v>
      </c>
      <c r="U3539">
        <v>8</v>
      </c>
      <c r="V3539">
        <v>83</v>
      </c>
      <c r="W3539">
        <v>4</v>
      </c>
      <c r="X3539">
        <v>129</v>
      </c>
      <c r="Y3539">
        <v>12</v>
      </c>
      <c r="Z3539">
        <v>4</v>
      </c>
      <c r="AB3539">
        <v>5</v>
      </c>
      <c r="AR3539">
        <v>0</v>
      </c>
      <c r="AW3539">
        <v>0</v>
      </c>
      <c r="AX3539">
        <v>7</v>
      </c>
      <c r="AY3539">
        <v>355</v>
      </c>
      <c r="AZ3539">
        <v>355</v>
      </c>
      <c r="BA3539">
        <v>453</v>
      </c>
      <c r="BB3539">
        <v>44</v>
      </c>
      <c r="BD3539">
        <v>1</v>
      </c>
      <c r="BF3539" t="s">
        <v>3783</v>
      </c>
      <c r="BG3539" s="1">
        <v>44353.98333333333</v>
      </c>
      <c r="BH3539" s="1">
        <v>44353.992106481484</v>
      </c>
      <c r="BI3539" s="1">
        <v>44353.992881944447</v>
      </c>
      <c r="BJ3539" t="s">
        <v>85</v>
      </c>
      <c r="BK3539" t="s">
        <v>86</v>
      </c>
      <c r="BL3539" t="s">
        <v>87</v>
      </c>
    </row>
    <row r="3540" spans="1:64" x14ac:dyDescent="0.3">
      <c r="A3540" t="str">
        <f>"202404C0100"</f>
        <v>202404C0100</v>
      </c>
      <c r="B3540" t="str">
        <f>"202404C01003"</f>
        <v>202404C01003</v>
      </c>
      <c r="C3540" t="str">
        <f t="shared" si="256"/>
        <v>20</v>
      </c>
      <c r="D3540" t="s">
        <v>81</v>
      </c>
      <c r="E3540" t="str">
        <f t="shared" si="255"/>
        <v>557</v>
      </c>
      <c r="F3540" t="s">
        <v>3762</v>
      </c>
      <c r="G3540" t="str">
        <f>"2404"</f>
        <v>2404</v>
      </c>
      <c r="H3540" t="str">
        <f>"0001"</f>
        <v>0001</v>
      </c>
      <c r="I3540" t="s">
        <v>89</v>
      </c>
      <c r="J3540">
        <v>0</v>
      </c>
      <c r="K3540">
        <v>1</v>
      </c>
      <c r="L3540">
        <v>3</v>
      </c>
      <c r="M3540">
        <v>136</v>
      </c>
      <c r="N3540">
        <v>360</v>
      </c>
      <c r="O3540">
        <v>2</v>
      </c>
      <c r="P3540">
        <v>360</v>
      </c>
      <c r="Q3540">
        <v>6</v>
      </c>
      <c r="R3540">
        <v>85</v>
      </c>
      <c r="S3540">
        <v>1</v>
      </c>
      <c r="T3540">
        <v>7</v>
      </c>
      <c r="U3540">
        <v>20</v>
      </c>
      <c r="V3540">
        <v>64</v>
      </c>
      <c r="W3540">
        <v>0</v>
      </c>
      <c r="X3540">
        <v>143</v>
      </c>
      <c r="Y3540">
        <v>26</v>
      </c>
      <c r="Z3540">
        <v>4</v>
      </c>
      <c r="AB3540">
        <v>2</v>
      </c>
      <c r="AR3540">
        <v>0</v>
      </c>
      <c r="AW3540">
        <v>0</v>
      </c>
      <c r="AX3540">
        <v>2</v>
      </c>
      <c r="AY3540">
        <v>360</v>
      </c>
      <c r="AZ3540">
        <v>360</v>
      </c>
      <c r="BA3540">
        <v>452</v>
      </c>
      <c r="BB3540">
        <v>44</v>
      </c>
      <c r="BD3540">
        <v>1</v>
      </c>
      <c r="BF3540" t="s">
        <v>3784</v>
      </c>
      <c r="BG3540" s="1">
        <v>44353.98333333333</v>
      </c>
      <c r="BH3540" s="1">
        <v>44353.992974537039</v>
      </c>
      <c r="BI3540" s="1">
        <v>44353.993784722225</v>
      </c>
      <c r="BJ3540" t="s">
        <v>85</v>
      </c>
      <c r="BK3540" t="s">
        <v>86</v>
      </c>
      <c r="BL3540" t="s">
        <v>87</v>
      </c>
    </row>
    <row r="3541" spans="1:64" x14ac:dyDescent="0.3">
      <c r="A3541" t="str">
        <f>"202405B0000"</f>
        <v>202405B0000</v>
      </c>
      <c r="B3541" t="str">
        <f>"202405B00003"</f>
        <v>202405B00003</v>
      </c>
      <c r="C3541" t="str">
        <f t="shared" si="256"/>
        <v>20</v>
      </c>
      <c r="D3541" t="s">
        <v>81</v>
      </c>
      <c r="E3541" t="str">
        <f>"558"</f>
        <v>558</v>
      </c>
      <c r="F3541" t="s">
        <v>3785</v>
      </c>
      <c r="G3541" t="str">
        <f>"2405"</f>
        <v>2405</v>
      </c>
      <c r="H3541" t="str">
        <f>"0000"</f>
        <v>0000</v>
      </c>
      <c r="I3541" t="s">
        <v>83</v>
      </c>
      <c r="J3541">
        <v>0</v>
      </c>
      <c r="K3541">
        <v>1</v>
      </c>
      <c r="L3541">
        <v>3</v>
      </c>
      <c r="M3541">
        <v>163</v>
      </c>
      <c r="N3541">
        <v>592</v>
      </c>
      <c r="O3541">
        <v>0</v>
      </c>
      <c r="P3541">
        <v>592</v>
      </c>
      <c r="Q3541">
        <v>0</v>
      </c>
      <c r="R3541">
        <v>1</v>
      </c>
      <c r="S3541">
        <v>0</v>
      </c>
      <c r="T3541">
        <v>1</v>
      </c>
      <c r="U3541">
        <v>0</v>
      </c>
      <c r="W3541">
        <v>312</v>
      </c>
      <c r="X3541">
        <v>254</v>
      </c>
      <c r="Y3541">
        <v>11</v>
      </c>
      <c r="Z3541">
        <v>2</v>
      </c>
      <c r="AA3541">
        <v>1</v>
      </c>
      <c r="AF3541">
        <v>0</v>
      </c>
      <c r="AG3541">
        <v>0</v>
      </c>
      <c r="AH3541">
        <v>0</v>
      </c>
      <c r="AI3541">
        <v>0</v>
      </c>
      <c r="AV3541">
        <v>0</v>
      </c>
      <c r="AW3541">
        <v>0</v>
      </c>
      <c r="AX3541">
        <v>9</v>
      </c>
      <c r="AY3541" t="s">
        <v>95</v>
      </c>
      <c r="AZ3541">
        <v>591</v>
      </c>
      <c r="BA3541">
        <v>711</v>
      </c>
      <c r="BB3541">
        <v>44</v>
      </c>
      <c r="BD3541">
        <v>1</v>
      </c>
      <c r="BF3541" t="s">
        <v>3786</v>
      </c>
      <c r="BG3541" s="1">
        <v>44353.925405092596</v>
      </c>
      <c r="BH3541" s="1">
        <v>44353.927199074074</v>
      </c>
      <c r="BI3541" s="1">
        <v>44353.927847222221</v>
      </c>
      <c r="BJ3541" t="s">
        <v>197</v>
      </c>
      <c r="BK3541" t="s">
        <v>198</v>
      </c>
      <c r="BL3541" t="s">
        <v>87</v>
      </c>
    </row>
    <row r="3542" spans="1:64" x14ac:dyDescent="0.3">
      <c r="A3542" t="str">
        <f>"202406B0000"</f>
        <v>202406B0000</v>
      </c>
      <c r="B3542" t="str">
        <f>"202406B00003"</f>
        <v>202406B00003</v>
      </c>
      <c r="C3542" t="str">
        <f t="shared" si="256"/>
        <v>20</v>
      </c>
      <c r="D3542" t="s">
        <v>81</v>
      </c>
      <c r="E3542" t="str">
        <f>"558"</f>
        <v>558</v>
      </c>
      <c r="F3542" t="s">
        <v>3785</v>
      </c>
      <c r="G3542" t="str">
        <f>"2406"</f>
        <v>2406</v>
      </c>
      <c r="H3542" t="str">
        <f>"0000"</f>
        <v>0000</v>
      </c>
      <c r="I3542" t="s">
        <v>83</v>
      </c>
      <c r="J3542">
        <v>0</v>
      </c>
      <c r="K3542">
        <v>1</v>
      </c>
      <c r="L3542">
        <v>3</v>
      </c>
      <c r="M3542">
        <v>148</v>
      </c>
      <c r="N3542">
        <v>405</v>
      </c>
      <c r="O3542">
        <v>4</v>
      </c>
      <c r="P3542">
        <v>405</v>
      </c>
      <c r="Q3542">
        <v>0</v>
      </c>
      <c r="R3542">
        <v>1</v>
      </c>
      <c r="S3542">
        <v>3</v>
      </c>
      <c r="T3542">
        <v>4</v>
      </c>
      <c r="U3542">
        <v>2</v>
      </c>
      <c r="W3542">
        <v>191</v>
      </c>
      <c r="X3542">
        <v>170</v>
      </c>
      <c r="Y3542">
        <v>12</v>
      </c>
      <c r="Z3542">
        <v>0</v>
      </c>
      <c r="AA3542">
        <v>4</v>
      </c>
      <c r="AF3542">
        <v>0</v>
      </c>
      <c r="AG3542">
        <v>0</v>
      </c>
      <c r="AH3542">
        <v>0</v>
      </c>
      <c r="AI3542">
        <v>0</v>
      </c>
      <c r="AV3542">
        <v>0</v>
      </c>
      <c r="AW3542">
        <v>0</v>
      </c>
      <c r="AX3542">
        <v>18</v>
      </c>
      <c r="AY3542">
        <v>405</v>
      </c>
      <c r="AZ3542">
        <v>405</v>
      </c>
      <c r="BA3542">
        <v>509</v>
      </c>
      <c r="BB3542">
        <v>44</v>
      </c>
      <c r="BD3542">
        <v>1</v>
      </c>
      <c r="BF3542" t="s">
        <v>3787</v>
      </c>
      <c r="BG3542" s="1">
        <v>44353.990601851852</v>
      </c>
      <c r="BH3542" s="1">
        <v>44353.994155092594</v>
      </c>
      <c r="BI3542" s="1">
        <v>44353.994849537034</v>
      </c>
      <c r="BJ3542" t="s">
        <v>197</v>
      </c>
      <c r="BK3542" t="s">
        <v>198</v>
      </c>
      <c r="BL3542" t="s">
        <v>87</v>
      </c>
    </row>
    <row r="3543" spans="1:64" x14ac:dyDescent="0.3">
      <c r="A3543" t="str">
        <f>"202408B0000"</f>
        <v>202408B0000</v>
      </c>
      <c r="B3543" t="str">
        <f>"202408B00003"</f>
        <v>202408B00003</v>
      </c>
      <c r="C3543" t="str">
        <f t="shared" si="256"/>
        <v>20</v>
      </c>
      <c r="D3543" t="s">
        <v>81</v>
      </c>
      <c r="E3543" t="str">
        <f t="shared" ref="E3543:E3556" si="257">"560"</f>
        <v>560</v>
      </c>
      <c r="F3543" t="s">
        <v>3788</v>
      </c>
      <c r="G3543" t="str">
        <f>"2408"</f>
        <v>2408</v>
      </c>
      <c r="H3543" t="str">
        <f>"0000"</f>
        <v>0000</v>
      </c>
      <c r="I3543" t="s">
        <v>83</v>
      </c>
      <c r="J3543">
        <v>0</v>
      </c>
      <c r="K3543">
        <v>1</v>
      </c>
      <c r="L3543">
        <v>3</v>
      </c>
      <c r="M3543">
        <v>322</v>
      </c>
      <c r="N3543">
        <v>443</v>
      </c>
      <c r="O3543">
        <v>0</v>
      </c>
      <c r="P3543">
        <v>443</v>
      </c>
      <c r="Q3543">
        <v>4</v>
      </c>
      <c r="R3543">
        <v>120</v>
      </c>
      <c r="S3543">
        <v>4</v>
      </c>
      <c r="T3543">
        <v>75</v>
      </c>
      <c r="U3543">
        <v>11</v>
      </c>
      <c r="V3543">
        <v>24</v>
      </c>
      <c r="W3543">
        <v>0</v>
      </c>
      <c r="X3543">
        <v>159</v>
      </c>
      <c r="Y3543">
        <v>18</v>
      </c>
      <c r="Z3543">
        <v>1</v>
      </c>
      <c r="AA3543">
        <v>9</v>
      </c>
      <c r="AB3543">
        <v>9</v>
      </c>
      <c r="AP3543">
        <v>0</v>
      </c>
      <c r="AW3543">
        <v>0</v>
      </c>
      <c r="AX3543">
        <v>9</v>
      </c>
      <c r="AY3543">
        <v>443</v>
      </c>
      <c r="AZ3543">
        <v>443</v>
      </c>
      <c r="BA3543">
        <v>721</v>
      </c>
      <c r="BB3543">
        <v>44</v>
      </c>
      <c r="BD3543">
        <v>1</v>
      </c>
      <c r="BF3543" t="s">
        <v>3789</v>
      </c>
      <c r="BG3543" s="1">
        <v>44354.168055555558</v>
      </c>
      <c r="BH3543" s="1">
        <v>44354.173472222225</v>
      </c>
      <c r="BI3543" s="1">
        <v>44354.174826388888</v>
      </c>
      <c r="BJ3543" t="s">
        <v>85</v>
      </c>
      <c r="BK3543" t="s">
        <v>86</v>
      </c>
      <c r="BL3543" t="s">
        <v>87</v>
      </c>
    </row>
    <row r="3544" spans="1:64" x14ac:dyDescent="0.3">
      <c r="A3544" t="str">
        <f>"202408C0100"</f>
        <v>202408C0100</v>
      </c>
      <c r="B3544" t="str">
        <f>"202408C01003"</f>
        <v>202408C01003</v>
      </c>
      <c r="C3544" t="str">
        <f t="shared" si="256"/>
        <v>20</v>
      </c>
      <c r="D3544" t="s">
        <v>81</v>
      </c>
      <c r="E3544" t="str">
        <f t="shared" si="257"/>
        <v>560</v>
      </c>
      <c r="F3544" t="s">
        <v>3788</v>
      </c>
      <c r="G3544" t="str">
        <f>"2408"</f>
        <v>2408</v>
      </c>
      <c r="H3544" t="str">
        <f>"0001"</f>
        <v>0001</v>
      </c>
      <c r="I3544" t="s">
        <v>89</v>
      </c>
      <c r="J3544">
        <v>0</v>
      </c>
      <c r="K3544">
        <v>1</v>
      </c>
      <c r="L3544">
        <v>3</v>
      </c>
      <c r="M3544">
        <v>318</v>
      </c>
      <c r="N3544">
        <v>447</v>
      </c>
      <c r="O3544">
        <v>6</v>
      </c>
      <c r="P3544">
        <v>447</v>
      </c>
      <c r="Q3544">
        <v>3</v>
      </c>
      <c r="R3544">
        <v>114</v>
      </c>
      <c r="S3544">
        <v>0</v>
      </c>
      <c r="T3544">
        <v>88</v>
      </c>
      <c r="U3544">
        <v>10</v>
      </c>
      <c r="V3544">
        <v>35</v>
      </c>
      <c r="W3544">
        <v>6</v>
      </c>
      <c r="X3544">
        <v>104</v>
      </c>
      <c r="Y3544">
        <v>37</v>
      </c>
      <c r="Z3544">
        <v>2</v>
      </c>
      <c r="AA3544">
        <v>12</v>
      </c>
      <c r="AB3544">
        <v>28</v>
      </c>
      <c r="AP3544">
        <v>0</v>
      </c>
      <c r="AW3544">
        <v>0</v>
      </c>
      <c r="AX3544">
        <v>8</v>
      </c>
      <c r="AY3544">
        <v>447</v>
      </c>
      <c r="AZ3544">
        <v>447</v>
      </c>
      <c r="BA3544">
        <v>721</v>
      </c>
      <c r="BB3544">
        <v>44</v>
      </c>
      <c r="BD3544">
        <v>1</v>
      </c>
      <c r="BF3544" t="s">
        <v>3790</v>
      </c>
      <c r="BG3544" s="1">
        <v>44354.168749999997</v>
      </c>
      <c r="BH3544" s="1">
        <v>44354.172164351854</v>
      </c>
      <c r="BI3544" s="1">
        <v>44354.172731481478</v>
      </c>
      <c r="BJ3544" t="s">
        <v>85</v>
      </c>
      <c r="BK3544" t="s">
        <v>86</v>
      </c>
      <c r="BL3544" t="s">
        <v>87</v>
      </c>
    </row>
    <row r="3545" spans="1:64" x14ac:dyDescent="0.3">
      <c r="A3545" t="str">
        <f>"202409B0000"</f>
        <v>202409B0000</v>
      </c>
      <c r="B3545" t="str">
        <f>"202409B00003"</f>
        <v>202409B00003</v>
      </c>
      <c r="C3545" t="str">
        <f t="shared" si="256"/>
        <v>20</v>
      </c>
      <c r="D3545" t="s">
        <v>81</v>
      </c>
      <c r="E3545" t="str">
        <f t="shared" si="257"/>
        <v>560</v>
      </c>
      <c r="F3545" t="s">
        <v>3788</v>
      </c>
      <c r="G3545" t="str">
        <f>"2409"</f>
        <v>2409</v>
      </c>
      <c r="H3545" t="str">
        <f>"0000"</f>
        <v>0000</v>
      </c>
      <c r="I3545" t="s">
        <v>83</v>
      </c>
      <c r="J3545">
        <v>0</v>
      </c>
      <c r="K3545">
        <v>1</v>
      </c>
      <c r="L3545">
        <v>3</v>
      </c>
      <c r="M3545">
        <v>255</v>
      </c>
      <c r="N3545">
        <v>345</v>
      </c>
      <c r="O3545">
        <v>4</v>
      </c>
      <c r="P3545">
        <v>348</v>
      </c>
      <c r="Q3545">
        <v>1</v>
      </c>
      <c r="R3545">
        <v>120</v>
      </c>
      <c r="S3545">
        <v>0</v>
      </c>
      <c r="T3545">
        <v>48</v>
      </c>
      <c r="U3545">
        <v>7</v>
      </c>
      <c r="V3545">
        <v>17</v>
      </c>
      <c r="W3545">
        <v>0</v>
      </c>
      <c r="X3545">
        <v>85</v>
      </c>
      <c r="Y3545">
        <v>24</v>
      </c>
      <c r="Z3545">
        <v>3</v>
      </c>
      <c r="AA3545">
        <v>5</v>
      </c>
      <c r="AB3545">
        <v>27</v>
      </c>
      <c r="AP3545" t="s">
        <v>95</v>
      </c>
      <c r="AW3545" t="s">
        <v>95</v>
      </c>
      <c r="AX3545">
        <v>10</v>
      </c>
      <c r="AY3545" t="s">
        <v>95</v>
      </c>
      <c r="AZ3545">
        <v>347</v>
      </c>
      <c r="BA3545">
        <v>556</v>
      </c>
      <c r="BB3545">
        <v>44</v>
      </c>
      <c r="BC3545" t="s">
        <v>96</v>
      </c>
      <c r="BD3545">
        <v>1</v>
      </c>
      <c r="BF3545" t="s">
        <v>3791</v>
      </c>
      <c r="BG3545" s="1">
        <v>44354.147222222222</v>
      </c>
      <c r="BH3545" s="1">
        <v>44354.149710648147</v>
      </c>
      <c r="BI3545" s="1">
        <v>44354.150266203702</v>
      </c>
      <c r="BJ3545" t="s">
        <v>85</v>
      </c>
      <c r="BK3545" t="s">
        <v>86</v>
      </c>
      <c r="BL3545" t="s">
        <v>87</v>
      </c>
    </row>
    <row r="3546" spans="1:64" x14ac:dyDescent="0.3">
      <c r="A3546" t="str">
        <f>"202409C0100"</f>
        <v>202409C0100</v>
      </c>
      <c r="B3546" t="str">
        <f>"202409C01003"</f>
        <v>202409C01003</v>
      </c>
      <c r="C3546" t="str">
        <f t="shared" si="256"/>
        <v>20</v>
      </c>
      <c r="D3546" t="s">
        <v>81</v>
      </c>
      <c r="E3546" t="str">
        <f t="shared" si="257"/>
        <v>560</v>
      </c>
      <c r="F3546" t="s">
        <v>3788</v>
      </c>
      <c r="G3546" t="str">
        <f>"2409"</f>
        <v>2409</v>
      </c>
      <c r="H3546" t="str">
        <f>"0001"</f>
        <v>0001</v>
      </c>
      <c r="I3546" t="s">
        <v>89</v>
      </c>
      <c r="J3546">
        <v>0</v>
      </c>
      <c r="K3546">
        <v>1</v>
      </c>
      <c r="L3546">
        <v>3</v>
      </c>
      <c r="M3546">
        <v>689</v>
      </c>
      <c r="N3546">
        <v>368</v>
      </c>
      <c r="O3546">
        <v>1</v>
      </c>
      <c r="P3546">
        <v>367</v>
      </c>
      <c r="Q3546">
        <v>4</v>
      </c>
      <c r="R3546">
        <v>107</v>
      </c>
      <c r="S3546">
        <v>0</v>
      </c>
      <c r="T3546">
        <v>74</v>
      </c>
      <c r="U3546">
        <v>4</v>
      </c>
      <c r="V3546">
        <v>8</v>
      </c>
      <c r="W3546">
        <v>3</v>
      </c>
      <c r="X3546">
        <v>119</v>
      </c>
      <c r="Y3546">
        <v>10</v>
      </c>
      <c r="Z3546">
        <v>3</v>
      </c>
      <c r="AA3546">
        <v>7</v>
      </c>
      <c r="AB3546">
        <v>20</v>
      </c>
      <c r="AP3546" t="s">
        <v>95</v>
      </c>
      <c r="AW3546" t="s">
        <v>95</v>
      </c>
      <c r="AX3546">
        <v>8</v>
      </c>
      <c r="AY3546">
        <v>367</v>
      </c>
      <c r="AZ3546">
        <v>367</v>
      </c>
      <c r="BA3546">
        <v>555</v>
      </c>
      <c r="BB3546">
        <v>44</v>
      </c>
      <c r="BC3546" t="s">
        <v>96</v>
      </c>
      <c r="BD3546">
        <v>1</v>
      </c>
      <c r="BF3546" t="s">
        <v>3792</v>
      </c>
      <c r="BG3546" s="1">
        <v>44354.145833333336</v>
      </c>
      <c r="BH3546" s="1">
        <v>44354.149363425924</v>
      </c>
      <c r="BI3546" s="1">
        <v>44354.149756944447</v>
      </c>
      <c r="BJ3546" t="s">
        <v>85</v>
      </c>
      <c r="BK3546" t="s">
        <v>86</v>
      </c>
      <c r="BL3546" t="s">
        <v>87</v>
      </c>
    </row>
    <row r="3547" spans="1:64" x14ac:dyDescent="0.3">
      <c r="A3547" t="str">
        <f>"202409C0200"</f>
        <v>202409C0200</v>
      </c>
      <c r="B3547" t="str">
        <f>"202409C02003"</f>
        <v>202409C02003</v>
      </c>
      <c r="C3547" t="str">
        <f t="shared" si="256"/>
        <v>20</v>
      </c>
      <c r="D3547" t="s">
        <v>81</v>
      </c>
      <c r="E3547" t="str">
        <f t="shared" si="257"/>
        <v>560</v>
      </c>
      <c r="F3547" t="s">
        <v>3788</v>
      </c>
      <c r="G3547" t="str">
        <f>"2409"</f>
        <v>2409</v>
      </c>
      <c r="H3547" t="str">
        <f>"0002"</f>
        <v>0002</v>
      </c>
      <c r="I3547" t="s">
        <v>89</v>
      </c>
      <c r="J3547">
        <v>0</v>
      </c>
      <c r="K3547">
        <v>1</v>
      </c>
      <c r="L3547">
        <v>3</v>
      </c>
      <c r="M3547">
        <v>238</v>
      </c>
      <c r="N3547">
        <v>361</v>
      </c>
      <c r="O3547">
        <v>10</v>
      </c>
      <c r="P3547">
        <v>361</v>
      </c>
      <c r="Q3547">
        <v>1</v>
      </c>
      <c r="R3547">
        <v>98</v>
      </c>
      <c r="S3547">
        <v>0</v>
      </c>
      <c r="T3547">
        <v>84</v>
      </c>
      <c r="U3547">
        <v>1</v>
      </c>
      <c r="V3547">
        <v>14</v>
      </c>
      <c r="W3547">
        <v>2</v>
      </c>
      <c r="X3547">
        <v>86</v>
      </c>
      <c r="Y3547">
        <v>23</v>
      </c>
      <c r="Z3547">
        <v>1</v>
      </c>
      <c r="AA3547">
        <v>15</v>
      </c>
      <c r="AB3547">
        <v>27</v>
      </c>
      <c r="AP3547">
        <v>0</v>
      </c>
      <c r="AW3547">
        <v>0</v>
      </c>
      <c r="AX3547">
        <v>9</v>
      </c>
      <c r="AY3547">
        <v>361</v>
      </c>
      <c r="AZ3547">
        <v>361</v>
      </c>
      <c r="BA3547">
        <v>555</v>
      </c>
      <c r="BB3547">
        <v>44</v>
      </c>
      <c r="BD3547">
        <v>1</v>
      </c>
      <c r="BF3547" t="s">
        <v>3793</v>
      </c>
      <c r="BG3547" s="1">
        <v>44354.143750000003</v>
      </c>
      <c r="BH3547" s="1">
        <v>44354.147129629629</v>
      </c>
      <c r="BI3547" s="1">
        <v>44354.147777777776</v>
      </c>
      <c r="BJ3547" t="s">
        <v>85</v>
      </c>
      <c r="BK3547" t="s">
        <v>86</v>
      </c>
      <c r="BL3547" t="s">
        <v>87</v>
      </c>
    </row>
    <row r="3548" spans="1:64" x14ac:dyDescent="0.3">
      <c r="A3548" t="str">
        <f>"202409S0100"</f>
        <v>202409S0100</v>
      </c>
      <c r="B3548" t="str">
        <f>"202409S01003E"</f>
        <v>202409S01003E</v>
      </c>
      <c r="C3548" t="str">
        <f t="shared" si="256"/>
        <v>20</v>
      </c>
      <c r="D3548" t="s">
        <v>81</v>
      </c>
      <c r="E3548" t="str">
        <f t="shared" si="257"/>
        <v>560</v>
      </c>
      <c r="F3548" t="s">
        <v>3788</v>
      </c>
      <c r="G3548" t="str">
        <f>"2409"</f>
        <v>2409</v>
      </c>
      <c r="H3548" t="str">
        <f>"0001"</f>
        <v>0001</v>
      </c>
      <c r="I3548" t="s">
        <v>99</v>
      </c>
      <c r="J3548">
        <v>0</v>
      </c>
      <c r="K3548">
        <v>1</v>
      </c>
      <c r="L3548" t="s">
        <v>100</v>
      </c>
      <c r="M3548">
        <v>994</v>
      </c>
      <c r="N3548">
        <v>6</v>
      </c>
      <c r="O3548">
        <v>0</v>
      </c>
      <c r="P3548">
        <v>6</v>
      </c>
      <c r="Q3548">
        <v>0</v>
      </c>
      <c r="R3548">
        <v>1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4</v>
      </c>
      <c r="Y3548">
        <v>0</v>
      </c>
      <c r="Z3548">
        <v>0</v>
      </c>
      <c r="AA3548">
        <v>0</v>
      </c>
      <c r="AB3548">
        <v>1</v>
      </c>
      <c r="AP3548">
        <v>0</v>
      </c>
      <c r="AW3548">
        <v>0</v>
      </c>
      <c r="AX3548">
        <v>0</v>
      </c>
      <c r="AY3548">
        <v>6</v>
      </c>
      <c r="AZ3548">
        <v>6</v>
      </c>
      <c r="BA3548">
        <v>0</v>
      </c>
      <c r="BB3548">
        <v>44</v>
      </c>
      <c r="BD3548">
        <v>1</v>
      </c>
      <c r="BF3548" t="s">
        <v>3794</v>
      </c>
      <c r="BG3548" s="1">
        <v>44354.143055555556</v>
      </c>
      <c r="BH3548" s="1">
        <v>44354.145960648151</v>
      </c>
      <c r="BI3548" s="1">
        <v>44354.147245370368</v>
      </c>
      <c r="BJ3548" t="s">
        <v>85</v>
      </c>
      <c r="BK3548" t="s">
        <v>86</v>
      </c>
      <c r="BL3548" t="s">
        <v>87</v>
      </c>
    </row>
    <row r="3549" spans="1:64" x14ac:dyDescent="0.3">
      <c r="A3549" t="str">
        <f>"202410B0000"</f>
        <v>202410B0000</v>
      </c>
      <c r="B3549" t="str">
        <f>"202410B00003"</f>
        <v>202410B00003</v>
      </c>
      <c r="C3549" t="str">
        <f t="shared" si="256"/>
        <v>20</v>
      </c>
      <c r="D3549" t="s">
        <v>81</v>
      </c>
      <c r="E3549" t="str">
        <f t="shared" si="257"/>
        <v>560</v>
      </c>
      <c r="F3549" t="s">
        <v>3788</v>
      </c>
      <c r="G3549" t="str">
        <f>"2410"</f>
        <v>2410</v>
      </c>
      <c r="H3549" t="str">
        <f>"0000"</f>
        <v>0000</v>
      </c>
      <c r="I3549" t="s">
        <v>83</v>
      </c>
      <c r="J3549">
        <v>0</v>
      </c>
      <c r="K3549">
        <v>1</v>
      </c>
      <c r="L3549">
        <v>3</v>
      </c>
      <c r="M3549">
        <v>298</v>
      </c>
      <c r="N3549" t="s">
        <v>92</v>
      </c>
      <c r="O3549" t="s">
        <v>92</v>
      </c>
      <c r="P3549" t="s">
        <v>92</v>
      </c>
      <c r="Q3549">
        <v>5</v>
      </c>
      <c r="R3549">
        <v>122</v>
      </c>
      <c r="S3549">
        <v>1</v>
      </c>
      <c r="T3549">
        <v>8</v>
      </c>
      <c r="U3549">
        <v>4</v>
      </c>
      <c r="V3549">
        <v>13</v>
      </c>
      <c r="W3549">
        <v>4</v>
      </c>
      <c r="X3549">
        <v>145</v>
      </c>
      <c r="Y3549">
        <v>37</v>
      </c>
      <c r="Z3549">
        <v>2</v>
      </c>
      <c r="AA3549">
        <v>11</v>
      </c>
      <c r="AB3549">
        <v>14</v>
      </c>
      <c r="AP3549">
        <v>0</v>
      </c>
      <c r="AW3549">
        <v>0</v>
      </c>
      <c r="AX3549">
        <v>4</v>
      </c>
      <c r="AY3549">
        <v>455</v>
      </c>
      <c r="AZ3549">
        <v>370</v>
      </c>
      <c r="BA3549">
        <v>708</v>
      </c>
      <c r="BB3549">
        <v>44</v>
      </c>
      <c r="BD3549">
        <v>1</v>
      </c>
      <c r="BF3549" t="s">
        <v>3795</v>
      </c>
      <c r="BG3549" s="1">
        <v>44354.152083333334</v>
      </c>
      <c r="BH3549" s="1">
        <v>44354.157002314816</v>
      </c>
      <c r="BI3549" s="1">
        <v>44354.157754629632</v>
      </c>
      <c r="BJ3549" t="s">
        <v>85</v>
      </c>
      <c r="BK3549" t="s">
        <v>86</v>
      </c>
      <c r="BL3549" t="s">
        <v>87</v>
      </c>
    </row>
    <row r="3550" spans="1:64" x14ac:dyDescent="0.3">
      <c r="A3550" t="str">
        <f>"202410C0100"</f>
        <v>202410C0100</v>
      </c>
      <c r="B3550" t="str">
        <f>"202410C01003"</f>
        <v>202410C01003</v>
      </c>
      <c r="C3550" t="str">
        <f t="shared" si="256"/>
        <v>20</v>
      </c>
      <c r="D3550" t="s">
        <v>81</v>
      </c>
      <c r="E3550" t="str">
        <f t="shared" si="257"/>
        <v>560</v>
      </c>
      <c r="F3550" t="s">
        <v>3788</v>
      </c>
      <c r="G3550" t="str">
        <f>"2410"</f>
        <v>2410</v>
      </c>
      <c r="H3550" t="str">
        <f>"0001"</f>
        <v>0001</v>
      </c>
      <c r="I3550" t="s">
        <v>89</v>
      </c>
      <c r="J3550">
        <v>0</v>
      </c>
      <c r="K3550">
        <v>1</v>
      </c>
      <c r="L3550">
        <v>3</v>
      </c>
      <c r="M3550">
        <v>351</v>
      </c>
      <c r="N3550">
        <v>400</v>
      </c>
      <c r="O3550">
        <v>0</v>
      </c>
      <c r="P3550">
        <v>400</v>
      </c>
      <c r="Q3550">
        <v>4</v>
      </c>
      <c r="R3550">
        <v>120</v>
      </c>
      <c r="S3550">
        <v>1</v>
      </c>
      <c r="T3550">
        <v>71</v>
      </c>
      <c r="U3550">
        <v>5</v>
      </c>
      <c r="V3550">
        <v>11</v>
      </c>
      <c r="W3550">
        <v>3</v>
      </c>
      <c r="X3550">
        <v>116</v>
      </c>
      <c r="Y3550">
        <v>23</v>
      </c>
      <c r="Z3550">
        <v>0</v>
      </c>
      <c r="AA3550">
        <v>23</v>
      </c>
      <c r="AB3550">
        <v>14</v>
      </c>
      <c r="AP3550">
        <v>0</v>
      </c>
      <c r="AW3550">
        <v>0</v>
      </c>
      <c r="AX3550">
        <v>8</v>
      </c>
      <c r="AY3550">
        <v>400</v>
      </c>
      <c r="AZ3550">
        <v>399</v>
      </c>
      <c r="BA3550">
        <v>707</v>
      </c>
      <c r="BB3550">
        <v>44</v>
      </c>
      <c r="BD3550">
        <v>1</v>
      </c>
      <c r="BF3550" t="s">
        <v>3796</v>
      </c>
      <c r="BG3550" s="1">
        <v>44354.166666666664</v>
      </c>
      <c r="BH3550" s="1">
        <v>44354.170138888891</v>
      </c>
      <c r="BI3550" s="1">
        <v>44354.170740740738</v>
      </c>
      <c r="BJ3550" t="s">
        <v>85</v>
      </c>
      <c r="BK3550" t="s">
        <v>86</v>
      </c>
      <c r="BL3550" t="s">
        <v>87</v>
      </c>
    </row>
    <row r="3551" spans="1:64" x14ac:dyDescent="0.3">
      <c r="A3551" t="str">
        <f>"202410C0200"</f>
        <v>202410C0200</v>
      </c>
      <c r="B3551" t="str">
        <f>"202410C02003"</f>
        <v>202410C02003</v>
      </c>
      <c r="C3551" t="str">
        <f t="shared" si="256"/>
        <v>20</v>
      </c>
      <c r="D3551" t="s">
        <v>81</v>
      </c>
      <c r="E3551" t="str">
        <f t="shared" si="257"/>
        <v>560</v>
      </c>
      <c r="F3551" t="s">
        <v>3788</v>
      </c>
      <c r="G3551" t="str">
        <f>"2410"</f>
        <v>2410</v>
      </c>
      <c r="H3551" t="str">
        <f>"0002"</f>
        <v>0002</v>
      </c>
      <c r="I3551" t="s">
        <v>89</v>
      </c>
      <c r="J3551">
        <v>0</v>
      </c>
      <c r="K3551">
        <v>1</v>
      </c>
      <c r="L3551">
        <v>3</v>
      </c>
      <c r="M3551">
        <v>338</v>
      </c>
      <c r="N3551">
        <v>413</v>
      </c>
      <c r="O3551">
        <v>7</v>
      </c>
      <c r="P3551">
        <v>414</v>
      </c>
      <c r="Q3551">
        <v>3</v>
      </c>
      <c r="R3551">
        <v>105</v>
      </c>
      <c r="S3551">
        <v>1</v>
      </c>
      <c r="T3551">
        <v>83</v>
      </c>
      <c r="U3551">
        <v>10</v>
      </c>
      <c r="V3551">
        <v>16</v>
      </c>
      <c r="W3551">
        <v>6</v>
      </c>
      <c r="X3551">
        <v>123</v>
      </c>
      <c r="Y3551">
        <v>36</v>
      </c>
      <c r="Z3551">
        <v>3</v>
      </c>
      <c r="AA3551">
        <v>13</v>
      </c>
      <c r="AB3551">
        <v>7</v>
      </c>
      <c r="AP3551">
        <v>1</v>
      </c>
      <c r="AW3551">
        <v>0</v>
      </c>
      <c r="AX3551">
        <v>7</v>
      </c>
      <c r="AY3551">
        <v>414</v>
      </c>
      <c r="AZ3551">
        <v>414</v>
      </c>
      <c r="BA3551">
        <v>707</v>
      </c>
      <c r="BB3551">
        <v>44</v>
      </c>
      <c r="BD3551">
        <v>1</v>
      </c>
      <c r="BF3551" t="s">
        <v>3797</v>
      </c>
      <c r="BG3551" s="1">
        <v>44354.167361111111</v>
      </c>
      <c r="BH3551" s="1">
        <v>44354.170891203707</v>
      </c>
      <c r="BI3551" s="1">
        <v>44354.171666666669</v>
      </c>
      <c r="BJ3551" t="s">
        <v>85</v>
      </c>
      <c r="BK3551" t="s">
        <v>86</v>
      </c>
      <c r="BL3551" t="s">
        <v>87</v>
      </c>
    </row>
    <row r="3552" spans="1:64" x14ac:dyDescent="0.3">
      <c r="A3552" t="str">
        <f>"202410C0300"</f>
        <v>202410C0300</v>
      </c>
      <c r="B3552" t="str">
        <f>"202410C03003"</f>
        <v>202410C03003</v>
      </c>
      <c r="C3552" t="str">
        <f t="shared" si="256"/>
        <v>20</v>
      </c>
      <c r="D3552" t="s">
        <v>81</v>
      </c>
      <c r="E3552" t="str">
        <f t="shared" si="257"/>
        <v>560</v>
      </c>
      <c r="F3552" t="s">
        <v>3788</v>
      </c>
      <c r="G3552" t="str">
        <f>"2410"</f>
        <v>2410</v>
      </c>
      <c r="H3552" t="str">
        <f>"0003"</f>
        <v>0003</v>
      </c>
      <c r="I3552" t="s">
        <v>89</v>
      </c>
      <c r="J3552">
        <v>0</v>
      </c>
      <c r="K3552">
        <v>1</v>
      </c>
      <c r="L3552">
        <v>3</v>
      </c>
      <c r="M3552">
        <v>333</v>
      </c>
      <c r="N3552">
        <v>418</v>
      </c>
      <c r="O3552">
        <v>4</v>
      </c>
      <c r="P3552">
        <v>418</v>
      </c>
      <c r="Q3552">
        <v>1</v>
      </c>
      <c r="R3552">
        <v>119</v>
      </c>
      <c r="S3552">
        <v>1</v>
      </c>
      <c r="T3552">
        <v>79</v>
      </c>
      <c r="U3552">
        <v>6</v>
      </c>
      <c r="V3552">
        <v>9</v>
      </c>
      <c r="W3552">
        <v>3</v>
      </c>
      <c r="X3552">
        <v>144</v>
      </c>
      <c r="Y3552">
        <v>30</v>
      </c>
      <c r="Z3552">
        <v>1</v>
      </c>
      <c r="AA3552">
        <v>12</v>
      </c>
      <c r="AB3552">
        <v>7</v>
      </c>
      <c r="AP3552" t="s">
        <v>95</v>
      </c>
      <c r="AW3552" t="s">
        <v>95</v>
      </c>
      <c r="AX3552">
        <v>6</v>
      </c>
      <c r="AY3552">
        <v>418</v>
      </c>
      <c r="AZ3552">
        <v>418</v>
      </c>
      <c r="BA3552">
        <v>707</v>
      </c>
      <c r="BB3552">
        <v>44</v>
      </c>
      <c r="BC3552" t="s">
        <v>96</v>
      </c>
      <c r="BD3552">
        <v>1</v>
      </c>
      <c r="BF3552" t="s">
        <v>3798</v>
      </c>
      <c r="BG3552" s="1">
        <v>44354.148611111108</v>
      </c>
      <c r="BH3552" s="1">
        <v>44354.154594907406</v>
      </c>
      <c r="BI3552" s="1">
        <v>44354.155057870368</v>
      </c>
      <c r="BJ3552" t="s">
        <v>85</v>
      </c>
      <c r="BK3552" t="s">
        <v>86</v>
      </c>
      <c r="BL3552" t="s">
        <v>87</v>
      </c>
    </row>
    <row r="3553" spans="1:64" x14ac:dyDescent="0.3">
      <c r="A3553" t="str">
        <f>"202411B0000"</f>
        <v>202411B0000</v>
      </c>
      <c r="B3553" t="str">
        <f>"202411B00003"</f>
        <v>202411B00003</v>
      </c>
      <c r="C3553" t="str">
        <f t="shared" si="256"/>
        <v>20</v>
      </c>
      <c r="D3553" t="s">
        <v>81</v>
      </c>
      <c r="E3553" t="str">
        <f t="shared" si="257"/>
        <v>560</v>
      </c>
      <c r="F3553" t="s">
        <v>3788</v>
      </c>
      <c r="G3553" t="str">
        <f>"2411"</f>
        <v>2411</v>
      </c>
      <c r="H3553" t="str">
        <f>"0000"</f>
        <v>0000</v>
      </c>
      <c r="I3553" t="s">
        <v>83</v>
      </c>
      <c r="J3553">
        <v>0</v>
      </c>
      <c r="K3553">
        <v>1</v>
      </c>
      <c r="L3553">
        <v>3</v>
      </c>
      <c r="M3553">
        <v>269</v>
      </c>
      <c r="N3553">
        <v>395</v>
      </c>
      <c r="O3553">
        <v>0</v>
      </c>
      <c r="P3553">
        <v>395</v>
      </c>
      <c r="Q3553">
        <v>2</v>
      </c>
      <c r="R3553">
        <v>127</v>
      </c>
      <c r="S3553">
        <v>1</v>
      </c>
      <c r="T3553">
        <v>45</v>
      </c>
      <c r="U3553">
        <v>5</v>
      </c>
      <c r="V3553">
        <v>12</v>
      </c>
      <c r="W3553">
        <v>2</v>
      </c>
      <c r="X3553">
        <v>152</v>
      </c>
      <c r="Y3553">
        <v>17</v>
      </c>
      <c r="Z3553">
        <v>2</v>
      </c>
      <c r="AA3553">
        <v>5</v>
      </c>
      <c r="AB3553">
        <v>14</v>
      </c>
      <c r="AP3553">
        <v>0</v>
      </c>
      <c r="AW3553">
        <v>0</v>
      </c>
      <c r="AX3553">
        <v>11</v>
      </c>
      <c r="AY3553">
        <v>395</v>
      </c>
      <c r="AZ3553">
        <v>395</v>
      </c>
      <c r="BA3553">
        <v>620</v>
      </c>
      <c r="BB3553">
        <v>44</v>
      </c>
      <c r="BD3553">
        <v>1</v>
      </c>
      <c r="BF3553" t="s">
        <v>3799</v>
      </c>
      <c r="BG3553" s="1">
        <v>44354.155555555553</v>
      </c>
      <c r="BH3553" s="1">
        <v>44354.160451388889</v>
      </c>
      <c r="BI3553" s="1">
        <v>44354.160891203705</v>
      </c>
      <c r="BJ3553" t="s">
        <v>85</v>
      </c>
      <c r="BK3553" t="s">
        <v>86</v>
      </c>
      <c r="BL3553" t="s">
        <v>87</v>
      </c>
    </row>
    <row r="3554" spans="1:64" x14ac:dyDescent="0.3">
      <c r="A3554" t="str">
        <f>"202411C0100"</f>
        <v>202411C0100</v>
      </c>
      <c r="B3554" t="str">
        <f>"202411C01003"</f>
        <v>202411C01003</v>
      </c>
      <c r="C3554" t="str">
        <f t="shared" si="256"/>
        <v>20</v>
      </c>
      <c r="D3554" t="s">
        <v>81</v>
      </c>
      <c r="E3554" t="str">
        <f t="shared" si="257"/>
        <v>560</v>
      </c>
      <c r="F3554" t="s">
        <v>3788</v>
      </c>
      <c r="G3554" t="str">
        <f>"2411"</f>
        <v>2411</v>
      </c>
      <c r="H3554" t="str">
        <f>"0001"</f>
        <v>0001</v>
      </c>
      <c r="I3554" t="s">
        <v>89</v>
      </c>
      <c r="J3554">
        <v>0</v>
      </c>
      <c r="K3554">
        <v>1</v>
      </c>
      <c r="L3554">
        <v>3</v>
      </c>
      <c r="M3554">
        <v>294</v>
      </c>
      <c r="N3554">
        <v>370</v>
      </c>
      <c r="O3554">
        <v>3</v>
      </c>
      <c r="P3554">
        <v>370</v>
      </c>
      <c r="Q3554">
        <v>5</v>
      </c>
      <c r="R3554">
        <v>84</v>
      </c>
      <c r="S3554">
        <v>2</v>
      </c>
      <c r="T3554">
        <v>64</v>
      </c>
      <c r="U3554">
        <v>4</v>
      </c>
      <c r="V3554">
        <v>11</v>
      </c>
      <c r="W3554">
        <v>3</v>
      </c>
      <c r="X3554">
        <v>136</v>
      </c>
      <c r="Y3554">
        <v>20</v>
      </c>
      <c r="Z3554">
        <v>0</v>
      </c>
      <c r="AA3554">
        <v>11</v>
      </c>
      <c r="AB3554">
        <v>17</v>
      </c>
      <c r="AP3554">
        <v>1</v>
      </c>
      <c r="AW3554">
        <v>0</v>
      </c>
      <c r="AX3554">
        <v>12</v>
      </c>
      <c r="AY3554">
        <v>370</v>
      </c>
      <c r="AZ3554">
        <v>370</v>
      </c>
      <c r="BA3554">
        <v>620</v>
      </c>
      <c r="BB3554">
        <v>44</v>
      </c>
      <c r="BD3554">
        <v>1</v>
      </c>
      <c r="BF3554" t="s">
        <v>3800</v>
      </c>
      <c r="BG3554" s="1">
        <v>44354.154861111114</v>
      </c>
      <c r="BH3554" s="1">
        <v>44354.15929398148</v>
      </c>
      <c r="BI3554" s="1">
        <v>44354.160393518519</v>
      </c>
      <c r="BJ3554" t="s">
        <v>85</v>
      </c>
      <c r="BK3554" t="s">
        <v>86</v>
      </c>
      <c r="BL3554" t="s">
        <v>87</v>
      </c>
    </row>
    <row r="3555" spans="1:64" x14ac:dyDescent="0.3">
      <c r="A3555" t="str">
        <f>"202411C0200"</f>
        <v>202411C0200</v>
      </c>
      <c r="B3555" t="str">
        <f>"202411C02003"</f>
        <v>202411C02003</v>
      </c>
      <c r="C3555" t="str">
        <f t="shared" si="256"/>
        <v>20</v>
      </c>
      <c r="D3555" t="s">
        <v>81</v>
      </c>
      <c r="E3555" t="str">
        <f t="shared" si="257"/>
        <v>560</v>
      </c>
      <c r="F3555" t="s">
        <v>3788</v>
      </c>
      <c r="G3555" t="str">
        <f>"2411"</f>
        <v>2411</v>
      </c>
      <c r="H3555" t="str">
        <f>"0002"</f>
        <v>0002</v>
      </c>
      <c r="I3555" t="s">
        <v>89</v>
      </c>
      <c r="J3555">
        <v>0</v>
      </c>
      <c r="K3555">
        <v>1</v>
      </c>
      <c r="L3555">
        <v>3</v>
      </c>
      <c r="M3555">
        <v>294</v>
      </c>
      <c r="N3555">
        <v>370</v>
      </c>
      <c r="O3555">
        <v>2</v>
      </c>
      <c r="P3555">
        <v>370</v>
      </c>
      <c r="Q3555">
        <v>5</v>
      </c>
      <c r="R3555">
        <v>92</v>
      </c>
      <c r="S3555">
        <v>1</v>
      </c>
      <c r="T3555">
        <v>48</v>
      </c>
      <c r="U3555">
        <v>14</v>
      </c>
      <c r="V3555">
        <v>16</v>
      </c>
      <c r="W3555">
        <v>5</v>
      </c>
      <c r="X3555">
        <v>129</v>
      </c>
      <c r="Y3555">
        <v>28</v>
      </c>
      <c r="Z3555">
        <v>3</v>
      </c>
      <c r="AA3555">
        <v>9</v>
      </c>
      <c r="AB3555">
        <v>9</v>
      </c>
      <c r="AP3555">
        <v>0</v>
      </c>
      <c r="AW3555">
        <v>1</v>
      </c>
      <c r="AX3555">
        <v>10</v>
      </c>
      <c r="AY3555">
        <v>370</v>
      </c>
      <c r="AZ3555">
        <v>370</v>
      </c>
      <c r="BA3555">
        <v>620</v>
      </c>
      <c r="BB3555">
        <v>44</v>
      </c>
      <c r="BD3555">
        <v>1</v>
      </c>
      <c r="BF3555" t="s">
        <v>3801</v>
      </c>
      <c r="BG3555" s="1">
        <v>44354.154166666667</v>
      </c>
      <c r="BH3555" s="1">
        <v>44354.158090277779</v>
      </c>
      <c r="BI3555" s="1">
        <v>44354.158750000002</v>
      </c>
      <c r="BJ3555" t="s">
        <v>85</v>
      </c>
      <c r="BK3555" t="s">
        <v>86</v>
      </c>
      <c r="BL3555" t="s">
        <v>87</v>
      </c>
    </row>
    <row r="3556" spans="1:64" x14ac:dyDescent="0.3">
      <c r="A3556" t="str">
        <f>"202411C0300"</f>
        <v>202411C0300</v>
      </c>
      <c r="B3556" t="str">
        <f>"202411C03003"</f>
        <v>202411C03003</v>
      </c>
      <c r="C3556" t="str">
        <f t="shared" si="256"/>
        <v>20</v>
      </c>
      <c r="D3556" t="s">
        <v>81</v>
      </c>
      <c r="E3556" t="str">
        <f t="shared" si="257"/>
        <v>560</v>
      </c>
      <c r="F3556" t="s">
        <v>3788</v>
      </c>
      <c r="G3556" t="str">
        <f>"2411"</f>
        <v>2411</v>
      </c>
      <c r="H3556" t="str">
        <f>"0003"</f>
        <v>0003</v>
      </c>
      <c r="I3556" t="s">
        <v>89</v>
      </c>
      <c r="J3556">
        <v>0</v>
      </c>
      <c r="K3556">
        <v>1</v>
      </c>
      <c r="L3556">
        <v>3</v>
      </c>
      <c r="M3556">
        <v>270</v>
      </c>
      <c r="N3556">
        <v>394</v>
      </c>
      <c r="O3556">
        <v>2</v>
      </c>
      <c r="P3556">
        <v>394</v>
      </c>
      <c r="Q3556">
        <v>1</v>
      </c>
      <c r="R3556">
        <v>118</v>
      </c>
      <c r="S3556">
        <v>0</v>
      </c>
      <c r="T3556">
        <v>73</v>
      </c>
      <c r="U3556">
        <v>5</v>
      </c>
      <c r="V3556">
        <v>14</v>
      </c>
      <c r="W3556">
        <v>8</v>
      </c>
      <c r="X3556">
        <v>124</v>
      </c>
      <c r="Y3556">
        <v>14</v>
      </c>
      <c r="Z3556">
        <v>3</v>
      </c>
      <c r="AA3556">
        <v>15</v>
      </c>
      <c r="AB3556">
        <v>14</v>
      </c>
      <c r="AP3556">
        <v>0</v>
      </c>
      <c r="AW3556">
        <v>0</v>
      </c>
      <c r="AX3556">
        <v>5</v>
      </c>
      <c r="AY3556">
        <v>394</v>
      </c>
      <c r="AZ3556">
        <v>394</v>
      </c>
      <c r="BA3556">
        <v>620</v>
      </c>
      <c r="BB3556">
        <v>44</v>
      </c>
      <c r="BD3556">
        <v>1</v>
      </c>
      <c r="BF3556" t="s">
        <v>3802</v>
      </c>
      <c r="BG3556" s="1">
        <v>44354.152777777781</v>
      </c>
      <c r="BH3556" s="1">
        <v>44354.157314814816</v>
      </c>
      <c r="BI3556" s="1">
        <v>44354.157708333332</v>
      </c>
      <c r="BJ3556" t="s">
        <v>85</v>
      </c>
      <c r="BK3556" t="s">
        <v>86</v>
      </c>
      <c r="BL3556" t="s">
        <v>87</v>
      </c>
    </row>
    <row r="3557" spans="1:64" x14ac:dyDescent="0.3">
      <c r="A3557" t="str">
        <f>"202423B0000"</f>
        <v>202423B0000</v>
      </c>
      <c r="B3557" t="str">
        <f>"202423B00003"</f>
        <v>202423B00003</v>
      </c>
      <c r="C3557" t="str">
        <f t="shared" si="256"/>
        <v>20</v>
      </c>
      <c r="D3557" t="s">
        <v>81</v>
      </c>
      <c r="E3557" t="str">
        <f t="shared" ref="E3557:E3602" si="258">"566"</f>
        <v>566</v>
      </c>
      <c r="F3557" t="s">
        <v>3803</v>
      </c>
      <c r="G3557" t="str">
        <f>"2423"</f>
        <v>2423</v>
      </c>
      <c r="H3557" t="str">
        <f>"0000"</f>
        <v>0000</v>
      </c>
      <c r="I3557" t="s">
        <v>83</v>
      </c>
      <c r="J3557">
        <v>0</v>
      </c>
      <c r="K3557">
        <v>1</v>
      </c>
      <c r="L3557">
        <v>3</v>
      </c>
      <c r="M3557">
        <v>252</v>
      </c>
      <c r="N3557">
        <v>463</v>
      </c>
      <c r="O3557">
        <v>8</v>
      </c>
      <c r="P3557">
        <v>463</v>
      </c>
      <c r="Q3557">
        <v>46</v>
      </c>
      <c r="R3557">
        <v>19</v>
      </c>
      <c r="S3557">
        <v>33</v>
      </c>
      <c r="T3557">
        <v>20</v>
      </c>
      <c r="U3557">
        <v>43</v>
      </c>
      <c r="V3557">
        <v>9</v>
      </c>
      <c r="W3557">
        <v>48</v>
      </c>
      <c r="X3557">
        <v>99</v>
      </c>
      <c r="Y3557">
        <v>27</v>
      </c>
      <c r="Z3557">
        <v>34</v>
      </c>
      <c r="AA3557">
        <v>4</v>
      </c>
      <c r="AB3557">
        <v>5</v>
      </c>
      <c r="AC3557">
        <v>11</v>
      </c>
      <c r="AD3557">
        <v>22</v>
      </c>
      <c r="AE3557">
        <v>33</v>
      </c>
      <c r="AW3557">
        <v>0</v>
      </c>
      <c r="AX3557">
        <v>10</v>
      </c>
      <c r="AY3557">
        <v>463</v>
      </c>
      <c r="AZ3557">
        <v>463</v>
      </c>
      <c r="BA3557">
        <v>665</v>
      </c>
      <c r="BB3557">
        <v>50</v>
      </c>
      <c r="BD3557">
        <v>1</v>
      </c>
      <c r="BF3557" t="s">
        <v>3804</v>
      </c>
      <c r="BG3557" s="1">
        <v>44353.958333333336</v>
      </c>
      <c r="BH3557" s="1">
        <v>44354.118356481478</v>
      </c>
      <c r="BI3557" s="1">
        <v>44354.119074074071</v>
      </c>
      <c r="BJ3557" t="s">
        <v>85</v>
      </c>
      <c r="BK3557" t="s">
        <v>86</v>
      </c>
      <c r="BL3557" t="s">
        <v>87</v>
      </c>
    </row>
    <row r="3558" spans="1:64" x14ac:dyDescent="0.3">
      <c r="A3558" t="str">
        <f>"202423C0100"</f>
        <v>202423C0100</v>
      </c>
      <c r="B3558" t="str">
        <f>"202423C01003"</f>
        <v>202423C01003</v>
      </c>
      <c r="C3558" t="str">
        <f t="shared" si="256"/>
        <v>20</v>
      </c>
      <c r="D3558" t="s">
        <v>81</v>
      </c>
      <c r="E3558" t="str">
        <f t="shared" si="258"/>
        <v>566</v>
      </c>
      <c r="F3558" t="s">
        <v>3803</v>
      </c>
      <c r="G3558" t="str">
        <f>"2423"</f>
        <v>2423</v>
      </c>
      <c r="H3558" t="str">
        <f>"0001"</f>
        <v>0001</v>
      </c>
      <c r="I3558" t="s">
        <v>89</v>
      </c>
      <c r="J3558">
        <v>0</v>
      </c>
      <c r="K3558">
        <v>1</v>
      </c>
      <c r="L3558">
        <v>3</v>
      </c>
      <c r="M3558">
        <v>235</v>
      </c>
      <c r="N3558">
        <v>480</v>
      </c>
      <c r="O3558">
        <v>4</v>
      </c>
      <c r="P3558">
        <v>480</v>
      </c>
      <c r="Q3558">
        <v>47</v>
      </c>
      <c r="R3558">
        <v>22</v>
      </c>
      <c r="S3558">
        <v>19</v>
      </c>
      <c r="T3558">
        <v>20</v>
      </c>
      <c r="U3558">
        <v>67</v>
      </c>
      <c r="V3558">
        <v>16</v>
      </c>
      <c r="W3558">
        <v>33</v>
      </c>
      <c r="X3558">
        <v>105</v>
      </c>
      <c r="Y3558">
        <v>37</v>
      </c>
      <c r="Z3558">
        <v>32</v>
      </c>
      <c r="AA3558">
        <v>2</v>
      </c>
      <c r="AB3558">
        <v>8</v>
      </c>
      <c r="AC3558">
        <v>8</v>
      </c>
      <c r="AD3558">
        <v>15</v>
      </c>
      <c r="AE3558">
        <v>40</v>
      </c>
      <c r="AW3558">
        <v>0</v>
      </c>
      <c r="AX3558">
        <v>9</v>
      </c>
      <c r="AY3558">
        <v>480</v>
      </c>
      <c r="AZ3558">
        <v>480</v>
      </c>
      <c r="BA3558">
        <v>665</v>
      </c>
      <c r="BB3558">
        <v>50</v>
      </c>
      <c r="BD3558">
        <v>1</v>
      </c>
      <c r="BF3558" t="s">
        <v>3805</v>
      </c>
      <c r="BG3558" s="1">
        <v>44353.916666666664</v>
      </c>
      <c r="BH3558" s="1">
        <v>44354.117962962962</v>
      </c>
      <c r="BI3558" s="1">
        <v>44354.11917824074</v>
      </c>
      <c r="BJ3558" t="s">
        <v>85</v>
      </c>
      <c r="BK3558" t="s">
        <v>86</v>
      </c>
      <c r="BL3558" t="s">
        <v>87</v>
      </c>
    </row>
    <row r="3559" spans="1:64" x14ac:dyDescent="0.3">
      <c r="A3559" t="str">
        <f>"202423C0200"</f>
        <v>202423C0200</v>
      </c>
      <c r="B3559" t="str">
        <f>"202423C02003"</f>
        <v>202423C02003</v>
      </c>
      <c r="C3559" t="str">
        <f t="shared" si="256"/>
        <v>20</v>
      </c>
      <c r="D3559" t="s">
        <v>81</v>
      </c>
      <c r="E3559" t="str">
        <f t="shared" si="258"/>
        <v>566</v>
      </c>
      <c r="F3559" t="s">
        <v>3803</v>
      </c>
      <c r="G3559" t="str">
        <f>"2423"</f>
        <v>2423</v>
      </c>
      <c r="H3559" t="str">
        <f>"0002"</f>
        <v>0002</v>
      </c>
      <c r="I3559" t="s">
        <v>89</v>
      </c>
      <c r="J3559">
        <v>0</v>
      </c>
      <c r="K3559">
        <v>1</v>
      </c>
      <c r="L3559">
        <v>3</v>
      </c>
      <c r="M3559">
        <v>265</v>
      </c>
      <c r="N3559">
        <v>457</v>
      </c>
      <c r="O3559">
        <v>7</v>
      </c>
      <c r="P3559">
        <v>450</v>
      </c>
      <c r="Q3559">
        <v>48</v>
      </c>
      <c r="R3559">
        <v>31</v>
      </c>
      <c r="S3559">
        <v>26</v>
      </c>
      <c r="T3559">
        <v>12</v>
      </c>
      <c r="U3559">
        <v>35</v>
      </c>
      <c r="V3559">
        <v>16</v>
      </c>
      <c r="W3559">
        <v>38</v>
      </c>
      <c r="X3559">
        <v>102</v>
      </c>
      <c r="Y3559">
        <v>27</v>
      </c>
      <c r="Z3559">
        <v>21</v>
      </c>
      <c r="AA3559">
        <v>5</v>
      </c>
      <c r="AB3559">
        <v>6</v>
      </c>
      <c r="AC3559">
        <v>8</v>
      </c>
      <c r="AD3559">
        <v>21</v>
      </c>
      <c r="AE3559">
        <v>44</v>
      </c>
      <c r="AW3559">
        <v>1</v>
      </c>
      <c r="AX3559">
        <v>14</v>
      </c>
      <c r="AY3559">
        <v>450</v>
      </c>
      <c r="AZ3559">
        <v>455</v>
      </c>
      <c r="BA3559">
        <v>665</v>
      </c>
      <c r="BB3559">
        <v>50</v>
      </c>
      <c r="BD3559">
        <v>1</v>
      </c>
      <c r="BF3559" t="s">
        <v>3806</v>
      </c>
      <c r="BG3559" s="1">
        <v>44353.895833333336</v>
      </c>
      <c r="BH3559" s="1">
        <v>44354.118113425924</v>
      </c>
      <c r="BI3559" s="1">
        <v>44354.118668981479</v>
      </c>
      <c r="BJ3559" t="s">
        <v>85</v>
      </c>
      <c r="BK3559" t="s">
        <v>86</v>
      </c>
      <c r="BL3559" t="s">
        <v>87</v>
      </c>
    </row>
    <row r="3560" spans="1:64" x14ac:dyDescent="0.3">
      <c r="A3560" t="str">
        <f>"202423C0300"</f>
        <v>202423C0300</v>
      </c>
      <c r="B3560" t="str">
        <f>"202423C03003"</f>
        <v>202423C03003</v>
      </c>
      <c r="C3560" t="str">
        <f t="shared" si="256"/>
        <v>20</v>
      </c>
      <c r="D3560" t="s">
        <v>81</v>
      </c>
      <c r="E3560" t="str">
        <f t="shared" si="258"/>
        <v>566</v>
      </c>
      <c r="F3560" t="s">
        <v>3803</v>
      </c>
      <c r="G3560" t="str">
        <f>"2423"</f>
        <v>2423</v>
      </c>
      <c r="H3560" t="str">
        <f>"0003"</f>
        <v>0003</v>
      </c>
      <c r="I3560" t="s">
        <v>89</v>
      </c>
      <c r="J3560">
        <v>0</v>
      </c>
      <c r="K3560">
        <v>1</v>
      </c>
      <c r="L3560">
        <v>3</v>
      </c>
      <c r="M3560">
        <v>268</v>
      </c>
      <c r="N3560">
        <v>447</v>
      </c>
      <c r="O3560">
        <v>3</v>
      </c>
      <c r="P3560">
        <v>448</v>
      </c>
      <c r="Q3560">
        <v>45</v>
      </c>
      <c r="R3560">
        <v>16</v>
      </c>
      <c r="S3560">
        <v>51</v>
      </c>
      <c r="T3560">
        <v>18</v>
      </c>
      <c r="U3560">
        <v>34</v>
      </c>
      <c r="V3560">
        <v>4</v>
      </c>
      <c r="W3560">
        <v>27</v>
      </c>
      <c r="X3560">
        <v>97</v>
      </c>
      <c r="Y3560">
        <v>38</v>
      </c>
      <c r="Z3560">
        <v>24</v>
      </c>
      <c r="AA3560">
        <v>1</v>
      </c>
      <c r="AB3560">
        <v>3</v>
      </c>
      <c r="AC3560">
        <v>12</v>
      </c>
      <c r="AD3560">
        <v>25</v>
      </c>
      <c r="AE3560">
        <v>46</v>
      </c>
      <c r="AW3560">
        <v>0</v>
      </c>
      <c r="AX3560">
        <v>7</v>
      </c>
      <c r="AY3560">
        <v>448</v>
      </c>
      <c r="AZ3560">
        <v>448</v>
      </c>
      <c r="BA3560">
        <v>665</v>
      </c>
      <c r="BB3560">
        <v>50</v>
      </c>
      <c r="BD3560">
        <v>1</v>
      </c>
      <c r="BF3560" t="s">
        <v>3807</v>
      </c>
      <c r="BG3560" s="1">
        <v>44354.117361111108</v>
      </c>
      <c r="BH3560" s="1">
        <v>44354.120254629626</v>
      </c>
      <c r="BI3560" s="1">
        <v>44354.121215277781</v>
      </c>
      <c r="BJ3560" t="s">
        <v>85</v>
      </c>
      <c r="BK3560" t="s">
        <v>86</v>
      </c>
      <c r="BL3560" t="s">
        <v>87</v>
      </c>
    </row>
    <row r="3561" spans="1:64" x14ac:dyDescent="0.3">
      <c r="A3561" t="str">
        <f>"202423C0400"</f>
        <v>202423C0400</v>
      </c>
      <c r="B3561" t="str">
        <f>"202423C04003"</f>
        <v>202423C04003</v>
      </c>
      <c r="C3561" t="str">
        <f t="shared" si="256"/>
        <v>20</v>
      </c>
      <c r="D3561" t="s">
        <v>81</v>
      </c>
      <c r="E3561" t="str">
        <f t="shared" si="258"/>
        <v>566</v>
      </c>
      <c r="F3561" t="s">
        <v>3803</v>
      </c>
      <c r="G3561" t="str">
        <f>"2423"</f>
        <v>2423</v>
      </c>
      <c r="H3561" t="str">
        <f>"0004"</f>
        <v>0004</v>
      </c>
      <c r="I3561" t="s">
        <v>89</v>
      </c>
      <c r="J3561">
        <v>0</v>
      </c>
      <c r="K3561">
        <v>1</v>
      </c>
      <c r="L3561">
        <v>3</v>
      </c>
      <c r="M3561">
        <v>255</v>
      </c>
      <c r="N3561">
        <v>459</v>
      </c>
      <c r="O3561">
        <v>8</v>
      </c>
      <c r="P3561">
        <v>458</v>
      </c>
      <c r="Q3561">
        <v>61</v>
      </c>
      <c r="R3561">
        <v>15</v>
      </c>
      <c r="S3561">
        <v>23</v>
      </c>
      <c r="T3561">
        <v>17</v>
      </c>
      <c r="U3561">
        <v>28</v>
      </c>
      <c r="V3561">
        <v>6</v>
      </c>
      <c r="W3561">
        <v>45</v>
      </c>
      <c r="X3561">
        <v>72</v>
      </c>
      <c r="Y3561">
        <v>54</v>
      </c>
      <c r="Z3561">
        <v>45</v>
      </c>
      <c r="AA3561">
        <v>4</v>
      </c>
      <c r="AB3561">
        <v>4</v>
      </c>
      <c r="AC3561">
        <v>16</v>
      </c>
      <c r="AD3561">
        <v>20</v>
      </c>
      <c r="AE3561">
        <v>36</v>
      </c>
      <c r="AW3561" t="s">
        <v>95</v>
      </c>
      <c r="AX3561">
        <v>12</v>
      </c>
      <c r="AY3561">
        <v>458</v>
      </c>
      <c r="AZ3561">
        <v>458</v>
      </c>
      <c r="BA3561">
        <v>664</v>
      </c>
      <c r="BB3561">
        <v>50</v>
      </c>
      <c r="BC3561" t="s">
        <v>96</v>
      </c>
      <c r="BD3561">
        <v>1</v>
      </c>
      <c r="BF3561" t="s">
        <v>3808</v>
      </c>
      <c r="BG3561" s="1">
        <v>44354.118055555555</v>
      </c>
      <c r="BH3561" s="1">
        <v>44354.121076388888</v>
      </c>
      <c r="BI3561" s="1">
        <v>44354.12195601852</v>
      </c>
      <c r="BJ3561" t="s">
        <v>85</v>
      </c>
      <c r="BK3561" t="s">
        <v>86</v>
      </c>
      <c r="BL3561" t="s">
        <v>87</v>
      </c>
    </row>
    <row r="3562" spans="1:64" x14ac:dyDescent="0.3">
      <c r="A3562" t="str">
        <f>"202424B0000"</f>
        <v>202424B0000</v>
      </c>
      <c r="B3562" t="str">
        <f>"202424B00003"</f>
        <v>202424B00003</v>
      </c>
      <c r="C3562" t="str">
        <f t="shared" si="256"/>
        <v>20</v>
      </c>
      <c r="D3562" t="s">
        <v>81</v>
      </c>
      <c r="E3562" t="str">
        <f t="shared" si="258"/>
        <v>566</v>
      </c>
      <c r="F3562" t="s">
        <v>3803</v>
      </c>
      <c r="G3562" t="str">
        <f>"2424"</f>
        <v>2424</v>
      </c>
      <c r="H3562" t="str">
        <f>"0000"</f>
        <v>0000</v>
      </c>
      <c r="I3562" t="s">
        <v>83</v>
      </c>
      <c r="J3562">
        <v>0</v>
      </c>
      <c r="K3562">
        <v>1</v>
      </c>
      <c r="L3562">
        <v>3</v>
      </c>
      <c r="M3562">
        <v>260</v>
      </c>
      <c r="N3562">
        <v>538</v>
      </c>
      <c r="O3562">
        <v>3</v>
      </c>
      <c r="P3562">
        <v>538</v>
      </c>
      <c r="Q3562">
        <v>75</v>
      </c>
      <c r="R3562">
        <v>27</v>
      </c>
      <c r="S3562">
        <v>29</v>
      </c>
      <c r="T3562">
        <v>9</v>
      </c>
      <c r="U3562">
        <v>37</v>
      </c>
      <c r="V3562">
        <v>8</v>
      </c>
      <c r="W3562">
        <v>50</v>
      </c>
      <c r="X3562">
        <v>86</v>
      </c>
      <c r="Y3562">
        <v>32</v>
      </c>
      <c r="Z3562">
        <v>41</v>
      </c>
      <c r="AA3562">
        <v>13</v>
      </c>
      <c r="AB3562">
        <v>9</v>
      </c>
      <c r="AC3562">
        <v>15</v>
      </c>
      <c r="AD3562">
        <v>28</v>
      </c>
      <c r="AE3562">
        <v>68</v>
      </c>
      <c r="AW3562">
        <v>1</v>
      </c>
      <c r="AX3562">
        <v>10</v>
      </c>
      <c r="AY3562">
        <v>538</v>
      </c>
      <c r="AZ3562">
        <v>538</v>
      </c>
      <c r="BA3562">
        <v>748</v>
      </c>
      <c r="BB3562">
        <v>50</v>
      </c>
      <c r="BD3562">
        <v>1</v>
      </c>
      <c r="BF3562" t="s">
        <v>3809</v>
      </c>
      <c r="BG3562" s="1">
        <v>44354.052083333336</v>
      </c>
      <c r="BH3562" s="1">
        <v>44354.058611111112</v>
      </c>
      <c r="BI3562" s="1">
        <v>44354.05909722222</v>
      </c>
      <c r="BJ3562" t="s">
        <v>85</v>
      </c>
      <c r="BK3562" t="s">
        <v>86</v>
      </c>
      <c r="BL3562" t="s">
        <v>87</v>
      </c>
    </row>
    <row r="3563" spans="1:64" x14ac:dyDescent="0.3">
      <c r="A3563" t="str">
        <f>"202424C0100"</f>
        <v>202424C0100</v>
      </c>
      <c r="B3563" t="str">
        <f>"202424C01003"</f>
        <v>202424C01003</v>
      </c>
      <c r="C3563" t="str">
        <f t="shared" si="256"/>
        <v>20</v>
      </c>
      <c r="D3563" t="s">
        <v>81</v>
      </c>
      <c r="E3563" t="str">
        <f t="shared" si="258"/>
        <v>566</v>
      </c>
      <c r="F3563" t="s">
        <v>3803</v>
      </c>
      <c r="G3563" t="str">
        <f>"2424"</f>
        <v>2424</v>
      </c>
      <c r="H3563" t="str">
        <f>"0001"</f>
        <v>0001</v>
      </c>
      <c r="I3563" t="s">
        <v>89</v>
      </c>
      <c r="J3563">
        <v>0</v>
      </c>
      <c r="K3563">
        <v>1</v>
      </c>
      <c r="L3563">
        <v>3</v>
      </c>
      <c r="M3563">
        <v>289</v>
      </c>
      <c r="N3563">
        <v>509</v>
      </c>
      <c r="O3563">
        <v>9</v>
      </c>
      <c r="P3563">
        <v>509</v>
      </c>
      <c r="Q3563">
        <v>45</v>
      </c>
      <c r="R3563">
        <v>34</v>
      </c>
      <c r="S3563">
        <v>26</v>
      </c>
      <c r="T3563">
        <v>14</v>
      </c>
      <c r="U3563">
        <v>59</v>
      </c>
      <c r="V3563">
        <v>8</v>
      </c>
      <c r="W3563">
        <v>30</v>
      </c>
      <c r="X3563">
        <v>90</v>
      </c>
      <c r="Y3563">
        <v>59</v>
      </c>
      <c r="Z3563">
        <v>28</v>
      </c>
      <c r="AA3563">
        <v>5</v>
      </c>
      <c r="AB3563">
        <v>2</v>
      </c>
      <c r="AC3563">
        <v>15</v>
      </c>
      <c r="AD3563">
        <v>32</v>
      </c>
      <c r="AE3563">
        <v>53</v>
      </c>
      <c r="AW3563">
        <v>0</v>
      </c>
      <c r="AX3563">
        <v>9</v>
      </c>
      <c r="AY3563">
        <v>509</v>
      </c>
      <c r="AZ3563">
        <v>509</v>
      </c>
      <c r="BA3563">
        <v>748</v>
      </c>
      <c r="BB3563">
        <v>50</v>
      </c>
      <c r="BD3563">
        <v>1</v>
      </c>
      <c r="BF3563" t="s">
        <v>3810</v>
      </c>
      <c r="BG3563" s="1">
        <v>44354.053472222222</v>
      </c>
      <c r="BH3563" s="1">
        <v>44354.059803240743</v>
      </c>
      <c r="BI3563" s="1">
        <v>44354.060601851852</v>
      </c>
      <c r="BJ3563" t="s">
        <v>85</v>
      </c>
      <c r="BK3563" t="s">
        <v>86</v>
      </c>
      <c r="BL3563" t="s">
        <v>87</v>
      </c>
    </row>
    <row r="3564" spans="1:64" x14ac:dyDescent="0.3">
      <c r="A3564" t="str">
        <f>"202424C0200"</f>
        <v>202424C0200</v>
      </c>
      <c r="B3564" t="str">
        <f>"202424C02003"</f>
        <v>202424C02003</v>
      </c>
      <c r="C3564" t="str">
        <f t="shared" si="256"/>
        <v>20</v>
      </c>
      <c r="D3564" t="s">
        <v>81</v>
      </c>
      <c r="E3564" t="str">
        <f t="shared" si="258"/>
        <v>566</v>
      </c>
      <c r="F3564" t="s">
        <v>3803</v>
      </c>
      <c r="G3564" t="str">
        <f>"2424"</f>
        <v>2424</v>
      </c>
      <c r="H3564" t="str">
        <f>"0002"</f>
        <v>0002</v>
      </c>
      <c r="I3564" t="s">
        <v>89</v>
      </c>
      <c r="J3564">
        <v>0</v>
      </c>
      <c r="K3564">
        <v>1</v>
      </c>
      <c r="L3564">
        <v>3</v>
      </c>
      <c r="M3564">
        <v>296</v>
      </c>
      <c r="N3564">
        <v>501</v>
      </c>
      <c r="O3564">
        <v>3</v>
      </c>
      <c r="P3564">
        <v>501</v>
      </c>
      <c r="Q3564">
        <v>32</v>
      </c>
      <c r="R3564">
        <v>22</v>
      </c>
      <c r="S3564">
        <v>34</v>
      </c>
      <c r="T3564">
        <v>13</v>
      </c>
      <c r="U3564">
        <v>53</v>
      </c>
      <c r="V3564">
        <v>19</v>
      </c>
      <c r="W3564">
        <v>44</v>
      </c>
      <c r="X3564">
        <v>99</v>
      </c>
      <c r="Y3564">
        <v>47</v>
      </c>
      <c r="Z3564">
        <v>24</v>
      </c>
      <c r="AA3564">
        <v>8</v>
      </c>
      <c r="AB3564">
        <v>4</v>
      </c>
      <c r="AC3564">
        <v>4</v>
      </c>
      <c r="AD3564">
        <v>29</v>
      </c>
      <c r="AE3564">
        <v>54</v>
      </c>
      <c r="AW3564">
        <v>0</v>
      </c>
      <c r="AX3564">
        <v>15</v>
      </c>
      <c r="AY3564">
        <v>501</v>
      </c>
      <c r="AZ3564">
        <v>501</v>
      </c>
      <c r="BA3564">
        <v>747</v>
      </c>
      <c r="BB3564">
        <v>50</v>
      </c>
      <c r="BD3564">
        <v>1</v>
      </c>
      <c r="BF3564" t="s">
        <v>3811</v>
      </c>
      <c r="BG3564" s="1">
        <v>44354.054861111108</v>
      </c>
      <c r="BH3564" s="1">
        <v>44354.061678240738</v>
      </c>
      <c r="BI3564" s="1">
        <v>44354.0624537037</v>
      </c>
      <c r="BJ3564" t="s">
        <v>85</v>
      </c>
      <c r="BK3564" t="s">
        <v>86</v>
      </c>
      <c r="BL3564" t="s">
        <v>87</v>
      </c>
    </row>
    <row r="3565" spans="1:64" x14ac:dyDescent="0.3">
      <c r="A3565" t="str">
        <f>"202424C0300"</f>
        <v>202424C0300</v>
      </c>
      <c r="B3565" t="str">
        <f>"202424C03003"</f>
        <v>202424C03003</v>
      </c>
      <c r="C3565" t="str">
        <f t="shared" si="256"/>
        <v>20</v>
      </c>
      <c r="D3565" t="s">
        <v>81</v>
      </c>
      <c r="E3565" t="str">
        <f t="shared" si="258"/>
        <v>566</v>
      </c>
      <c r="F3565" t="s">
        <v>3803</v>
      </c>
      <c r="G3565" t="str">
        <f>"2424"</f>
        <v>2424</v>
      </c>
      <c r="H3565" t="str">
        <f>"0003"</f>
        <v>0003</v>
      </c>
      <c r="I3565" t="s">
        <v>89</v>
      </c>
      <c r="J3565">
        <v>0</v>
      </c>
      <c r="K3565">
        <v>1</v>
      </c>
      <c r="L3565">
        <v>3</v>
      </c>
      <c r="M3565">
        <v>281</v>
      </c>
      <c r="N3565">
        <v>516</v>
      </c>
      <c r="O3565">
        <v>2</v>
      </c>
      <c r="P3565">
        <v>516</v>
      </c>
      <c r="Q3565">
        <v>62</v>
      </c>
      <c r="R3565">
        <v>42</v>
      </c>
      <c r="S3565">
        <v>16</v>
      </c>
      <c r="T3565">
        <v>15</v>
      </c>
      <c r="U3565">
        <v>54</v>
      </c>
      <c r="V3565">
        <v>5</v>
      </c>
      <c r="W3565">
        <v>38</v>
      </c>
      <c r="X3565">
        <v>85</v>
      </c>
      <c r="Y3565">
        <v>40</v>
      </c>
      <c r="Z3565">
        <v>36</v>
      </c>
      <c r="AA3565">
        <v>10</v>
      </c>
      <c r="AB3565">
        <v>1</v>
      </c>
      <c r="AC3565">
        <v>14</v>
      </c>
      <c r="AD3565">
        <v>28</v>
      </c>
      <c r="AE3565">
        <v>60</v>
      </c>
      <c r="AW3565">
        <v>0</v>
      </c>
      <c r="AX3565">
        <v>10</v>
      </c>
      <c r="AY3565">
        <v>516</v>
      </c>
      <c r="AZ3565">
        <v>516</v>
      </c>
      <c r="BA3565">
        <v>747</v>
      </c>
      <c r="BB3565">
        <v>50</v>
      </c>
      <c r="BD3565">
        <v>1</v>
      </c>
      <c r="BF3565" t="s">
        <v>3812</v>
      </c>
      <c r="BG3565" s="1">
        <v>44354.057638888888</v>
      </c>
      <c r="BH3565" s="1">
        <v>44354.065312500003</v>
      </c>
      <c r="BI3565" s="1">
        <v>44354.065960648149</v>
      </c>
      <c r="BJ3565" t="s">
        <v>85</v>
      </c>
      <c r="BK3565" t="s">
        <v>86</v>
      </c>
      <c r="BL3565" t="s">
        <v>87</v>
      </c>
    </row>
    <row r="3566" spans="1:64" x14ac:dyDescent="0.3">
      <c r="A3566" t="str">
        <f>"202425B0000"</f>
        <v>202425B0000</v>
      </c>
      <c r="B3566" t="str">
        <f>"202425B00003"</f>
        <v>202425B00003</v>
      </c>
      <c r="C3566" t="str">
        <f t="shared" si="256"/>
        <v>20</v>
      </c>
      <c r="D3566" t="s">
        <v>81</v>
      </c>
      <c r="E3566" t="str">
        <f t="shared" si="258"/>
        <v>566</v>
      </c>
      <c r="F3566" t="s">
        <v>3803</v>
      </c>
      <c r="G3566" t="str">
        <f>"2425"</f>
        <v>2425</v>
      </c>
      <c r="H3566" t="str">
        <f>"0000"</f>
        <v>0000</v>
      </c>
      <c r="I3566" t="s">
        <v>83</v>
      </c>
      <c r="J3566">
        <v>0</v>
      </c>
      <c r="K3566">
        <v>1</v>
      </c>
      <c r="L3566">
        <v>3</v>
      </c>
      <c r="M3566">
        <v>191</v>
      </c>
      <c r="N3566">
        <v>401</v>
      </c>
      <c r="O3566">
        <v>10</v>
      </c>
      <c r="P3566">
        <v>401</v>
      </c>
      <c r="Q3566">
        <v>56</v>
      </c>
      <c r="R3566">
        <v>15</v>
      </c>
      <c r="S3566">
        <v>35</v>
      </c>
      <c r="T3566">
        <v>14</v>
      </c>
      <c r="U3566">
        <v>26</v>
      </c>
      <c r="V3566">
        <v>6</v>
      </c>
      <c r="W3566">
        <v>31</v>
      </c>
      <c r="X3566">
        <v>72</v>
      </c>
      <c r="Y3566">
        <v>25</v>
      </c>
      <c r="Z3566">
        <v>27</v>
      </c>
      <c r="AA3566">
        <v>3</v>
      </c>
      <c r="AB3566">
        <v>1</v>
      </c>
      <c r="AC3566">
        <v>14</v>
      </c>
      <c r="AD3566">
        <v>7</v>
      </c>
      <c r="AE3566">
        <v>61</v>
      </c>
      <c r="AW3566">
        <v>0</v>
      </c>
      <c r="AX3566">
        <v>8</v>
      </c>
      <c r="AY3566">
        <v>401</v>
      </c>
      <c r="AZ3566">
        <v>401</v>
      </c>
      <c r="BA3566">
        <v>542</v>
      </c>
      <c r="BB3566">
        <v>50</v>
      </c>
      <c r="BD3566">
        <v>1</v>
      </c>
      <c r="BF3566" t="s">
        <v>3813</v>
      </c>
      <c r="BG3566" s="1">
        <v>44354.041666666664</v>
      </c>
      <c r="BH3566" s="1">
        <v>44354.051770833335</v>
      </c>
      <c r="BI3566" s="1">
        <v>44354.052372685182</v>
      </c>
      <c r="BJ3566" t="s">
        <v>85</v>
      </c>
      <c r="BK3566" t="s">
        <v>86</v>
      </c>
      <c r="BL3566" t="s">
        <v>87</v>
      </c>
    </row>
    <row r="3567" spans="1:64" x14ac:dyDescent="0.3">
      <c r="A3567" t="str">
        <f>"202425C0100"</f>
        <v>202425C0100</v>
      </c>
      <c r="B3567" t="str">
        <f>"202425C01003"</f>
        <v>202425C01003</v>
      </c>
      <c r="C3567" t="str">
        <f t="shared" si="256"/>
        <v>20</v>
      </c>
      <c r="D3567" t="s">
        <v>81</v>
      </c>
      <c r="E3567" t="str">
        <f t="shared" si="258"/>
        <v>566</v>
      </c>
      <c r="F3567" t="s">
        <v>3803</v>
      </c>
      <c r="G3567" t="str">
        <f>"2425"</f>
        <v>2425</v>
      </c>
      <c r="H3567" t="str">
        <f>"0001"</f>
        <v>0001</v>
      </c>
      <c r="I3567" t="s">
        <v>89</v>
      </c>
      <c r="J3567">
        <v>0</v>
      </c>
      <c r="K3567">
        <v>1</v>
      </c>
      <c r="L3567">
        <v>3</v>
      </c>
      <c r="M3567">
        <v>179</v>
      </c>
      <c r="N3567">
        <v>413</v>
      </c>
      <c r="O3567">
        <v>16</v>
      </c>
      <c r="P3567" t="s">
        <v>92</v>
      </c>
      <c r="Q3567">
        <v>47</v>
      </c>
      <c r="R3567">
        <v>34</v>
      </c>
      <c r="S3567">
        <v>18</v>
      </c>
      <c r="T3567">
        <v>12</v>
      </c>
      <c r="U3567">
        <v>38</v>
      </c>
      <c r="V3567">
        <v>7</v>
      </c>
      <c r="W3567">
        <v>30</v>
      </c>
      <c r="X3567">
        <v>89</v>
      </c>
      <c r="Y3567">
        <v>19</v>
      </c>
      <c r="Z3567">
        <v>25</v>
      </c>
      <c r="AA3567">
        <v>16</v>
      </c>
      <c r="AB3567">
        <v>2</v>
      </c>
      <c r="AC3567">
        <v>13</v>
      </c>
      <c r="AD3567">
        <v>22</v>
      </c>
      <c r="AE3567">
        <v>36</v>
      </c>
      <c r="AW3567" t="s">
        <v>95</v>
      </c>
      <c r="AX3567">
        <v>5</v>
      </c>
      <c r="AY3567">
        <v>413</v>
      </c>
      <c r="AZ3567">
        <v>413</v>
      </c>
      <c r="BA3567">
        <v>542</v>
      </c>
      <c r="BB3567">
        <v>50</v>
      </c>
      <c r="BC3567" t="s">
        <v>96</v>
      </c>
      <c r="BD3567">
        <v>1</v>
      </c>
      <c r="BF3567" t="s">
        <v>3814</v>
      </c>
      <c r="BG3567" s="1">
        <v>44354.043749999997</v>
      </c>
      <c r="BH3567" s="1">
        <v>44354.053032407406</v>
      </c>
      <c r="BI3567" s="1">
        <v>44354.053761574076</v>
      </c>
      <c r="BJ3567" t="s">
        <v>85</v>
      </c>
      <c r="BK3567" t="s">
        <v>86</v>
      </c>
      <c r="BL3567" t="s">
        <v>87</v>
      </c>
    </row>
    <row r="3568" spans="1:64" x14ac:dyDescent="0.3">
      <c r="A3568" t="str">
        <f>"202425C0200"</f>
        <v>202425C0200</v>
      </c>
      <c r="B3568" t="str">
        <f>"202425C02003"</f>
        <v>202425C02003</v>
      </c>
      <c r="C3568" t="str">
        <f t="shared" si="256"/>
        <v>20</v>
      </c>
      <c r="D3568" t="s">
        <v>81</v>
      </c>
      <c r="E3568" t="str">
        <f t="shared" si="258"/>
        <v>566</v>
      </c>
      <c r="F3568" t="s">
        <v>3803</v>
      </c>
      <c r="G3568" t="str">
        <f>"2425"</f>
        <v>2425</v>
      </c>
      <c r="H3568" t="str">
        <f>"0002"</f>
        <v>0002</v>
      </c>
      <c r="I3568" t="s">
        <v>89</v>
      </c>
      <c r="J3568">
        <v>0</v>
      </c>
      <c r="K3568">
        <v>1</v>
      </c>
      <c r="L3568">
        <v>3</v>
      </c>
      <c r="M3568">
        <v>191</v>
      </c>
      <c r="N3568">
        <v>401</v>
      </c>
      <c r="O3568">
        <v>10</v>
      </c>
      <c r="P3568">
        <v>401</v>
      </c>
      <c r="Q3568">
        <v>53</v>
      </c>
      <c r="R3568">
        <v>32</v>
      </c>
      <c r="S3568">
        <v>31</v>
      </c>
      <c r="T3568">
        <v>11</v>
      </c>
      <c r="U3568">
        <v>30</v>
      </c>
      <c r="V3568">
        <v>6</v>
      </c>
      <c r="W3568">
        <v>33</v>
      </c>
      <c r="X3568">
        <v>72</v>
      </c>
      <c r="Y3568">
        <v>24</v>
      </c>
      <c r="Z3568">
        <v>23</v>
      </c>
      <c r="AA3568">
        <v>6</v>
      </c>
      <c r="AB3568">
        <v>2</v>
      </c>
      <c r="AC3568">
        <v>11</v>
      </c>
      <c r="AD3568">
        <v>15</v>
      </c>
      <c r="AE3568">
        <v>47</v>
      </c>
      <c r="AW3568" t="s">
        <v>95</v>
      </c>
      <c r="AX3568">
        <v>5</v>
      </c>
      <c r="AY3568">
        <v>401</v>
      </c>
      <c r="AZ3568">
        <v>401</v>
      </c>
      <c r="BA3568">
        <v>542</v>
      </c>
      <c r="BB3568">
        <v>50</v>
      </c>
      <c r="BC3568" t="s">
        <v>96</v>
      </c>
      <c r="BD3568">
        <v>1</v>
      </c>
      <c r="BF3568" t="s">
        <v>3815</v>
      </c>
      <c r="BG3568" s="1">
        <v>44354.046527777777</v>
      </c>
      <c r="BH3568" s="1">
        <v>44354.054143518515</v>
      </c>
      <c r="BI3568" s="1">
        <v>44354.054803240739</v>
      </c>
      <c r="BJ3568" t="s">
        <v>85</v>
      </c>
      <c r="BK3568" t="s">
        <v>86</v>
      </c>
      <c r="BL3568" t="s">
        <v>87</v>
      </c>
    </row>
    <row r="3569" spans="1:64" x14ac:dyDescent="0.3">
      <c r="A3569" t="str">
        <f>"202426B0000"</f>
        <v>202426B0000</v>
      </c>
      <c r="B3569" t="str">
        <f>"202426B00003"</f>
        <v>202426B00003</v>
      </c>
      <c r="C3569" t="str">
        <f t="shared" si="256"/>
        <v>20</v>
      </c>
      <c r="D3569" t="s">
        <v>81</v>
      </c>
      <c r="E3569" t="str">
        <f t="shared" si="258"/>
        <v>566</v>
      </c>
      <c r="F3569" t="s">
        <v>3803</v>
      </c>
      <c r="G3569" t="str">
        <f t="shared" ref="G3569:G3574" si="259">"2426"</f>
        <v>2426</v>
      </c>
      <c r="H3569" t="str">
        <f>"0000"</f>
        <v>0000</v>
      </c>
      <c r="I3569" t="s">
        <v>83</v>
      </c>
      <c r="J3569">
        <v>0</v>
      </c>
      <c r="K3569">
        <v>1</v>
      </c>
      <c r="L3569">
        <v>3</v>
      </c>
      <c r="M3569">
        <v>283</v>
      </c>
      <c r="N3569">
        <v>491</v>
      </c>
      <c r="O3569">
        <v>6</v>
      </c>
      <c r="P3569">
        <v>491</v>
      </c>
      <c r="Q3569">
        <v>41</v>
      </c>
      <c r="R3569">
        <v>24</v>
      </c>
      <c r="S3569">
        <v>29</v>
      </c>
      <c r="T3569">
        <v>19</v>
      </c>
      <c r="U3569">
        <v>38</v>
      </c>
      <c r="V3569">
        <v>8</v>
      </c>
      <c r="W3569">
        <v>51</v>
      </c>
      <c r="X3569">
        <v>83</v>
      </c>
      <c r="Y3569">
        <v>42</v>
      </c>
      <c r="Z3569">
        <v>54</v>
      </c>
      <c r="AA3569">
        <v>5</v>
      </c>
      <c r="AB3569">
        <v>23</v>
      </c>
      <c r="AC3569">
        <v>10</v>
      </c>
      <c r="AD3569">
        <v>16</v>
      </c>
      <c r="AE3569">
        <v>39</v>
      </c>
      <c r="AW3569">
        <v>0</v>
      </c>
      <c r="AX3569">
        <v>9</v>
      </c>
      <c r="AY3569">
        <v>491</v>
      </c>
      <c r="AZ3569">
        <v>491</v>
      </c>
      <c r="BA3569">
        <v>724</v>
      </c>
      <c r="BB3569">
        <v>50</v>
      </c>
      <c r="BD3569">
        <v>1</v>
      </c>
      <c r="BF3569" t="s">
        <v>3816</v>
      </c>
      <c r="BG3569" s="1">
        <v>44354.11041666667</v>
      </c>
      <c r="BH3569" s="1">
        <v>44354.115798611114</v>
      </c>
      <c r="BI3569" s="1">
        <v>44354.116319444445</v>
      </c>
      <c r="BJ3569" t="s">
        <v>85</v>
      </c>
      <c r="BK3569" t="s">
        <v>86</v>
      </c>
      <c r="BL3569" t="s">
        <v>87</v>
      </c>
    </row>
    <row r="3570" spans="1:64" x14ac:dyDescent="0.3">
      <c r="A3570" t="str">
        <f>"202426C0100"</f>
        <v>202426C0100</v>
      </c>
      <c r="B3570" t="str">
        <f>"202426C01003"</f>
        <v>202426C01003</v>
      </c>
      <c r="C3570" t="str">
        <f t="shared" si="256"/>
        <v>20</v>
      </c>
      <c r="D3570" t="s">
        <v>81</v>
      </c>
      <c r="E3570" t="str">
        <f t="shared" si="258"/>
        <v>566</v>
      </c>
      <c r="F3570" t="s">
        <v>3803</v>
      </c>
      <c r="G3570" t="str">
        <f t="shared" si="259"/>
        <v>2426</v>
      </c>
      <c r="H3570" t="str">
        <f>"0001"</f>
        <v>0001</v>
      </c>
      <c r="I3570" t="s">
        <v>89</v>
      </c>
      <c r="J3570">
        <v>0</v>
      </c>
      <c r="K3570">
        <v>1</v>
      </c>
      <c r="L3570">
        <v>3</v>
      </c>
      <c r="M3570">
        <v>340</v>
      </c>
      <c r="N3570">
        <v>435</v>
      </c>
      <c r="O3570">
        <v>12</v>
      </c>
      <c r="P3570">
        <v>433</v>
      </c>
      <c r="Q3570">
        <v>45</v>
      </c>
      <c r="R3570">
        <v>19</v>
      </c>
      <c r="S3570">
        <v>23</v>
      </c>
      <c r="T3570">
        <v>16</v>
      </c>
      <c r="U3570">
        <v>57</v>
      </c>
      <c r="V3570">
        <v>5</v>
      </c>
      <c r="W3570">
        <v>17</v>
      </c>
      <c r="X3570">
        <v>65</v>
      </c>
      <c r="Y3570">
        <v>33</v>
      </c>
      <c r="Z3570">
        <v>39</v>
      </c>
      <c r="AA3570">
        <v>4</v>
      </c>
      <c r="AB3570">
        <v>19</v>
      </c>
      <c r="AC3570">
        <v>11</v>
      </c>
      <c r="AD3570">
        <v>13</v>
      </c>
      <c r="AE3570">
        <v>59</v>
      </c>
      <c r="AW3570">
        <v>0</v>
      </c>
      <c r="AX3570">
        <v>8</v>
      </c>
      <c r="AY3570">
        <v>433</v>
      </c>
      <c r="AZ3570">
        <v>433</v>
      </c>
      <c r="BA3570">
        <v>724</v>
      </c>
      <c r="BB3570">
        <v>50</v>
      </c>
      <c r="BD3570">
        <v>1</v>
      </c>
      <c r="BF3570" t="s">
        <v>3817</v>
      </c>
      <c r="BG3570" s="1">
        <v>44353.75</v>
      </c>
      <c r="BH3570" s="1">
        <v>44354.116400462961</v>
      </c>
      <c r="BI3570" s="1">
        <v>44354.116886574076</v>
      </c>
      <c r="BJ3570" t="s">
        <v>85</v>
      </c>
      <c r="BK3570" t="s">
        <v>86</v>
      </c>
      <c r="BL3570" t="s">
        <v>87</v>
      </c>
    </row>
    <row r="3571" spans="1:64" x14ac:dyDescent="0.3">
      <c r="A3571" t="str">
        <f>"202426C0200"</f>
        <v>202426C0200</v>
      </c>
      <c r="B3571" t="str">
        <f>"202426C02003"</f>
        <v>202426C02003</v>
      </c>
      <c r="C3571" t="str">
        <f t="shared" si="256"/>
        <v>20</v>
      </c>
      <c r="D3571" t="s">
        <v>81</v>
      </c>
      <c r="E3571" t="str">
        <f t="shared" si="258"/>
        <v>566</v>
      </c>
      <c r="F3571" t="s">
        <v>3803</v>
      </c>
      <c r="G3571" t="str">
        <f t="shared" si="259"/>
        <v>2426</v>
      </c>
      <c r="H3571" t="str">
        <f>"0002"</f>
        <v>0002</v>
      </c>
      <c r="I3571" t="s">
        <v>89</v>
      </c>
      <c r="J3571">
        <v>0</v>
      </c>
      <c r="K3571">
        <v>1</v>
      </c>
      <c r="L3571">
        <v>3</v>
      </c>
      <c r="M3571">
        <v>281</v>
      </c>
      <c r="N3571">
        <v>493</v>
      </c>
      <c r="O3571">
        <v>7</v>
      </c>
      <c r="P3571">
        <v>493</v>
      </c>
      <c r="Q3571">
        <v>40</v>
      </c>
      <c r="R3571">
        <v>20</v>
      </c>
      <c r="S3571">
        <v>56</v>
      </c>
      <c r="T3571">
        <v>32</v>
      </c>
      <c r="U3571">
        <v>42</v>
      </c>
      <c r="V3571">
        <v>20</v>
      </c>
      <c r="W3571">
        <v>36</v>
      </c>
      <c r="X3571">
        <v>89</v>
      </c>
      <c r="Y3571">
        <v>25</v>
      </c>
      <c r="Z3571">
        <v>38</v>
      </c>
      <c r="AA3571">
        <v>3</v>
      </c>
      <c r="AB3571">
        <v>11</v>
      </c>
      <c r="AC3571">
        <v>7</v>
      </c>
      <c r="AD3571">
        <v>18</v>
      </c>
      <c r="AE3571">
        <v>43</v>
      </c>
      <c r="AW3571">
        <v>0</v>
      </c>
      <c r="AX3571">
        <v>13</v>
      </c>
      <c r="AY3571">
        <v>493</v>
      </c>
      <c r="AZ3571">
        <v>493</v>
      </c>
      <c r="BA3571">
        <v>724</v>
      </c>
      <c r="BB3571">
        <v>50</v>
      </c>
      <c r="BD3571">
        <v>1</v>
      </c>
      <c r="BF3571" t="s">
        <v>3818</v>
      </c>
      <c r="BG3571" s="1">
        <v>44354.113194444442</v>
      </c>
      <c r="BH3571" s="1">
        <v>44354.116736111115</v>
      </c>
      <c r="BI3571" s="1">
        <v>44354.117337962962</v>
      </c>
      <c r="BJ3571" t="s">
        <v>85</v>
      </c>
      <c r="BK3571" t="s">
        <v>86</v>
      </c>
      <c r="BL3571" t="s">
        <v>87</v>
      </c>
    </row>
    <row r="3572" spans="1:64" x14ac:dyDescent="0.3">
      <c r="A3572" t="str">
        <f>"202426C0300"</f>
        <v>202426C0300</v>
      </c>
      <c r="B3572" t="str">
        <f>"202426C03003"</f>
        <v>202426C03003</v>
      </c>
      <c r="C3572" t="str">
        <f t="shared" si="256"/>
        <v>20</v>
      </c>
      <c r="D3572" t="s">
        <v>81</v>
      </c>
      <c r="E3572" t="str">
        <f t="shared" si="258"/>
        <v>566</v>
      </c>
      <c r="F3572" t="s">
        <v>3803</v>
      </c>
      <c r="G3572" t="str">
        <f t="shared" si="259"/>
        <v>2426</v>
      </c>
      <c r="H3572" t="str">
        <f>"0003"</f>
        <v>0003</v>
      </c>
      <c r="I3572" t="s">
        <v>89</v>
      </c>
      <c r="J3572">
        <v>0</v>
      </c>
      <c r="K3572">
        <v>1</v>
      </c>
      <c r="L3572">
        <v>3</v>
      </c>
      <c r="M3572">
        <v>312</v>
      </c>
      <c r="N3572">
        <v>461</v>
      </c>
      <c r="O3572">
        <v>10</v>
      </c>
      <c r="P3572">
        <v>461</v>
      </c>
      <c r="Q3572">
        <v>45</v>
      </c>
      <c r="R3572">
        <v>24</v>
      </c>
      <c r="S3572">
        <v>34</v>
      </c>
      <c r="T3572">
        <v>11</v>
      </c>
      <c r="U3572">
        <v>65</v>
      </c>
      <c r="V3572">
        <v>13</v>
      </c>
      <c r="W3572">
        <v>22</v>
      </c>
      <c r="X3572">
        <v>70</v>
      </c>
      <c r="Y3572">
        <v>38</v>
      </c>
      <c r="Z3572">
        <v>26</v>
      </c>
      <c r="AA3572">
        <v>5</v>
      </c>
      <c r="AB3572">
        <v>8</v>
      </c>
      <c r="AC3572">
        <v>14</v>
      </c>
      <c r="AD3572">
        <v>12</v>
      </c>
      <c r="AE3572">
        <v>66</v>
      </c>
      <c r="AW3572">
        <v>0</v>
      </c>
      <c r="AX3572">
        <v>8</v>
      </c>
      <c r="AY3572">
        <v>461</v>
      </c>
      <c r="AZ3572">
        <v>461</v>
      </c>
      <c r="BA3572">
        <v>724</v>
      </c>
      <c r="BB3572">
        <v>50</v>
      </c>
      <c r="BD3572">
        <v>1</v>
      </c>
      <c r="BF3572" t="s">
        <v>3819</v>
      </c>
      <c r="BG3572" s="1">
        <v>44353.830555555556</v>
      </c>
      <c r="BH3572" s="1">
        <v>44354.117060185185</v>
      </c>
      <c r="BI3572" s="1">
        <v>44354.117928240739</v>
      </c>
      <c r="BJ3572" t="s">
        <v>85</v>
      </c>
      <c r="BK3572" t="s">
        <v>86</v>
      </c>
      <c r="BL3572" t="s">
        <v>87</v>
      </c>
    </row>
    <row r="3573" spans="1:64" x14ac:dyDescent="0.3">
      <c r="A3573" t="str">
        <f>"202426E0100"</f>
        <v>202426E0100</v>
      </c>
      <c r="B3573" t="str">
        <f>"202426E01003"</f>
        <v>202426E01003</v>
      </c>
      <c r="C3573" t="str">
        <f t="shared" si="256"/>
        <v>20</v>
      </c>
      <c r="D3573" t="s">
        <v>81</v>
      </c>
      <c r="E3573" t="str">
        <f t="shared" si="258"/>
        <v>566</v>
      </c>
      <c r="F3573" t="s">
        <v>3803</v>
      </c>
      <c r="G3573" t="str">
        <f t="shared" si="259"/>
        <v>2426</v>
      </c>
      <c r="H3573" t="str">
        <f>"0001"</f>
        <v>0001</v>
      </c>
      <c r="I3573" t="s">
        <v>122</v>
      </c>
      <c r="J3573">
        <v>0</v>
      </c>
      <c r="K3573">
        <v>1</v>
      </c>
      <c r="L3573">
        <v>3</v>
      </c>
      <c r="M3573">
        <v>293</v>
      </c>
      <c r="N3573">
        <v>263</v>
      </c>
      <c r="O3573">
        <v>10</v>
      </c>
      <c r="P3573">
        <v>263</v>
      </c>
      <c r="Q3573">
        <v>23</v>
      </c>
      <c r="R3573">
        <v>36</v>
      </c>
      <c r="S3573">
        <v>6</v>
      </c>
      <c r="T3573">
        <v>5</v>
      </c>
      <c r="U3573">
        <v>17</v>
      </c>
      <c r="V3573">
        <v>8</v>
      </c>
      <c r="W3573">
        <v>21</v>
      </c>
      <c r="X3573">
        <v>84</v>
      </c>
      <c r="Y3573">
        <v>16</v>
      </c>
      <c r="Z3573">
        <v>18</v>
      </c>
      <c r="AA3573">
        <v>0</v>
      </c>
      <c r="AB3573">
        <v>1</v>
      </c>
      <c r="AC3573">
        <v>7</v>
      </c>
      <c r="AD3573">
        <v>6</v>
      </c>
      <c r="AE3573">
        <v>11</v>
      </c>
      <c r="AW3573">
        <v>0</v>
      </c>
      <c r="AX3573">
        <v>4</v>
      </c>
      <c r="AY3573">
        <v>263</v>
      </c>
      <c r="AZ3573">
        <v>263</v>
      </c>
      <c r="BA3573">
        <v>506</v>
      </c>
      <c r="BB3573">
        <v>50</v>
      </c>
      <c r="BD3573">
        <v>1</v>
      </c>
      <c r="BF3573" t="s">
        <v>3820</v>
      </c>
      <c r="BG3573" s="1">
        <v>44354.015972222223</v>
      </c>
      <c r="BH3573" s="1">
        <v>44354.034247685187</v>
      </c>
      <c r="BI3573" s="1">
        <v>44354.034884259258</v>
      </c>
      <c r="BJ3573" t="s">
        <v>85</v>
      </c>
      <c r="BK3573" t="s">
        <v>86</v>
      </c>
      <c r="BL3573" t="s">
        <v>87</v>
      </c>
    </row>
    <row r="3574" spans="1:64" x14ac:dyDescent="0.3">
      <c r="A3574" t="str">
        <f>"202426E0101"</f>
        <v>202426E0101</v>
      </c>
      <c r="B3574" t="str">
        <f>"202426E01013"</f>
        <v>202426E01013</v>
      </c>
      <c r="C3574" t="str">
        <f t="shared" si="256"/>
        <v>20</v>
      </c>
      <c r="D3574" t="s">
        <v>81</v>
      </c>
      <c r="E3574" t="str">
        <f t="shared" si="258"/>
        <v>566</v>
      </c>
      <c r="F3574" t="s">
        <v>3803</v>
      </c>
      <c r="G3574" t="str">
        <f t="shared" si="259"/>
        <v>2426</v>
      </c>
      <c r="H3574" t="str">
        <f>"0001"</f>
        <v>0001</v>
      </c>
      <c r="I3574" t="s">
        <v>122</v>
      </c>
      <c r="J3574">
        <v>1</v>
      </c>
      <c r="K3574">
        <v>1</v>
      </c>
      <c r="L3574">
        <v>3</v>
      </c>
      <c r="M3574">
        <v>303</v>
      </c>
      <c r="N3574">
        <v>253</v>
      </c>
      <c r="O3574">
        <v>16</v>
      </c>
      <c r="P3574">
        <v>253</v>
      </c>
      <c r="Q3574">
        <v>22</v>
      </c>
      <c r="R3574">
        <v>39</v>
      </c>
      <c r="S3574">
        <v>14</v>
      </c>
      <c r="T3574">
        <v>9</v>
      </c>
      <c r="U3574">
        <v>17</v>
      </c>
      <c r="V3574">
        <v>3</v>
      </c>
      <c r="W3574">
        <v>22</v>
      </c>
      <c r="X3574">
        <v>68</v>
      </c>
      <c r="Y3574">
        <v>8</v>
      </c>
      <c r="Z3574">
        <v>15</v>
      </c>
      <c r="AA3574">
        <v>0</v>
      </c>
      <c r="AB3574">
        <v>3</v>
      </c>
      <c r="AC3574">
        <v>12</v>
      </c>
      <c r="AD3574">
        <v>5</v>
      </c>
      <c r="AE3574">
        <v>10</v>
      </c>
      <c r="AW3574">
        <v>0</v>
      </c>
      <c r="AX3574">
        <v>6</v>
      </c>
      <c r="AY3574">
        <v>253</v>
      </c>
      <c r="AZ3574">
        <v>253</v>
      </c>
      <c r="BA3574">
        <v>506</v>
      </c>
      <c r="BB3574">
        <v>50</v>
      </c>
      <c r="BD3574">
        <v>1</v>
      </c>
      <c r="BF3574" t="s">
        <v>3821</v>
      </c>
      <c r="BG3574" s="1">
        <v>44354.017361111109</v>
      </c>
      <c r="BH3574" s="1">
        <v>44354.037442129629</v>
      </c>
      <c r="BI3574" s="1">
        <v>44354.038217592592</v>
      </c>
      <c r="BJ3574" t="s">
        <v>85</v>
      </c>
      <c r="BK3574" t="s">
        <v>86</v>
      </c>
      <c r="BL3574" t="s">
        <v>87</v>
      </c>
    </row>
    <row r="3575" spans="1:64" x14ac:dyDescent="0.3">
      <c r="A3575" t="str">
        <f>"202427B0000"</f>
        <v>202427B0000</v>
      </c>
      <c r="B3575" t="str">
        <f>"202427B00003"</f>
        <v>202427B00003</v>
      </c>
      <c r="C3575" t="str">
        <f t="shared" si="256"/>
        <v>20</v>
      </c>
      <c r="D3575" t="s">
        <v>81</v>
      </c>
      <c r="E3575" t="str">
        <f t="shared" si="258"/>
        <v>566</v>
      </c>
      <c r="F3575" t="s">
        <v>3803</v>
      </c>
      <c r="G3575" t="str">
        <f>"2427"</f>
        <v>2427</v>
      </c>
      <c r="H3575" t="str">
        <f>"0000"</f>
        <v>0000</v>
      </c>
      <c r="I3575" t="s">
        <v>83</v>
      </c>
      <c r="J3575">
        <v>0</v>
      </c>
      <c r="K3575">
        <v>1</v>
      </c>
      <c r="L3575">
        <v>3</v>
      </c>
      <c r="M3575">
        <v>203</v>
      </c>
      <c r="N3575">
        <v>496</v>
      </c>
      <c r="O3575">
        <v>16</v>
      </c>
      <c r="P3575">
        <v>496</v>
      </c>
      <c r="Q3575">
        <v>37</v>
      </c>
      <c r="R3575">
        <v>46</v>
      </c>
      <c r="S3575">
        <v>32</v>
      </c>
      <c r="T3575">
        <v>11</v>
      </c>
      <c r="U3575">
        <v>52</v>
      </c>
      <c r="V3575">
        <v>12</v>
      </c>
      <c r="W3575">
        <v>24</v>
      </c>
      <c r="X3575">
        <v>72</v>
      </c>
      <c r="Y3575">
        <v>38</v>
      </c>
      <c r="Z3575">
        <v>51</v>
      </c>
      <c r="AA3575">
        <v>6</v>
      </c>
      <c r="AB3575">
        <v>18</v>
      </c>
      <c r="AC3575">
        <v>15</v>
      </c>
      <c r="AD3575">
        <v>22</v>
      </c>
      <c r="AE3575">
        <v>52</v>
      </c>
      <c r="AW3575">
        <v>0</v>
      </c>
      <c r="AX3575">
        <v>8</v>
      </c>
      <c r="AY3575">
        <v>496</v>
      </c>
      <c r="AZ3575">
        <v>496</v>
      </c>
      <c r="BA3575">
        <v>649</v>
      </c>
      <c r="BB3575">
        <v>50</v>
      </c>
      <c r="BD3575">
        <v>1</v>
      </c>
      <c r="BF3575" t="s">
        <v>3822</v>
      </c>
      <c r="BG3575" s="1">
        <v>44354.029861111114</v>
      </c>
      <c r="BH3575" s="1">
        <v>44354.041666666664</v>
      </c>
      <c r="BI3575" s="1">
        <v>44354.042337962965</v>
      </c>
      <c r="BJ3575" t="s">
        <v>85</v>
      </c>
      <c r="BK3575" t="s">
        <v>86</v>
      </c>
      <c r="BL3575" t="s">
        <v>87</v>
      </c>
    </row>
    <row r="3576" spans="1:64" x14ac:dyDescent="0.3">
      <c r="A3576" t="str">
        <f>"202427C0100"</f>
        <v>202427C0100</v>
      </c>
      <c r="B3576" t="str">
        <f>"202427C01003"</f>
        <v>202427C01003</v>
      </c>
      <c r="C3576" t="str">
        <f t="shared" si="256"/>
        <v>20</v>
      </c>
      <c r="D3576" t="s">
        <v>81</v>
      </c>
      <c r="E3576" t="str">
        <f t="shared" si="258"/>
        <v>566</v>
      </c>
      <c r="F3576" t="s">
        <v>3803</v>
      </c>
      <c r="G3576" t="str">
        <f>"2427"</f>
        <v>2427</v>
      </c>
      <c r="H3576" t="str">
        <f>"0001"</f>
        <v>0001</v>
      </c>
      <c r="I3576" t="s">
        <v>89</v>
      </c>
      <c r="J3576">
        <v>0</v>
      </c>
      <c r="K3576">
        <v>1</v>
      </c>
      <c r="L3576">
        <v>3</v>
      </c>
      <c r="M3576">
        <v>218</v>
      </c>
      <c r="N3576">
        <v>478</v>
      </c>
      <c r="O3576">
        <v>478</v>
      </c>
      <c r="P3576">
        <v>481</v>
      </c>
      <c r="Q3576">
        <v>42</v>
      </c>
      <c r="R3576">
        <v>65</v>
      </c>
      <c r="S3576">
        <v>38</v>
      </c>
      <c r="T3576">
        <v>6</v>
      </c>
      <c r="U3576">
        <v>51</v>
      </c>
      <c r="V3576">
        <v>3</v>
      </c>
      <c r="W3576">
        <v>18</v>
      </c>
      <c r="X3576">
        <v>86</v>
      </c>
      <c r="Y3576">
        <v>34</v>
      </c>
      <c r="Z3576">
        <v>37</v>
      </c>
      <c r="AA3576">
        <v>4</v>
      </c>
      <c r="AB3576">
        <v>10</v>
      </c>
      <c r="AC3576">
        <v>16</v>
      </c>
      <c r="AD3576">
        <v>23</v>
      </c>
      <c r="AE3576">
        <v>41</v>
      </c>
      <c r="AW3576">
        <v>0</v>
      </c>
      <c r="AX3576">
        <v>7</v>
      </c>
      <c r="AY3576">
        <v>481</v>
      </c>
      <c r="AZ3576">
        <v>481</v>
      </c>
      <c r="BA3576">
        <v>649</v>
      </c>
      <c r="BB3576">
        <v>50</v>
      </c>
      <c r="BD3576">
        <v>1</v>
      </c>
      <c r="BF3576" t="s">
        <v>3823</v>
      </c>
      <c r="BG3576" s="1">
        <v>44353.919444444444</v>
      </c>
      <c r="BH3576" s="1">
        <v>44354.040393518517</v>
      </c>
      <c r="BI3576" s="1">
        <v>44354.041238425925</v>
      </c>
      <c r="BJ3576" t="s">
        <v>85</v>
      </c>
      <c r="BK3576" t="s">
        <v>86</v>
      </c>
      <c r="BL3576" t="s">
        <v>87</v>
      </c>
    </row>
    <row r="3577" spans="1:64" x14ac:dyDescent="0.3">
      <c r="A3577" t="str">
        <f>"202427E0100"</f>
        <v>202427E0100</v>
      </c>
      <c r="B3577" t="str">
        <f>"202427E01003"</f>
        <v>202427E01003</v>
      </c>
      <c r="C3577" t="str">
        <f t="shared" si="256"/>
        <v>20</v>
      </c>
      <c r="D3577" t="s">
        <v>81</v>
      </c>
      <c r="E3577" t="str">
        <f t="shared" si="258"/>
        <v>566</v>
      </c>
      <c r="F3577" t="s">
        <v>3803</v>
      </c>
      <c r="G3577" t="str">
        <f>"2427"</f>
        <v>2427</v>
      </c>
      <c r="H3577" t="str">
        <f>"0001"</f>
        <v>0001</v>
      </c>
      <c r="I3577" t="s">
        <v>122</v>
      </c>
      <c r="J3577">
        <v>0</v>
      </c>
      <c r="K3577">
        <v>1</v>
      </c>
      <c r="L3577">
        <v>3</v>
      </c>
      <c r="M3577">
        <v>228</v>
      </c>
      <c r="N3577">
        <v>385</v>
      </c>
      <c r="O3577">
        <v>13</v>
      </c>
      <c r="P3577">
        <v>385</v>
      </c>
      <c r="Q3577">
        <v>24</v>
      </c>
      <c r="R3577">
        <v>25</v>
      </c>
      <c r="S3577">
        <v>9</v>
      </c>
      <c r="T3577">
        <v>14</v>
      </c>
      <c r="U3577">
        <v>119</v>
      </c>
      <c r="V3577">
        <v>3</v>
      </c>
      <c r="W3577">
        <v>61</v>
      </c>
      <c r="X3577">
        <v>42</v>
      </c>
      <c r="Y3577">
        <v>5</v>
      </c>
      <c r="Z3577">
        <v>25</v>
      </c>
      <c r="AA3577">
        <v>2</v>
      </c>
      <c r="AB3577">
        <v>4</v>
      </c>
      <c r="AC3577">
        <v>1</v>
      </c>
      <c r="AD3577">
        <v>10</v>
      </c>
      <c r="AE3577">
        <v>23</v>
      </c>
      <c r="AW3577" t="s">
        <v>95</v>
      </c>
      <c r="AX3577">
        <v>18</v>
      </c>
      <c r="AY3577">
        <v>385</v>
      </c>
      <c r="AZ3577">
        <v>385</v>
      </c>
      <c r="BA3577">
        <v>565</v>
      </c>
      <c r="BB3577">
        <v>50</v>
      </c>
      <c r="BC3577" t="s">
        <v>96</v>
      </c>
      <c r="BD3577">
        <v>1</v>
      </c>
      <c r="BF3577" t="s">
        <v>3824</v>
      </c>
      <c r="BG3577" s="1">
        <v>44354.05972222222</v>
      </c>
      <c r="BH3577" s="1">
        <v>44354.065972222219</v>
      </c>
      <c r="BI3577" s="1">
        <v>44354.066504629627</v>
      </c>
      <c r="BJ3577" t="s">
        <v>85</v>
      </c>
      <c r="BK3577" t="s">
        <v>86</v>
      </c>
      <c r="BL3577" t="s">
        <v>87</v>
      </c>
    </row>
    <row r="3578" spans="1:64" x14ac:dyDescent="0.3">
      <c r="A3578" t="str">
        <f>"202428B0000"</f>
        <v>202428B0000</v>
      </c>
      <c r="B3578" t="str">
        <f>"202428B00003"</f>
        <v>202428B00003</v>
      </c>
      <c r="C3578" t="str">
        <f t="shared" si="256"/>
        <v>20</v>
      </c>
      <c r="D3578" t="s">
        <v>81</v>
      </c>
      <c r="E3578" t="str">
        <f t="shared" si="258"/>
        <v>566</v>
      </c>
      <c r="F3578" t="s">
        <v>3803</v>
      </c>
      <c r="G3578" t="str">
        <f t="shared" ref="G3578:G3601" si="260">"2428"</f>
        <v>2428</v>
      </c>
      <c r="H3578" t="str">
        <f>"0000"</f>
        <v>0000</v>
      </c>
      <c r="I3578" t="s">
        <v>83</v>
      </c>
      <c r="J3578">
        <v>0</v>
      </c>
      <c r="K3578">
        <v>1</v>
      </c>
      <c r="L3578">
        <v>3</v>
      </c>
      <c r="M3578">
        <v>222</v>
      </c>
      <c r="N3578">
        <v>330</v>
      </c>
      <c r="O3578">
        <v>5</v>
      </c>
      <c r="P3578">
        <v>330</v>
      </c>
      <c r="Q3578">
        <v>44</v>
      </c>
      <c r="R3578">
        <v>29</v>
      </c>
      <c r="S3578">
        <v>18</v>
      </c>
      <c r="T3578">
        <v>9</v>
      </c>
      <c r="U3578">
        <v>24</v>
      </c>
      <c r="V3578">
        <v>1</v>
      </c>
      <c r="W3578">
        <v>27</v>
      </c>
      <c r="X3578">
        <v>51</v>
      </c>
      <c r="Y3578">
        <v>31</v>
      </c>
      <c r="Z3578">
        <v>23</v>
      </c>
      <c r="AA3578">
        <v>9</v>
      </c>
      <c r="AB3578">
        <v>11</v>
      </c>
      <c r="AC3578">
        <v>11</v>
      </c>
      <c r="AD3578">
        <v>12</v>
      </c>
      <c r="AE3578">
        <v>24</v>
      </c>
      <c r="AW3578">
        <v>0</v>
      </c>
      <c r="AX3578">
        <v>6</v>
      </c>
      <c r="AY3578">
        <v>330</v>
      </c>
      <c r="AZ3578">
        <v>330</v>
      </c>
      <c r="BA3578">
        <v>502</v>
      </c>
      <c r="BB3578">
        <v>50</v>
      </c>
      <c r="BD3578">
        <v>1</v>
      </c>
      <c r="BF3578" t="s">
        <v>3825</v>
      </c>
      <c r="BG3578" s="1">
        <v>44354.118750000001</v>
      </c>
      <c r="BH3578" s="1">
        <v>44354.12127314815</v>
      </c>
      <c r="BI3578" s="1">
        <v>44354.122118055559</v>
      </c>
      <c r="BJ3578" t="s">
        <v>85</v>
      </c>
      <c r="BK3578" t="s">
        <v>86</v>
      </c>
      <c r="BL3578" t="s">
        <v>87</v>
      </c>
    </row>
    <row r="3579" spans="1:64" x14ac:dyDescent="0.3">
      <c r="A3579" t="str">
        <f>"202428C0100"</f>
        <v>202428C0100</v>
      </c>
      <c r="B3579" t="str">
        <f>"202428C01003"</f>
        <v>202428C01003</v>
      </c>
      <c r="C3579" t="str">
        <f t="shared" si="256"/>
        <v>20</v>
      </c>
      <c r="D3579" t="s">
        <v>81</v>
      </c>
      <c r="E3579" t="str">
        <f t="shared" si="258"/>
        <v>566</v>
      </c>
      <c r="F3579" t="s">
        <v>3803</v>
      </c>
      <c r="G3579" t="str">
        <f t="shared" si="260"/>
        <v>2428</v>
      </c>
      <c r="H3579" t="str">
        <f>"0001"</f>
        <v>0001</v>
      </c>
      <c r="I3579" t="s">
        <v>89</v>
      </c>
      <c r="J3579">
        <v>0</v>
      </c>
      <c r="K3579">
        <v>1</v>
      </c>
      <c r="L3579">
        <v>3</v>
      </c>
      <c r="M3579">
        <v>205</v>
      </c>
      <c r="N3579">
        <v>344</v>
      </c>
      <c r="O3579">
        <v>4</v>
      </c>
      <c r="P3579">
        <v>347</v>
      </c>
      <c r="Q3579">
        <v>37</v>
      </c>
      <c r="R3579">
        <v>28</v>
      </c>
      <c r="S3579">
        <v>19</v>
      </c>
      <c r="T3579">
        <v>17</v>
      </c>
      <c r="U3579">
        <v>41</v>
      </c>
      <c r="V3579">
        <v>4</v>
      </c>
      <c r="W3579">
        <v>19</v>
      </c>
      <c r="X3579">
        <v>55</v>
      </c>
      <c r="Y3579">
        <v>16</v>
      </c>
      <c r="Z3579">
        <v>17</v>
      </c>
      <c r="AA3579">
        <v>23</v>
      </c>
      <c r="AB3579">
        <v>10</v>
      </c>
      <c r="AC3579">
        <v>7</v>
      </c>
      <c r="AD3579">
        <v>22</v>
      </c>
      <c r="AE3579">
        <v>26</v>
      </c>
      <c r="AW3579">
        <v>0</v>
      </c>
      <c r="AX3579">
        <v>6</v>
      </c>
      <c r="AY3579">
        <v>347</v>
      </c>
      <c r="AZ3579">
        <v>347</v>
      </c>
      <c r="BA3579">
        <v>502</v>
      </c>
      <c r="BB3579">
        <v>50</v>
      </c>
      <c r="BD3579">
        <v>1</v>
      </c>
      <c r="BF3579" t="s">
        <v>3826</v>
      </c>
      <c r="BG3579" s="1">
        <v>44354.119444444441</v>
      </c>
      <c r="BH3579" s="1">
        <v>44354.122083333335</v>
      </c>
      <c r="BI3579" s="1">
        <v>44354.122870370367</v>
      </c>
      <c r="BJ3579" t="s">
        <v>85</v>
      </c>
      <c r="BK3579" t="s">
        <v>86</v>
      </c>
      <c r="BL3579" t="s">
        <v>87</v>
      </c>
    </row>
    <row r="3580" spans="1:64" x14ac:dyDescent="0.3">
      <c r="A3580" t="str">
        <f>"202428C0200"</f>
        <v>202428C0200</v>
      </c>
      <c r="B3580" t="str">
        <f>"202428C02003"</f>
        <v>202428C02003</v>
      </c>
      <c r="C3580" t="str">
        <f t="shared" si="256"/>
        <v>20</v>
      </c>
      <c r="D3580" t="s">
        <v>81</v>
      </c>
      <c r="E3580" t="str">
        <f t="shared" si="258"/>
        <v>566</v>
      </c>
      <c r="F3580" t="s">
        <v>3803</v>
      </c>
      <c r="G3580" t="str">
        <f t="shared" si="260"/>
        <v>2428</v>
      </c>
      <c r="H3580" t="str">
        <f>"0002"</f>
        <v>0002</v>
      </c>
      <c r="I3580" t="s">
        <v>89</v>
      </c>
      <c r="J3580">
        <v>0</v>
      </c>
      <c r="K3580">
        <v>1</v>
      </c>
      <c r="L3580">
        <v>3</v>
      </c>
      <c r="M3580">
        <v>218</v>
      </c>
      <c r="N3580">
        <v>333</v>
      </c>
      <c r="O3580">
        <v>8</v>
      </c>
      <c r="P3580">
        <v>333</v>
      </c>
      <c r="Q3580">
        <v>25</v>
      </c>
      <c r="R3580">
        <v>41</v>
      </c>
      <c r="S3580">
        <v>26</v>
      </c>
      <c r="T3580">
        <v>9</v>
      </c>
      <c r="U3580">
        <v>30</v>
      </c>
      <c r="V3580">
        <v>6</v>
      </c>
      <c r="W3580">
        <v>21</v>
      </c>
      <c r="X3580">
        <v>41</v>
      </c>
      <c r="Y3580">
        <v>27</v>
      </c>
      <c r="Z3580">
        <v>24</v>
      </c>
      <c r="AA3580">
        <v>20</v>
      </c>
      <c r="AB3580">
        <v>10</v>
      </c>
      <c r="AC3580">
        <v>5</v>
      </c>
      <c r="AD3580">
        <v>24</v>
      </c>
      <c r="AE3580">
        <v>18</v>
      </c>
      <c r="AW3580">
        <v>0</v>
      </c>
      <c r="AX3580">
        <v>6</v>
      </c>
      <c r="AY3580">
        <v>333</v>
      </c>
      <c r="AZ3580">
        <v>333</v>
      </c>
      <c r="BA3580">
        <v>501</v>
      </c>
      <c r="BB3580">
        <v>50</v>
      </c>
      <c r="BD3580">
        <v>1</v>
      </c>
      <c r="BF3580" t="s">
        <v>3827</v>
      </c>
      <c r="BG3580" s="1">
        <v>44354.121527777781</v>
      </c>
      <c r="BH3580" s="1">
        <v>44354.124039351853</v>
      </c>
      <c r="BI3580" s="1">
        <v>44354.124641203707</v>
      </c>
      <c r="BJ3580" t="s">
        <v>85</v>
      </c>
      <c r="BK3580" t="s">
        <v>86</v>
      </c>
      <c r="BL3580" t="s">
        <v>87</v>
      </c>
    </row>
    <row r="3581" spans="1:64" x14ac:dyDescent="0.3">
      <c r="A3581" t="str">
        <f>"202428E0100"</f>
        <v>202428E0100</v>
      </c>
      <c r="B3581" t="str">
        <f>"202428E01003"</f>
        <v>202428E01003</v>
      </c>
      <c r="C3581" t="str">
        <f t="shared" si="256"/>
        <v>20</v>
      </c>
      <c r="D3581" t="s">
        <v>81</v>
      </c>
      <c r="E3581" t="str">
        <f t="shared" si="258"/>
        <v>566</v>
      </c>
      <c r="F3581" t="s">
        <v>3803</v>
      </c>
      <c r="G3581" t="str">
        <f t="shared" si="260"/>
        <v>2428</v>
      </c>
      <c r="H3581" t="str">
        <f>"0001"</f>
        <v>0001</v>
      </c>
      <c r="I3581" t="s">
        <v>122</v>
      </c>
      <c r="J3581">
        <v>0</v>
      </c>
      <c r="K3581">
        <v>1</v>
      </c>
      <c r="L3581">
        <v>3</v>
      </c>
      <c r="M3581">
        <v>330</v>
      </c>
      <c r="N3581">
        <v>466</v>
      </c>
      <c r="O3581">
        <v>10</v>
      </c>
      <c r="P3581">
        <v>466</v>
      </c>
      <c r="Q3581">
        <v>88</v>
      </c>
      <c r="R3581">
        <v>9</v>
      </c>
      <c r="S3581">
        <v>15</v>
      </c>
      <c r="T3581">
        <v>69</v>
      </c>
      <c r="U3581">
        <v>110</v>
      </c>
      <c r="V3581">
        <v>4</v>
      </c>
      <c r="W3581">
        <v>22</v>
      </c>
      <c r="X3581">
        <v>64</v>
      </c>
      <c r="Y3581">
        <v>9</v>
      </c>
      <c r="Z3581">
        <v>32</v>
      </c>
      <c r="AA3581">
        <v>2</v>
      </c>
      <c r="AB3581">
        <v>2</v>
      </c>
      <c r="AC3581">
        <v>13</v>
      </c>
      <c r="AD3581">
        <v>8</v>
      </c>
      <c r="AE3581">
        <v>6</v>
      </c>
      <c r="AW3581">
        <v>0</v>
      </c>
      <c r="AX3581">
        <v>13</v>
      </c>
      <c r="AY3581">
        <v>466</v>
      </c>
      <c r="AZ3581">
        <v>466</v>
      </c>
      <c r="BA3581">
        <v>746</v>
      </c>
      <c r="BB3581">
        <v>50</v>
      </c>
      <c r="BD3581">
        <v>1</v>
      </c>
      <c r="BF3581" t="s">
        <v>3828</v>
      </c>
      <c r="BG3581" s="1">
        <v>44354.123611111114</v>
      </c>
      <c r="BH3581" s="1">
        <v>44354.12568287037</v>
      </c>
      <c r="BI3581" s="1">
        <v>44354.126296296294</v>
      </c>
      <c r="BJ3581" t="s">
        <v>85</v>
      </c>
      <c r="BK3581" t="s">
        <v>86</v>
      </c>
      <c r="BL3581" t="s">
        <v>87</v>
      </c>
    </row>
    <row r="3582" spans="1:64" x14ac:dyDescent="0.3">
      <c r="A3582" t="str">
        <f>"202428E0101"</f>
        <v>202428E0101</v>
      </c>
      <c r="B3582" t="str">
        <f>"202428E01013"</f>
        <v>202428E01013</v>
      </c>
      <c r="C3582" t="str">
        <f t="shared" si="256"/>
        <v>20</v>
      </c>
      <c r="D3582" t="s">
        <v>81</v>
      </c>
      <c r="E3582" t="str">
        <f t="shared" si="258"/>
        <v>566</v>
      </c>
      <c r="F3582" t="s">
        <v>3803</v>
      </c>
      <c r="G3582" t="str">
        <f t="shared" si="260"/>
        <v>2428</v>
      </c>
      <c r="H3582" t="str">
        <f>"0001"</f>
        <v>0001</v>
      </c>
      <c r="I3582" t="s">
        <v>122</v>
      </c>
      <c r="J3582">
        <v>1</v>
      </c>
      <c r="K3582">
        <v>1</v>
      </c>
      <c r="L3582">
        <v>3</v>
      </c>
      <c r="M3582">
        <v>367</v>
      </c>
      <c r="N3582">
        <v>429</v>
      </c>
      <c r="O3582">
        <v>14</v>
      </c>
      <c r="P3582">
        <v>429</v>
      </c>
      <c r="Q3582">
        <v>82</v>
      </c>
      <c r="R3582">
        <v>8</v>
      </c>
      <c r="S3582">
        <v>13</v>
      </c>
      <c r="T3582">
        <v>56</v>
      </c>
      <c r="U3582">
        <v>75</v>
      </c>
      <c r="V3582">
        <v>0</v>
      </c>
      <c r="W3582">
        <v>22</v>
      </c>
      <c r="X3582">
        <v>78</v>
      </c>
      <c r="Y3582">
        <v>8</v>
      </c>
      <c r="Z3582">
        <v>48</v>
      </c>
      <c r="AA3582">
        <v>0</v>
      </c>
      <c r="AB3582">
        <v>2</v>
      </c>
      <c r="AC3582">
        <v>7</v>
      </c>
      <c r="AD3582">
        <v>4</v>
      </c>
      <c r="AE3582">
        <v>9</v>
      </c>
      <c r="AW3582">
        <v>0</v>
      </c>
      <c r="AX3582">
        <v>17</v>
      </c>
      <c r="AY3582">
        <v>429</v>
      </c>
      <c r="AZ3582">
        <v>429</v>
      </c>
      <c r="BA3582">
        <v>746</v>
      </c>
      <c r="BB3582">
        <v>50</v>
      </c>
      <c r="BD3582">
        <v>1</v>
      </c>
      <c r="BF3582" t="s">
        <v>3829</v>
      </c>
      <c r="BG3582" s="1">
        <v>44354.125</v>
      </c>
      <c r="BH3582" s="1">
        <v>44354.127314814818</v>
      </c>
      <c r="BI3582" s="1">
        <v>44354.12777777778</v>
      </c>
      <c r="BJ3582" t="s">
        <v>85</v>
      </c>
      <c r="BK3582" t="s">
        <v>86</v>
      </c>
      <c r="BL3582" t="s">
        <v>87</v>
      </c>
    </row>
    <row r="3583" spans="1:64" x14ac:dyDescent="0.3">
      <c r="A3583" t="str">
        <f>"202428E0200"</f>
        <v>202428E0200</v>
      </c>
      <c r="B3583" t="str">
        <f>"202428E02003"</f>
        <v>202428E02003</v>
      </c>
      <c r="C3583" t="str">
        <f t="shared" si="256"/>
        <v>20</v>
      </c>
      <c r="D3583" t="s">
        <v>81</v>
      </c>
      <c r="E3583" t="str">
        <f t="shared" si="258"/>
        <v>566</v>
      </c>
      <c r="F3583" t="s">
        <v>3803</v>
      </c>
      <c r="G3583" t="str">
        <f t="shared" si="260"/>
        <v>2428</v>
      </c>
      <c r="H3583" t="str">
        <f t="shared" ref="H3583:H3590" si="261">"0002"</f>
        <v>0002</v>
      </c>
      <c r="I3583" t="s">
        <v>122</v>
      </c>
      <c r="J3583">
        <v>0</v>
      </c>
      <c r="K3583">
        <v>1</v>
      </c>
      <c r="L3583">
        <v>3</v>
      </c>
      <c r="M3583">
        <v>436</v>
      </c>
      <c r="N3583">
        <v>320</v>
      </c>
      <c r="O3583">
        <v>14</v>
      </c>
      <c r="P3583">
        <v>320</v>
      </c>
      <c r="Q3583">
        <v>22</v>
      </c>
      <c r="R3583">
        <v>18</v>
      </c>
      <c r="S3583">
        <v>6</v>
      </c>
      <c r="T3583">
        <v>12</v>
      </c>
      <c r="U3583">
        <v>110</v>
      </c>
      <c r="V3583">
        <v>0</v>
      </c>
      <c r="W3583">
        <v>25</v>
      </c>
      <c r="X3583">
        <v>70</v>
      </c>
      <c r="Y3583">
        <v>2</v>
      </c>
      <c r="Z3583">
        <v>23</v>
      </c>
      <c r="AA3583">
        <v>3</v>
      </c>
      <c r="AB3583">
        <v>3</v>
      </c>
      <c r="AC3583">
        <v>2</v>
      </c>
      <c r="AD3583">
        <v>5</v>
      </c>
      <c r="AE3583">
        <v>7</v>
      </c>
      <c r="AW3583">
        <v>0</v>
      </c>
      <c r="AX3583">
        <v>12</v>
      </c>
      <c r="AY3583">
        <v>320</v>
      </c>
      <c r="AZ3583">
        <v>320</v>
      </c>
      <c r="BA3583">
        <v>706</v>
      </c>
      <c r="BB3583">
        <v>50</v>
      </c>
      <c r="BD3583">
        <v>1</v>
      </c>
      <c r="BF3583" t="s">
        <v>3830</v>
      </c>
      <c r="BG3583" s="1">
        <v>44354.07708333333</v>
      </c>
      <c r="BH3583" s="1">
        <v>44354.088321759256</v>
      </c>
      <c r="BI3583" s="1">
        <v>44354.088923611111</v>
      </c>
      <c r="BJ3583" t="s">
        <v>85</v>
      </c>
      <c r="BK3583" t="s">
        <v>86</v>
      </c>
      <c r="BL3583" t="s">
        <v>87</v>
      </c>
    </row>
    <row r="3584" spans="1:64" x14ac:dyDescent="0.3">
      <c r="A3584" t="str">
        <f>"202428E0201"</f>
        <v>202428E0201</v>
      </c>
      <c r="B3584" t="str">
        <f>"202428E02013"</f>
        <v>202428E02013</v>
      </c>
      <c r="C3584" t="str">
        <f t="shared" si="256"/>
        <v>20</v>
      </c>
      <c r="D3584" t="s">
        <v>81</v>
      </c>
      <c r="E3584" t="str">
        <f t="shared" si="258"/>
        <v>566</v>
      </c>
      <c r="F3584" t="s">
        <v>3803</v>
      </c>
      <c r="G3584" t="str">
        <f t="shared" si="260"/>
        <v>2428</v>
      </c>
      <c r="H3584" t="str">
        <f t="shared" si="261"/>
        <v>0002</v>
      </c>
      <c r="I3584" t="s">
        <v>122</v>
      </c>
      <c r="J3584">
        <v>1</v>
      </c>
      <c r="K3584">
        <v>1</v>
      </c>
      <c r="L3584">
        <v>3</v>
      </c>
      <c r="M3584">
        <v>432</v>
      </c>
      <c r="N3584">
        <v>324</v>
      </c>
      <c r="O3584">
        <v>7</v>
      </c>
      <c r="P3584">
        <v>324</v>
      </c>
      <c r="Q3584">
        <v>20</v>
      </c>
      <c r="R3584">
        <v>23</v>
      </c>
      <c r="S3584">
        <v>6</v>
      </c>
      <c r="T3584">
        <v>10</v>
      </c>
      <c r="U3584">
        <v>107</v>
      </c>
      <c r="V3584">
        <v>2</v>
      </c>
      <c r="W3584">
        <v>43</v>
      </c>
      <c r="X3584">
        <v>59</v>
      </c>
      <c r="Y3584">
        <v>1</v>
      </c>
      <c r="Z3584">
        <v>24</v>
      </c>
      <c r="AA3584">
        <v>0</v>
      </c>
      <c r="AB3584">
        <v>1</v>
      </c>
      <c r="AC3584">
        <v>1</v>
      </c>
      <c r="AD3584">
        <v>3</v>
      </c>
      <c r="AE3584">
        <v>14</v>
      </c>
      <c r="AW3584">
        <v>0</v>
      </c>
      <c r="AX3584">
        <v>10</v>
      </c>
      <c r="AY3584">
        <v>324</v>
      </c>
      <c r="AZ3584">
        <v>324</v>
      </c>
      <c r="BA3584">
        <v>706</v>
      </c>
      <c r="BB3584">
        <v>50</v>
      </c>
      <c r="BD3584">
        <v>1</v>
      </c>
      <c r="BF3584" t="s">
        <v>3831</v>
      </c>
      <c r="BG3584" s="1">
        <v>44354.078472222223</v>
      </c>
      <c r="BH3584" s="1">
        <v>44354.089305555557</v>
      </c>
      <c r="BI3584" s="1">
        <v>44354.089884259258</v>
      </c>
      <c r="BJ3584" t="s">
        <v>85</v>
      </c>
      <c r="BK3584" t="s">
        <v>86</v>
      </c>
      <c r="BL3584" t="s">
        <v>87</v>
      </c>
    </row>
    <row r="3585" spans="1:64" x14ac:dyDescent="0.3">
      <c r="A3585" t="str">
        <f>"202428E0202"</f>
        <v>202428E0202</v>
      </c>
      <c r="B3585" t="str">
        <f>"202428E02023"</f>
        <v>202428E02023</v>
      </c>
      <c r="C3585" t="str">
        <f t="shared" si="256"/>
        <v>20</v>
      </c>
      <c r="D3585" t="s">
        <v>81</v>
      </c>
      <c r="E3585" t="str">
        <f t="shared" si="258"/>
        <v>566</v>
      </c>
      <c r="F3585" t="s">
        <v>3803</v>
      </c>
      <c r="G3585" t="str">
        <f t="shared" si="260"/>
        <v>2428</v>
      </c>
      <c r="H3585" t="str">
        <f t="shared" si="261"/>
        <v>0002</v>
      </c>
      <c r="I3585" t="s">
        <v>122</v>
      </c>
      <c r="J3585">
        <v>2</v>
      </c>
      <c r="K3585">
        <v>1</v>
      </c>
      <c r="L3585">
        <v>3</v>
      </c>
      <c r="M3585">
        <v>429</v>
      </c>
      <c r="N3585">
        <v>327</v>
      </c>
      <c r="O3585">
        <v>8</v>
      </c>
      <c r="P3585">
        <v>327</v>
      </c>
      <c r="Q3585">
        <v>30</v>
      </c>
      <c r="R3585">
        <v>13</v>
      </c>
      <c r="S3585">
        <v>9</v>
      </c>
      <c r="T3585">
        <v>21</v>
      </c>
      <c r="U3585">
        <v>89</v>
      </c>
      <c r="V3585">
        <v>3</v>
      </c>
      <c r="W3585">
        <v>25</v>
      </c>
      <c r="X3585">
        <v>76</v>
      </c>
      <c r="Y3585">
        <v>0</v>
      </c>
      <c r="Z3585">
        <v>29</v>
      </c>
      <c r="AA3585">
        <v>0</v>
      </c>
      <c r="AB3585">
        <v>1</v>
      </c>
      <c r="AC3585">
        <v>2</v>
      </c>
      <c r="AD3585">
        <v>3</v>
      </c>
      <c r="AE3585">
        <v>9</v>
      </c>
      <c r="AW3585">
        <v>0</v>
      </c>
      <c r="AX3585">
        <v>17</v>
      </c>
      <c r="AY3585">
        <v>327</v>
      </c>
      <c r="AZ3585">
        <v>327</v>
      </c>
      <c r="BA3585">
        <v>706</v>
      </c>
      <c r="BB3585">
        <v>50</v>
      </c>
      <c r="BD3585">
        <v>1</v>
      </c>
      <c r="BF3585" t="s">
        <v>3832</v>
      </c>
      <c r="BG3585" s="1">
        <v>44354.081944444442</v>
      </c>
      <c r="BH3585" s="1">
        <v>44354.089699074073</v>
      </c>
      <c r="BI3585" s="1">
        <v>44354.090590277781</v>
      </c>
      <c r="BJ3585" t="s">
        <v>85</v>
      </c>
      <c r="BK3585" t="s">
        <v>86</v>
      </c>
      <c r="BL3585" t="s">
        <v>87</v>
      </c>
    </row>
    <row r="3586" spans="1:64" x14ac:dyDescent="0.3">
      <c r="A3586" t="str">
        <f>"202428E0203"</f>
        <v>202428E0203</v>
      </c>
      <c r="B3586" t="str">
        <f>"202428E02033"</f>
        <v>202428E02033</v>
      </c>
      <c r="C3586" t="str">
        <f t="shared" si="256"/>
        <v>20</v>
      </c>
      <c r="D3586" t="s">
        <v>81</v>
      </c>
      <c r="E3586" t="str">
        <f t="shared" si="258"/>
        <v>566</v>
      </c>
      <c r="F3586" t="s">
        <v>3803</v>
      </c>
      <c r="G3586" t="str">
        <f t="shared" si="260"/>
        <v>2428</v>
      </c>
      <c r="H3586" t="str">
        <f t="shared" si="261"/>
        <v>0002</v>
      </c>
      <c r="I3586" t="s">
        <v>122</v>
      </c>
      <c r="J3586">
        <v>3</v>
      </c>
      <c r="K3586">
        <v>1</v>
      </c>
      <c r="L3586">
        <v>3</v>
      </c>
      <c r="M3586">
        <v>412</v>
      </c>
      <c r="N3586">
        <v>344</v>
      </c>
      <c r="O3586">
        <v>13</v>
      </c>
      <c r="P3586">
        <v>344</v>
      </c>
      <c r="Q3586">
        <v>15</v>
      </c>
      <c r="R3586">
        <v>19</v>
      </c>
      <c r="S3586">
        <v>10</v>
      </c>
      <c r="T3586">
        <v>13</v>
      </c>
      <c r="U3586">
        <v>120</v>
      </c>
      <c r="V3586">
        <v>3</v>
      </c>
      <c r="W3586">
        <v>29</v>
      </c>
      <c r="X3586">
        <v>72</v>
      </c>
      <c r="Y3586">
        <v>2</v>
      </c>
      <c r="Z3586">
        <v>31</v>
      </c>
      <c r="AA3586">
        <v>1</v>
      </c>
      <c r="AB3586">
        <v>2</v>
      </c>
      <c r="AC3586">
        <v>3</v>
      </c>
      <c r="AD3586">
        <v>2</v>
      </c>
      <c r="AE3586">
        <v>9</v>
      </c>
      <c r="AW3586">
        <v>0</v>
      </c>
      <c r="AX3586">
        <v>13</v>
      </c>
      <c r="AY3586">
        <v>344</v>
      </c>
      <c r="AZ3586">
        <v>344</v>
      </c>
      <c r="BA3586">
        <v>706</v>
      </c>
      <c r="BB3586">
        <v>50</v>
      </c>
      <c r="BD3586">
        <v>1</v>
      </c>
      <c r="BF3586" t="s">
        <v>3833</v>
      </c>
      <c r="BG3586" s="1">
        <v>44354.082638888889</v>
      </c>
      <c r="BH3586" s="1">
        <v>44354.09034722222</v>
      </c>
      <c r="BI3586" s="1">
        <v>44354.091331018521</v>
      </c>
      <c r="BJ3586" t="s">
        <v>85</v>
      </c>
      <c r="BK3586" t="s">
        <v>86</v>
      </c>
      <c r="BL3586" t="s">
        <v>87</v>
      </c>
    </row>
    <row r="3587" spans="1:64" x14ac:dyDescent="0.3">
      <c r="A3587" t="str">
        <f>"202428E0204"</f>
        <v>202428E0204</v>
      </c>
      <c r="B3587" t="str">
        <f>"202428E02043"</f>
        <v>202428E02043</v>
      </c>
      <c r="C3587" t="str">
        <f t="shared" si="256"/>
        <v>20</v>
      </c>
      <c r="D3587" t="s">
        <v>81</v>
      </c>
      <c r="E3587" t="str">
        <f t="shared" si="258"/>
        <v>566</v>
      </c>
      <c r="F3587" t="s">
        <v>3803</v>
      </c>
      <c r="G3587" t="str">
        <f t="shared" si="260"/>
        <v>2428</v>
      </c>
      <c r="H3587" t="str">
        <f t="shared" si="261"/>
        <v>0002</v>
      </c>
      <c r="I3587" t="s">
        <v>122</v>
      </c>
      <c r="J3587">
        <v>4</v>
      </c>
      <c r="K3587">
        <v>1</v>
      </c>
      <c r="L3587">
        <v>3</v>
      </c>
      <c r="M3587">
        <v>394</v>
      </c>
      <c r="N3587">
        <v>362</v>
      </c>
      <c r="O3587">
        <v>15</v>
      </c>
      <c r="P3587">
        <v>363</v>
      </c>
      <c r="Q3587">
        <v>26</v>
      </c>
      <c r="R3587">
        <v>27</v>
      </c>
      <c r="S3587">
        <v>4</v>
      </c>
      <c r="T3587">
        <v>13</v>
      </c>
      <c r="U3587">
        <v>120</v>
      </c>
      <c r="V3587">
        <v>1</v>
      </c>
      <c r="W3587">
        <v>24</v>
      </c>
      <c r="X3587">
        <v>73</v>
      </c>
      <c r="Y3587">
        <v>2</v>
      </c>
      <c r="Z3587">
        <v>32</v>
      </c>
      <c r="AA3587">
        <v>0</v>
      </c>
      <c r="AB3587">
        <v>2</v>
      </c>
      <c r="AC3587">
        <v>6</v>
      </c>
      <c r="AD3587">
        <v>7</v>
      </c>
      <c r="AE3587">
        <v>17</v>
      </c>
      <c r="AW3587">
        <v>0</v>
      </c>
      <c r="AX3587">
        <v>9</v>
      </c>
      <c r="AY3587">
        <v>363</v>
      </c>
      <c r="AZ3587">
        <v>363</v>
      </c>
      <c r="BA3587">
        <v>706</v>
      </c>
      <c r="BB3587">
        <v>50</v>
      </c>
      <c r="BD3587">
        <v>1</v>
      </c>
      <c r="BF3587" t="s">
        <v>3834</v>
      </c>
      <c r="BG3587" s="1">
        <v>44354.084722222222</v>
      </c>
      <c r="BH3587" s="1">
        <v>44354.09171296296</v>
      </c>
      <c r="BI3587" s="1">
        <v>44354.092222222222</v>
      </c>
      <c r="BJ3587" t="s">
        <v>85</v>
      </c>
      <c r="BK3587" t="s">
        <v>86</v>
      </c>
      <c r="BL3587" t="s">
        <v>87</v>
      </c>
    </row>
    <row r="3588" spans="1:64" x14ac:dyDescent="0.3">
      <c r="A3588" t="str">
        <f>"202428E0205"</f>
        <v>202428E0205</v>
      </c>
      <c r="B3588" t="str">
        <f>"202428E02053"</f>
        <v>202428E02053</v>
      </c>
      <c r="C3588" t="str">
        <f t="shared" si="256"/>
        <v>20</v>
      </c>
      <c r="D3588" t="s">
        <v>81</v>
      </c>
      <c r="E3588" t="str">
        <f t="shared" si="258"/>
        <v>566</v>
      </c>
      <c r="F3588" t="s">
        <v>3803</v>
      </c>
      <c r="G3588" t="str">
        <f t="shared" si="260"/>
        <v>2428</v>
      </c>
      <c r="H3588" t="str">
        <f t="shared" si="261"/>
        <v>0002</v>
      </c>
      <c r="I3588" t="s">
        <v>122</v>
      </c>
      <c r="J3588">
        <v>5</v>
      </c>
      <c r="K3588">
        <v>1</v>
      </c>
      <c r="L3588">
        <v>3</v>
      </c>
      <c r="M3588">
        <v>443</v>
      </c>
      <c r="N3588">
        <v>312</v>
      </c>
      <c r="O3588">
        <v>14</v>
      </c>
      <c r="P3588">
        <v>312</v>
      </c>
      <c r="Q3588">
        <v>32</v>
      </c>
      <c r="R3588">
        <v>16</v>
      </c>
      <c r="S3588">
        <v>9</v>
      </c>
      <c r="T3588">
        <v>18</v>
      </c>
      <c r="U3588">
        <v>104</v>
      </c>
      <c r="V3588">
        <v>0</v>
      </c>
      <c r="W3588">
        <v>19</v>
      </c>
      <c r="X3588">
        <v>46</v>
      </c>
      <c r="Y3588">
        <v>5</v>
      </c>
      <c r="Z3588">
        <v>37</v>
      </c>
      <c r="AA3588">
        <v>2</v>
      </c>
      <c r="AB3588">
        <v>0</v>
      </c>
      <c r="AC3588">
        <v>5</v>
      </c>
      <c r="AD3588">
        <v>3</v>
      </c>
      <c r="AE3588">
        <v>4</v>
      </c>
      <c r="AW3588">
        <v>0</v>
      </c>
      <c r="AX3588">
        <v>12</v>
      </c>
      <c r="AY3588">
        <v>312</v>
      </c>
      <c r="AZ3588">
        <v>312</v>
      </c>
      <c r="BA3588">
        <v>706</v>
      </c>
      <c r="BB3588">
        <v>50</v>
      </c>
      <c r="BD3588">
        <v>1</v>
      </c>
      <c r="BF3588" t="s">
        <v>3835</v>
      </c>
      <c r="BG3588" s="1">
        <v>44354.085416666669</v>
      </c>
      <c r="BH3588" s="1">
        <v>44354.093923611108</v>
      </c>
      <c r="BI3588" s="1">
        <v>44354.095659722225</v>
      </c>
      <c r="BJ3588" t="s">
        <v>85</v>
      </c>
      <c r="BK3588" t="s">
        <v>86</v>
      </c>
      <c r="BL3588" t="s">
        <v>87</v>
      </c>
    </row>
    <row r="3589" spans="1:64" x14ac:dyDescent="0.3">
      <c r="A3589" t="str">
        <f>"202428E0206"</f>
        <v>202428E0206</v>
      </c>
      <c r="B3589" t="str">
        <f>"202428E02063"</f>
        <v>202428E02063</v>
      </c>
      <c r="C3589" t="str">
        <f t="shared" si="256"/>
        <v>20</v>
      </c>
      <c r="D3589" t="s">
        <v>81</v>
      </c>
      <c r="E3589" t="str">
        <f t="shared" si="258"/>
        <v>566</v>
      </c>
      <c r="F3589" t="s">
        <v>3803</v>
      </c>
      <c r="G3589" t="str">
        <f t="shared" si="260"/>
        <v>2428</v>
      </c>
      <c r="H3589" t="str">
        <f t="shared" si="261"/>
        <v>0002</v>
      </c>
      <c r="I3589" t="s">
        <v>122</v>
      </c>
      <c r="J3589">
        <v>6</v>
      </c>
      <c r="K3589">
        <v>1</v>
      </c>
      <c r="L3589">
        <v>3</v>
      </c>
      <c r="M3589">
        <v>426</v>
      </c>
      <c r="N3589">
        <v>330</v>
      </c>
      <c r="O3589">
        <v>12</v>
      </c>
      <c r="P3589" t="s">
        <v>92</v>
      </c>
      <c r="Q3589">
        <v>13</v>
      </c>
      <c r="R3589">
        <v>17</v>
      </c>
      <c r="S3589">
        <v>9</v>
      </c>
      <c r="T3589">
        <v>9</v>
      </c>
      <c r="U3589">
        <v>121</v>
      </c>
      <c r="V3589">
        <v>3</v>
      </c>
      <c r="W3589">
        <v>23</v>
      </c>
      <c r="X3589">
        <v>54</v>
      </c>
      <c r="Y3589">
        <v>2</v>
      </c>
      <c r="Z3589">
        <v>47</v>
      </c>
      <c r="AA3589">
        <v>2</v>
      </c>
      <c r="AB3589">
        <v>0</v>
      </c>
      <c r="AC3589">
        <v>3</v>
      </c>
      <c r="AD3589">
        <v>9</v>
      </c>
      <c r="AE3589">
        <v>5</v>
      </c>
      <c r="AW3589">
        <v>1</v>
      </c>
      <c r="AX3589">
        <v>11</v>
      </c>
      <c r="AY3589">
        <v>330</v>
      </c>
      <c r="AZ3589">
        <v>329</v>
      </c>
      <c r="BA3589">
        <v>706</v>
      </c>
      <c r="BB3589">
        <v>50</v>
      </c>
      <c r="BD3589">
        <v>1</v>
      </c>
      <c r="BF3589" t="s">
        <v>3836</v>
      </c>
      <c r="BG3589" s="1">
        <v>44354.087500000001</v>
      </c>
      <c r="BH3589" s="1">
        <v>44354.095659722225</v>
      </c>
      <c r="BI3589" s="1">
        <v>44354.096134259256</v>
      </c>
      <c r="BJ3589" t="s">
        <v>85</v>
      </c>
      <c r="BK3589" t="s">
        <v>86</v>
      </c>
      <c r="BL3589" t="s">
        <v>87</v>
      </c>
    </row>
    <row r="3590" spans="1:64" x14ac:dyDescent="0.3">
      <c r="A3590" t="str">
        <f>"202428E0207"</f>
        <v>202428E0207</v>
      </c>
      <c r="B3590" t="str">
        <f>"202428E02073"</f>
        <v>202428E02073</v>
      </c>
      <c r="C3590" t="str">
        <f t="shared" si="256"/>
        <v>20</v>
      </c>
      <c r="D3590" t="s">
        <v>81</v>
      </c>
      <c r="E3590" t="str">
        <f t="shared" si="258"/>
        <v>566</v>
      </c>
      <c r="F3590" t="s">
        <v>3803</v>
      </c>
      <c r="G3590" t="str">
        <f t="shared" si="260"/>
        <v>2428</v>
      </c>
      <c r="H3590" t="str">
        <f t="shared" si="261"/>
        <v>0002</v>
      </c>
      <c r="I3590" t="s">
        <v>122</v>
      </c>
      <c r="J3590">
        <v>7</v>
      </c>
      <c r="K3590">
        <v>1</v>
      </c>
      <c r="L3590">
        <v>3</v>
      </c>
      <c r="M3590">
        <v>405</v>
      </c>
      <c r="N3590">
        <v>350</v>
      </c>
      <c r="O3590">
        <v>12</v>
      </c>
      <c r="P3590">
        <v>350</v>
      </c>
      <c r="Q3590">
        <v>23</v>
      </c>
      <c r="R3590">
        <v>23</v>
      </c>
      <c r="S3590">
        <v>12</v>
      </c>
      <c r="T3590">
        <v>16</v>
      </c>
      <c r="U3590">
        <v>97</v>
      </c>
      <c r="V3590">
        <v>1</v>
      </c>
      <c r="W3590">
        <v>33</v>
      </c>
      <c r="X3590">
        <v>72</v>
      </c>
      <c r="Y3590">
        <v>0</v>
      </c>
      <c r="Z3590">
        <v>27</v>
      </c>
      <c r="AA3590">
        <v>2</v>
      </c>
      <c r="AB3590">
        <v>2</v>
      </c>
      <c r="AC3590">
        <v>3</v>
      </c>
      <c r="AD3590">
        <v>12</v>
      </c>
      <c r="AE3590">
        <v>15</v>
      </c>
      <c r="AW3590">
        <v>1</v>
      </c>
      <c r="AX3590">
        <v>11</v>
      </c>
      <c r="AY3590">
        <v>350</v>
      </c>
      <c r="AZ3590">
        <v>350</v>
      </c>
      <c r="BA3590">
        <v>705</v>
      </c>
      <c r="BB3590">
        <v>50</v>
      </c>
      <c r="BD3590">
        <v>1</v>
      </c>
      <c r="BF3590" t="s">
        <v>3837</v>
      </c>
      <c r="BG3590" s="1">
        <v>44354.088888888888</v>
      </c>
      <c r="BH3590" s="1">
        <v>44354.096134259256</v>
      </c>
      <c r="BI3590" s="1">
        <v>44354.096909722219</v>
      </c>
      <c r="BJ3590" t="s">
        <v>85</v>
      </c>
      <c r="BK3590" t="s">
        <v>86</v>
      </c>
      <c r="BL3590" t="s">
        <v>87</v>
      </c>
    </row>
    <row r="3591" spans="1:64" x14ac:dyDescent="0.3">
      <c r="A3591" t="str">
        <f>"202428E0300"</f>
        <v>202428E0300</v>
      </c>
      <c r="B3591" t="str">
        <f>"202428E03003"</f>
        <v>202428E03003</v>
      </c>
      <c r="C3591" t="str">
        <f t="shared" ref="C3591:C3635" si="262">"20"</f>
        <v>20</v>
      </c>
      <c r="D3591" t="s">
        <v>81</v>
      </c>
      <c r="E3591" t="str">
        <f t="shared" si="258"/>
        <v>566</v>
      </c>
      <c r="F3591" t="s">
        <v>3803</v>
      </c>
      <c r="G3591" t="str">
        <f t="shared" si="260"/>
        <v>2428</v>
      </c>
      <c r="H3591" t="str">
        <f t="shared" ref="H3591:H3598" si="263">"0003"</f>
        <v>0003</v>
      </c>
      <c r="I3591" t="s">
        <v>122</v>
      </c>
      <c r="J3591">
        <v>0</v>
      </c>
      <c r="K3591">
        <v>1</v>
      </c>
      <c r="L3591">
        <v>3</v>
      </c>
      <c r="M3591">
        <v>389</v>
      </c>
      <c r="N3591">
        <v>368</v>
      </c>
      <c r="O3591">
        <v>6</v>
      </c>
      <c r="P3591">
        <v>368</v>
      </c>
      <c r="Q3591">
        <v>47</v>
      </c>
      <c r="R3591">
        <v>17</v>
      </c>
      <c r="S3591">
        <v>13</v>
      </c>
      <c r="T3591">
        <v>34</v>
      </c>
      <c r="U3591">
        <v>76</v>
      </c>
      <c r="V3591">
        <v>4</v>
      </c>
      <c r="W3591">
        <v>40</v>
      </c>
      <c r="X3591">
        <v>60</v>
      </c>
      <c r="Y3591">
        <v>2</v>
      </c>
      <c r="Z3591">
        <v>35</v>
      </c>
      <c r="AA3591">
        <v>1</v>
      </c>
      <c r="AB3591">
        <v>4</v>
      </c>
      <c r="AC3591">
        <v>1</v>
      </c>
      <c r="AD3591">
        <v>8</v>
      </c>
      <c r="AE3591">
        <v>14</v>
      </c>
      <c r="AW3591" t="s">
        <v>95</v>
      </c>
      <c r="AX3591">
        <v>12</v>
      </c>
      <c r="AY3591">
        <v>368</v>
      </c>
      <c r="AZ3591">
        <v>368</v>
      </c>
      <c r="BA3591">
        <v>707</v>
      </c>
      <c r="BB3591">
        <v>50</v>
      </c>
      <c r="BC3591" t="s">
        <v>96</v>
      </c>
      <c r="BD3591">
        <v>1</v>
      </c>
      <c r="BF3591" t="s">
        <v>3838</v>
      </c>
      <c r="BG3591" s="1">
        <v>44354.001388888886</v>
      </c>
      <c r="BH3591" s="1">
        <v>44354.006666666668</v>
      </c>
      <c r="BI3591" s="1">
        <v>44354.006967592592</v>
      </c>
      <c r="BJ3591" t="s">
        <v>85</v>
      </c>
      <c r="BK3591" t="s">
        <v>86</v>
      </c>
      <c r="BL3591" t="s">
        <v>87</v>
      </c>
    </row>
    <row r="3592" spans="1:64" x14ac:dyDescent="0.3">
      <c r="A3592" t="str">
        <f>"202428E0301"</f>
        <v>202428E0301</v>
      </c>
      <c r="B3592" t="str">
        <f>"202428E03013"</f>
        <v>202428E03013</v>
      </c>
      <c r="C3592" t="str">
        <f t="shared" si="262"/>
        <v>20</v>
      </c>
      <c r="D3592" t="s">
        <v>81</v>
      </c>
      <c r="E3592" t="str">
        <f t="shared" si="258"/>
        <v>566</v>
      </c>
      <c r="F3592" t="s">
        <v>3803</v>
      </c>
      <c r="G3592" t="str">
        <f t="shared" si="260"/>
        <v>2428</v>
      </c>
      <c r="H3592" t="str">
        <f t="shared" si="263"/>
        <v>0003</v>
      </c>
      <c r="I3592" t="s">
        <v>122</v>
      </c>
      <c r="J3592">
        <v>1</v>
      </c>
      <c r="K3592">
        <v>1</v>
      </c>
      <c r="L3592">
        <v>3</v>
      </c>
      <c r="M3592">
        <v>413</v>
      </c>
      <c r="N3592">
        <v>344</v>
      </c>
      <c r="O3592">
        <v>10</v>
      </c>
      <c r="P3592">
        <v>344</v>
      </c>
      <c r="Q3592">
        <v>42</v>
      </c>
      <c r="R3592">
        <v>20</v>
      </c>
      <c r="S3592">
        <v>8</v>
      </c>
      <c r="T3592">
        <v>19</v>
      </c>
      <c r="U3592">
        <v>58</v>
      </c>
      <c r="V3592">
        <v>0</v>
      </c>
      <c r="W3592">
        <v>54</v>
      </c>
      <c r="X3592">
        <v>66</v>
      </c>
      <c r="Y3592">
        <v>4</v>
      </c>
      <c r="Z3592">
        <v>34</v>
      </c>
      <c r="AA3592">
        <v>2</v>
      </c>
      <c r="AB3592">
        <v>2</v>
      </c>
      <c r="AC3592">
        <v>5</v>
      </c>
      <c r="AD3592">
        <v>8</v>
      </c>
      <c r="AE3592">
        <v>9</v>
      </c>
      <c r="AW3592" t="s">
        <v>95</v>
      </c>
      <c r="AX3592">
        <v>13</v>
      </c>
      <c r="AY3592">
        <v>344</v>
      </c>
      <c r="AZ3592">
        <v>344</v>
      </c>
      <c r="BA3592">
        <v>707</v>
      </c>
      <c r="BB3592">
        <v>50</v>
      </c>
      <c r="BC3592" t="s">
        <v>96</v>
      </c>
      <c r="BD3592">
        <v>1</v>
      </c>
      <c r="BF3592" t="s">
        <v>3839</v>
      </c>
      <c r="BG3592" s="1">
        <v>44354.00277777778</v>
      </c>
      <c r="BH3592" s="1">
        <v>44354.008946759262</v>
      </c>
      <c r="BI3592" s="1">
        <v>44354.010081018518</v>
      </c>
      <c r="BJ3592" t="s">
        <v>85</v>
      </c>
      <c r="BK3592" t="s">
        <v>86</v>
      </c>
      <c r="BL3592" t="s">
        <v>87</v>
      </c>
    </row>
    <row r="3593" spans="1:64" x14ac:dyDescent="0.3">
      <c r="A3593" t="str">
        <f>"202428E0302"</f>
        <v>202428E0302</v>
      </c>
      <c r="B3593" t="str">
        <f>"202428E03023"</f>
        <v>202428E03023</v>
      </c>
      <c r="C3593" t="str">
        <f t="shared" si="262"/>
        <v>20</v>
      </c>
      <c r="D3593" t="s">
        <v>81</v>
      </c>
      <c r="E3593" t="str">
        <f t="shared" si="258"/>
        <v>566</v>
      </c>
      <c r="F3593" t="s">
        <v>3803</v>
      </c>
      <c r="G3593" t="str">
        <f t="shared" si="260"/>
        <v>2428</v>
      </c>
      <c r="H3593" t="str">
        <f t="shared" si="263"/>
        <v>0003</v>
      </c>
      <c r="I3593" t="s">
        <v>122</v>
      </c>
      <c r="J3593">
        <v>2</v>
      </c>
      <c r="K3593">
        <v>1</v>
      </c>
      <c r="L3593">
        <v>3</v>
      </c>
      <c r="M3593">
        <v>387</v>
      </c>
      <c r="N3593">
        <v>369</v>
      </c>
      <c r="O3593">
        <v>9</v>
      </c>
      <c r="P3593">
        <v>369</v>
      </c>
      <c r="Q3593">
        <v>56</v>
      </c>
      <c r="R3593">
        <v>12</v>
      </c>
      <c r="S3593">
        <v>16</v>
      </c>
      <c r="T3593">
        <v>26</v>
      </c>
      <c r="U3593">
        <v>66</v>
      </c>
      <c r="V3593">
        <v>2</v>
      </c>
      <c r="W3593">
        <v>42</v>
      </c>
      <c r="X3593">
        <v>58</v>
      </c>
      <c r="Y3593">
        <v>1</v>
      </c>
      <c r="Z3593">
        <v>59</v>
      </c>
      <c r="AA3593">
        <v>2</v>
      </c>
      <c r="AB3593">
        <v>1</v>
      </c>
      <c r="AC3593">
        <v>6</v>
      </c>
      <c r="AD3593">
        <v>8</v>
      </c>
      <c r="AE3593">
        <v>4</v>
      </c>
      <c r="AW3593">
        <v>0</v>
      </c>
      <c r="AX3593">
        <v>10</v>
      </c>
      <c r="AY3593">
        <v>369</v>
      </c>
      <c r="AZ3593">
        <v>369</v>
      </c>
      <c r="BA3593">
        <v>707</v>
      </c>
      <c r="BB3593">
        <v>50</v>
      </c>
      <c r="BD3593">
        <v>1</v>
      </c>
      <c r="BF3593" t="s">
        <v>3840</v>
      </c>
      <c r="BG3593" s="1">
        <v>44353.904166666667</v>
      </c>
      <c r="BH3593" s="1">
        <v>44354.01284722222</v>
      </c>
      <c r="BI3593" s="1">
        <v>44354.013391203705</v>
      </c>
      <c r="BJ3593" t="s">
        <v>85</v>
      </c>
      <c r="BK3593" t="s">
        <v>86</v>
      </c>
      <c r="BL3593" t="s">
        <v>87</v>
      </c>
    </row>
    <row r="3594" spans="1:64" x14ac:dyDescent="0.3">
      <c r="A3594" t="str">
        <f>"202428E0303"</f>
        <v>202428E0303</v>
      </c>
      <c r="B3594" t="str">
        <f>"202428E03033"</f>
        <v>202428E03033</v>
      </c>
      <c r="C3594" t="str">
        <f t="shared" si="262"/>
        <v>20</v>
      </c>
      <c r="D3594" t="s">
        <v>81</v>
      </c>
      <c r="E3594" t="str">
        <f t="shared" si="258"/>
        <v>566</v>
      </c>
      <c r="F3594" t="s">
        <v>3803</v>
      </c>
      <c r="G3594" t="str">
        <f t="shared" si="260"/>
        <v>2428</v>
      </c>
      <c r="H3594" t="str">
        <f t="shared" si="263"/>
        <v>0003</v>
      </c>
      <c r="I3594" t="s">
        <v>122</v>
      </c>
      <c r="J3594">
        <v>3</v>
      </c>
      <c r="K3594">
        <v>1</v>
      </c>
      <c r="L3594">
        <v>3</v>
      </c>
      <c r="M3594">
        <v>404</v>
      </c>
      <c r="N3594">
        <v>353</v>
      </c>
      <c r="O3594">
        <v>11</v>
      </c>
      <c r="P3594">
        <v>352</v>
      </c>
      <c r="Q3594">
        <v>56</v>
      </c>
      <c r="R3594">
        <v>19</v>
      </c>
      <c r="S3594">
        <v>6</v>
      </c>
      <c r="T3594">
        <v>34</v>
      </c>
      <c r="U3594">
        <v>53</v>
      </c>
      <c r="V3594">
        <v>2</v>
      </c>
      <c r="W3594">
        <v>40</v>
      </c>
      <c r="X3594">
        <v>57</v>
      </c>
      <c r="Y3594">
        <v>2</v>
      </c>
      <c r="Z3594">
        <v>49</v>
      </c>
      <c r="AA3594">
        <v>3</v>
      </c>
      <c r="AB3594">
        <v>2</v>
      </c>
      <c r="AC3594">
        <v>1</v>
      </c>
      <c r="AD3594">
        <v>6</v>
      </c>
      <c r="AE3594">
        <v>9</v>
      </c>
      <c r="AW3594" t="s">
        <v>95</v>
      </c>
      <c r="AX3594" t="s">
        <v>95</v>
      </c>
      <c r="AY3594" t="s">
        <v>131</v>
      </c>
      <c r="AZ3594">
        <v>339</v>
      </c>
      <c r="BA3594">
        <v>706</v>
      </c>
      <c r="BB3594">
        <v>50</v>
      </c>
      <c r="BC3594" t="s">
        <v>96</v>
      </c>
      <c r="BD3594">
        <v>1</v>
      </c>
      <c r="BF3594" t="s">
        <v>3841</v>
      </c>
      <c r="BG3594" s="1">
        <v>44354.007638888892</v>
      </c>
      <c r="BH3594" s="1">
        <v>44354.018518518518</v>
      </c>
      <c r="BI3594" s="1">
        <v>44354.019467592596</v>
      </c>
      <c r="BJ3594" t="s">
        <v>85</v>
      </c>
      <c r="BK3594" t="s">
        <v>86</v>
      </c>
      <c r="BL3594" t="s">
        <v>87</v>
      </c>
    </row>
    <row r="3595" spans="1:64" x14ac:dyDescent="0.3">
      <c r="A3595" t="str">
        <f>"202428E0304"</f>
        <v>202428E0304</v>
      </c>
      <c r="B3595" t="str">
        <f>"202428E03043"</f>
        <v>202428E03043</v>
      </c>
      <c r="C3595" t="str">
        <f t="shared" si="262"/>
        <v>20</v>
      </c>
      <c r="D3595" t="s">
        <v>81</v>
      </c>
      <c r="E3595" t="str">
        <f t="shared" si="258"/>
        <v>566</v>
      </c>
      <c r="F3595" t="s">
        <v>3803</v>
      </c>
      <c r="G3595" t="str">
        <f t="shared" si="260"/>
        <v>2428</v>
      </c>
      <c r="H3595" t="str">
        <f t="shared" si="263"/>
        <v>0003</v>
      </c>
      <c r="I3595" t="s">
        <v>122</v>
      </c>
      <c r="J3595">
        <v>4</v>
      </c>
      <c r="K3595">
        <v>1</v>
      </c>
      <c r="L3595">
        <v>3</v>
      </c>
      <c r="M3595">
        <v>412</v>
      </c>
      <c r="N3595">
        <v>344</v>
      </c>
      <c r="O3595">
        <v>10</v>
      </c>
      <c r="P3595">
        <v>344</v>
      </c>
      <c r="Q3595">
        <v>44</v>
      </c>
      <c r="R3595">
        <v>18</v>
      </c>
      <c r="S3595">
        <v>10</v>
      </c>
      <c r="T3595">
        <v>23</v>
      </c>
      <c r="U3595">
        <v>43</v>
      </c>
      <c r="V3595">
        <v>3</v>
      </c>
      <c r="W3595">
        <v>52</v>
      </c>
      <c r="X3595">
        <v>69</v>
      </c>
      <c r="Y3595">
        <v>1</v>
      </c>
      <c r="Z3595">
        <v>41</v>
      </c>
      <c r="AA3595">
        <v>1</v>
      </c>
      <c r="AB3595">
        <v>0</v>
      </c>
      <c r="AC3595">
        <v>3</v>
      </c>
      <c r="AD3595">
        <v>6</v>
      </c>
      <c r="AE3595">
        <v>9</v>
      </c>
      <c r="AW3595">
        <v>0</v>
      </c>
      <c r="AX3595">
        <v>21</v>
      </c>
      <c r="AY3595">
        <v>344</v>
      </c>
      <c r="AZ3595">
        <v>344</v>
      </c>
      <c r="BA3595">
        <v>706</v>
      </c>
      <c r="BB3595">
        <v>50</v>
      </c>
      <c r="BD3595">
        <v>1</v>
      </c>
      <c r="BF3595" t="s">
        <v>3842</v>
      </c>
      <c r="BG3595" s="1">
        <v>44354.009722222225</v>
      </c>
      <c r="BH3595" s="1">
        <v>44354.031759259262</v>
      </c>
      <c r="BI3595" s="1">
        <v>44354.032754629632</v>
      </c>
      <c r="BJ3595" t="s">
        <v>85</v>
      </c>
      <c r="BK3595" t="s">
        <v>86</v>
      </c>
      <c r="BL3595" t="s">
        <v>87</v>
      </c>
    </row>
    <row r="3596" spans="1:64" x14ac:dyDescent="0.3">
      <c r="A3596" t="str">
        <f>"202428E0305"</f>
        <v>202428E0305</v>
      </c>
      <c r="B3596" t="str">
        <f>"202428E03053"</f>
        <v>202428E03053</v>
      </c>
      <c r="C3596" t="str">
        <f t="shared" si="262"/>
        <v>20</v>
      </c>
      <c r="D3596" t="s">
        <v>81</v>
      </c>
      <c r="E3596" t="str">
        <f t="shared" si="258"/>
        <v>566</v>
      </c>
      <c r="F3596" t="s">
        <v>3803</v>
      </c>
      <c r="G3596" t="str">
        <f t="shared" si="260"/>
        <v>2428</v>
      </c>
      <c r="H3596" t="str">
        <f t="shared" si="263"/>
        <v>0003</v>
      </c>
      <c r="I3596" t="s">
        <v>122</v>
      </c>
      <c r="J3596">
        <v>5</v>
      </c>
      <c r="K3596">
        <v>1</v>
      </c>
      <c r="L3596">
        <v>3</v>
      </c>
      <c r="M3596">
        <v>395</v>
      </c>
      <c r="N3596">
        <v>361</v>
      </c>
      <c r="O3596">
        <v>8</v>
      </c>
      <c r="P3596">
        <v>361</v>
      </c>
      <c r="Q3596">
        <v>41</v>
      </c>
      <c r="R3596">
        <v>17</v>
      </c>
      <c r="S3596">
        <v>12</v>
      </c>
      <c r="T3596">
        <v>27</v>
      </c>
      <c r="U3596">
        <v>69</v>
      </c>
      <c r="V3596">
        <v>3</v>
      </c>
      <c r="W3596">
        <v>53</v>
      </c>
      <c r="X3596">
        <v>67</v>
      </c>
      <c r="Y3596">
        <v>2</v>
      </c>
      <c r="Z3596">
        <v>29</v>
      </c>
      <c r="AA3596">
        <v>1</v>
      </c>
      <c r="AB3596">
        <v>4</v>
      </c>
      <c r="AC3596">
        <v>4</v>
      </c>
      <c r="AD3596">
        <v>5</v>
      </c>
      <c r="AE3596">
        <v>13</v>
      </c>
      <c r="AW3596">
        <v>0</v>
      </c>
      <c r="AX3596">
        <v>14</v>
      </c>
      <c r="AY3596">
        <v>361</v>
      </c>
      <c r="AZ3596">
        <v>361</v>
      </c>
      <c r="BA3596">
        <v>706</v>
      </c>
      <c r="BB3596">
        <v>50</v>
      </c>
      <c r="BD3596">
        <v>1</v>
      </c>
      <c r="BF3596" t="s">
        <v>3843</v>
      </c>
      <c r="BG3596" s="1">
        <v>44354.011111111111</v>
      </c>
      <c r="BH3596" s="1">
        <v>44354.034780092596</v>
      </c>
      <c r="BI3596" s="1">
        <v>44354.035578703704</v>
      </c>
      <c r="BJ3596" t="s">
        <v>85</v>
      </c>
      <c r="BK3596" t="s">
        <v>86</v>
      </c>
      <c r="BL3596" t="s">
        <v>87</v>
      </c>
    </row>
    <row r="3597" spans="1:64" x14ac:dyDescent="0.3">
      <c r="A3597" t="str">
        <f>"202428E0306"</f>
        <v>202428E0306</v>
      </c>
      <c r="B3597" t="str">
        <f>"202428E03063"</f>
        <v>202428E03063</v>
      </c>
      <c r="C3597" t="str">
        <f t="shared" si="262"/>
        <v>20</v>
      </c>
      <c r="D3597" t="s">
        <v>81</v>
      </c>
      <c r="E3597" t="str">
        <f t="shared" si="258"/>
        <v>566</v>
      </c>
      <c r="F3597" t="s">
        <v>3803</v>
      </c>
      <c r="G3597" t="str">
        <f t="shared" si="260"/>
        <v>2428</v>
      </c>
      <c r="H3597" t="str">
        <f t="shared" si="263"/>
        <v>0003</v>
      </c>
      <c r="I3597" t="s">
        <v>122</v>
      </c>
      <c r="J3597">
        <v>6</v>
      </c>
      <c r="K3597">
        <v>1</v>
      </c>
      <c r="L3597">
        <v>3</v>
      </c>
      <c r="M3597" t="s">
        <v>92</v>
      </c>
      <c r="N3597" t="s">
        <v>92</v>
      </c>
      <c r="O3597" t="s">
        <v>92</v>
      </c>
      <c r="P3597" t="s">
        <v>92</v>
      </c>
      <c r="Q3597">
        <v>37</v>
      </c>
      <c r="R3597">
        <v>20</v>
      </c>
      <c r="S3597">
        <v>8</v>
      </c>
      <c r="T3597">
        <v>35</v>
      </c>
      <c r="U3597">
        <v>49</v>
      </c>
      <c r="V3597">
        <v>2</v>
      </c>
      <c r="W3597">
        <v>41</v>
      </c>
      <c r="X3597">
        <v>69</v>
      </c>
      <c r="Y3597">
        <v>1</v>
      </c>
      <c r="Z3597">
        <v>37</v>
      </c>
      <c r="AA3597">
        <v>0</v>
      </c>
      <c r="AB3597">
        <v>3</v>
      </c>
      <c r="AC3597">
        <v>6</v>
      </c>
      <c r="AD3597">
        <v>5</v>
      </c>
      <c r="AE3597">
        <v>15</v>
      </c>
      <c r="AW3597">
        <v>0</v>
      </c>
      <c r="AX3597">
        <v>12</v>
      </c>
      <c r="AY3597">
        <v>339</v>
      </c>
      <c r="AZ3597">
        <v>340</v>
      </c>
      <c r="BA3597">
        <v>706</v>
      </c>
      <c r="BB3597">
        <v>50</v>
      </c>
      <c r="BD3597">
        <v>1</v>
      </c>
      <c r="BF3597" t="s">
        <v>3844</v>
      </c>
      <c r="BG3597" s="1">
        <v>44353.981944444444</v>
      </c>
      <c r="BH3597" s="1">
        <v>44353.985439814816</v>
      </c>
      <c r="BI3597" s="1">
        <v>44353.986203703702</v>
      </c>
      <c r="BJ3597" t="s">
        <v>85</v>
      </c>
      <c r="BK3597" t="s">
        <v>86</v>
      </c>
      <c r="BL3597" t="s">
        <v>87</v>
      </c>
    </row>
    <row r="3598" spans="1:64" x14ac:dyDescent="0.3">
      <c r="A3598" t="str">
        <f>"202428E0307"</f>
        <v>202428E0307</v>
      </c>
      <c r="B3598" t="str">
        <f>"202428E03073"</f>
        <v>202428E03073</v>
      </c>
      <c r="C3598" t="str">
        <f t="shared" si="262"/>
        <v>20</v>
      </c>
      <c r="D3598" t="s">
        <v>81</v>
      </c>
      <c r="E3598" t="str">
        <f t="shared" si="258"/>
        <v>566</v>
      </c>
      <c r="F3598" t="s">
        <v>3803</v>
      </c>
      <c r="G3598" t="str">
        <f t="shared" si="260"/>
        <v>2428</v>
      </c>
      <c r="H3598" t="str">
        <f t="shared" si="263"/>
        <v>0003</v>
      </c>
      <c r="I3598" t="s">
        <v>122</v>
      </c>
      <c r="J3598">
        <v>7</v>
      </c>
      <c r="K3598">
        <v>1</v>
      </c>
      <c r="L3598">
        <v>3</v>
      </c>
      <c r="M3598">
        <v>402</v>
      </c>
      <c r="N3598">
        <v>354</v>
      </c>
      <c r="O3598">
        <v>10</v>
      </c>
      <c r="P3598">
        <v>354</v>
      </c>
      <c r="Q3598">
        <v>35</v>
      </c>
      <c r="R3598">
        <v>17</v>
      </c>
      <c r="S3598">
        <v>9</v>
      </c>
      <c r="T3598">
        <v>30</v>
      </c>
      <c r="U3598">
        <v>56</v>
      </c>
      <c r="V3598">
        <v>2</v>
      </c>
      <c r="W3598">
        <v>42</v>
      </c>
      <c r="X3598">
        <v>73</v>
      </c>
      <c r="Y3598">
        <v>6</v>
      </c>
      <c r="Z3598">
        <v>37</v>
      </c>
      <c r="AA3598">
        <v>1</v>
      </c>
      <c r="AB3598">
        <v>1</v>
      </c>
      <c r="AC3598">
        <v>2</v>
      </c>
      <c r="AD3598">
        <v>6</v>
      </c>
      <c r="AE3598">
        <v>16</v>
      </c>
      <c r="AW3598">
        <v>0</v>
      </c>
      <c r="AX3598">
        <v>21</v>
      </c>
      <c r="AY3598">
        <v>354</v>
      </c>
      <c r="AZ3598">
        <v>354</v>
      </c>
      <c r="BA3598">
        <v>706</v>
      </c>
      <c r="BB3598">
        <v>50</v>
      </c>
      <c r="BD3598">
        <v>1</v>
      </c>
      <c r="BF3598" t="s">
        <v>3845</v>
      </c>
      <c r="BG3598" s="1">
        <v>44353.98333333333</v>
      </c>
      <c r="BH3598" s="1">
        <v>44353.986574074072</v>
      </c>
      <c r="BI3598" s="1">
        <v>44353.987060185187</v>
      </c>
      <c r="BJ3598" t="s">
        <v>85</v>
      </c>
      <c r="BK3598" t="s">
        <v>86</v>
      </c>
      <c r="BL3598" t="s">
        <v>87</v>
      </c>
    </row>
    <row r="3599" spans="1:64" x14ac:dyDescent="0.3">
      <c r="A3599" t="str">
        <f>"202428E0400"</f>
        <v>202428E0400</v>
      </c>
      <c r="B3599" t="str">
        <f>"202428E04003"</f>
        <v>202428E04003</v>
      </c>
      <c r="C3599" t="str">
        <f t="shared" si="262"/>
        <v>20</v>
      </c>
      <c r="D3599" t="s">
        <v>81</v>
      </c>
      <c r="E3599" t="str">
        <f t="shared" si="258"/>
        <v>566</v>
      </c>
      <c r="F3599" t="s">
        <v>3803</v>
      </c>
      <c r="G3599" t="str">
        <f t="shared" si="260"/>
        <v>2428</v>
      </c>
      <c r="H3599" t="str">
        <f>"0004"</f>
        <v>0004</v>
      </c>
      <c r="I3599" t="s">
        <v>122</v>
      </c>
      <c r="J3599">
        <v>0</v>
      </c>
      <c r="K3599">
        <v>1</v>
      </c>
      <c r="L3599">
        <v>3</v>
      </c>
      <c r="M3599">
        <v>353</v>
      </c>
      <c r="N3599">
        <v>358</v>
      </c>
      <c r="O3599">
        <v>4</v>
      </c>
      <c r="P3599">
        <v>358</v>
      </c>
      <c r="Q3599">
        <v>17</v>
      </c>
      <c r="R3599">
        <v>20</v>
      </c>
      <c r="S3599">
        <v>4</v>
      </c>
      <c r="T3599">
        <v>19</v>
      </c>
      <c r="U3599">
        <v>59</v>
      </c>
      <c r="V3599">
        <v>5</v>
      </c>
      <c r="W3599">
        <v>56</v>
      </c>
      <c r="X3599">
        <v>87</v>
      </c>
      <c r="Y3599">
        <v>0</v>
      </c>
      <c r="Z3599">
        <v>65</v>
      </c>
      <c r="AA3599">
        <v>0</v>
      </c>
      <c r="AB3599">
        <v>2</v>
      </c>
      <c r="AC3599">
        <v>1</v>
      </c>
      <c r="AD3599">
        <v>3</v>
      </c>
      <c r="AE3599">
        <v>14</v>
      </c>
      <c r="AW3599">
        <v>0</v>
      </c>
      <c r="AX3599">
        <v>6</v>
      </c>
      <c r="AY3599">
        <v>358</v>
      </c>
      <c r="AZ3599">
        <v>358</v>
      </c>
      <c r="BA3599">
        <v>661</v>
      </c>
      <c r="BB3599">
        <v>50</v>
      </c>
      <c r="BD3599">
        <v>1</v>
      </c>
      <c r="BF3599" t="s">
        <v>3846</v>
      </c>
      <c r="BG3599" s="1">
        <v>44354.061111111114</v>
      </c>
      <c r="BH3599" s="1">
        <v>44354.067395833335</v>
      </c>
      <c r="BI3599" s="1">
        <v>44354.069201388891</v>
      </c>
      <c r="BJ3599" t="s">
        <v>85</v>
      </c>
      <c r="BK3599" t="s">
        <v>86</v>
      </c>
      <c r="BL3599" t="s">
        <v>87</v>
      </c>
    </row>
    <row r="3600" spans="1:64" x14ac:dyDescent="0.3">
      <c r="A3600" t="str">
        <f>"202428E0401"</f>
        <v>202428E0401</v>
      </c>
      <c r="B3600" t="str">
        <f>"202428E04013"</f>
        <v>202428E04013</v>
      </c>
      <c r="C3600" t="str">
        <f t="shared" si="262"/>
        <v>20</v>
      </c>
      <c r="D3600" t="s">
        <v>81</v>
      </c>
      <c r="E3600" t="str">
        <f t="shared" si="258"/>
        <v>566</v>
      </c>
      <c r="F3600" t="s">
        <v>3803</v>
      </c>
      <c r="G3600" t="str">
        <f t="shared" si="260"/>
        <v>2428</v>
      </c>
      <c r="H3600" t="str">
        <f>"0004"</f>
        <v>0004</v>
      </c>
      <c r="I3600" t="s">
        <v>122</v>
      </c>
      <c r="J3600">
        <v>1</v>
      </c>
      <c r="K3600">
        <v>1</v>
      </c>
      <c r="L3600">
        <v>3</v>
      </c>
      <c r="M3600">
        <v>386</v>
      </c>
      <c r="N3600">
        <v>324</v>
      </c>
      <c r="O3600">
        <v>12</v>
      </c>
      <c r="P3600">
        <v>324</v>
      </c>
      <c r="Q3600">
        <v>11</v>
      </c>
      <c r="R3600">
        <v>26</v>
      </c>
      <c r="S3600">
        <v>11</v>
      </c>
      <c r="T3600">
        <v>5</v>
      </c>
      <c r="U3600">
        <v>56</v>
      </c>
      <c r="V3600">
        <v>6</v>
      </c>
      <c r="W3600">
        <v>67</v>
      </c>
      <c r="X3600">
        <v>58</v>
      </c>
      <c r="Y3600">
        <v>0</v>
      </c>
      <c r="Z3600">
        <v>52</v>
      </c>
      <c r="AA3600">
        <v>0</v>
      </c>
      <c r="AB3600">
        <v>1</v>
      </c>
      <c r="AC3600">
        <v>0</v>
      </c>
      <c r="AD3600">
        <v>5</v>
      </c>
      <c r="AE3600">
        <v>14</v>
      </c>
      <c r="AW3600">
        <v>0</v>
      </c>
      <c r="AX3600">
        <v>12</v>
      </c>
      <c r="AY3600">
        <v>324</v>
      </c>
      <c r="AZ3600">
        <v>324</v>
      </c>
      <c r="BA3600">
        <v>660</v>
      </c>
      <c r="BB3600">
        <v>50</v>
      </c>
      <c r="BD3600">
        <v>1</v>
      </c>
      <c r="BF3600" t="s">
        <v>3847</v>
      </c>
      <c r="BG3600" s="1">
        <v>44354.063194444447</v>
      </c>
      <c r="BH3600" s="1">
        <v>44354.069189814814</v>
      </c>
      <c r="BI3600" s="1">
        <v>44354.06958333333</v>
      </c>
      <c r="BJ3600" t="s">
        <v>85</v>
      </c>
      <c r="BK3600" t="s">
        <v>86</v>
      </c>
      <c r="BL3600" t="s">
        <v>87</v>
      </c>
    </row>
    <row r="3601" spans="1:64" x14ac:dyDescent="0.3">
      <c r="A3601" t="str">
        <f>"202428E0402"</f>
        <v>202428E0402</v>
      </c>
      <c r="B3601" t="str">
        <f>"202428E04023"</f>
        <v>202428E04023</v>
      </c>
      <c r="C3601" t="str">
        <f t="shared" si="262"/>
        <v>20</v>
      </c>
      <c r="D3601" t="s">
        <v>81</v>
      </c>
      <c r="E3601" t="str">
        <f t="shared" si="258"/>
        <v>566</v>
      </c>
      <c r="F3601" t="s">
        <v>3803</v>
      </c>
      <c r="G3601" t="str">
        <f t="shared" si="260"/>
        <v>2428</v>
      </c>
      <c r="H3601" t="str">
        <f>"0004"</f>
        <v>0004</v>
      </c>
      <c r="I3601" t="s">
        <v>122</v>
      </c>
      <c r="J3601">
        <v>2</v>
      </c>
      <c r="K3601">
        <v>1</v>
      </c>
      <c r="L3601">
        <v>3</v>
      </c>
      <c r="M3601">
        <v>389</v>
      </c>
      <c r="N3601">
        <v>321</v>
      </c>
      <c r="O3601">
        <v>11</v>
      </c>
      <c r="P3601">
        <v>321</v>
      </c>
      <c r="Q3601">
        <v>20</v>
      </c>
      <c r="R3601">
        <v>28</v>
      </c>
      <c r="S3601">
        <v>5</v>
      </c>
      <c r="T3601">
        <v>11</v>
      </c>
      <c r="U3601">
        <v>41</v>
      </c>
      <c r="V3601">
        <v>8</v>
      </c>
      <c r="W3601">
        <v>67</v>
      </c>
      <c r="X3601">
        <v>55</v>
      </c>
      <c r="Y3601">
        <v>1</v>
      </c>
      <c r="Z3601">
        <v>59</v>
      </c>
      <c r="AA3601">
        <v>0</v>
      </c>
      <c r="AB3601">
        <v>0</v>
      </c>
      <c r="AC3601">
        <v>5</v>
      </c>
      <c r="AD3601">
        <v>5</v>
      </c>
      <c r="AE3601">
        <v>7</v>
      </c>
      <c r="AW3601">
        <v>0</v>
      </c>
      <c r="AX3601">
        <v>9</v>
      </c>
      <c r="AY3601">
        <v>321</v>
      </c>
      <c r="AZ3601">
        <v>321</v>
      </c>
      <c r="BA3601">
        <v>660</v>
      </c>
      <c r="BB3601">
        <v>50</v>
      </c>
      <c r="BD3601">
        <v>1</v>
      </c>
      <c r="BF3601" t="s">
        <v>3848</v>
      </c>
      <c r="BG3601" s="1">
        <v>44354.159722222219</v>
      </c>
      <c r="BH3601" s="1">
        <v>44354.162916666668</v>
      </c>
      <c r="BI3601" s="1">
        <v>44354.163865740738</v>
      </c>
      <c r="BJ3601" t="s">
        <v>85</v>
      </c>
      <c r="BK3601" t="s">
        <v>86</v>
      </c>
      <c r="BL3601" t="s">
        <v>1390</v>
      </c>
    </row>
    <row r="3602" spans="1:64" x14ac:dyDescent="0.3">
      <c r="A3602" t="str">
        <f>"202429B0000"</f>
        <v>202429B0000</v>
      </c>
      <c r="B3602" t="str">
        <f>"202429B00003"</f>
        <v>202429B00003</v>
      </c>
      <c r="C3602" t="str">
        <f t="shared" si="262"/>
        <v>20</v>
      </c>
      <c r="D3602" t="s">
        <v>81</v>
      </c>
      <c r="E3602" t="str">
        <f t="shared" si="258"/>
        <v>566</v>
      </c>
      <c r="F3602" t="s">
        <v>3803</v>
      </c>
      <c r="G3602" t="str">
        <f>"2429"</f>
        <v>2429</v>
      </c>
      <c r="H3602" t="str">
        <f>"0000"</f>
        <v>0000</v>
      </c>
      <c r="I3602" t="s">
        <v>83</v>
      </c>
      <c r="J3602">
        <v>0</v>
      </c>
      <c r="K3602">
        <v>1</v>
      </c>
      <c r="L3602">
        <v>3</v>
      </c>
      <c r="M3602">
        <v>217</v>
      </c>
      <c r="N3602">
        <v>260</v>
      </c>
      <c r="O3602">
        <v>3</v>
      </c>
      <c r="P3602">
        <v>260</v>
      </c>
      <c r="Q3602">
        <v>18</v>
      </c>
      <c r="R3602">
        <v>0</v>
      </c>
      <c r="S3602">
        <v>25</v>
      </c>
      <c r="T3602">
        <v>3</v>
      </c>
      <c r="U3602">
        <v>51</v>
      </c>
      <c r="V3602">
        <v>3</v>
      </c>
      <c r="W3602">
        <v>20</v>
      </c>
      <c r="X3602">
        <v>26</v>
      </c>
      <c r="Y3602">
        <v>43</v>
      </c>
      <c r="Z3602">
        <v>11</v>
      </c>
      <c r="AA3602">
        <v>11</v>
      </c>
      <c r="AB3602">
        <v>2</v>
      </c>
      <c r="AC3602">
        <v>6</v>
      </c>
      <c r="AD3602">
        <v>22</v>
      </c>
      <c r="AE3602">
        <v>11</v>
      </c>
      <c r="AW3602">
        <v>0</v>
      </c>
      <c r="AX3602">
        <v>8</v>
      </c>
      <c r="AY3602">
        <v>260</v>
      </c>
      <c r="AZ3602">
        <v>260</v>
      </c>
      <c r="BA3602">
        <v>428</v>
      </c>
      <c r="BB3602">
        <v>50</v>
      </c>
      <c r="BD3602">
        <v>1</v>
      </c>
      <c r="BF3602" t="s">
        <v>3849</v>
      </c>
      <c r="BG3602" s="1">
        <v>44353.961805555555</v>
      </c>
      <c r="BH3602" s="1">
        <v>44353.967430555553</v>
      </c>
      <c r="BI3602" s="1">
        <v>44353.968356481484</v>
      </c>
      <c r="BJ3602" t="s">
        <v>85</v>
      </c>
      <c r="BK3602" t="s">
        <v>86</v>
      </c>
      <c r="BL3602" t="s">
        <v>87</v>
      </c>
    </row>
    <row r="3603" spans="1:64" x14ac:dyDescent="0.3">
      <c r="A3603" t="str">
        <f>"202432B0000"</f>
        <v>202432B0000</v>
      </c>
      <c r="B3603" t="str">
        <f>"202432B00003"</f>
        <v>202432B00003</v>
      </c>
      <c r="C3603" t="str">
        <f t="shared" si="262"/>
        <v>20</v>
      </c>
      <c r="D3603" t="s">
        <v>81</v>
      </c>
      <c r="E3603" t="str">
        <f>"568"</f>
        <v>568</v>
      </c>
      <c r="F3603" t="s">
        <v>3850</v>
      </c>
      <c r="G3603" t="str">
        <f>"2432"</f>
        <v>2432</v>
      </c>
      <c r="H3603" t="str">
        <f>"0000"</f>
        <v>0000</v>
      </c>
      <c r="I3603" t="s">
        <v>83</v>
      </c>
      <c r="J3603">
        <v>0</v>
      </c>
      <c r="K3603">
        <v>1</v>
      </c>
      <c r="L3603">
        <v>3</v>
      </c>
      <c r="M3603">
        <v>231</v>
      </c>
      <c r="N3603">
        <v>340</v>
      </c>
      <c r="O3603">
        <v>0</v>
      </c>
      <c r="P3603">
        <v>340</v>
      </c>
      <c r="Q3603">
        <v>13</v>
      </c>
      <c r="R3603">
        <v>6</v>
      </c>
      <c r="S3603">
        <v>0</v>
      </c>
      <c r="T3603">
        <v>122</v>
      </c>
      <c r="U3603">
        <v>1</v>
      </c>
      <c r="X3603">
        <v>37</v>
      </c>
      <c r="Y3603">
        <v>118</v>
      </c>
      <c r="Z3603">
        <v>2</v>
      </c>
      <c r="AA3603">
        <v>32</v>
      </c>
      <c r="AF3603">
        <v>1</v>
      </c>
      <c r="AG3603">
        <v>0</v>
      </c>
      <c r="AH3603">
        <v>0</v>
      </c>
      <c r="AI3603">
        <v>0</v>
      </c>
      <c r="AW3603">
        <v>0</v>
      </c>
      <c r="AX3603">
        <v>8</v>
      </c>
      <c r="AY3603">
        <v>340</v>
      </c>
      <c r="AZ3603">
        <v>340</v>
      </c>
      <c r="BA3603">
        <v>527</v>
      </c>
      <c r="BB3603">
        <v>44</v>
      </c>
      <c r="BD3603">
        <v>1</v>
      </c>
      <c r="BF3603" t="s">
        <v>3851</v>
      </c>
      <c r="BG3603" s="1">
        <v>44354.502083333333</v>
      </c>
      <c r="BH3603" s="1">
        <v>44354.508009259262</v>
      </c>
      <c r="BI3603" s="1">
        <v>44354.508460648147</v>
      </c>
      <c r="BJ3603" t="s">
        <v>85</v>
      </c>
      <c r="BK3603" t="s">
        <v>86</v>
      </c>
      <c r="BL3603" t="s">
        <v>87</v>
      </c>
    </row>
    <row r="3604" spans="1:64" x14ac:dyDescent="0.3">
      <c r="A3604" t="str">
        <f>"202432C0100"</f>
        <v>202432C0100</v>
      </c>
      <c r="B3604" t="str">
        <f>"202432C01003"</f>
        <v>202432C01003</v>
      </c>
      <c r="C3604" t="str">
        <f t="shared" si="262"/>
        <v>20</v>
      </c>
      <c r="D3604" t="s">
        <v>81</v>
      </c>
      <c r="E3604" t="str">
        <f>"568"</f>
        <v>568</v>
      </c>
      <c r="F3604" t="s">
        <v>3850</v>
      </c>
      <c r="G3604" t="str">
        <f>"2432"</f>
        <v>2432</v>
      </c>
      <c r="H3604" t="str">
        <f>"0001"</f>
        <v>0001</v>
      </c>
      <c r="I3604" t="s">
        <v>89</v>
      </c>
      <c r="J3604">
        <v>0</v>
      </c>
      <c r="K3604">
        <v>1</v>
      </c>
      <c r="L3604">
        <v>3</v>
      </c>
      <c r="M3604">
        <v>217</v>
      </c>
      <c r="N3604">
        <v>217</v>
      </c>
      <c r="O3604">
        <v>0</v>
      </c>
      <c r="P3604">
        <v>353</v>
      </c>
      <c r="Q3604">
        <v>16</v>
      </c>
      <c r="R3604">
        <v>1</v>
      </c>
      <c r="S3604">
        <v>1</v>
      </c>
      <c r="T3604">
        <v>119</v>
      </c>
      <c r="U3604">
        <v>3</v>
      </c>
      <c r="X3604">
        <v>30</v>
      </c>
      <c r="Y3604">
        <v>109</v>
      </c>
      <c r="Z3604">
        <v>3</v>
      </c>
      <c r="AA3604">
        <v>52</v>
      </c>
      <c r="AF3604">
        <v>0</v>
      </c>
      <c r="AG3604">
        <v>0</v>
      </c>
      <c r="AH3604">
        <v>0</v>
      </c>
      <c r="AI3604">
        <v>0</v>
      </c>
      <c r="AW3604" t="s">
        <v>95</v>
      </c>
      <c r="AX3604">
        <v>19</v>
      </c>
      <c r="AY3604">
        <v>353</v>
      </c>
      <c r="AZ3604">
        <v>353</v>
      </c>
      <c r="BA3604">
        <v>526</v>
      </c>
      <c r="BB3604">
        <v>44</v>
      </c>
      <c r="BC3604" t="s">
        <v>96</v>
      </c>
      <c r="BD3604">
        <v>1</v>
      </c>
      <c r="BF3604" t="s">
        <v>3852</v>
      </c>
      <c r="BG3604" s="1">
        <v>44354.484722222223</v>
      </c>
      <c r="BH3604" s="1">
        <v>44354.491863425923</v>
      </c>
      <c r="BI3604" s="1">
        <v>44354.492569444446</v>
      </c>
      <c r="BJ3604" t="s">
        <v>85</v>
      </c>
      <c r="BK3604" t="s">
        <v>86</v>
      </c>
      <c r="BL3604" t="s">
        <v>87</v>
      </c>
    </row>
    <row r="3605" spans="1:64" x14ac:dyDescent="0.3">
      <c r="A3605" t="str">
        <f>"202433B0000"</f>
        <v>202433B0000</v>
      </c>
      <c r="B3605" t="str">
        <f>"202433B00003"</f>
        <v>202433B00003</v>
      </c>
      <c r="C3605" t="str">
        <f t="shared" si="262"/>
        <v>20</v>
      </c>
      <c r="D3605" t="s">
        <v>81</v>
      </c>
      <c r="E3605" t="str">
        <f>"568"</f>
        <v>568</v>
      </c>
      <c r="F3605" t="s">
        <v>3850</v>
      </c>
      <c r="G3605" t="str">
        <f>"2433"</f>
        <v>2433</v>
      </c>
      <c r="H3605" t="str">
        <f>"0000"</f>
        <v>0000</v>
      </c>
      <c r="I3605" t="s">
        <v>83</v>
      </c>
      <c r="J3605">
        <v>0</v>
      </c>
      <c r="K3605">
        <v>1</v>
      </c>
      <c r="L3605">
        <v>3</v>
      </c>
      <c r="BA3605">
        <v>707</v>
      </c>
      <c r="BB3605">
        <v>44</v>
      </c>
      <c r="BC3605" t="s">
        <v>381</v>
      </c>
      <c r="BD3605">
        <v>0</v>
      </c>
      <c r="BF3605" t="s">
        <v>3853</v>
      </c>
      <c r="BG3605" s="1">
        <v>44354.600694444445</v>
      </c>
      <c r="BH3605" s="1">
        <v>44354.602708333332</v>
      </c>
      <c r="BI3605" s="1">
        <v>44354.602708333332</v>
      </c>
      <c r="BJ3605" t="s">
        <v>85</v>
      </c>
      <c r="BK3605" t="s">
        <v>86</v>
      </c>
      <c r="BL3605" t="s">
        <v>87</v>
      </c>
    </row>
    <row r="3606" spans="1:64" x14ac:dyDescent="0.3">
      <c r="A3606" t="str">
        <f>"202434B0000"</f>
        <v>202434B0000</v>
      </c>
      <c r="B3606" t="str">
        <f>"202434B00003"</f>
        <v>202434B00003</v>
      </c>
      <c r="C3606" t="str">
        <f t="shared" si="262"/>
        <v>20</v>
      </c>
      <c r="D3606" t="s">
        <v>81</v>
      </c>
      <c r="E3606" t="str">
        <f>"568"</f>
        <v>568</v>
      </c>
      <c r="F3606" t="s">
        <v>3850</v>
      </c>
      <c r="G3606" t="str">
        <f>"2434"</f>
        <v>2434</v>
      </c>
      <c r="H3606" t="str">
        <f>"0000"</f>
        <v>0000</v>
      </c>
      <c r="I3606" t="s">
        <v>83</v>
      </c>
      <c r="J3606">
        <v>0</v>
      </c>
      <c r="K3606">
        <v>1</v>
      </c>
      <c r="L3606">
        <v>3</v>
      </c>
      <c r="BA3606">
        <v>486</v>
      </c>
      <c r="BB3606">
        <v>44</v>
      </c>
      <c r="BC3606" t="s">
        <v>381</v>
      </c>
      <c r="BD3606">
        <v>0</v>
      </c>
      <c r="BF3606" t="s">
        <v>3854</v>
      </c>
      <c r="BG3606" s="1">
        <v>44354.6</v>
      </c>
      <c r="BH3606" s="1">
        <v>44354.601493055554</v>
      </c>
      <c r="BI3606" s="1">
        <v>44354.601493055554</v>
      </c>
      <c r="BJ3606" t="s">
        <v>85</v>
      </c>
      <c r="BK3606" t="s">
        <v>86</v>
      </c>
      <c r="BL3606" t="s">
        <v>87</v>
      </c>
    </row>
    <row r="3607" spans="1:64" x14ac:dyDescent="0.3">
      <c r="A3607" t="str">
        <f>"202436B0000"</f>
        <v>202436B0000</v>
      </c>
      <c r="B3607" t="str">
        <f>"202436B00003"</f>
        <v>202436B00003</v>
      </c>
      <c r="C3607" t="str">
        <f t="shared" si="262"/>
        <v>20</v>
      </c>
      <c r="D3607" t="s">
        <v>81</v>
      </c>
      <c r="E3607" t="str">
        <f t="shared" ref="E3607:E3635" si="264">"570"</f>
        <v>570</v>
      </c>
      <c r="F3607" t="s">
        <v>3855</v>
      </c>
      <c r="G3607" t="str">
        <f>"2436"</f>
        <v>2436</v>
      </c>
      <c r="H3607" t="str">
        <f>"0000"</f>
        <v>0000</v>
      </c>
      <c r="I3607" t="s">
        <v>83</v>
      </c>
      <c r="J3607">
        <v>0</v>
      </c>
      <c r="K3607">
        <v>1</v>
      </c>
      <c r="L3607">
        <v>3</v>
      </c>
      <c r="M3607">
        <v>212</v>
      </c>
      <c r="N3607">
        <v>519</v>
      </c>
      <c r="O3607">
        <v>5</v>
      </c>
      <c r="P3607">
        <v>519</v>
      </c>
      <c r="Q3607">
        <v>81</v>
      </c>
      <c r="R3607">
        <v>23</v>
      </c>
      <c r="S3607">
        <v>8</v>
      </c>
      <c r="T3607">
        <v>167</v>
      </c>
      <c r="U3607">
        <v>131</v>
      </c>
      <c r="W3607">
        <v>2</v>
      </c>
      <c r="X3607">
        <v>41</v>
      </c>
      <c r="Z3607">
        <v>24</v>
      </c>
      <c r="AB3607">
        <v>25</v>
      </c>
      <c r="AF3607">
        <v>2</v>
      </c>
      <c r="AG3607">
        <v>0</v>
      </c>
      <c r="AH3607">
        <v>0</v>
      </c>
      <c r="AI3607">
        <v>0</v>
      </c>
      <c r="AW3607">
        <v>0</v>
      </c>
      <c r="AX3607">
        <v>15</v>
      </c>
      <c r="AY3607">
        <v>519</v>
      </c>
      <c r="AZ3607">
        <v>519</v>
      </c>
      <c r="BA3607">
        <v>687</v>
      </c>
      <c r="BB3607">
        <v>44</v>
      </c>
      <c r="BD3607">
        <v>1</v>
      </c>
      <c r="BF3607" t="s">
        <v>3856</v>
      </c>
      <c r="BG3607" s="1">
        <v>44353.957326388889</v>
      </c>
      <c r="BH3607" s="1">
        <v>44353.959224537037</v>
      </c>
      <c r="BI3607" s="1">
        <v>44353.960486111115</v>
      </c>
      <c r="BJ3607" t="s">
        <v>197</v>
      </c>
      <c r="BK3607" t="s">
        <v>198</v>
      </c>
      <c r="BL3607" t="s">
        <v>87</v>
      </c>
    </row>
    <row r="3608" spans="1:64" x14ac:dyDescent="0.3">
      <c r="A3608" t="str">
        <f>"202436C0100"</f>
        <v>202436C0100</v>
      </c>
      <c r="B3608" t="str">
        <f>"202436C01003"</f>
        <v>202436C01003</v>
      </c>
      <c r="C3608" t="str">
        <f t="shared" si="262"/>
        <v>20</v>
      </c>
      <c r="D3608" t="s">
        <v>81</v>
      </c>
      <c r="E3608" t="str">
        <f t="shared" si="264"/>
        <v>570</v>
      </c>
      <c r="F3608" t="s">
        <v>3855</v>
      </c>
      <c r="G3608" t="str">
        <f>"2436"</f>
        <v>2436</v>
      </c>
      <c r="H3608" t="str">
        <f>"0001"</f>
        <v>0001</v>
      </c>
      <c r="I3608" t="s">
        <v>89</v>
      </c>
      <c r="J3608">
        <v>0</v>
      </c>
      <c r="K3608">
        <v>1</v>
      </c>
      <c r="L3608">
        <v>3</v>
      </c>
      <c r="M3608" t="s">
        <v>92</v>
      </c>
      <c r="N3608" t="s">
        <v>92</v>
      </c>
      <c r="O3608" t="s">
        <v>92</v>
      </c>
      <c r="P3608">
        <v>460</v>
      </c>
      <c r="Q3608">
        <v>77</v>
      </c>
      <c r="R3608">
        <v>27</v>
      </c>
      <c r="S3608">
        <v>6</v>
      </c>
      <c r="T3608">
        <v>169</v>
      </c>
      <c r="U3608">
        <v>82</v>
      </c>
      <c r="W3608">
        <v>6</v>
      </c>
      <c r="X3608">
        <v>39</v>
      </c>
      <c r="Z3608">
        <v>23</v>
      </c>
      <c r="AB3608">
        <v>13</v>
      </c>
      <c r="AF3608">
        <v>3</v>
      </c>
      <c r="AG3608">
        <v>2</v>
      </c>
      <c r="AH3608">
        <v>3</v>
      </c>
      <c r="AI3608">
        <v>0</v>
      </c>
      <c r="AW3608">
        <v>0</v>
      </c>
      <c r="AX3608">
        <v>10</v>
      </c>
      <c r="AY3608">
        <v>460</v>
      </c>
      <c r="AZ3608">
        <v>460</v>
      </c>
      <c r="BA3608">
        <v>687</v>
      </c>
      <c r="BB3608">
        <v>44</v>
      </c>
      <c r="BD3608">
        <v>1</v>
      </c>
      <c r="BF3608" t="s">
        <v>3857</v>
      </c>
      <c r="BG3608" s="1">
        <v>44353.97934027778</v>
      </c>
      <c r="BH3608" s="1">
        <v>44353.980590277781</v>
      </c>
      <c r="BI3608" s="1">
        <v>44353.981099537035</v>
      </c>
      <c r="BJ3608" t="s">
        <v>197</v>
      </c>
      <c r="BK3608" t="s">
        <v>198</v>
      </c>
      <c r="BL3608" t="s">
        <v>87</v>
      </c>
    </row>
    <row r="3609" spans="1:64" x14ac:dyDescent="0.3">
      <c r="A3609" t="str">
        <f>"202437B0000"</f>
        <v>202437B0000</v>
      </c>
      <c r="B3609" t="str">
        <f>"202437B00003"</f>
        <v>202437B00003</v>
      </c>
      <c r="C3609" t="str">
        <f t="shared" si="262"/>
        <v>20</v>
      </c>
      <c r="D3609" t="s">
        <v>81</v>
      </c>
      <c r="E3609" t="str">
        <f t="shared" si="264"/>
        <v>570</v>
      </c>
      <c r="F3609" t="s">
        <v>3855</v>
      </c>
      <c r="G3609" t="str">
        <f>"2437"</f>
        <v>2437</v>
      </c>
      <c r="H3609" t="str">
        <f>"0000"</f>
        <v>0000</v>
      </c>
      <c r="I3609" t="s">
        <v>83</v>
      </c>
      <c r="J3609">
        <v>0</v>
      </c>
      <c r="K3609">
        <v>1</v>
      </c>
      <c r="L3609">
        <v>3</v>
      </c>
      <c r="M3609">
        <v>265</v>
      </c>
      <c r="N3609">
        <v>487</v>
      </c>
      <c r="O3609">
        <v>3</v>
      </c>
      <c r="P3609" t="s">
        <v>92</v>
      </c>
      <c r="Q3609">
        <v>90</v>
      </c>
      <c r="R3609">
        <v>22</v>
      </c>
      <c r="S3609">
        <v>9</v>
      </c>
      <c r="T3609">
        <v>148</v>
      </c>
      <c r="U3609">
        <v>79</v>
      </c>
      <c r="W3609">
        <v>4</v>
      </c>
      <c r="X3609">
        <v>67</v>
      </c>
      <c r="Z3609">
        <v>23</v>
      </c>
      <c r="AB3609">
        <v>29</v>
      </c>
      <c r="AF3609">
        <v>1</v>
      </c>
      <c r="AG3609">
        <v>1</v>
      </c>
      <c r="AH3609">
        <v>1</v>
      </c>
      <c r="AI3609">
        <v>0</v>
      </c>
      <c r="AW3609">
        <v>0</v>
      </c>
      <c r="AX3609">
        <v>13</v>
      </c>
      <c r="AY3609">
        <v>487</v>
      </c>
      <c r="AZ3609">
        <v>487</v>
      </c>
      <c r="BA3609">
        <v>708</v>
      </c>
      <c r="BB3609">
        <v>44</v>
      </c>
      <c r="BD3609">
        <v>1</v>
      </c>
      <c r="BF3609" t="s">
        <v>3858</v>
      </c>
      <c r="BG3609" s="1">
        <v>44353.969884259262</v>
      </c>
      <c r="BH3609" s="1">
        <v>44353.971076388887</v>
      </c>
      <c r="BI3609" s="1">
        <v>44353.971608796295</v>
      </c>
      <c r="BJ3609" t="s">
        <v>197</v>
      </c>
      <c r="BK3609" t="s">
        <v>198</v>
      </c>
      <c r="BL3609" t="s">
        <v>87</v>
      </c>
    </row>
    <row r="3610" spans="1:64" x14ac:dyDescent="0.3">
      <c r="A3610" t="str">
        <f>"202437C0100"</f>
        <v>202437C0100</v>
      </c>
      <c r="B3610" t="str">
        <f>"202437C01003"</f>
        <v>202437C01003</v>
      </c>
      <c r="C3610" t="str">
        <f t="shared" si="262"/>
        <v>20</v>
      </c>
      <c r="D3610" t="s">
        <v>81</v>
      </c>
      <c r="E3610" t="str">
        <f t="shared" si="264"/>
        <v>570</v>
      </c>
      <c r="F3610" t="s">
        <v>3855</v>
      </c>
      <c r="G3610" t="str">
        <f>"2437"</f>
        <v>2437</v>
      </c>
      <c r="H3610" t="str">
        <f>"0001"</f>
        <v>0001</v>
      </c>
      <c r="I3610" t="s">
        <v>89</v>
      </c>
      <c r="J3610">
        <v>0</v>
      </c>
      <c r="K3610">
        <v>1</v>
      </c>
      <c r="L3610">
        <v>3</v>
      </c>
      <c r="M3610">
        <v>255</v>
      </c>
      <c r="N3610">
        <v>497</v>
      </c>
      <c r="O3610">
        <v>9</v>
      </c>
      <c r="P3610">
        <v>497</v>
      </c>
      <c r="Q3610">
        <v>90</v>
      </c>
      <c r="R3610">
        <v>15</v>
      </c>
      <c r="S3610">
        <v>9</v>
      </c>
      <c r="T3610">
        <v>142</v>
      </c>
      <c r="U3610">
        <v>85</v>
      </c>
      <c r="W3610">
        <v>1</v>
      </c>
      <c r="X3610">
        <v>72</v>
      </c>
      <c r="Z3610">
        <v>33</v>
      </c>
      <c r="AB3610">
        <v>25</v>
      </c>
      <c r="AF3610">
        <v>1</v>
      </c>
      <c r="AG3610">
        <v>3</v>
      </c>
      <c r="AH3610">
        <v>0</v>
      </c>
      <c r="AI3610">
        <v>1</v>
      </c>
      <c r="AW3610">
        <v>1</v>
      </c>
      <c r="AX3610">
        <v>18</v>
      </c>
      <c r="AY3610">
        <v>497</v>
      </c>
      <c r="AZ3610">
        <v>496</v>
      </c>
      <c r="BA3610">
        <v>708</v>
      </c>
      <c r="BB3610">
        <v>44</v>
      </c>
      <c r="BD3610">
        <v>1</v>
      </c>
      <c r="BF3610" t="s">
        <v>3859</v>
      </c>
      <c r="BG3610" s="1">
        <v>44353.973240740743</v>
      </c>
      <c r="BH3610" s="1">
        <v>44353.974594907406</v>
      </c>
      <c r="BI3610" s="1">
        <v>44353.975405092591</v>
      </c>
      <c r="BJ3610" t="s">
        <v>197</v>
      </c>
      <c r="BK3610" t="s">
        <v>198</v>
      </c>
      <c r="BL3610" t="s">
        <v>87</v>
      </c>
    </row>
    <row r="3611" spans="1:64" x14ac:dyDescent="0.3">
      <c r="A3611" t="str">
        <f>"202437C0200"</f>
        <v>202437C0200</v>
      </c>
      <c r="B3611" t="str">
        <f>"202437C02003"</f>
        <v>202437C02003</v>
      </c>
      <c r="C3611" t="str">
        <f t="shared" si="262"/>
        <v>20</v>
      </c>
      <c r="D3611" t="s">
        <v>81</v>
      </c>
      <c r="E3611" t="str">
        <f t="shared" si="264"/>
        <v>570</v>
      </c>
      <c r="F3611" t="s">
        <v>3855</v>
      </c>
      <c r="G3611" t="str">
        <f>"2437"</f>
        <v>2437</v>
      </c>
      <c r="H3611" t="str">
        <f>"0002"</f>
        <v>0002</v>
      </c>
      <c r="I3611" t="s">
        <v>89</v>
      </c>
      <c r="J3611">
        <v>0</v>
      </c>
      <c r="K3611">
        <v>1</v>
      </c>
      <c r="L3611">
        <v>3</v>
      </c>
      <c r="M3611">
        <v>289</v>
      </c>
      <c r="N3611">
        <v>462</v>
      </c>
      <c r="O3611">
        <v>5</v>
      </c>
      <c r="P3611">
        <v>2</v>
      </c>
      <c r="Q3611">
        <v>65</v>
      </c>
      <c r="R3611">
        <v>17</v>
      </c>
      <c r="S3611">
        <v>7</v>
      </c>
      <c r="T3611">
        <v>148</v>
      </c>
      <c r="U3611">
        <v>84</v>
      </c>
      <c r="W3611">
        <v>2</v>
      </c>
      <c r="X3611">
        <v>49</v>
      </c>
      <c r="Z3611">
        <v>45</v>
      </c>
      <c r="AB3611">
        <v>30</v>
      </c>
      <c r="AF3611">
        <v>4</v>
      </c>
      <c r="AG3611" t="s">
        <v>95</v>
      </c>
      <c r="AH3611">
        <v>1</v>
      </c>
      <c r="AI3611" t="s">
        <v>95</v>
      </c>
      <c r="AW3611" t="s">
        <v>95</v>
      </c>
      <c r="AX3611">
        <v>10</v>
      </c>
      <c r="AY3611">
        <v>462</v>
      </c>
      <c r="AZ3611">
        <v>462</v>
      </c>
      <c r="BA3611">
        <v>708</v>
      </c>
      <c r="BB3611">
        <v>44</v>
      </c>
      <c r="BC3611" t="s">
        <v>96</v>
      </c>
      <c r="BD3611">
        <v>1</v>
      </c>
      <c r="BF3611" t="s">
        <v>3860</v>
      </c>
      <c r="BG3611" s="1">
        <v>44353.963414351849</v>
      </c>
      <c r="BH3611" s="1">
        <v>44353.967476851853</v>
      </c>
      <c r="BI3611" s="1">
        <v>44353.967870370368</v>
      </c>
      <c r="BJ3611" t="s">
        <v>197</v>
      </c>
      <c r="BK3611" t="s">
        <v>198</v>
      </c>
      <c r="BL3611" t="s">
        <v>87</v>
      </c>
    </row>
    <row r="3612" spans="1:64" x14ac:dyDescent="0.3">
      <c r="A3612" t="str">
        <f>"202438B0000"</f>
        <v>202438B0000</v>
      </c>
      <c r="B3612" t="str">
        <f>"202438B00003"</f>
        <v>202438B00003</v>
      </c>
      <c r="C3612" t="str">
        <f t="shared" si="262"/>
        <v>20</v>
      </c>
      <c r="D3612" t="s">
        <v>81</v>
      </c>
      <c r="E3612" t="str">
        <f t="shared" si="264"/>
        <v>570</v>
      </c>
      <c r="F3612" t="s">
        <v>3855</v>
      </c>
      <c r="G3612" t="str">
        <f>"2438"</f>
        <v>2438</v>
      </c>
      <c r="H3612" t="str">
        <f>"0000"</f>
        <v>0000</v>
      </c>
      <c r="I3612" t="s">
        <v>83</v>
      </c>
      <c r="J3612">
        <v>0</v>
      </c>
      <c r="K3612">
        <v>1</v>
      </c>
      <c r="L3612">
        <v>3</v>
      </c>
      <c r="M3612">
        <v>242</v>
      </c>
      <c r="N3612">
        <v>378</v>
      </c>
      <c r="O3612">
        <v>7</v>
      </c>
      <c r="P3612">
        <v>385</v>
      </c>
      <c r="Q3612">
        <v>55</v>
      </c>
      <c r="R3612">
        <v>10</v>
      </c>
      <c r="S3612">
        <v>1</v>
      </c>
      <c r="T3612">
        <v>104</v>
      </c>
      <c r="U3612">
        <v>109</v>
      </c>
      <c r="W3612">
        <v>0</v>
      </c>
      <c r="X3612">
        <v>36</v>
      </c>
      <c r="Z3612">
        <v>41</v>
      </c>
      <c r="AB3612">
        <v>13</v>
      </c>
      <c r="AF3612">
        <v>1</v>
      </c>
      <c r="AG3612">
        <v>2</v>
      </c>
      <c r="AH3612">
        <v>0</v>
      </c>
      <c r="AI3612">
        <v>0</v>
      </c>
      <c r="AW3612">
        <v>0</v>
      </c>
      <c r="AX3612">
        <v>13</v>
      </c>
      <c r="AY3612">
        <v>385</v>
      </c>
      <c r="AZ3612">
        <v>385</v>
      </c>
      <c r="BA3612">
        <v>584</v>
      </c>
      <c r="BB3612">
        <v>44</v>
      </c>
      <c r="BD3612">
        <v>1</v>
      </c>
      <c r="BF3612" t="s">
        <v>3861</v>
      </c>
      <c r="BG3612" s="1">
        <v>44353.927974537037</v>
      </c>
      <c r="BH3612" s="1">
        <v>44353.929363425923</v>
      </c>
      <c r="BI3612" s="1">
        <v>44353.930289351854</v>
      </c>
      <c r="BJ3612" t="s">
        <v>197</v>
      </c>
      <c r="BK3612" t="s">
        <v>198</v>
      </c>
      <c r="BL3612" t="s">
        <v>87</v>
      </c>
    </row>
    <row r="3613" spans="1:64" x14ac:dyDescent="0.3">
      <c r="A3613" t="str">
        <f>"202438C0100"</f>
        <v>202438C0100</v>
      </c>
      <c r="B3613" t="str">
        <f>"202438C01003"</f>
        <v>202438C01003</v>
      </c>
      <c r="C3613" t="str">
        <f t="shared" si="262"/>
        <v>20</v>
      </c>
      <c r="D3613" t="s">
        <v>81</v>
      </c>
      <c r="E3613" t="str">
        <f t="shared" si="264"/>
        <v>570</v>
      </c>
      <c r="F3613" t="s">
        <v>3855</v>
      </c>
      <c r="G3613" t="str">
        <f>"2438"</f>
        <v>2438</v>
      </c>
      <c r="H3613" t="str">
        <f>"0001"</f>
        <v>0001</v>
      </c>
      <c r="I3613" t="s">
        <v>89</v>
      </c>
      <c r="J3613">
        <v>0</v>
      </c>
      <c r="K3613">
        <v>1</v>
      </c>
      <c r="L3613">
        <v>3</v>
      </c>
      <c r="M3613">
        <v>265</v>
      </c>
      <c r="N3613">
        <v>363</v>
      </c>
      <c r="O3613">
        <v>6</v>
      </c>
      <c r="P3613">
        <v>362</v>
      </c>
      <c r="Q3613">
        <v>59</v>
      </c>
      <c r="R3613">
        <v>7</v>
      </c>
      <c r="S3613">
        <v>2</v>
      </c>
      <c r="T3613">
        <v>105</v>
      </c>
      <c r="U3613">
        <v>94</v>
      </c>
      <c r="W3613">
        <v>4</v>
      </c>
      <c r="X3613">
        <v>23</v>
      </c>
      <c r="Z3613">
        <v>32</v>
      </c>
      <c r="AB3613">
        <v>17</v>
      </c>
      <c r="AF3613">
        <v>2</v>
      </c>
      <c r="AG3613">
        <v>0</v>
      </c>
      <c r="AH3613">
        <v>0</v>
      </c>
      <c r="AI3613">
        <v>0</v>
      </c>
      <c r="AW3613">
        <v>0</v>
      </c>
      <c r="AX3613">
        <v>17</v>
      </c>
      <c r="AY3613">
        <v>362</v>
      </c>
      <c r="AZ3613">
        <v>362</v>
      </c>
      <c r="BA3613">
        <v>584</v>
      </c>
      <c r="BB3613">
        <v>44</v>
      </c>
      <c r="BD3613">
        <v>1</v>
      </c>
      <c r="BF3613" t="s">
        <v>3862</v>
      </c>
      <c r="BG3613" s="1">
        <v>44353.942800925928</v>
      </c>
      <c r="BH3613" s="1">
        <v>44353.943912037037</v>
      </c>
      <c r="BI3613" s="1">
        <v>44353.944826388892</v>
      </c>
      <c r="BJ3613" t="s">
        <v>197</v>
      </c>
      <c r="BK3613" t="s">
        <v>198</v>
      </c>
      <c r="BL3613" t="s">
        <v>87</v>
      </c>
    </row>
    <row r="3614" spans="1:64" x14ac:dyDescent="0.3">
      <c r="A3614" t="str">
        <f>"202439B0000"</f>
        <v>202439B0000</v>
      </c>
      <c r="B3614" t="str">
        <f>"202439B00003"</f>
        <v>202439B00003</v>
      </c>
      <c r="C3614" t="str">
        <f t="shared" si="262"/>
        <v>20</v>
      </c>
      <c r="D3614" t="s">
        <v>81</v>
      </c>
      <c r="E3614" t="str">
        <f t="shared" si="264"/>
        <v>570</v>
      </c>
      <c r="F3614" t="s">
        <v>3855</v>
      </c>
      <c r="G3614" t="str">
        <f>"2439"</f>
        <v>2439</v>
      </c>
      <c r="H3614" t="str">
        <f>"0000"</f>
        <v>0000</v>
      </c>
      <c r="I3614" t="s">
        <v>83</v>
      </c>
      <c r="J3614">
        <v>0</v>
      </c>
      <c r="K3614">
        <v>1</v>
      </c>
      <c r="L3614">
        <v>3</v>
      </c>
      <c r="M3614">
        <v>220</v>
      </c>
      <c r="N3614">
        <v>480</v>
      </c>
      <c r="O3614">
        <v>9</v>
      </c>
      <c r="P3614">
        <v>480</v>
      </c>
      <c r="Q3614">
        <v>77</v>
      </c>
      <c r="R3614">
        <v>20</v>
      </c>
      <c r="S3614">
        <v>10</v>
      </c>
      <c r="T3614">
        <v>147</v>
      </c>
      <c r="U3614">
        <v>123</v>
      </c>
      <c r="W3614">
        <v>3</v>
      </c>
      <c r="X3614">
        <v>52</v>
      </c>
      <c r="Z3614">
        <v>22</v>
      </c>
      <c r="AB3614">
        <v>16</v>
      </c>
      <c r="AF3614">
        <v>0</v>
      </c>
      <c r="AG3614">
        <v>0</v>
      </c>
      <c r="AH3614">
        <v>0</v>
      </c>
      <c r="AI3614">
        <v>0</v>
      </c>
      <c r="AW3614">
        <v>0</v>
      </c>
      <c r="AX3614">
        <v>10</v>
      </c>
      <c r="AY3614">
        <v>480</v>
      </c>
      <c r="AZ3614">
        <v>480</v>
      </c>
      <c r="BA3614">
        <v>656</v>
      </c>
      <c r="BB3614">
        <v>44</v>
      </c>
      <c r="BD3614">
        <v>1</v>
      </c>
      <c r="BF3614" t="s">
        <v>3863</v>
      </c>
      <c r="BG3614" s="1">
        <v>44353.995196759257</v>
      </c>
      <c r="BH3614" s="1">
        <v>44354.000821759262</v>
      </c>
      <c r="BI3614" s="1">
        <v>44354.002013888887</v>
      </c>
      <c r="BJ3614" t="s">
        <v>197</v>
      </c>
      <c r="BK3614" t="s">
        <v>198</v>
      </c>
      <c r="BL3614" t="s">
        <v>87</v>
      </c>
    </row>
    <row r="3615" spans="1:64" x14ac:dyDescent="0.3">
      <c r="A3615" t="str">
        <f>"202439C0100"</f>
        <v>202439C0100</v>
      </c>
      <c r="B3615" t="str">
        <f>"202439C01003"</f>
        <v>202439C01003</v>
      </c>
      <c r="C3615" t="str">
        <f t="shared" si="262"/>
        <v>20</v>
      </c>
      <c r="D3615" t="s">
        <v>81</v>
      </c>
      <c r="E3615" t="str">
        <f t="shared" si="264"/>
        <v>570</v>
      </c>
      <c r="F3615" t="s">
        <v>3855</v>
      </c>
      <c r="G3615" t="str">
        <f>"2439"</f>
        <v>2439</v>
      </c>
      <c r="H3615" t="str">
        <f>"0001"</f>
        <v>0001</v>
      </c>
      <c r="I3615" t="s">
        <v>89</v>
      </c>
      <c r="J3615">
        <v>0</v>
      </c>
      <c r="K3615">
        <v>1</v>
      </c>
      <c r="L3615">
        <v>3</v>
      </c>
      <c r="M3615">
        <v>220</v>
      </c>
      <c r="N3615" t="s">
        <v>92</v>
      </c>
      <c r="O3615" t="s">
        <v>92</v>
      </c>
      <c r="P3615">
        <v>479</v>
      </c>
      <c r="Q3615">
        <v>82</v>
      </c>
      <c r="R3615">
        <v>16</v>
      </c>
      <c r="S3615">
        <v>5</v>
      </c>
      <c r="T3615">
        <v>117</v>
      </c>
      <c r="U3615">
        <v>140</v>
      </c>
      <c r="W3615">
        <v>4</v>
      </c>
      <c r="X3615">
        <v>47</v>
      </c>
      <c r="Z3615">
        <v>26</v>
      </c>
      <c r="AB3615">
        <v>27</v>
      </c>
      <c r="AF3615">
        <v>4</v>
      </c>
      <c r="AG3615">
        <v>0</v>
      </c>
      <c r="AH3615">
        <v>0</v>
      </c>
      <c r="AI3615">
        <v>0</v>
      </c>
      <c r="AW3615">
        <v>0</v>
      </c>
      <c r="AX3615">
        <v>11</v>
      </c>
      <c r="AY3615">
        <v>479</v>
      </c>
      <c r="AZ3615">
        <v>479</v>
      </c>
      <c r="BA3615">
        <v>655</v>
      </c>
      <c r="BB3615">
        <v>44</v>
      </c>
      <c r="BD3615">
        <v>1</v>
      </c>
      <c r="BF3615" t="s">
        <v>3864</v>
      </c>
      <c r="BG3615" s="1">
        <v>44354.011377314811</v>
      </c>
      <c r="BH3615" s="1">
        <v>44354.017708333333</v>
      </c>
      <c r="BI3615" s="1">
        <v>44354.018634259257</v>
      </c>
      <c r="BJ3615" t="s">
        <v>197</v>
      </c>
      <c r="BK3615" t="s">
        <v>198</v>
      </c>
      <c r="BL3615" t="s">
        <v>87</v>
      </c>
    </row>
    <row r="3616" spans="1:64" x14ac:dyDescent="0.3">
      <c r="A3616" t="str">
        <f>"202439S0100"</f>
        <v>202439S0100</v>
      </c>
      <c r="B3616" t="str">
        <f>"202439S01003E"</f>
        <v>202439S01003E</v>
      </c>
      <c r="C3616" t="str">
        <f t="shared" si="262"/>
        <v>20</v>
      </c>
      <c r="D3616" t="s">
        <v>81</v>
      </c>
      <c r="E3616" t="str">
        <f t="shared" si="264"/>
        <v>570</v>
      </c>
      <c r="F3616" t="s">
        <v>3855</v>
      </c>
      <c r="G3616" t="str">
        <f>"2439"</f>
        <v>2439</v>
      </c>
      <c r="H3616" t="str">
        <f>"0001"</f>
        <v>0001</v>
      </c>
      <c r="I3616" t="s">
        <v>99</v>
      </c>
      <c r="J3616">
        <v>0</v>
      </c>
      <c r="K3616">
        <v>1</v>
      </c>
      <c r="L3616" t="s">
        <v>100</v>
      </c>
      <c r="M3616" t="s">
        <v>131</v>
      </c>
      <c r="N3616">
        <v>39</v>
      </c>
      <c r="O3616">
        <v>0</v>
      </c>
      <c r="P3616">
        <v>39</v>
      </c>
      <c r="Q3616">
        <v>9</v>
      </c>
      <c r="R3616">
        <v>1</v>
      </c>
      <c r="S3616">
        <v>0</v>
      </c>
      <c r="T3616">
        <v>7</v>
      </c>
      <c r="U3616">
        <v>6</v>
      </c>
      <c r="W3616">
        <v>2</v>
      </c>
      <c r="X3616">
        <v>12</v>
      </c>
      <c r="Z3616">
        <v>0</v>
      </c>
      <c r="AB3616">
        <v>1</v>
      </c>
      <c r="AF3616">
        <v>1</v>
      </c>
      <c r="AG3616">
        <v>0</v>
      </c>
      <c r="AH3616">
        <v>0</v>
      </c>
      <c r="AI3616">
        <v>0</v>
      </c>
      <c r="AW3616">
        <v>0</v>
      </c>
      <c r="AX3616">
        <v>0</v>
      </c>
      <c r="AY3616">
        <v>39</v>
      </c>
      <c r="AZ3616">
        <v>39</v>
      </c>
      <c r="BA3616">
        <v>0</v>
      </c>
      <c r="BB3616">
        <v>44</v>
      </c>
      <c r="BD3616">
        <v>1</v>
      </c>
      <c r="BF3616" t="s">
        <v>3865</v>
      </c>
      <c r="BG3616" s="1">
        <v>44354.033159722225</v>
      </c>
      <c r="BH3616" s="1">
        <v>44354.040682870371</v>
      </c>
      <c r="BI3616" s="1">
        <v>44354.041273148148</v>
      </c>
      <c r="BJ3616" t="s">
        <v>197</v>
      </c>
      <c r="BK3616" t="s">
        <v>198</v>
      </c>
      <c r="BL3616" t="s">
        <v>87</v>
      </c>
    </row>
    <row r="3617" spans="1:64" x14ac:dyDescent="0.3">
      <c r="A3617" t="str">
        <f>"202440B0000"</f>
        <v>202440B0000</v>
      </c>
      <c r="B3617" t="str">
        <f>"202440B00003"</f>
        <v>202440B00003</v>
      </c>
      <c r="C3617" t="str">
        <f t="shared" si="262"/>
        <v>20</v>
      </c>
      <c r="D3617" t="s">
        <v>81</v>
      </c>
      <c r="E3617" t="str">
        <f t="shared" si="264"/>
        <v>570</v>
      </c>
      <c r="F3617" t="s">
        <v>3855</v>
      </c>
      <c r="G3617" t="str">
        <f>"2440"</f>
        <v>2440</v>
      </c>
      <c r="H3617" t="str">
        <f>"0000"</f>
        <v>0000</v>
      </c>
      <c r="I3617" t="s">
        <v>83</v>
      </c>
      <c r="J3617">
        <v>0</v>
      </c>
      <c r="K3617">
        <v>1</v>
      </c>
      <c r="L3617">
        <v>3</v>
      </c>
      <c r="M3617">
        <v>193</v>
      </c>
      <c r="N3617">
        <v>362</v>
      </c>
      <c r="O3617">
        <v>9</v>
      </c>
      <c r="P3617">
        <v>362</v>
      </c>
      <c r="Q3617">
        <v>77</v>
      </c>
      <c r="R3617">
        <v>24</v>
      </c>
      <c r="S3617">
        <v>1</v>
      </c>
      <c r="T3617">
        <v>101</v>
      </c>
      <c r="U3617">
        <v>50</v>
      </c>
      <c r="W3617">
        <v>1</v>
      </c>
      <c r="X3617">
        <v>46</v>
      </c>
      <c r="Z3617">
        <v>22</v>
      </c>
      <c r="AB3617">
        <v>29</v>
      </c>
      <c r="AF3617">
        <v>4</v>
      </c>
      <c r="AG3617">
        <v>0</v>
      </c>
      <c r="AH3617">
        <v>0</v>
      </c>
      <c r="AI3617">
        <v>0</v>
      </c>
      <c r="AW3617">
        <v>0</v>
      </c>
      <c r="AX3617">
        <v>7</v>
      </c>
      <c r="AY3617">
        <v>362</v>
      </c>
      <c r="AZ3617">
        <v>362</v>
      </c>
      <c r="BA3617">
        <v>511</v>
      </c>
      <c r="BB3617">
        <v>44</v>
      </c>
      <c r="BD3617">
        <v>1</v>
      </c>
      <c r="BF3617" t="s">
        <v>3866</v>
      </c>
      <c r="BG3617" s="1">
        <v>44353.872175925928</v>
      </c>
      <c r="BH3617" s="1">
        <v>44353.873541666668</v>
      </c>
      <c r="BI3617" s="1">
        <v>44353.874722222223</v>
      </c>
      <c r="BJ3617" t="s">
        <v>197</v>
      </c>
      <c r="BK3617" t="s">
        <v>198</v>
      </c>
      <c r="BL3617" t="s">
        <v>87</v>
      </c>
    </row>
    <row r="3618" spans="1:64" x14ac:dyDescent="0.3">
      <c r="A3618" t="str">
        <f>"202440C0100"</f>
        <v>202440C0100</v>
      </c>
      <c r="B3618" t="str">
        <f>"202440C01003"</f>
        <v>202440C01003</v>
      </c>
      <c r="C3618" t="str">
        <f t="shared" si="262"/>
        <v>20</v>
      </c>
      <c r="D3618" t="s">
        <v>81</v>
      </c>
      <c r="E3618" t="str">
        <f t="shared" si="264"/>
        <v>570</v>
      </c>
      <c r="F3618" t="s">
        <v>3855</v>
      </c>
      <c r="G3618" t="str">
        <f>"2440"</f>
        <v>2440</v>
      </c>
      <c r="H3618" t="str">
        <f>"0001"</f>
        <v>0001</v>
      </c>
      <c r="I3618" t="s">
        <v>89</v>
      </c>
      <c r="J3618">
        <v>0</v>
      </c>
      <c r="K3618">
        <v>1</v>
      </c>
      <c r="L3618">
        <v>3</v>
      </c>
      <c r="M3618">
        <v>185</v>
      </c>
      <c r="N3618">
        <v>370</v>
      </c>
      <c r="O3618">
        <v>7</v>
      </c>
      <c r="P3618">
        <v>370</v>
      </c>
      <c r="Q3618">
        <v>93</v>
      </c>
      <c r="R3618">
        <v>19</v>
      </c>
      <c r="S3618">
        <v>7</v>
      </c>
      <c r="T3618">
        <v>98</v>
      </c>
      <c r="U3618">
        <v>49</v>
      </c>
      <c r="W3618">
        <v>0</v>
      </c>
      <c r="X3618">
        <v>52</v>
      </c>
      <c r="Z3618">
        <v>26</v>
      </c>
      <c r="AB3618">
        <v>16</v>
      </c>
      <c r="AF3618">
        <v>2</v>
      </c>
      <c r="AG3618">
        <v>1</v>
      </c>
      <c r="AH3618">
        <v>0</v>
      </c>
      <c r="AI3618">
        <v>0</v>
      </c>
      <c r="AW3618">
        <v>0</v>
      </c>
      <c r="AX3618">
        <v>7</v>
      </c>
      <c r="AY3618">
        <v>370</v>
      </c>
      <c r="AZ3618">
        <v>370</v>
      </c>
      <c r="BA3618">
        <v>511</v>
      </c>
      <c r="BB3618">
        <v>44</v>
      </c>
      <c r="BD3618">
        <v>1</v>
      </c>
      <c r="BF3618" t="s">
        <v>3867</v>
      </c>
      <c r="BG3618" s="1">
        <v>44353.885127314818</v>
      </c>
      <c r="BH3618" s="1">
        <v>44353.888958333337</v>
      </c>
      <c r="BI3618" s="1">
        <v>44353.889432870368</v>
      </c>
      <c r="BJ3618" t="s">
        <v>197</v>
      </c>
      <c r="BK3618" t="s">
        <v>198</v>
      </c>
      <c r="BL3618" t="s">
        <v>87</v>
      </c>
    </row>
    <row r="3619" spans="1:64" x14ac:dyDescent="0.3">
      <c r="A3619" t="str">
        <f>"202440C0200"</f>
        <v>202440C0200</v>
      </c>
      <c r="B3619" t="str">
        <f>"202440C02003"</f>
        <v>202440C02003</v>
      </c>
      <c r="C3619" t="str">
        <f t="shared" si="262"/>
        <v>20</v>
      </c>
      <c r="D3619" t="s">
        <v>81</v>
      </c>
      <c r="E3619" t="str">
        <f t="shared" si="264"/>
        <v>570</v>
      </c>
      <c r="F3619" t="s">
        <v>3855</v>
      </c>
      <c r="G3619" t="str">
        <f>"2440"</f>
        <v>2440</v>
      </c>
      <c r="H3619" t="str">
        <f>"0002"</f>
        <v>0002</v>
      </c>
      <c r="I3619" t="s">
        <v>89</v>
      </c>
      <c r="J3619">
        <v>0</v>
      </c>
      <c r="K3619">
        <v>1</v>
      </c>
      <c r="L3619">
        <v>3</v>
      </c>
      <c r="M3619">
        <v>205</v>
      </c>
      <c r="N3619">
        <v>349</v>
      </c>
      <c r="O3619">
        <v>2</v>
      </c>
      <c r="P3619">
        <v>349</v>
      </c>
      <c r="Q3619">
        <v>75</v>
      </c>
      <c r="R3619">
        <v>22</v>
      </c>
      <c r="S3619">
        <v>3</v>
      </c>
      <c r="T3619">
        <v>110</v>
      </c>
      <c r="U3619">
        <v>42</v>
      </c>
      <c r="W3619">
        <v>0</v>
      </c>
      <c r="X3619">
        <v>52</v>
      </c>
      <c r="Z3619">
        <v>11</v>
      </c>
      <c r="AB3619">
        <v>22</v>
      </c>
      <c r="AF3619">
        <v>3</v>
      </c>
      <c r="AG3619">
        <v>3</v>
      </c>
      <c r="AH3619">
        <v>0</v>
      </c>
      <c r="AI3619">
        <v>0</v>
      </c>
      <c r="AW3619">
        <v>0</v>
      </c>
      <c r="AX3619">
        <v>6</v>
      </c>
      <c r="AY3619">
        <v>349</v>
      </c>
      <c r="AZ3619">
        <v>349</v>
      </c>
      <c r="BA3619">
        <v>510</v>
      </c>
      <c r="BB3619">
        <v>44</v>
      </c>
      <c r="BD3619">
        <v>1</v>
      </c>
      <c r="BF3619" t="s">
        <v>3868</v>
      </c>
      <c r="BG3619" s="1">
        <v>44353.87704861111</v>
      </c>
      <c r="BH3619" s="1">
        <v>44353.878472222219</v>
      </c>
      <c r="BI3619" s="1">
        <v>44353.879745370374</v>
      </c>
      <c r="BJ3619" t="s">
        <v>197</v>
      </c>
      <c r="BK3619" t="s">
        <v>198</v>
      </c>
      <c r="BL3619" t="s">
        <v>87</v>
      </c>
    </row>
    <row r="3620" spans="1:64" x14ac:dyDescent="0.3">
      <c r="A3620" t="str">
        <f>"202441B0000"</f>
        <v>202441B0000</v>
      </c>
      <c r="B3620" t="str">
        <f>"202441B00003"</f>
        <v>202441B00003</v>
      </c>
      <c r="C3620" t="str">
        <f t="shared" si="262"/>
        <v>20</v>
      </c>
      <c r="D3620" t="s">
        <v>81</v>
      </c>
      <c r="E3620" t="str">
        <f t="shared" si="264"/>
        <v>570</v>
      </c>
      <c r="F3620" t="s">
        <v>3855</v>
      </c>
      <c r="G3620" t="str">
        <f>"2441"</f>
        <v>2441</v>
      </c>
      <c r="H3620" t="str">
        <f>"0000"</f>
        <v>0000</v>
      </c>
      <c r="I3620" t="s">
        <v>83</v>
      </c>
      <c r="J3620">
        <v>0</v>
      </c>
      <c r="K3620">
        <v>1</v>
      </c>
      <c r="L3620">
        <v>3</v>
      </c>
      <c r="M3620">
        <v>248</v>
      </c>
      <c r="N3620">
        <v>527</v>
      </c>
      <c r="O3620">
        <v>3</v>
      </c>
      <c r="P3620">
        <v>527</v>
      </c>
      <c r="Q3620">
        <v>163</v>
      </c>
      <c r="R3620">
        <v>22</v>
      </c>
      <c r="S3620">
        <v>4</v>
      </c>
      <c r="T3620">
        <v>90</v>
      </c>
      <c r="U3620">
        <v>35</v>
      </c>
      <c r="W3620">
        <v>6</v>
      </c>
      <c r="X3620">
        <v>98</v>
      </c>
      <c r="Z3620">
        <v>32</v>
      </c>
      <c r="AB3620">
        <v>57</v>
      </c>
      <c r="AF3620">
        <v>3</v>
      </c>
      <c r="AG3620">
        <v>1</v>
      </c>
      <c r="AH3620">
        <v>0</v>
      </c>
      <c r="AI3620">
        <v>0</v>
      </c>
      <c r="AW3620">
        <v>0</v>
      </c>
      <c r="AX3620">
        <v>16</v>
      </c>
      <c r="AY3620">
        <v>527</v>
      </c>
      <c r="AZ3620">
        <v>527</v>
      </c>
      <c r="BA3620">
        <v>731</v>
      </c>
      <c r="BB3620">
        <v>44</v>
      </c>
      <c r="BD3620">
        <v>1</v>
      </c>
      <c r="BF3620" t="s">
        <v>3869</v>
      </c>
      <c r="BG3620" s="1">
        <v>44354.19027777778</v>
      </c>
      <c r="BH3620" s="1">
        <v>44354.192870370367</v>
      </c>
      <c r="BI3620" s="1">
        <v>44354.193229166667</v>
      </c>
      <c r="BJ3620" t="s">
        <v>85</v>
      </c>
      <c r="BK3620" t="s">
        <v>86</v>
      </c>
      <c r="BL3620" t="s">
        <v>87</v>
      </c>
    </row>
    <row r="3621" spans="1:64" x14ac:dyDescent="0.3">
      <c r="A3621" t="str">
        <f>"202441C0100"</f>
        <v>202441C0100</v>
      </c>
      <c r="B3621" t="str">
        <f>"202441C01003"</f>
        <v>202441C01003</v>
      </c>
      <c r="C3621" t="str">
        <f t="shared" si="262"/>
        <v>20</v>
      </c>
      <c r="D3621" t="s">
        <v>81</v>
      </c>
      <c r="E3621" t="str">
        <f t="shared" si="264"/>
        <v>570</v>
      </c>
      <c r="F3621" t="s">
        <v>3855</v>
      </c>
      <c r="G3621" t="str">
        <f>"2441"</f>
        <v>2441</v>
      </c>
      <c r="H3621" t="str">
        <f>"0001"</f>
        <v>0001</v>
      </c>
      <c r="I3621" t="s">
        <v>89</v>
      </c>
      <c r="J3621">
        <v>0</v>
      </c>
      <c r="K3621">
        <v>1</v>
      </c>
      <c r="L3621">
        <v>3</v>
      </c>
      <c r="M3621">
        <v>265</v>
      </c>
      <c r="N3621">
        <v>510</v>
      </c>
      <c r="O3621">
        <v>3</v>
      </c>
      <c r="P3621">
        <v>510</v>
      </c>
      <c r="Q3621">
        <v>130</v>
      </c>
      <c r="R3621">
        <v>36</v>
      </c>
      <c r="S3621">
        <v>5</v>
      </c>
      <c r="T3621">
        <v>104</v>
      </c>
      <c r="U3621">
        <v>41</v>
      </c>
      <c r="W3621">
        <v>4</v>
      </c>
      <c r="X3621">
        <v>92</v>
      </c>
      <c r="Z3621">
        <v>33</v>
      </c>
      <c r="AB3621">
        <v>45</v>
      </c>
      <c r="AF3621">
        <v>4</v>
      </c>
      <c r="AG3621">
        <v>0</v>
      </c>
      <c r="AH3621">
        <v>0</v>
      </c>
      <c r="AI3621">
        <v>0</v>
      </c>
      <c r="AW3621">
        <v>2</v>
      </c>
      <c r="AX3621">
        <v>14</v>
      </c>
      <c r="AY3621">
        <v>510</v>
      </c>
      <c r="AZ3621">
        <v>510</v>
      </c>
      <c r="BA3621">
        <v>731</v>
      </c>
      <c r="BB3621">
        <v>44</v>
      </c>
      <c r="BD3621">
        <v>1</v>
      </c>
      <c r="BF3621" t="s">
        <v>3870</v>
      </c>
      <c r="BG3621" s="1">
        <v>44353.914594907408</v>
      </c>
      <c r="BH3621" s="1">
        <v>44353.916273148148</v>
      </c>
      <c r="BI3621" s="1">
        <v>44353.917083333334</v>
      </c>
      <c r="BJ3621" t="s">
        <v>197</v>
      </c>
      <c r="BK3621" t="s">
        <v>198</v>
      </c>
      <c r="BL3621" t="s">
        <v>87</v>
      </c>
    </row>
    <row r="3622" spans="1:64" x14ac:dyDescent="0.3">
      <c r="A3622" t="str">
        <f>"202441C0200"</f>
        <v>202441C0200</v>
      </c>
      <c r="B3622" t="str">
        <f>"202441C02003"</f>
        <v>202441C02003</v>
      </c>
      <c r="C3622" t="str">
        <f t="shared" si="262"/>
        <v>20</v>
      </c>
      <c r="D3622" t="s">
        <v>81</v>
      </c>
      <c r="E3622" t="str">
        <f t="shared" si="264"/>
        <v>570</v>
      </c>
      <c r="F3622" t="s">
        <v>3855</v>
      </c>
      <c r="G3622" t="str">
        <f>"2441"</f>
        <v>2441</v>
      </c>
      <c r="H3622" t="str">
        <f>"0002"</f>
        <v>0002</v>
      </c>
      <c r="I3622" t="s">
        <v>89</v>
      </c>
      <c r="J3622">
        <v>0</v>
      </c>
      <c r="K3622">
        <v>1</v>
      </c>
      <c r="L3622">
        <v>3</v>
      </c>
      <c r="M3622">
        <v>257</v>
      </c>
      <c r="N3622">
        <v>518</v>
      </c>
      <c r="O3622">
        <v>8</v>
      </c>
      <c r="P3622">
        <v>518</v>
      </c>
      <c r="Q3622">
        <v>158</v>
      </c>
      <c r="R3622">
        <v>20</v>
      </c>
      <c r="S3622">
        <v>7</v>
      </c>
      <c r="T3622">
        <v>90</v>
      </c>
      <c r="U3622">
        <v>52</v>
      </c>
      <c r="W3622">
        <v>4</v>
      </c>
      <c r="X3622">
        <v>93</v>
      </c>
      <c r="Z3622">
        <v>30</v>
      </c>
      <c r="AB3622">
        <v>52</v>
      </c>
      <c r="AF3622">
        <v>5</v>
      </c>
      <c r="AG3622">
        <v>0</v>
      </c>
      <c r="AH3622">
        <v>1</v>
      </c>
      <c r="AI3622">
        <v>0</v>
      </c>
      <c r="AW3622">
        <v>0</v>
      </c>
      <c r="AX3622">
        <v>4</v>
      </c>
      <c r="AY3622">
        <v>518</v>
      </c>
      <c r="AZ3622">
        <v>516</v>
      </c>
      <c r="BA3622">
        <v>731</v>
      </c>
      <c r="BB3622">
        <v>44</v>
      </c>
      <c r="BD3622">
        <v>1</v>
      </c>
      <c r="BF3622" t="s">
        <v>3871</v>
      </c>
      <c r="BG3622" s="1">
        <v>44353.906377314815</v>
      </c>
      <c r="BH3622" s="1">
        <v>44353.908217592594</v>
      </c>
      <c r="BI3622" s="1">
        <v>44353.90902777778</v>
      </c>
      <c r="BJ3622" t="s">
        <v>197</v>
      </c>
      <c r="BK3622" t="s">
        <v>198</v>
      </c>
      <c r="BL3622" t="s">
        <v>87</v>
      </c>
    </row>
    <row r="3623" spans="1:64" x14ac:dyDescent="0.3">
      <c r="A3623" t="str">
        <f>"202442B0000"</f>
        <v>202442B0000</v>
      </c>
      <c r="B3623" t="str">
        <f>"202442B00003"</f>
        <v>202442B00003</v>
      </c>
      <c r="C3623" t="str">
        <f t="shared" si="262"/>
        <v>20</v>
      </c>
      <c r="D3623" t="s">
        <v>81</v>
      </c>
      <c r="E3623" t="str">
        <f t="shared" si="264"/>
        <v>570</v>
      </c>
      <c r="F3623" t="s">
        <v>3855</v>
      </c>
      <c r="G3623" t="str">
        <f>"2442"</f>
        <v>2442</v>
      </c>
      <c r="H3623" t="str">
        <f>"0000"</f>
        <v>0000</v>
      </c>
      <c r="I3623" t="s">
        <v>83</v>
      </c>
      <c r="J3623">
        <v>0</v>
      </c>
      <c r="K3623">
        <v>1</v>
      </c>
      <c r="L3623">
        <v>3</v>
      </c>
      <c r="M3623">
        <v>301</v>
      </c>
      <c r="N3623">
        <v>734</v>
      </c>
      <c r="O3623">
        <v>0</v>
      </c>
      <c r="P3623" t="s">
        <v>92</v>
      </c>
      <c r="Q3623">
        <v>110</v>
      </c>
      <c r="R3623">
        <v>24</v>
      </c>
      <c r="S3623">
        <v>4</v>
      </c>
      <c r="T3623">
        <v>91</v>
      </c>
      <c r="U3623">
        <v>98</v>
      </c>
      <c r="W3623">
        <v>0</v>
      </c>
      <c r="X3623">
        <v>46</v>
      </c>
      <c r="Z3623">
        <v>12</v>
      </c>
      <c r="AB3623">
        <v>22</v>
      </c>
      <c r="AF3623">
        <v>2</v>
      </c>
      <c r="AG3623" t="s">
        <v>95</v>
      </c>
      <c r="AH3623" t="s">
        <v>95</v>
      </c>
      <c r="AI3623" t="s">
        <v>95</v>
      </c>
      <c r="AW3623" t="s">
        <v>95</v>
      </c>
      <c r="AX3623">
        <v>21</v>
      </c>
      <c r="AY3623">
        <v>434</v>
      </c>
      <c r="AZ3623">
        <v>430</v>
      </c>
      <c r="BA3623">
        <v>690</v>
      </c>
      <c r="BB3623">
        <v>44</v>
      </c>
      <c r="BC3623" t="s">
        <v>96</v>
      </c>
      <c r="BD3623">
        <v>1</v>
      </c>
      <c r="BF3623" t="s">
        <v>3872</v>
      </c>
      <c r="BG3623" s="1">
        <v>44354.001180555555</v>
      </c>
      <c r="BH3623" s="1">
        <v>44354.00712962963</v>
      </c>
      <c r="BI3623" s="1">
        <v>44354.007997685185</v>
      </c>
      <c r="BJ3623" t="s">
        <v>197</v>
      </c>
      <c r="BK3623" t="s">
        <v>198</v>
      </c>
      <c r="BL3623" t="s">
        <v>87</v>
      </c>
    </row>
    <row r="3624" spans="1:64" x14ac:dyDescent="0.3">
      <c r="A3624" t="str">
        <f>"202442C0100"</f>
        <v>202442C0100</v>
      </c>
      <c r="B3624" t="str">
        <f>"202442C01003"</f>
        <v>202442C01003</v>
      </c>
      <c r="C3624" t="str">
        <f t="shared" si="262"/>
        <v>20</v>
      </c>
      <c r="D3624" t="s">
        <v>81</v>
      </c>
      <c r="E3624" t="str">
        <f t="shared" si="264"/>
        <v>570</v>
      </c>
      <c r="F3624" t="s">
        <v>3855</v>
      </c>
      <c r="G3624" t="str">
        <f>"2442"</f>
        <v>2442</v>
      </c>
      <c r="H3624" t="str">
        <f>"0001"</f>
        <v>0001</v>
      </c>
      <c r="I3624" t="s">
        <v>89</v>
      </c>
      <c r="J3624">
        <v>0</v>
      </c>
      <c r="K3624">
        <v>1</v>
      </c>
      <c r="L3624">
        <v>3</v>
      </c>
      <c r="M3624">
        <v>355</v>
      </c>
      <c r="N3624">
        <v>379</v>
      </c>
      <c r="O3624">
        <v>0</v>
      </c>
      <c r="P3624">
        <v>379</v>
      </c>
      <c r="Q3624">
        <v>105</v>
      </c>
      <c r="R3624">
        <v>26</v>
      </c>
      <c r="S3624">
        <v>4</v>
      </c>
      <c r="T3624">
        <v>67</v>
      </c>
      <c r="U3624">
        <v>68</v>
      </c>
      <c r="W3624">
        <v>0</v>
      </c>
      <c r="X3624">
        <v>41</v>
      </c>
      <c r="Z3624">
        <v>13</v>
      </c>
      <c r="AB3624">
        <v>33</v>
      </c>
      <c r="AF3624">
        <v>6</v>
      </c>
      <c r="AG3624">
        <v>1</v>
      </c>
      <c r="AH3624">
        <v>0</v>
      </c>
      <c r="AI3624">
        <v>0</v>
      </c>
      <c r="AW3624">
        <v>0</v>
      </c>
      <c r="AX3624">
        <v>15</v>
      </c>
      <c r="AY3624">
        <v>379</v>
      </c>
      <c r="AZ3624">
        <v>379</v>
      </c>
      <c r="BA3624">
        <v>690</v>
      </c>
      <c r="BB3624">
        <v>44</v>
      </c>
      <c r="BD3624">
        <v>1</v>
      </c>
      <c r="BF3624" t="s">
        <v>3873</v>
      </c>
      <c r="BG3624" s="1">
        <v>44353.928449074076</v>
      </c>
      <c r="BH3624" s="1">
        <v>44353.930127314816</v>
      </c>
      <c r="BI3624" s="1">
        <v>44353.930891203701</v>
      </c>
      <c r="BJ3624" t="s">
        <v>197</v>
      </c>
      <c r="BK3624" t="s">
        <v>198</v>
      </c>
      <c r="BL3624" t="s">
        <v>87</v>
      </c>
    </row>
    <row r="3625" spans="1:64" x14ac:dyDescent="0.3">
      <c r="A3625" t="str">
        <f>"202442C0200"</f>
        <v>202442C0200</v>
      </c>
      <c r="B3625" t="str">
        <f>"202442C02003"</f>
        <v>202442C02003</v>
      </c>
      <c r="C3625" t="str">
        <f t="shared" si="262"/>
        <v>20</v>
      </c>
      <c r="D3625" t="s">
        <v>81</v>
      </c>
      <c r="E3625" t="str">
        <f t="shared" si="264"/>
        <v>570</v>
      </c>
      <c r="F3625" t="s">
        <v>3855</v>
      </c>
      <c r="G3625" t="str">
        <f>"2442"</f>
        <v>2442</v>
      </c>
      <c r="H3625" t="str">
        <f>"0002"</f>
        <v>0002</v>
      </c>
      <c r="I3625" t="s">
        <v>89</v>
      </c>
      <c r="J3625">
        <v>0</v>
      </c>
      <c r="K3625">
        <v>1</v>
      </c>
      <c r="L3625">
        <v>3</v>
      </c>
      <c r="M3625" t="s">
        <v>92</v>
      </c>
      <c r="N3625" t="s">
        <v>92</v>
      </c>
      <c r="O3625" t="s">
        <v>92</v>
      </c>
      <c r="P3625" t="s">
        <v>92</v>
      </c>
      <c r="Q3625" t="s">
        <v>95</v>
      </c>
      <c r="R3625" t="s">
        <v>95</v>
      </c>
      <c r="S3625" t="s">
        <v>95</v>
      </c>
      <c r="T3625" t="s">
        <v>95</v>
      </c>
      <c r="U3625" t="s">
        <v>95</v>
      </c>
      <c r="W3625" t="s">
        <v>95</v>
      </c>
      <c r="X3625" t="s">
        <v>95</v>
      </c>
      <c r="Z3625" t="s">
        <v>95</v>
      </c>
      <c r="AB3625" t="s">
        <v>95</v>
      </c>
      <c r="AF3625" t="s">
        <v>95</v>
      </c>
      <c r="AG3625" t="s">
        <v>95</v>
      </c>
      <c r="AH3625" t="s">
        <v>95</v>
      </c>
      <c r="AI3625" t="s">
        <v>95</v>
      </c>
      <c r="AW3625" t="s">
        <v>95</v>
      </c>
      <c r="AX3625" t="s">
        <v>95</v>
      </c>
      <c r="BA3625">
        <v>690</v>
      </c>
      <c r="BB3625">
        <v>44</v>
      </c>
      <c r="BC3625" t="s">
        <v>712</v>
      </c>
      <c r="BD3625">
        <v>0</v>
      </c>
      <c r="BF3625" s="2" t="s">
        <v>3874</v>
      </c>
      <c r="BG3625" s="1">
        <v>44354.193055555559</v>
      </c>
      <c r="BH3625" s="1">
        <v>44354.333692129629</v>
      </c>
      <c r="BI3625" s="1">
        <v>44354.353587962964</v>
      </c>
      <c r="BJ3625" t="s">
        <v>85</v>
      </c>
      <c r="BK3625" t="s">
        <v>86</v>
      </c>
      <c r="BL3625" t="s">
        <v>87</v>
      </c>
    </row>
    <row r="3626" spans="1:64" x14ac:dyDescent="0.3">
      <c r="A3626" t="str">
        <f>"202442C0300"</f>
        <v>202442C0300</v>
      </c>
      <c r="B3626" t="str">
        <f>"202442C03003"</f>
        <v>202442C03003</v>
      </c>
      <c r="C3626" t="str">
        <f t="shared" si="262"/>
        <v>20</v>
      </c>
      <c r="D3626" t="s">
        <v>81</v>
      </c>
      <c r="E3626" t="str">
        <f t="shared" si="264"/>
        <v>570</v>
      </c>
      <c r="F3626" t="s">
        <v>3855</v>
      </c>
      <c r="G3626" t="str">
        <f>"2442"</f>
        <v>2442</v>
      </c>
      <c r="H3626" t="str">
        <f>"0003"</f>
        <v>0003</v>
      </c>
      <c r="I3626" t="s">
        <v>89</v>
      </c>
      <c r="J3626">
        <v>0</v>
      </c>
      <c r="K3626">
        <v>1</v>
      </c>
      <c r="L3626">
        <v>3</v>
      </c>
      <c r="M3626">
        <v>306</v>
      </c>
      <c r="N3626">
        <v>428</v>
      </c>
      <c r="O3626">
        <v>0</v>
      </c>
      <c r="P3626">
        <v>428</v>
      </c>
      <c r="Q3626">
        <v>82</v>
      </c>
      <c r="R3626">
        <v>17</v>
      </c>
      <c r="S3626">
        <v>7</v>
      </c>
      <c r="T3626">
        <v>117</v>
      </c>
      <c r="U3626">
        <v>61</v>
      </c>
      <c r="W3626">
        <v>1</v>
      </c>
      <c r="X3626">
        <v>56</v>
      </c>
      <c r="Z3626">
        <v>24</v>
      </c>
      <c r="AB3626">
        <v>31</v>
      </c>
      <c r="AF3626">
        <v>0</v>
      </c>
      <c r="AG3626">
        <v>1</v>
      </c>
      <c r="AH3626">
        <v>0</v>
      </c>
      <c r="AI3626">
        <v>1</v>
      </c>
      <c r="AW3626">
        <v>0</v>
      </c>
      <c r="AX3626">
        <v>29</v>
      </c>
      <c r="AY3626">
        <v>428</v>
      </c>
      <c r="AZ3626">
        <v>427</v>
      </c>
      <c r="BA3626">
        <v>690</v>
      </c>
      <c r="BB3626">
        <v>44</v>
      </c>
      <c r="BD3626">
        <v>1</v>
      </c>
      <c r="BF3626" t="s">
        <v>3875</v>
      </c>
      <c r="BG3626" s="1">
        <v>44354.192361111112</v>
      </c>
      <c r="BH3626" s="1">
        <v>44354.203518518516</v>
      </c>
      <c r="BI3626" s="1">
        <v>44354.203946759262</v>
      </c>
      <c r="BJ3626" t="s">
        <v>85</v>
      </c>
      <c r="BK3626" t="s">
        <v>86</v>
      </c>
      <c r="BL3626" t="s">
        <v>87</v>
      </c>
    </row>
    <row r="3627" spans="1:64" x14ac:dyDescent="0.3">
      <c r="A3627" t="str">
        <f>"202443B0000"</f>
        <v>202443B0000</v>
      </c>
      <c r="B3627" t="str">
        <f>"202443B00003"</f>
        <v>202443B00003</v>
      </c>
      <c r="C3627" t="str">
        <f t="shared" si="262"/>
        <v>20</v>
      </c>
      <c r="D3627" t="s">
        <v>81</v>
      </c>
      <c r="E3627" t="str">
        <f t="shared" si="264"/>
        <v>570</v>
      </c>
      <c r="F3627" t="s">
        <v>3855</v>
      </c>
      <c r="G3627" t="str">
        <f>"2443"</f>
        <v>2443</v>
      </c>
      <c r="H3627" t="str">
        <f>"0000"</f>
        <v>0000</v>
      </c>
      <c r="I3627" t="s">
        <v>83</v>
      </c>
      <c r="J3627">
        <v>0</v>
      </c>
      <c r="K3627">
        <v>1</v>
      </c>
      <c r="L3627">
        <v>3</v>
      </c>
      <c r="M3627">
        <v>297</v>
      </c>
      <c r="N3627">
        <v>339</v>
      </c>
      <c r="O3627">
        <v>5</v>
      </c>
      <c r="P3627">
        <v>339</v>
      </c>
      <c r="Q3627">
        <v>44</v>
      </c>
      <c r="R3627">
        <v>37</v>
      </c>
      <c r="S3627">
        <v>13</v>
      </c>
      <c r="T3627">
        <v>28</v>
      </c>
      <c r="U3627">
        <v>68</v>
      </c>
      <c r="W3627">
        <v>4</v>
      </c>
      <c r="X3627">
        <v>74</v>
      </c>
      <c r="Z3627">
        <v>14</v>
      </c>
      <c r="AB3627">
        <v>27</v>
      </c>
      <c r="AF3627">
        <v>2</v>
      </c>
      <c r="AG3627">
        <v>1</v>
      </c>
      <c r="AH3627">
        <v>0</v>
      </c>
      <c r="AI3627">
        <v>0</v>
      </c>
      <c r="AW3627">
        <v>0</v>
      </c>
      <c r="AX3627">
        <v>27</v>
      </c>
      <c r="AY3627">
        <v>339</v>
      </c>
      <c r="AZ3627">
        <v>339</v>
      </c>
      <c r="BA3627">
        <v>592</v>
      </c>
      <c r="BB3627">
        <v>44</v>
      </c>
      <c r="BD3627">
        <v>1</v>
      </c>
      <c r="BF3627" t="s">
        <v>3876</v>
      </c>
      <c r="BG3627" s="1">
        <v>44353.874386574076</v>
      </c>
      <c r="BH3627" s="1">
        <v>44354.131724537037</v>
      </c>
      <c r="BI3627" s="1">
        <v>44354.132303240738</v>
      </c>
      <c r="BJ3627" t="s">
        <v>197</v>
      </c>
      <c r="BK3627" t="s">
        <v>198</v>
      </c>
      <c r="BL3627" t="s">
        <v>87</v>
      </c>
    </row>
    <row r="3628" spans="1:64" x14ac:dyDescent="0.3">
      <c r="A3628" t="str">
        <f>"202444B0000"</f>
        <v>202444B0000</v>
      </c>
      <c r="B3628" t="str">
        <f>"202444B00003"</f>
        <v>202444B00003</v>
      </c>
      <c r="C3628" t="str">
        <f t="shared" si="262"/>
        <v>20</v>
      </c>
      <c r="D3628" t="s">
        <v>81</v>
      </c>
      <c r="E3628" t="str">
        <f t="shared" si="264"/>
        <v>570</v>
      </c>
      <c r="F3628" t="s">
        <v>3855</v>
      </c>
      <c r="G3628" t="str">
        <f>"2444"</f>
        <v>2444</v>
      </c>
      <c r="H3628" t="str">
        <f>"0000"</f>
        <v>0000</v>
      </c>
      <c r="I3628" t="s">
        <v>83</v>
      </c>
      <c r="J3628">
        <v>0</v>
      </c>
      <c r="K3628">
        <v>1</v>
      </c>
      <c r="L3628">
        <v>3</v>
      </c>
      <c r="M3628">
        <v>190</v>
      </c>
      <c r="N3628">
        <v>389</v>
      </c>
      <c r="O3628">
        <v>3</v>
      </c>
      <c r="P3628">
        <v>199</v>
      </c>
      <c r="Q3628">
        <v>10</v>
      </c>
      <c r="R3628">
        <v>0</v>
      </c>
      <c r="S3628">
        <v>2</v>
      </c>
      <c r="T3628">
        <v>16</v>
      </c>
      <c r="U3628">
        <v>61</v>
      </c>
      <c r="W3628">
        <v>0</v>
      </c>
      <c r="X3628">
        <v>59</v>
      </c>
      <c r="Z3628">
        <v>6</v>
      </c>
      <c r="AB3628">
        <v>31</v>
      </c>
      <c r="AF3628">
        <v>0</v>
      </c>
      <c r="AG3628">
        <v>0</v>
      </c>
      <c r="AH3628">
        <v>0</v>
      </c>
      <c r="AI3628">
        <v>0</v>
      </c>
      <c r="AW3628">
        <v>0</v>
      </c>
      <c r="AX3628">
        <v>14</v>
      </c>
      <c r="AY3628">
        <v>199</v>
      </c>
      <c r="AZ3628">
        <v>199</v>
      </c>
      <c r="BA3628">
        <v>345</v>
      </c>
      <c r="BB3628">
        <v>44</v>
      </c>
      <c r="BD3628">
        <v>1</v>
      </c>
      <c r="BF3628" t="s">
        <v>3877</v>
      </c>
      <c r="BG3628" s="1">
        <v>44354.197222222225</v>
      </c>
      <c r="BH3628" s="1">
        <v>44354.198877314811</v>
      </c>
      <c r="BI3628" s="1">
        <v>44354.199363425927</v>
      </c>
      <c r="BJ3628" t="s">
        <v>85</v>
      </c>
      <c r="BK3628" t="s">
        <v>86</v>
      </c>
      <c r="BL3628" t="s">
        <v>87</v>
      </c>
    </row>
    <row r="3629" spans="1:64" x14ac:dyDescent="0.3">
      <c r="A3629" t="str">
        <f>"202445B0000"</f>
        <v>202445B0000</v>
      </c>
      <c r="B3629" t="str">
        <f>"202445B00003"</f>
        <v>202445B00003</v>
      </c>
      <c r="C3629" t="str">
        <f t="shared" si="262"/>
        <v>20</v>
      </c>
      <c r="D3629" t="s">
        <v>81</v>
      </c>
      <c r="E3629" t="str">
        <f t="shared" si="264"/>
        <v>570</v>
      </c>
      <c r="F3629" t="s">
        <v>3855</v>
      </c>
      <c r="G3629" t="str">
        <f>"2445"</f>
        <v>2445</v>
      </c>
      <c r="H3629" t="str">
        <f>"0000"</f>
        <v>0000</v>
      </c>
      <c r="I3629" t="s">
        <v>83</v>
      </c>
      <c r="J3629">
        <v>0</v>
      </c>
      <c r="K3629">
        <v>1</v>
      </c>
      <c r="L3629">
        <v>3</v>
      </c>
      <c r="M3629" t="s">
        <v>92</v>
      </c>
      <c r="N3629" t="s">
        <v>92</v>
      </c>
      <c r="O3629" t="s">
        <v>92</v>
      </c>
      <c r="P3629">
        <v>403</v>
      </c>
      <c r="Q3629">
        <v>238</v>
      </c>
      <c r="R3629">
        <v>6</v>
      </c>
      <c r="S3629">
        <v>7</v>
      </c>
      <c r="T3629">
        <v>2</v>
      </c>
      <c r="U3629">
        <v>19</v>
      </c>
      <c r="W3629">
        <v>1</v>
      </c>
      <c r="X3629">
        <v>107</v>
      </c>
      <c r="Z3629">
        <v>3</v>
      </c>
      <c r="AB3629">
        <v>7</v>
      </c>
      <c r="AF3629">
        <v>0</v>
      </c>
      <c r="AG3629">
        <v>1</v>
      </c>
      <c r="AH3629">
        <v>0</v>
      </c>
      <c r="AI3629">
        <v>1</v>
      </c>
      <c r="AW3629">
        <v>0</v>
      </c>
      <c r="AX3629">
        <v>11</v>
      </c>
      <c r="AY3629">
        <v>403</v>
      </c>
      <c r="AZ3629">
        <v>403</v>
      </c>
      <c r="BA3629">
        <v>698</v>
      </c>
      <c r="BB3629">
        <v>44</v>
      </c>
      <c r="BD3629">
        <v>1</v>
      </c>
      <c r="BF3629" t="s">
        <v>3878</v>
      </c>
      <c r="BG3629" s="1">
        <v>44354.197222222225</v>
      </c>
      <c r="BH3629" s="1">
        <v>44354.199374999997</v>
      </c>
      <c r="BI3629" s="1">
        <v>44354.199930555558</v>
      </c>
      <c r="BJ3629" t="s">
        <v>85</v>
      </c>
      <c r="BK3629" t="s">
        <v>86</v>
      </c>
      <c r="BL3629" t="s">
        <v>87</v>
      </c>
    </row>
    <row r="3630" spans="1:64" x14ac:dyDescent="0.3">
      <c r="A3630" t="str">
        <f>"202446B0000"</f>
        <v>202446B0000</v>
      </c>
      <c r="B3630" t="str">
        <f>"202446B00003"</f>
        <v>202446B00003</v>
      </c>
      <c r="C3630" t="str">
        <f t="shared" si="262"/>
        <v>20</v>
      </c>
      <c r="D3630" t="s">
        <v>81</v>
      </c>
      <c r="E3630" t="str">
        <f t="shared" si="264"/>
        <v>570</v>
      </c>
      <c r="F3630" t="s">
        <v>3855</v>
      </c>
      <c r="G3630" t="str">
        <f>"2446"</f>
        <v>2446</v>
      </c>
      <c r="H3630" t="str">
        <f>"0000"</f>
        <v>0000</v>
      </c>
      <c r="I3630" t="s">
        <v>83</v>
      </c>
      <c r="J3630">
        <v>0</v>
      </c>
      <c r="K3630">
        <v>1</v>
      </c>
      <c r="L3630">
        <v>3</v>
      </c>
      <c r="M3630">
        <v>142</v>
      </c>
      <c r="N3630">
        <v>171</v>
      </c>
      <c r="O3630">
        <v>3</v>
      </c>
      <c r="P3630">
        <v>171</v>
      </c>
      <c r="Q3630">
        <v>35</v>
      </c>
      <c r="R3630">
        <v>8</v>
      </c>
      <c r="S3630">
        <v>2</v>
      </c>
      <c r="T3630">
        <v>7</v>
      </c>
      <c r="U3630">
        <v>17</v>
      </c>
      <c r="W3630">
        <v>3</v>
      </c>
      <c r="X3630">
        <v>54</v>
      </c>
      <c r="Z3630">
        <v>4</v>
      </c>
      <c r="AB3630">
        <v>29</v>
      </c>
      <c r="AF3630">
        <v>0</v>
      </c>
      <c r="AG3630">
        <v>0</v>
      </c>
      <c r="AH3630">
        <v>0</v>
      </c>
      <c r="AI3630">
        <v>0</v>
      </c>
      <c r="AW3630">
        <v>0</v>
      </c>
      <c r="AX3630">
        <v>12</v>
      </c>
      <c r="AY3630">
        <v>171</v>
      </c>
      <c r="AZ3630">
        <v>171</v>
      </c>
      <c r="BA3630">
        <v>269</v>
      </c>
      <c r="BB3630">
        <v>44</v>
      </c>
      <c r="BD3630">
        <v>1</v>
      </c>
      <c r="BF3630" t="s">
        <v>3879</v>
      </c>
      <c r="BG3630" s="1">
        <v>44354.197916666664</v>
      </c>
      <c r="BH3630" s="1">
        <v>44354.199537037035</v>
      </c>
      <c r="BI3630" s="1">
        <v>44354.200289351851</v>
      </c>
      <c r="BJ3630" t="s">
        <v>85</v>
      </c>
      <c r="BK3630" t="s">
        <v>86</v>
      </c>
      <c r="BL3630" t="s">
        <v>87</v>
      </c>
    </row>
    <row r="3631" spans="1:64" x14ac:dyDescent="0.3">
      <c r="A3631" t="str">
        <f>"202446E0100"</f>
        <v>202446E0100</v>
      </c>
      <c r="B3631" t="str">
        <f>"202446E01003"</f>
        <v>202446E01003</v>
      </c>
      <c r="C3631" t="str">
        <f t="shared" si="262"/>
        <v>20</v>
      </c>
      <c r="D3631" t="s">
        <v>81</v>
      </c>
      <c r="E3631" t="str">
        <f t="shared" si="264"/>
        <v>570</v>
      </c>
      <c r="F3631" t="s">
        <v>3855</v>
      </c>
      <c r="G3631" t="str">
        <f>"2446"</f>
        <v>2446</v>
      </c>
      <c r="H3631" t="str">
        <f>"0001"</f>
        <v>0001</v>
      </c>
      <c r="I3631" t="s">
        <v>122</v>
      </c>
      <c r="J3631">
        <v>0</v>
      </c>
      <c r="K3631">
        <v>1</v>
      </c>
      <c r="L3631">
        <v>3</v>
      </c>
      <c r="M3631">
        <v>171</v>
      </c>
      <c r="N3631">
        <v>121</v>
      </c>
      <c r="O3631">
        <v>1</v>
      </c>
      <c r="P3631">
        <v>121</v>
      </c>
      <c r="Q3631">
        <v>81</v>
      </c>
      <c r="R3631">
        <v>0</v>
      </c>
      <c r="S3631">
        <v>0</v>
      </c>
      <c r="T3631">
        <v>0</v>
      </c>
      <c r="U3631">
        <v>2</v>
      </c>
      <c r="W3631">
        <v>0</v>
      </c>
      <c r="X3631">
        <v>32</v>
      </c>
      <c r="Z3631">
        <v>0</v>
      </c>
      <c r="AB3631">
        <v>4</v>
      </c>
      <c r="AF3631">
        <v>0</v>
      </c>
      <c r="AG3631">
        <v>0</v>
      </c>
      <c r="AH3631">
        <v>0</v>
      </c>
      <c r="AI3631">
        <v>0</v>
      </c>
      <c r="AW3631">
        <v>0</v>
      </c>
      <c r="AX3631">
        <v>2</v>
      </c>
      <c r="AY3631">
        <v>121</v>
      </c>
      <c r="AZ3631">
        <v>121</v>
      </c>
      <c r="BA3631">
        <v>248</v>
      </c>
      <c r="BB3631">
        <v>44</v>
      </c>
      <c r="BD3631">
        <v>1</v>
      </c>
      <c r="BF3631" t="s">
        <v>3880</v>
      </c>
      <c r="BG3631" s="1">
        <v>44354.198611111111</v>
      </c>
      <c r="BH3631" s="1">
        <v>44354.20107638889</v>
      </c>
      <c r="BI3631" s="1">
        <v>44354.202476851853</v>
      </c>
      <c r="BJ3631" t="s">
        <v>85</v>
      </c>
      <c r="BK3631" t="s">
        <v>86</v>
      </c>
      <c r="BL3631" t="s">
        <v>87</v>
      </c>
    </row>
    <row r="3632" spans="1:64" x14ac:dyDescent="0.3">
      <c r="A3632" t="str">
        <f>"202447B0000"</f>
        <v>202447B0000</v>
      </c>
      <c r="B3632" t="str">
        <f>"202447B00003"</f>
        <v>202447B00003</v>
      </c>
      <c r="C3632" t="str">
        <f t="shared" si="262"/>
        <v>20</v>
      </c>
      <c r="D3632" t="s">
        <v>81</v>
      </c>
      <c r="E3632" t="str">
        <f t="shared" si="264"/>
        <v>570</v>
      </c>
      <c r="F3632" t="s">
        <v>3855</v>
      </c>
      <c r="G3632" t="str">
        <f>"2447"</f>
        <v>2447</v>
      </c>
      <c r="H3632" t="str">
        <f>"0000"</f>
        <v>0000</v>
      </c>
      <c r="I3632" t="s">
        <v>83</v>
      </c>
      <c r="J3632">
        <v>0</v>
      </c>
      <c r="K3632">
        <v>1</v>
      </c>
      <c r="L3632">
        <v>3</v>
      </c>
      <c r="M3632">
        <v>253</v>
      </c>
      <c r="N3632">
        <v>343</v>
      </c>
      <c r="O3632">
        <v>7</v>
      </c>
      <c r="P3632">
        <v>343</v>
      </c>
      <c r="Q3632">
        <v>141</v>
      </c>
      <c r="R3632">
        <v>13</v>
      </c>
      <c r="S3632">
        <v>6</v>
      </c>
      <c r="T3632">
        <v>9</v>
      </c>
      <c r="U3632">
        <v>20</v>
      </c>
      <c r="W3632">
        <v>2</v>
      </c>
      <c r="X3632">
        <v>74</v>
      </c>
      <c r="Z3632">
        <v>3</v>
      </c>
      <c r="AB3632">
        <v>54</v>
      </c>
      <c r="AF3632">
        <v>3</v>
      </c>
      <c r="AG3632">
        <v>1</v>
      </c>
      <c r="AH3632">
        <v>0</v>
      </c>
      <c r="AI3632">
        <v>0</v>
      </c>
      <c r="AW3632">
        <v>0</v>
      </c>
      <c r="AX3632">
        <v>17</v>
      </c>
      <c r="AY3632">
        <v>343</v>
      </c>
      <c r="AZ3632">
        <v>343</v>
      </c>
      <c r="BA3632">
        <v>552</v>
      </c>
      <c r="BB3632">
        <v>44</v>
      </c>
      <c r="BD3632">
        <v>1</v>
      </c>
      <c r="BF3632" t="s">
        <v>3881</v>
      </c>
      <c r="BG3632" s="1">
        <v>44353.91133101852</v>
      </c>
      <c r="BH3632" s="1">
        <v>44353.915567129632</v>
      </c>
      <c r="BI3632" s="1">
        <v>44353.916192129633</v>
      </c>
      <c r="BJ3632" t="s">
        <v>197</v>
      </c>
      <c r="BK3632" t="s">
        <v>198</v>
      </c>
      <c r="BL3632" t="s">
        <v>87</v>
      </c>
    </row>
    <row r="3633" spans="1:64" x14ac:dyDescent="0.3">
      <c r="A3633" t="str">
        <f>"202447C0100"</f>
        <v>202447C0100</v>
      </c>
      <c r="B3633" t="str">
        <f>"202447C01003"</f>
        <v>202447C01003</v>
      </c>
      <c r="C3633" t="str">
        <f t="shared" si="262"/>
        <v>20</v>
      </c>
      <c r="D3633" t="s">
        <v>81</v>
      </c>
      <c r="E3633" t="str">
        <f t="shared" si="264"/>
        <v>570</v>
      </c>
      <c r="F3633" t="s">
        <v>3855</v>
      </c>
      <c r="G3633" t="str">
        <f>"2447"</f>
        <v>2447</v>
      </c>
      <c r="H3633" t="str">
        <f>"0001"</f>
        <v>0001</v>
      </c>
      <c r="I3633" t="s">
        <v>89</v>
      </c>
      <c r="J3633">
        <v>0</v>
      </c>
      <c r="K3633">
        <v>1</v>
      </c>
      <c r="L3633">
        <v>3</v>
      </c>
      <c r="M3633">
        <v>243</v>
      </c>
      <c r="N3633">
        <v>5</v>
      </c>
      <c r="O3633">
        <v>0</v>
      </c>
      <c r="P3633">
        <v>353</v>
      </c>
      <c r="Q3633">
        <v>122</v>
      </c>
      <c r="R3633">
        <v>19</v>
      </c>
      <c r="S3633">
        <v>6</v>
      </c>
      <c r="T3633">
        <v>11</v>
      </c>
      <c r="U3633">
        <v>26</v>
      </c>
      <c r="W3633">
        <v>5</v>
      </c>
      <c r="X3633">
        <v>83</v>
      </c>
      <c r="Z3633">
        <v>4</v>
      </c>
      <c r="AB3633">
        <v>59</v>
      </c>
      <c r="AF3633">
        <v>5</v>
      </c>
      <c r="AG3633">
        <v>0</v>
      </c>
      <c r="AH3633">
        <v>4</v>
      </c>
      <c r="AI3633">
        <v>0</v>
      </c>
      <c r="AW3633">
        <v>0</v>
      </c>
      <c r="AX3633">
        <v>9</v>
      </c>
      <c r="AY3633">
        <v>353</v>
      </c>
      <c r="AZ3633">
        <v>353</v>
      </c>
      <c r="BA3633">
        <v>552</v>
      </c>
      <c r="BB3633">
        <v>44</v>
      </c>
      <c r="BD3633">
        <v>1</v>
      </c>
      <c r="BF3633" t="s">
        <v>3882</v>
      </c>
      <c r="BG3633" s="1">
        <v>44354.19027777778</v>
      </c>
      <c r="BH3633" s="1">
        <v>44354.192997685182</v>
      </c>
      <c r="BI3633" s="1">
        <v>44354.194074074076</v>
      </c>
      <c r="BJ3633" t="s">
        <v>85</v>
      </c>
      <c r="BK3633" t="s">
        <v>86</v>
      </c>
      <c r="BL3633" t="s">
        <v>87</v>
      </c>
    </row>
    <row r="3634" spans="1:64" x14ac:dyDescent="0.3">
      <c r="A3634" t="str">
        <f>"202448B0000"</f>
        <v>202448B0000</v>
      </c>
      <c r="B3634" t="str">
        <f>"202448B00003"</f>
        <v>202448B00003</v>
      </c>
      <c r="C3634" t="str">
        <f t="shared" si="262"/>
        <v>20</v>
      </c>
      <c r="D3634" t="s">
        <v>81</v>
      </c>
      <c r="E3634" t="str">
        <f t="shared" si="264"/>
        <v>570</v>
      </c>
      <c r="F3634" t="s">
        <v>3855</v>
      </c>
      <c r="G3634" t="str">
        <f>"2448"</f>
        <v>2448</v>
      </c>
      <c r="H3634" t="str">
        <f>"0000"</f>
        <v>0000</v>
      </c>
      <c r="I3634" t="s">
        <v>83</v>
      </c>
      <c r="J3634">
        <v>0</v>
      </c>
      <c r="K3634">
        <v>1</v>
      </c>
      <c r="L3634">
        <v>3</v>
      </c>
      <c r="M3634">
        <v>206</v>
      </c>
      <c r="N3634">
        <v>270</v>
      </c>
      <c r="O3634">
        <v>10</v>
      </c>
      <c r="P3634" t="s">
        <v>92</v>
      </c>
      <c r="Q3634">
        <v>95</v>
      </c>
      <c r="R3634">
        <v>26</v>
      </c>
      <c r="S3634">
        <v>8</v>
      </c>
      <c r="T3634">
        <v>17</v>
      </c>
      <c r="U3634">
        <v>28</v>
      </c>
      <c r="W3634">
        <v>3</v>
      </c>
      <c r="X3634">
        <v>58</v>
      </c>
      <c r="Z3634">
        <v>1</v>
      </c>
      <c r="AB3634">
        <v>19</v>
      </c>
      <c r="AF3634">
        <v>3</v>
      </c>
      <c r="AG3634">
        <v>1</v>
      </c>
      <c r="AH3634" t="s">
        <v>95</v>
      </c>
      <c r="AI3634" t="s">
        <v>95</v>
      </c>
      <c r="AW3634" t="s">
        <v>95</v>
      </c>
      <c r="AX3634">
        <v>11</v>
      </c>
      <c r="AY3634">
        <v>270</v>
      </c>
      <c r="AZ3634">
        <v>270</v>
      </c>
      <c r="BA3634">
        <v>432</v>
      </c>
      <c r="BB3634">
        <v>44</v>
      </c>
      <c r="BC3634" t="s">
        <v>96</v>
      </c>
      <c r="BD3634">
        <v>1</v>
      </c>
      <c r="BF3634" t="s">
        <v>3883</v>
      </c>
      <c r="BG3634" s="1">
        <v>44353.823807870373</v>
      </c>
      <c r="BH3634" s="1">
        <v>44353.846990740742</v>
      </c>
      <c r="BI3634" s="1">
        <v>44353.848379629628</v>
      </c>
      <c r="BJ3634" t="s">
        <v>197</v>
      </c>
      <c r="BK3634" t="s">
        <v>198</v>
      </c>
      <c r="BL3634" t="s">
        <v>87</v>
      </c>
    </row>
    <row r="3635" spans="1:64" x14ac:dyDescent="0.3">
      <c r="A3635" t="str">
        <f>"202449B0000"</f>
        <v>202449B0000</v>
      </c>
      <c r="B3635" t="str">
        <f>"202449B00003"</f>
        <v>202449B00003</v>
      </c>
      <c r="C3635" t="str">
        <f t="shared" si="262"/>
        <v>20</v>
      </c>
      <c r="D3635" t="s">
        <v>81</v>
      </c>
      <c r="E3635" t="str">
        <f t="shared" si="264"/>
        <v>570</v>
      </c>
      <c r="F3635" t="s">
        <v>3855</v>
      </c>
      <c r="G3635" t="str">
        <f>"2449"</f>
        <v>2449</v>
      </c>
      <c r="H3635" t="str">
        <f>"0000"</f>
        <v>0000</v>
      </c>
      <c r="I3635" t="s">
        <v>83</v>
      </c>
      <c r="J3635">
        <v>0</v>
      </c>
      <c r="K3635">
        <v>1</v>
      </c>
      <c r="L3635">
        <v>3</v>
      </c>
      <c r="M3635">
        <v>90</v>
      </c>
      <c r="N3635">
        <v>60</v>
      </c>
      <c r="O3635">
        <v>2</v>
      </c>
      <c r="P3635">
        <v>60</v>
      </c>
      <c r="Q3635">
        <v>35</v>
      </c>
      <c r="R3635">
        <v>1</v>
      </c>
      <c r="S3635" t="s">
        <v>95</v>
      </c>
      <c r="T3635" t="s">
        <v>95</v>
      </c>
      <c r="U3635">
        <v>2</v>
      </c>
      <c r="W3635" t="s">
        <v>95</v>
      </c>
      <c r="X3635">
        <v>21</v>
      </c>
      <c r="Z3635">
        <v>1</v>
      </c>
      <c r="AB3635" t="s">
        <v>95</v>
      </c>
      <c r="AF3635" t="s">
        <v>95</v>
      </c>
      <c r="AG3635" t="s">
        <v>95</v>
      </c>
      <c r="AH3635" t="s">
        <v>95</v>
      </c>
      <c r="AI3635" t="s">
        <v>95</v>
      </c>
      <c r="AW3635" t="s">
        <v>95</v>
      </c>
      <c r="AX3635">
        <v>0</v>
      </c>
      <c r="AY3635">
        <v>60</v>
      </c>
      <c r="AZ3635">
        <v>60</v>
      </c>
      <c r="BA3635">
        <v>106</v>
      </c>
      <c r="BB3635">
        <v>44</v>
      </c>
      <c r="BC3635" t="s">
        <v>96</v>
      </c>
      <c r="BD3635">
        <v>1</v>
      </c>
      <c r="BF3635" t="s">
        <v>3884</v>
      </c>
      <c r="BG3635" s="1">
        <v>44354.197916666664</v>
      </c>
      <c r="BH3635" s="1">
        <v>44354.199953703705</v>
      </c>
      <c r="BI3635" s="1">
        <v>44354.20045138889</v>
      </c>
      <c r="BJ3635" t="s">
        <v>85</v>
      </c>
      <c r="BK3635" t="s">
        <v>86</v>
      </c>
      <c r="BL3635" t="s">
        <v>87</v>
      </c>
    </row>
    <row r="3636" spans="1:64" x14ac:dyDescent="0.3">
      <c r="C3636">
        <v>20</v>
      </c>
      <c r="D3636" t="s">
        <v>81</v>
      </c>
      <c r="BC3636" t="s">
        <v>3885</v>
      </c>
      <c r="BF3636" t="s">
        <v>3886</v>
      </c>
      <c r="BG3636" s="1">
        <v>44354.054166666669</v>
      </c>
      <c r="BJ3636" t="s">
        <v>85</v>
      </c>
      <c r="BK3636" t="s">
        <v>86</v>
      </c>
      <c r="BL3636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OAX_AYUN_2021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Myself</dc:creator>
  <cp:lastModifiedBy>Myself</cp:lastModifiedBy>
  <dcterms:created xsi:type="dcterms:W3CDTF">2021-06-10T18:22:24Z</dcterms:created>
  <dcterms:modified xsi:type="dcterms:W3CDTF">2021-06-10T18:22:24Z</dcterms:modified>
</cp:coreProperties>
</file>